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chane\OneDrive\Documents\FUNDACION\COVIDATA\"/>
    </mc:Choice>
  </mc:AlternateContent>
  <xr:revisionPtr revIDLastSave="0" documentId="13_ncr:1_{6BA7D102-955D-41A2-8864-459D1AA3A132}" xr6:coauthVersionLast="47" xr6:coauthVersionMax="47" xr10:uidLastSave="{00000000-0000-0000-0000-000000000000}"/>
  <bookViews>
    <workbookView xWindow="-110" yWindow="-110" windowWidth="19420" windowHeight="11020" firstSheet="3" activeTab="6" xr2:uid="{00000000-000D-0000-FFFF-FFFF00000000}"/>
  </bookViews>
  <sheets>
    <sheet name="detalle" sheetId="4" state="hidden" r:id="rId1"/>
    <sheet name="Indicadores" sheetId="17" r:id="rId2"/>
    <sheet name="Inmunidad de Rebaño" sheetId="14" state="hidden" r:id="rId3"/>
    <sheet name="LATAM" sheetId="6" r:id="rId4"/>
    <sheet name="Calculos AL" sheetId="8" state="hidden" r:id="rId5"/>
    <sheet name="Vacunas MM" sheetId="13" state="hidden" r:id="rId6"/>
    <sheet name="Vacunas" sheetId="9" r:id="rId7"/>
    <sheet name="Histórico vacunas" sheetId="11" r:id="rId8"/>
    <sheet name="Indice Respuesta" sheetId="12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3" l="1" a="1"/>
  <c r="B3" i="13" s="1"/>
  <c r="B4" i="13" a="1"/>
  <c r="B4" i="13" s="1"/>
  <c r="B5" i="13" a="1"/>
  <c r="B5" i="13" s="1"/>
  <c r="B6" i="13" a="1"/>
  <c r="B6" i="13"/>
  <c r="B7" i="13" a="1"/>
  <c r="B7" i="13" s="1"/>
  <c r="B8" i="13" a="1"/>
  <c r="B8" i="13" s="1"/>
  <c r="B9" i="13" a="1"/>
  <c r="B9" i="13" s="1"/>
  <c r="B10" i="13" a="1"/>
  <c r="B10" i="13"/>
  <c r="B11" i="13" a="1"/>
  <c r="B11" i="13" s="1"/>
  <c r="B12" i="13" a="1"/>
  <c r="B12" i="13" s="1"/>
  <c r="B13" i="13" a="1"/>
  <c r="B13" i="13" s="1"/>
  <c r="B14" i="13" a="1"/>
  <c r="B14" i="13"/>
  <c r="B15" i="13" a="1"/>
  <c r="B15" i="13" s="1"/>
  <c r="B16" i="13" a="1"/>
  <c r="B16" i="13" s="1"/>
  <c r="B17" i="13" a="1"/>
  <c r="B17" i="13" s="1"/>
  <c r="B18" i="13" a="1"/>
  <c r="B18" i="13"/>
  <c r="B19" i="13" a="1"/>
  <c r="B19" i="13" s="1"/>
  <c r="B20" i="13" a="1"/>
  <c r="B20" i="13" s="1"/>
  <c r="B21" i="13" a="1"/>
  <c r="B21" i="13" s="1"/>
  <c r="B22" i="13" a="1"/>
  <c r="B22" i="13"/>
  <c r="B23" i="13" a="1"/>
  <c r="B23" i="13" s="1"/>
  <c r="B24" i="13" a="1"/>
  <c r="B24" i="13" s="1"/>
  <c r="B25" i="13" a="1"/>
  <c r="B25" i="13" s="1"/>
  <c r="B26" i="13" a="1"/>
  <c r="B26" i="13"/>
  <c r="B27" i="13" a="1"/>
  <c r="B27" i="13" s="1"/>
  <c r="B28" i="13" a="1"/>
  <c r="B28" i="13" s="1"/>
  <c r="B29" i="13" a="1"/>
  <c r="B29" i="13" s="1"/>
  <c r="B30" i="13" a="1"/>
  <c r="B30" i="13"/>
  <c r="B31" i="13" a="1"/>
  <c r="B31" i="13" s="1"/>
  <c r="B32" i="13" a="1"/>
  <c r="B32" i="13" s="1"/>
  <c r="B33" i="13" a="1"/>
  <c r="B33" i="13" s="1"/>
  <c r="B34" i="13" a="1"/>
  <c r="B34" i="13"/>
  <c r="B35" i="13" a="1"/>
  <c r="B35" i="13" s="1"/>
  <c r="B36" i="13" a="1"/>
  <c r="B36" i="13" s="1"/>
  <c r="B37" i="13" a="1"/>
  <c r="B37" i="13" s="1"/>
  <c r="B38" i="13" a="1"/>
  <c r="B38" i="13"/>
  <c r="B39" i="13" a="1"/>
  <c r="B39" i="13" s="1"/>
  <c r="B40" i="13" a="1"/>
  <c r="B40" i="13" s="1"/>
  <c r="B41" i="13" a="1"/>
  <c r="B41" i="13" s="1"/>
  <c r="B42" i="13" a="1"/>
  <c r="B42" i="13"/>
  <c r="B43" i="13" a="1"/>
  <c r="B43" i="13" s="1"/>
  <c r="B44" i="13" a="1"/>
  <c r="B44" i="13" s="1"/>
  <c r="B45" i="13" a="1"/>
  <c r="B45" i="13" s="1"/>
  <c r="B46" i="13" a="1"/>
  <c r="B46" i="13"/>
  <c r="B47" i="13" a="1"/>
  <c r="B47" i="13" s="1"/>
  <c r="B48" i="13" a="1"/>
  <c r="B48" i="13" s="1"/>
  <c r="B49" i="13" a="1"/>
  <c r="B49" i="13" s="1"/>
  <c r="B50" i="13" a="1"/>
  <c r="B50" i="13"/>
  <c r="B51" i="13" a="1"/>
  <c r="B51" i="13" s="1"/>
  <c r="B52" i="13" a="1"/>
  <c r="B52" i="13" s="1"/>
  <c r="B53" i="13" a="1"/>
  <c r="B53" i="13" s="1"/>
  <c r="B54" i="13" a="1"/>
  <c r="B54" i="13"/>
  <c r="B55" i="13" a="1"/>
  <c r="B55" i="13" s="1"/>
  <c r="B56" i="13" a="1"/>
  <c r="B56" i="13" s="1"/>
  <c r="B57" i="13" a="1"/>
  <c r="B57" i="13" s="1"/>
  <c r="B58" i="13" a="1"/>
  <c r="B58" i="13"/>
  <c r="B59" i="13" a="1"/>
  <c r="B59" i="13" s="1"/>
  <c r="B60" i="13" a="1"/>
  <c r="B60" i="13" s="1"/>
  <c r="B61" i="13" a="1"/>
  <c r="B61" i="13" s="1"/>
  <c r="B62" i="13" a="1"/>
  <c r="B62" i="13"/>
  <c r="B63" i="13" a="1"/>
  <c r="B63" i="13" s="1"/>
  <c r="B64" i="13" a="1"/>
  <c r="B64" i="13" s="1"/>
  <c r="B65" i="13" a="1"/>
  <c r="B65" i="13" s="1"/>
  <c r="B66" i="13" a="1"/>
  <c r="B66" i="13"/>
  <c r="B67" i="13" a="1"/>
  <c r="B67" i="13" s="1"/>
  <c r="B68" i="13" a="1"/>
  <c r="B68" i="13" s="1"/>
  <c r="B69" i="13" a="1"/>
  <c r="B69" i="13" s="1"/>
  <c r="B70" i="13" a="1"/>
  <c r="B70" i="13"/>
  <c r="B71" i="13" a="1"/>
  <c r="B71" i="13" s="1"/>
  <c r="B72" i="13" a="1"/>
  <c r="B72" i="13" s="1"/>
  <c r="B73" i="13" a="1"/>
  <c r="B73" i="13" s="1"/>
  <c r="B74" i="13" a="1"/>
  <c r="B74" i="13"/>
  <c r="B75" i="13" a="1"/>
  <c r="B75" i="13" s="1"/>
  <c r="B76" i="13" a="1"/>
  <c r="B76" i="13" s="1"/>
  <c r="B77" i="13" a="1"/>
  <c r="B77" i="13" s="1"/>
  <c r="B78" i="13" a="1"/>
  <c r="B78" i="13"/>
  <c r="B79" i="13" a="1"/>
  <c r="B79" i="13" s="1"/>
  <c r="B80" i="13" a="1"/>
  <c r="B80" i="13" s="1"/>
  <c r="B81" i="13" a="1"/>
  <c r="B81" i="13" s="1"/>
  <c r="B82" i="13" a="1"/>
  <c r="B82" i="13"/>
  <c r="B83" i="13" a="1"/>
  <c r="B83" i="13" s="1"/>
  <c r="B84" i="13" a="1"/>
  <c r="B84" i="13" s="1"/>
  <c r="B85" i="13" a="1"/>
  <c r="B85" i="13" s="1"/>
  <c r="B86" i="13" a="1"/>
  <c r="B86" i="13"/>
  <c r="B87" i="13" a="1"/>
  <c r="B87" i="13" s="1"/>
  <c r="B88" i="13" a="1"/>
  <c r="B88" i="13" s="1"/>
  <c r="B89" i="13" a="1"/>
  <c r="B89" i="13" s="1"/>
  <c r="B90" i="13" a="1"/>
  <c r="B90" i="13"/>
  <c r="B91" i="13" a="1"/>
  <c r="B91" i="13" s="1"/>
  <c r="B92" i="13" a="1"/>
  <c r="B92" i="13" s="1"/>
  <c r="B93" i="13" a="1"/>
  <c r="B93" i="13" s="1"/>
  <c r="B94" i="13" a="1"/>
  <c r="B94" i="13"/>
  <c r="B95" i="13" a="1"/>
  <c r="B95" i="13" s="1"/>
  <c r="B96" i="13" a="1"/>
  <c r="B96" i="13" s="1"/>
  <c r="B97" i="13" a="1"/>
  <c r="B97" i="13" s="1"/>
  <c r="B98" i="13" a="1"/>
  <c r="B98" i="13"/>
  <c r="B99" i="13" a="1"/>
  <c r="B99" i="13" s="1"/>
  <c r="B100" i="13" a="1"/>
  <c r="B100" i="13" s="1"/>
  <c r="B101" i="13" a="1"/>
  <c r="B101" i="13" s="1"/>
  <c r="B102" i="13" a="1"/>
  <c r="B102" i="13"/>
  <c r="B103" i="13" a="1"/>
  <c r="B103" i="13" s="1"/>
  <c r="B104" i="13" a="1"/>
  <c r="B104" i="13" s="1"/>
  <c r="B105" i="13" a="1"/>
  <c r="B105" i="13" s="1"/>
  <c r="B106" i="13" a="1"/>
  <c r="B106" i="13"/>
  <c r="B107" i="13" a="1"/>
  <c r="B107" i="13" s="1"/>
  <c r="B108" i="13" a="1"/>
  <c r="B108" i="13" s="1"/>
  <c r="B109" i="13" a="1"/>
  <c r="B109" i="13" s="1"/>
  <c r="B110" i="13" a="1"/>
  <c r="B110" i="13"/>
  <c r="B111" i="13" a="1"/>
  <c r="B111" i="13" s="1"/>
  <c r="B112" i="13" a="1"/>
  <c r="B112" i="13" s="1"/>
  <c r="B113" i="13" a="1"/>
  <c r="B113" i="13" s="1"/>
  <c r="B114" i="13" a="1"/>
  <c r="B114" i="13"/>
  <c r="B115" i="13" a="1"/>
  <c r="B115" i="13" s="1"/>
  <c r="B116" i="13" a="1"/>
  <c r="B116" i="13" s="1"/>
  <c r="B117" i="13" a="1"/>
  <c r="B117" i="13" s="1"/>
  <c r="B118" i="13" a="1"/>
  <c r="B118" i="13"/>
  <c r="B119" i="13" a="1"/>
  <c r="B119" i="13" s="1"/>
  <c r="B120" i="13" a="1"/>
  <c r="B120" i="13" s="1"/>
  <c r="B121" i="13" a="1"/>
  <c r="B121" i="13" s="1"/>
  <c r="B122" i="13" a="1"/>
  <c r="B122" i="13"/>
  <c r="B123" i="13" a="1"/>
  <c r="B123" i="13" s="1"/>
  <c r="B124" i="13" a="1"/>
  <c r="B124" i="13" s="1"/>
  <c r="B125" i="13" a="1"/>
  <c r="B125" i="13" s="1"/>
  <c r="B126" i="13" a="1"/>
  <c r="B126" i="13"/>
  <c r="B127" i="13" a="1"/>
  <c r="B127" i="13" s="1"/>
  <c r="B128" i="13" a="1"/>
  <c r="B128" i="13" s="1"/>
  <c r="B129" i="13" a="1"/>
  <c r="B129" i="13" s="1"/>
  <c r="B130" i="13" a="1"/>
  <c r="B130" i="13"/>
  <c r="B131" i="13" a="1"/>
  <c r="B131" i="13" s="1"/>
  <c r="B132" i="13" a="1"/>
  <c r="B132" i="13" s="1"/>
  <c r="B133" i="13" a="1"/>
  <c r="B133" i="13" s="1"/>
  <c r="B134" i="13" a="1"/>
  <c r="B134" i="13"/>
  <c r="B135" i="13" a="1"/>
  <c r="B135" i="13" s="1"/>
  <c r="B136" i="13" a="1"/>
  <c r="B136" i="13" s="1"/>
  <c r="B137" i="13" a="1"/>
  <c r="B137" i="13" s="1"/>
  <c r="B138" i="13" a="1"/>
  <c r="B138" i="13"/>
  <c r="B139" i="13" a="1"/>
  <c r="B139" i="13" s="1"/>
  <c r="B140" i="13" a="1"/>
  <c r="B140" i="13" s="1"/>
  <c r="B141" i="13" a="1"/>
  <c r="B141" i="13" s="1"/>
  <c r="B142" i="13" a="1"/>
  <c r="B142" i="13"/>
  <c r="B143" i="13" a="1"/>
  <c r="B143" i="13" s="1"/>
  <c r="B144" i="13" a="1"/>
  <c r="B144" i="13" s="1"/>
  <c r="B145" i="13" a="1"/>
  <c r="B145" i="13" s="1"/>
  <c r="B146" i="13" a="1"/>
  <c r="B146" i="13"/>
  <c r="B147" i="13" a="1"/>
  <c r="B147" i="13" s="1"/>
  <c r="B148" i="13" a="1"/>
  <c r="B148" i="13" s="1"/>
  <c r="B149" i="13" a="1"/>
  <c r="B149" i="13" s="1"/>
  <c r="B150" i="13" a="1"/>
  <c r="B150" i="13"/>
  <c r="B151" i="13" a="1"/>
  <c r="B151" i="13" s="1"/>
  <c r="B152" i="13" a="1"/>
  <c r="B152" i="13" s="1"/>
  <c r="B153" i="13" a="1"/>
  <c r="B153" i="13" s="1"/>
  <c r="B154" i="13" a="1"/>
  <c r="B154" i="13"/>
  <c r="B155" i="13" a="1"/>
  <c r="B155" i="13" s="1"/>
  <c r="B156" i="13" a="1"/>
  <c r="B156" i="13" s="1"/>
  <c r="B157" i="13" a="1"/>
  <c r="B157" i="13" s="1"/>
  <c r="B158" i="13" a="1"/>
  <c r="B158" i="13"/>
  <c r="B159" i="13" a="1"/>
  <c r="B159" i="13" s="1"/>
  <c r="B160" i="13" a="1"/>
  <c r="B160" i="13" s="1"/>
  <c r="B161" i="13" a="1"/>
  <c r="B161" i="13" s="1"/>
  <c r="B162" i="13" a="1"/>
  <c r="B162" i="13"/>
  <c r="B163" i="13" a="1"/>
  <c r="B163" i="13" s="1"/>
  <c r="B164" i="13" a="1"/>
  <c r="B164" i="13" s="1"/>
  <c r="B165" i="13" a="1"/>
  <c r="B165" i="13" s="1"/>
  <c r="B166" i="13" a="1"/>
  <c r="B166" i="13"/>
  <c r="B167" i="13" a="1"/>
  <c r="B167" i="13" s="1"/>
  <c r="B168" i="13" a="1"/>
  <c r="B168" i="13" s="1"/>
  <c r="B169" i="13" a="1"/>
  <c r="B169" i="13" s="1"/>
  <c r="B170" i="13" a="1"/>
  <c r="B170" i="13"/>
  <c r="B171" i="13" a="1"/>
  <c r="B171" i="13" s="1"/>
  <c r="B172" i="13" a="1"/>
  <c r="B172" i="13" s="1"/>
  <c r="B173" i="13" a="1"/>
  <c r="B173" i="13" s="1"/>
  <c r="B174" i="13" a="1"/>
  <c r="B174" i="13"/>
  <c r="B175" i="13" a="1"/>
  <c r="B175" i="13" s="1"/>
  <c r="B176" i="13" a="1"/>
  <c r="B176" i="13" s="1"/>
  <c r="B177" i="13" a="1"/>
  <c r="B177" i="13" s="1"/>
  <c r="B178" i="13" a="1"/>
  <c r="B178" i="13"/>
  <c r="B179" i="13" a="1"/>
  <c r="B179" i="13" s="1"/>
  <c r="B180" i="13" a="1"/>
  <c r="B180" i="13" s="1"/>
  <c r="B181" i="13" a="1"/>
  <c r="B181" i="13" s="1"/>
  <c r="B182" i="13" a="1"/>
  <c r="B182" i="13"/>
  <c r="B183" i="13" a="1"/>
  <c r="B183" i="13" s="1"/>
  <c r="B184" i="13" a="1"/>
  <c r="B184" i="13" s="1"/>
  <c r="B185" i="13" a="1"/>
  <c r="B185" i="13" s="1"/>
  <c r="B186" i="13" a="1"/>
  <c r="B186" i="13"/>
  <c r="B187" i="13" a="1"/>
  <c r="B187" i="13" s="1"/>
  <c r="B188" i="13" a="1"/>
  <c r="B188" i="13" s="1"/>
  <c r="B189" i="13" a="1"/>
  <c r="B189" i="13" s="1"/>
  <c r="B190" i="13" a="1"/>
  <c r="B190" i="13"/>
  <c r="B191" i="13" a="1"/>
  <c r="B191" i="13" s="1"/>
  <c r="B192" i="13" a="1"/>
  <c r="B192" i="13" s="1"/>
  <c r="B193" i="13" a="1"/>
  <c r="B193" i="13" s="1"/>
  <c r="B194" i="13" a="1"/>
  <c r="B194" i="13"/>
  <c r="B195" i="13" a="1"/>
  <c r="B195" i="13" s="1"/>
  <c r="B196" i="13" a="1"/>
  <c r="B196" i="13" s="1"/>
  <c r="B197" i="13" a="1"/>
  <c r="B197" i="13" s="1"/>
  <c r="B198" i="13" a="1"/>
  <c r="B198" i="13"/>
  <c r="B199" i="13" a="1"/>
  <c r="B199" i="13" s="1"/>
  <c r="B200" i="13" a="1"/>
  <c r="B200" i="13" s="1"/>
  <c r="B201" i="13" a="1"/>
  <c r="B201" i="13" s="1"/>
  <c r="B202" i="13" a="1"/>
  <c r="B202" i="13"/>
  <c r="B203" i="13" a="1"/>
  <c r="B203" i="13" s="1"/>
  <c r="B204" i="13" a="1"/>
  <c r="B204" i="13" s="1"/>
  <c r="B205" i="13" a="1"/>
  <c r="B205" i="13" s="1"/>
  <c r="B206" i="13" a="1"/>
  <c r="B206" i="13"/>
  <c r="B207" i="13" a="1"/>
  <c r="B207" i="13" s="1"/>
  <c r="B208" i="13" a="1"/>
  <c r="B208" i="13" s="1"/>
  <c r="B209" i="13" a="1"/>
  <c r="B209" i="13" s="1"/>
  <c r="B210" i="13" a="1"/>
  <c r="B210" i="13"/>
  <c r="B211" i="13" a="1"/>
  <c r="B211" i="13" s="1"/>
  <c r="B212" i="13" a="1"/>
  <c r="B212" i="13" s="1"/>
  <c r="B213" i="13" a="1"/>
  <c r="B213" i="13" s="1"/>
  <c r="B214" i="13" a="1"/>
  <c r="B214" i="13"/>
  <c r="B215" i="13" a="1"/>
  <c r="B215" i="13" s="1"/>
  <c r="B216" i="13" a="1"/>
  <c r="B216" i="13" s="1"/>
  <c r="B217" i="13" a="1"/>
  <c r="B217" i="13" s="1"/>
  <c r="B218" i="13" a="1"/>
  <c r="B218" i="13"/>
  <c r="B219" i="13" a="1"/>
  <c r="B219" i="13" s="1"/>
  <c r="B220" i="13" a="1"/>
  <c r="B220" i="13" s="1"/>
  <c r="B221" i="13" a="1"/>
  <c r="B221" i="13" s="1"/>
  <c r="B222" i="13" a="1"/>
  <c r="B222" i="13"/>
  <c r="B223" i="13" a="1"/>
  <c r="B223" i="13" s="1"/>
  <c r="B224" i="13" a="1"/>
  <c r="B224" i="13" s="1"/>
  <c r="B225" i="13" a="1"/>
  <c r="B225" i="13" s="1"/>
  <c r="B2" i="13" a="1"/>
  <c r="B2" i="13" s="1"/>
  <c r="B3" i="9" a="1"/>
  <c r="B3" i="9" s="1"/>
  <c r="B4" i="9" a="1"/>
  <c r="B4" i="9" s="1"/>
  <c r="B5" i="9" a="1"/>
  <c r="B5" i="9"/>
  <c r="B6" i="9" a="1"/>
  <c r="B6" i="9"/>
  <c r="B7" i="9" a="1"/>
  <c r="B7" i="9" s="1"/>
  <c r="B8" i="9" a="1"/>
  <c r="B8" i="9" s="1"/>
  <c r="B9" i="9" a="1"/>
  <c r="B9" i="9"/>
  <c r="B10" i="9" a="1"/>
  <c r="B10" i="9"/>
  <c r="B11" i="9" a="1"/>
  <c r="B11" i="9" s="1"/>
  <c r="B12" i="9" a="1"/>
  <c r="B12" i="9" s="1"/>
  <c r="B13" i="9" a="1"/>
  <c r="B13" i="9"/>
  <c r="B14" i="9" a="1"/>
  <c r="B14" i="9"/>
  <c r="B15" i="9" a="1"/>
  <c r="B15" i="9" s="1"/>
  <c r="B16" i="9" a="1"/>
  <c r="B16" i="9" s="1"/>
  <c r="B17" i="9" a="1"/>
  <c r="B17" i="9"/>
  <c r="B18" i="9" a="1"/>
  <c r="B18" i="9"/>
  <c r="B19" i="9" a="1"/>
  <c r="B19" i="9" s="1"/>
  <c r="B20" i="9" a="1"/>
  <c r="B20" i="9" s="1"/>
  <c r="B21" i="9" a="1"/>
  <c r="B21" i="9"/>
  <c r="B22" i="9" a="1"/>
  <c r="B22" i="9"/>
  <c r="B23" i="9" a="1"/>
  <c r="B23" i="9" s="1"/>
  <c r="B24" i="9" a="1"/>
  <c r="B24" i="9" s="1"/>
  <c r="B25" i="9" a="1"/>
  <c r="B25" i="9"/>
  <c r="B26" i="9" a="1"/>
  <c r="B26" i="9"/>
  <c r="B27" i="9" a="1"/>
  <c r="B27" i="9" s="1"/>
  <c r="B28" i="9" a="1"/>
  <c r="B28" i="9" s="1"/>
  <c r="B29" i="9" a="1"/>
  <c r="B29" i="9"/>
  <c r="B30" i="9" a="1"/>
  <c r="B30" i="9"/>
  <c r="B31" i="9" a="1"/>
  <c r="B31" i="9" s="1"/>
  <c r="B32" i="9" a="1"/>
  <c r="B32" i="9" s="1"/>
  <c r="B33" i="9" a="1"/>
  <c r="B33" i="9"/>
  <c r="B34" i="9" a="1"/>
  <c r="B34" i="9"/>
  <c r="B35" i="9" a="1"/>
  <c r="B35" i="9" s="1"/>
  <c r="B36" i="9" a="1"/>
  <c r="B36" i="9" s="1"/>
  <c r="B37" i="9" a="1"/>
  <c r="B37" i="9"/>
  <c r="B38" i="9" a="1"/>
  <c r="B38" i="9"/>
  <c r="B39" i="9" a="1"/>
  <c r="B39" i="9" s="1"/>
  <c r="B40" i="9" a="1"/>
  <c r="B40" i="9" s="1"/>
  <c r="B41" i="9" a="1"/>
  <c r="B41" i="9"/>
  <c r="B42" i="9" a="1"/>
  <c r="B42" i="9"/>
  <c r="B43" i="9" a="1"/>
  <c r="B43" i="9" s="1"/>
  <c r="B44" i="9" a="1"/>
  <c r="B44" i="9" s="1"/>
  <c r="B45" i="9" a="1"/>
  <c r="B45" i="9"/>
  <c r="B46" i="9" a="1"/>
  <c r="B46" i="9"/>
  <c r="B47" i="9" a="1"/>
  <c r="B47" i="9" s="1"/>
  <c r="B48" i="9" a="1"/>
  <c r="B48" i="9" s="1"/>
  <c r="B49" i="9" a="1"/>
  <c r="B49" i="9"/>
  <c r="B50" i="9" a="1"/>
  <c r="B50" i="9"/>
  <c r="B51" i="9" a="1"/>
  <c r="B51" i="9" s="1"/>
  <c r="B52" i="9" a="1"/>
  <c r="B52" i="9" s="1"/>
  <c r="B53" i="9" a="1"/>
  <c r="B53" i="9"/>
  <c r="B54" i="9" a="1"/>
  <c r="B54" i="9"/>
  <c r="B55" i="9" a="1"/>
  <c r="B55" i="9" s="1"/>
  <c r="B56" i="9" a="1"/>
  <c r="B56" i="9" s="1"/>
  <c r="B57" i="9" a="1"/>
  <c r="B57" i="9"/>
  <c r="B58" i="9" a="1"/>
  <c r="B58" i="9"/>
  <c r="B59" i="9" a="1"/>
  <c r="B59" i="9" s="1"/>
  <c r="B60" i="9" a="1"/>
  <c r="B60" i="9" s="1"/>
  <c r="B61" i="9" a="1"/>
  <c r="B61" i="9"/>
  <c r="B62" i="9" a="1"/>
  <c r="B62" i="9"/>
  <c r="B63" i="9" a="1"/>
  <c r="B63" i="9" s="1"/>
  <c r="B64" i="9" a="1"/>
  <c r="B64" i="9" s="1"/>
  <c r="B65" i="9" a="1"/>
  <c r="B65" i="9"/>
  <c r="B66" i="9" a="1"/>
  <c r="B66" i="9"/>
  <c r="B67" i="9" a="1"/>
  <c r="B67" i="9" s="1"/>
  <c r="B68" i="9" a="1"/>
  <c r="B68" i="9" s="1"/>
  <c r="B69" i="9" a="1"/>
  <c r="B69" i="9"/>
  <c r="B70" i="9" a="1"/>
  <c r="B70" i="9"/>
  <c r="B71" i="9" a="1"/>
  <c r="B71" i="9" s="1"/>
  <c r="B72" i="9" a="1"/>
  <c r="B72" i="9" s="1"/>
  <c r="B73" i="9" a="1"/>
  <c r="B73" i="9"/>
  <c r="B74" i="9" a="1"/>
  <c r="B74" i="9"/>
  <c r="B75" i="9" a="1"/>
  <c r="B75" i="9" s="1"/>
  <c r="B76" i="9" a="1"/>
  <c r="B76" i="9" s="1"/>
  <c r="B77" i="9" a="1"/>
  <c r="B77" i="9"/>
  <c r="B78" i="9" a="1"/>
  <c r="B78" i="9"/>
  <c r="B79" i="9" a="1"/>
  <c r="B79" i="9" s="1"/>
  <c r="B80" i="9" a="1"/>
  <c r="B80" i="9" s="1"/>
  <c r="B81" i="9" a="1"/>
  <c r="B81" i="9"/>
  <c r="B82" i="9" a="1"/>
  <c r="B82" i="9"/>
  <c r="B83" i="9" a="1"/>
  <c r="B83" i="9" s="1"/>
  <c r="B84" i="9" a="1"/>
  <c r="B84" i="9" s="1"/>
  <c r="B85" i="9" a="1"/>
  <c r="B85" i="9"/>
  <c r="B86" i="9" a="1"/>
  <c r="B86" i="9"/>
  <c r="B87" i="9" a="1"/>
  <c r="B87" i="9" s="1"/>
  <c r="B88" i="9" a="1"/>
  <c r="B88" i="9" s="1"/>
  <c r="B89" i="9" a="1"/>
  <c r="B89" i="9"/>
  <c r="B90" i="9" a="1"/>
  <c r="B90" i="9"/>
  <c r="B91" i="9" a="1"/>
  <c r="B91" i="9" s="1"/>
  <c r="B92" i="9" a="1"/>
  <c r="B92" i="9" s="1"/>
  <c r="B93" i="9" a="1"/>
  <c r="B93" i="9"/>
  <c r="B94" i="9" a="1"/>
  <c r="B94" i="9"/>
  <c r="B95" i="9" a="1"/>
  <c r="B95" i="9" s="1"/>
  <c r="B96" i="9" a="1"/>
  <c r="B96" i="9" s="1"/>
  <c r="B97" i="9" a="1"/>
  <c r="B97" i="9"/>
  <c r="B98" i="9" a="1"/>
  <c r="B98" i="9" s="1"/>
  <c r="B99" i="9" a="1"/>
  <c r="B99" i="9" s="1"/>
  <c r="B100" i="9" a="1"/>
  <c r="B100" i="9" s="1"/>
  <c r="B101" i="9" a="1"/>
  <c r="B101" i="9"/>
  <c r="B102" i="9" a="1"/>
  <c r="B102" i="9" s="1"/>
  <c r="B103" i="9" a="1"/>
  <c r="B103" i="9" s="1"/>
  <c r="B104" i="9" a="1"/>
  <c r="B104" i="9" s="1"/>
  <c r="B105" i="9" a="1"/>
  <c r="B105" i="9" s="1"/>
  <c r="B106" i="9" a="1"/>
  <c r="B106" i="9" s="1"/>
  <c r="B107" i="9" a="1"/>
  <c r="B107" i="9" s="1"/>
  <c r="B108" i="9" a="1"/>
  <c r="B108" i="9" s="1"/>
  <c r="B109" i="9" a="1"/>
  <c r="B109" i="9" s="1"/>
  <c r="B110" i="9" a="1"/>
  <c r="B110" i="9" s="1"/>
  <c r="B111" i="9" a="1"/>
  <c r="B111" i="9" s="1"/>
  <c r="B112" i="9" a="1"/>
  <c r="B112" i="9" s="1"/>
  <c r="B113" i="9" a="1"/>
  <c r="B113" i="9" s="1"/>
  <c r="B114" i="9" a="1"/>
  <c r="B114" i="9" s="1"/>
  <c r="B115" i="9" a="1"/>
  <c r="B115" i="9" s="1"/>
  <c r="B116" i="9" a="1"/>
  <c r="B116" i="9" s="1"/>
  <c r="B117" i="9" a="1"/>
  <c r="B117" i="9" s="1"/>
  <c r="B118" i="9" a="1"/>
  <c r="B118" i="9" s="1"/>
  <c r="B119" i="9" a="1"/>
  <c r="B119" i="9" s="1"/>
  <c r="B120" i="9" a="1"/>
  <c r="B120" i="9" s="1"/>
  <c r="B121" i="9" a="1"/>
  <c r="B121" i="9" s="1"/>
  <c r="B122" i="9" a="1"/>
  <c r="B122" i="9" s="1"/>
  <c r="B123" i="9" a="1"/>
  <c r="B123" i="9" s="1"/>
  <c r="B124" i="9" a="1"/>
  <c r="B124" i="9" s="1"/>
  <c r="B125" i="9" a="1"/>
  <c r="B125" i="9" s="1"/>
  <c r="B126" i="9" a="1"/>
  <c r="B126" i="9" s="1"/>
  <c r="B127" i="9" a="1"/>
  <c r="B127" i="9" s="1"/>
  <c r="B128" i="9" a="1"/>
  <c r="B128" i="9" s="1"/>
  <c r="B129" i="9" a="1"/>
  <c r="B129" i="9" s="1"/>
  <c r="B130" i="9" a="1"/>
  <c r="B130" i="9" s="1"/>
  <c r="B131" i="9" a="1"/>
  <c r="B131" i="9" s="1"/>
  <c r="B132" i="9" a="1"/>
  <c r="B132" i="9" s="1"/>
  <c r="B133" i="9" a="1"/>
  <c r="B133" i="9" s="1"/>
  <c r="B134" i="9" a="1"/>
  <c r="B134" i="9" s="1"/>
  <c r="B135" i="9" a="1"/>
  <c r="B135" i="9" s="1"/>
  <c r="B136" i="9" a="1"/>
  <c r="B136" i="9" s="1"/>
  <c r="B137" i="9" a="1"/>
  <c r="B137" i="9" s="1"/>
  <c r="B138" i="9" a="1"/>
  <c r="B138" i="9" s="1"/>
  <c r="B139" i="9" a="1"/>
  <c r="B139" i="9" s="1"/>
  <c r="B140" i="9" a="1"/>
  <c r="B140" i="9" s="1"/>
  <c r="B141" i="9" a="1"/>
  <c r="B141" i="9" s="1"/>
  <c r="B142" i="9" a="1"/>
  <c r="B142" i="9" s="1"/>
  <c r="B143" i="9" a="1"/>
  <c r="B143" i="9" s="1"/>
  <c r="B144" i="9" a="1"/>
  <c r="B144" i="9" s="1"/>
  <c r="B145" i="9" a="1"/>
  <c r="B145" i="9" s="1"/>
  <c r="B146" i="9" a="1"/>
  <c r="B146" i="9" s="1"/>
  <c r="B147" i="9" a="1"/>
  <c r="B147" i="9" s="1"/>
  <c r="B148" i="9" a="1"/>
  <c r="B148" i="9" s="1"/>
  <c r="B149" i="9" a="1"/>
  <c r="B149" i="9" s="1"/>
  <c r="B150" i="9" a="1"/>
  <c r="B150" i="9" s="1"/>
  <c r="B151" i="9" a="1"/>
  <c r="B151" i="9" s="1"/>
  <c r="B152" i="9" a="1"/>
  <c r="B152" i="9" s="1"/>
  <c r="B153" i="9" a="1"/>
  <c r="B153" i="9" s="1"/>
  <c r="B154" i="9" a="1"/>
  <c r="B154" i="9" s="1"/>
  <c r="B155" i="9" a="1"/>
  <c r="B155" i="9" s="1"/>
  <c r="B156" i="9" a="1"/>
  <c r="B156" i="9" s="1"/>
  <c r="B157" i="9" a="1"/>
  <c r="B157" i="9" s="1"/>
  <c r="B158" i="9" a="1"/>
  <c r="B158" i="9" s="1"/>
  <c r="B159" i="9" a="1"/>
  <c r="B159" i="9" s="1"/>
  <c r="B160" i="9" a="1"/>
  <c r="B160" i="9" s="1"/>
  <c r="B161" i="9" a="1"/>
  <c r="B161" i="9" s="1"/>
  <c r="B162" i="9" a="1"/>
  <c r="B162" i="9" s="1"/>
  <c r="B163" i="9" a="1"/>
  <c r="B163" i="9" s="1"/>
  <c r="B164" i="9" a="1"/>
  <c r="B164" i="9" s="1"/>
  <c r="B165" i="9" a="1"/>
  <c r="B165" i="9" s="1"/>
  <c r="B166" i="9" a="1"/>
  <c r="B166" i="9" s="1"/>
  <c r="B167" i="9" a="1"/>
  <c r="B167" i="9" s="1"/>
  <c r="B168" i="9" a="1"/>
  <c r="B168" i="9" s="1"/>
  <c r="B169" i="9" a="1"/>
  <c r="B169" i="9" s="1"/>
  <c r="B170" i="9" a="1"/>
  <c r="B170" i="9" s="1"/>
  <c r="B171" i="9" a="1"/>
  <c r="B171" i="9" s="1"/>
  <c r="B172" i="9" a="1"/>
  <c r="B172" i="9" s="1"/>
  <c r="B173" i="9" a="1"/>
  <c r="B173" i="9" s="1"/>
  <c r="B174" i="9" a="1"/>
  <c r="B174" i="9" s="1"/>
  <c r="B175" i="9" a="1"/>
  <c r="B175" i="9" s="1"/>
  <c r="B176" i="9" a="1"/>
  <c r="B176" i="9" s="1"/>
  <c r="B177" i="9" a="1"/>
  <c r="B177" i="9" s="1"/>
  <c r="B178" i="9" a="1"/>
  <c r="B178" i="9" s="1"/>
  <c r="B179" i="9" a="1"/>
  <c r="B179" i="9" s="1"/>
  <c r="B180" i="9" a="1"/>
  <c r="B180" i="9" s="1"/>
  <c r="B181" i="9" a="1"/>
  <c r="B181" i="9" s="1"/>
  <c r="B182" i="9" a="1"/>
  <c r="B182" i="9" s="1"/>
  <c r="B183" i="9" a="1"/>
  <c r="B183" i="9" s="1"/>
  <c r="B184" i="9" a="1"/>
  <c r="B184" i="9" s="1"/>
  <c r="B185" i="9" a="1"/>
  <c r="B185" i="9" s="1"/>
  <c r="B186" i="9" a="1"/>
  <c r="B186" i="9" s="1"/>
  <c r="B187" i="9" a="1"/>
  <c r="B187" i="9" s="1"/>
  <c r="B188" i="9" a="1"/>
  <c r="B188" i="9" s="1"/>
  <c r="B189" i="9" a="1"/>
  <c r="B189" i="9" s="1"/>
  <c r="B190" i="9" a="1"/>
  <c r="B190" i="9" s="1"/>
  <c r="B191" i="9" a="1"/>
  <c r="B191" i="9" s="1"/>
  <c r="B192" i="9" a="1"/>
  <c r="B192" i="9" s="1"/>
  <c r="B193" i="9" a="1"/>
  <c r="B193" i="9" s="1"/>
  <c r="B194" i="9" a="1"/>
  <c r="B194" i="9" s="1"/>
  <c r="B195" i="9" a="1"/>
  <c r="B195" i="9" s="1"/>
  <c r="B196" i="9" a="1"/>
  <c r="B196" i="9" s="1"/>
  <c r="B197" i="9" a="1"/>
  <c r="B197" i="9" s="1"/>
  <c r="B198" i="9" a="1"/>
  <c r="B198" i="9" s="1"/>
  <c r="B199" i="9" a="1"/>
  <c r="B199" i="9" s="1"/>
  <c r="B200" i="9" a="1"/>
  <c r="B200" i="9" s="1"/>
  <c r="B201" i="9" a="1"/>
  <c r="B201" i="9" s="1"/>
  <c r="B202" i="9" a="1"/>
  <c r="B202" i="9" s="1"/>
  <c r="B203" i="9" a="1"/>
  <c r="B203" i="9" s="1"/>
  <c r="B204" i="9" a="1"/>
  <c r="B204" i="9" s="1"/>
  <c r="B205" i="9" a="1"/>
  <c r="B205" i="9" s="1"/>
  <c r="B206" i="9" a="1"/>
  <c r="B206" i="9" s="1"/>
  <c r="B207" i="9" a="1"/>
  <c r="B207" i="9" s="1"/>
  <c r="B208" i="9" a="1"/>
  <c r="B208" i="9" s="1"/>
  <c r="B209" i="9" a="1"/>
  <c r="B209" i="9" s="1"/>
  <c r="B210" i="9" a="1"/>
  <c r="B210" i="9" s="1"/>
  <c r="B211" i="9" a="1"/>
  <c r="B211" i="9" s="1"/>
  <c r="B212" i="9" a="1"/>
  <c r="B212" i="9" s="1"/>
  <c r="B213" i="9" a="1"/>
  <c r="B213" i="9" s="1"/>
  <c r="B214" i="9" a="1"/>
  <c r="B214" i="9" s="1"/>
  <c r="B215" i="9" a="1"/>
  <c r="B215" i="9" s="1"/>
  <c r="B216" i="9" a="1"/>
  <c r="B216" i="9" s="1"/>
  <c r="B217" i="9" a="1"/>
  <c r="B217" i="9" s="1"/>
  <c r="B218" i="9" a="1"/>
  <c r="B218" i="9" s="1"/>
  <c r="B219" i="9" a="1"/>
  <c r="B219" i="9" s="1"/>
  <c r="B220" i="9" a="1"/>
  <c r="B220" i="9" s="1"/>
  <c r="B221" i="9" a="1"/>
  <c r="B221" i="9" s="1"/>
  <c r="B222" i="9" a="1"/>
  <c r="B222" i="9" s="1"/>
  <c r="B223" i="9" a="1"/>
  <c r="B223" i="9" s="1"/>
  <c r="B224" i="9" a="1"/>
  <c r="B224" i="9" s="1"/>
  <c r="B225" i="9" a="1"/>
  <c r="B225" i="9" s="1"/>
  <c r="B2" i="9" a="1"/>
  <c r="B2" i="9" s="1"/>
  <c r="FS83" i="8"/>
  <c r="FQ83" i="8"/>
  <c r="FS82" i="8"/>
  <c r="FQ82" i="8"/>
  <c r="FS81" i="8"/>
  <c r="FQ81" i="8"/>
  <c r="FS80" i="8"/>
  <c r="FQ80" i="8"/>
  <c r="FS79" i="8"/>
  <c r="FQ79" i="8"/>
  <c r="JZ78" i="8"/>
  <c r="FS78" i="8"/>
  <c r="FQ78" i="8"/>
  <c r="FS76" i="8"/>
  <c r="FQ76" i="8"/>
  <c r="DN76" i="8"/>
  <c r="E76" i="8"/>
  <c r="MN75" i="8"/>
  <c r="IV75" i="8"/>
  <c r="HP75" i="8"/>
  <c r="FS75" i="8"/>
  <c r="FQ75" i="8"/>
  <c r="FI75" i="8"/>
  <c r="EC75" i="8"/>
  <c r="AK75" i="8"/>
  <c r="E75" i="8"/>
  <c r="KB74" i="8"/>
  <c r="IV74" i="8"/>
  <c r="FS74" i="8"/>
  <c r="FQ74" i="8"/>
  <c r="FS73" i="8"/>
  <c r="FQ73" i="8"/>
  <c r="EM73" i="8"/>
  <c r="OT72" i="8"/>
  <c r="NA72" i="8"/>
  <c r="MC72" i="8"/>
  <c r="LC72" i="8"/>
  <c r="KG72" i="8"/>
  <c r="JQ72" i="8"/>
  <c r="IQ72" i="8"/>
  <c r="HU72" i="8"/>
  <c r="HE72" i="8"/>
  <c r="GE72" i="8"/>
  <c r="FS72" i="8"/>
  <c r="FQ72" i="8"/>
  <c r="FL72" i="8"/>
  <c r="EV72" i="8"/>
  <c r="DU72" i="8"/>
  <c r="DE72" i="8"/>
  <c r="CZ72" i="8"/>
  <c r="CJ72" i="8"/>
  <c r="BI72" i="8"/>
  <c r="AN72" i="8"/>
  <c r="X72" i="8"/>
  <c r="NL71" i="8"/>
  <c r="MQ71" i="8"/>
  <c r="MA71" i="8"/>
  <c r="KZ71" i="8"/>
  <c r="KE71" i="8"/>
  <c r="JO71" i="8"/>
  <c r="IN71" i="8"/>
  <c r="HS71" i="8"/>
  <c r="HC71" i="8"/>
  <c r="GB71" i="8"/>
  <c r="FS71" i="8"/>
  <c r="FQ71" i="8"/>
  <c r="FI71" i="8"/>
  <c r="DR71" i="8"/>
  <c r="CW71" i="8"/>
  <c r="BF71" i="8"/>
  <c r="NI70" i="8"/>
  <c r="LS70" i="8"/>
  <c r="KW70" i="8"/>
  <c r="FY70" i="8"/>
  <c r="FS70" i="8"/>
  <c r="FQ70" i="8"/>
  <c r="DQ70" i="8"/>
  <c r="DA70" i="8"/>
  <c r="OT69" i="8"/>
  <c r="LE69" i="8"/>
  <c r="FS69" i="8"/>
  <c r="FQ69" i="8"/>
  <c r="EH69" i="8"/>
  <c r="LM68" i="8"/>
  <c r="JA68" i="8"/>
  <c r="FS68" i="8"/>
  <c r="FQ68" i="8"/>
  <c r="EX68" i="8"/>
  <c r="EP68" i="8"/>
  <c r="CL68" i="8"/>
  <c r="CD68" i="8"/>
  <c r="Z68" i="8"/>
  <c r="R68" i="8"/>
  <c r="MC67" i="8"/>
  <c r="LU67" i="8"/>
  <c r="JQ67" i="8"/>
  <c r="JI67" i="8"/>
  <c r="HE67" i="8"/>
  <c r="GW67" i="8"/>
  <c r="FS67" i="8"/>
  <c r="FQ67" i="8"/>
  <c r="FO67" i="8"/>
  <c r="EH67" i="8"/>
  <c r="EB67" i="8"/>
  <c r="DB67" i="8"/>
  <c r="CV67" i="8"/>
  <c r="BV67" i="8"/>
  <c r="AP67" i="8"/>
  <c r="J67" i="8"/>
  <c r="D67" i="8"/>
  <c r="MS66" i="8"/>
  <c r="LM66" i="8"/>
  <c r="KG66" i="8"/>
  <c r="JK66" i="8"/>
  <c r="JA66" i="8"/>
  <c r="HU66" i="8"/>
  <c r="GO66" i="8"/>
  <c r="FS66" i="8"/>
  <c r="FQ66" i="8"/>
  <c r="FH66" i="8"/>
  <c r="EB66" i="8"/>
  <c r="CV66" i="8"/>
  <c r="BP66" i="8"/>
  <c r="AJ66" i="8"/>
  <c r="D66" i="8"/>
  <c r="MM65" i="8"/>
  <c r="LG65" i="8"/>
  <c r="KA65" i="8"/>
  <c r="IU65" i="8"/>
  <c r="HO65" i="8"/>
  <c r="GI65" i="8"/>
  <c r="OT62" i="8"/>
  <c r="OT83" i="8" s="1"/>
  <c r="OS62" i="8"/>
  <c r="OS83" i="8" s="1"/>
  <c r="NO62" i="8"/>
  <c r="NO83" i="8" s="1"/>
  <c r="NN62" i="8"/>
  <c r="NN83" i="8" s="1"/>
  <c r="NM62" i="8"/>
  <c r="NM83" i="8" s="1"/>
  <c r="NL62" i="8"/>
  <c r="NL83" i="8" s="1"/>
  <c r="NK62" i="8"/>
  <c r="NK83" i="8" s="1"/>
  <c r="NJ62" i="8"/>
  <c r="NJ83" i="8" s="1"/>
  <c r="NI62" i="8"/>
  <c r="NI83" i="8" s="1"/>
  <c r="NH62" i="8"/>
  <c r="NH83" i="8" s="1"/>
  <c r="NG62" i="8"/>
  <c r="NG83" i="8" s="1"/>
  <c r="NF62" i="8"/>
  <c r="NF83" i="8" s="1"/>
  <c r="NE62" i="8"/>
  <c r="NE83" i="8" s="1"/>
  <c r="ND62" i="8"/>
  <c r="ND83" i="8" s="1"/>
  <c r="NC62" i="8"/>
  <c r="NC83" i="8" s="1"/>
  <c r="NB62" i="8"/>
  <c r="NB83" i="8" s="1"/>
  <c r="NA62" i="8"/>
  <c r="NA83" i="8" s="1"/>
  <c r="MZ62" i="8"/>
  <c r="MZ83" i="8" s="1"/>
  <c r="MY62" i="8"/>
  <c r="MY83" i="8" s="1"/>
  <c r="MX62" i="8"/>
  <c r="MX83" i="8" s="1"/>
  <c r="MW62" i="8"/>
  <c r="MW83" i="8" s="1"/>
  <c r="MV62" i="8"/>
  <c r="MV83" i="8" s="1"/>
  <c r="MU62" i="8"/>
  <c r="MU83" i="8" s="1"/>
  <c r="MT62" i="8"/>
  <c r="MT83" i="8" s="1"/>
  <c r="MS62" i="8"/>
  <c r="MS83" i="8" s="1"/>
  <c r="MR62" i="8"/>
  <c r="MR83" i="8" s="1"/>
  <c r="MQ62" i="8"/>
  <c r="MQ83" i="8" s="1"/>
  <c r="MP62" i="8"/>
  <c r="MP83" i="8" s="1"/>
  <c r="MO62" i="8"/>
  <c r="MO83" i="8" s="1"/>
  <c r="MN62" i="8"/>
  <c r="MN83" i="8" s="1"/>
  <c r="MM62" i="8"/>
  <c r="MM83" i="8" s="1"/>
  <c r="ML62" i="8"/>
  <c r="ML83" i="8" s="1"/>
  <c r="MK62" i="8"/>
  <c r="MK83" i="8" s="1"/>
  <c r="MJ62" i="8"/>
  <c r="MJ83" i="8" s="1"/>
  <c r="MI62" i="8"/>
  <c r="MI83" i="8" s="1"/>
  <c r="MH62" i="8"/>
  <c r="MH83" i="8" s="1"/>
  <c r="MG62" i="8"/>
  <c r="MG83" i="8" s="1"/>
  <c r="MF62" i="8"/>
  <c r="MF83" i="8" s="1"/>
  <c r="ME62" i="8"/>
  <c r="ME83" i="8" s="1"/>
  <c r="MD62" i="8"/>
  <c r="MD83" i="8" s="1"/>
  <c r="MC62" i="8"/>
  <c r="MC83" i="8" s="1"/>
  <c r="MB62" i="8"/>
  <c r="MB83" i="8" s="1"/>
  <c r="MA62" i="8"/>
  <c r="MA83" i="8" s="1"/>
  <c r="LZ62" i="8"/>
  <c r="LZ83" i="8" s="1"/>
  <c r="LY62" i="8"/>
  <c r="LY83" i="8" s="1"/>
  <c r="LX62" i="8"/>
  <c r="LX83" i="8" s="1"/>
  <c r="LW62" i="8"/>
  <c r="LW83" i="8" s="1"/>
  <c r="LV62" i="8"/>
  <c r="LV83" i="8" s="1"/>
  <c r="LU62" i="8"/>
  <c r="LU83" i="8" s="1"/>
  <c r="LT62" i="8"/>
  <c r="LT83" i="8" s="1"/>
  <c r="LS62" i="8"/>
  <c r="LS83" i="8" s="1"/>
  <c r="LR62" i="8"/>
  <c r="LR83" i="8" s="1"/>
  <c r="LQ62" i="8"/>
  <c r="LQ83" i="8" s="1"/>
  <c r="LP62" i="8"/>
  <c r="LP83" i="8" s="1"/>
  <c r="LO62" i="8"/>
  <c r="LO83" i="8" s="1"/>
  <c r="LN62" i="8"/>
  <c r="LN83" i="8" s="1"/>
  <c r="LM62" i="8"/>
  <c r="LM83" i="8" s="1"/>
  <c r="LL62" i="8"/>
  <c r="LL83" i="8" s="1"/>
  <c r="LK62" i="8"/>
  <c r="LK83" i="8" s="1"/>
  <c r="LJ62" i="8"/>
  <c r="LJ83" i="8" s="1"/>
  <c r="LI62" i="8"/>
  <c r="LI83" i="8" s="1"/>
  <c r="LH62" i="8"/>
  <c r="LH83" i="8" s="1"/>
  <c r="LG62" i="8"/>
  <c r="LG83" i="8" s="1"/>
  <c r="LF62" i="8"/>
  <c r="LF83" i="8" s="1"/>
  <c r="LE62" i="8"/>
  <c r="LE83" i="8" s="1"/>
  <c r="LD62" i="8"/>
  <c r="LD83" i="8" s="1"/>
  <c r="LC62" i="8"/>
  <c r="LC83" i="8" s="1"/>
  <c r="LB62" i="8"/>
  <c r="LB83" i="8" s="1"/>
  <c r="LA62" i="8"/>
  <c r="LA83" i="8" s="1"/>
  <c r="KZ62" i="8"/>
  <c r="KZ83" i="8" s="1"/>
  <c r="KY62" i="8"/>
  <c r="KY83" i="8" s="1"/>
  <c r="KX62" i="8"/>
  <c r="KX83" i="8" s="1"/>
  <c r="KW62" i="8"/>
  <c r="KW83" i="8" s="1"/>
  <c r="KV62" i="8"/>
  <c r="KV83" i="8" s="1"/>
  <c r="KU62" i="8"/>
  <c r="KU83" i="8" s="1"/>
  <c r="KT62" i="8"/>
  <c r="KT83" i="8" s="1"/>
  <c r="KS62" i="8"/>
  <c r="KS83" i="8" s="1"/>
  <c r="KR62" i="8"/>
  <c r="KR83" i="8" s="1"/>
  <c r="KQ62" i="8"/>
  <c r="KQ83" i="8" s="1"/>
  <c r="KP62" i="8"/>
  <c r="KP83" i="8" s="1"/>
  <c r="KO62" i="8"/>
  <c r="KO83" i="8" s="1"/>
  <c r="KN62" i="8"/>
  <c r="KN83" i="8" s="1"/>
  <c r="KM62" i="8"/>
  <c r="KM83" i="8" s="1"/>
  <c r="KL62" i="8"/>
  <c r="KL83" i="8" s="1"/>
  <c r="KK62" i="8"/>
  <c r="KK83" i="8" s="1"/>
  <c r="KJ62" i="8"/>
  <c r="KJ83" i="8" s="1"/>
  <c r="KI62" i="8"/>
  <c r="KI83" i="8" s="1"/>
  <c r="KH62" i="8"/>
  <c r="KH83" i="8" s="1"/>
  <c r="KG62" i="8"/>
  <c r="KG83" i="8" s="1"/>
  <c r="KF62" i="8"/>
  <c r="KF83" i="8" s="1"/>
  <c r="KE62" i="8"/>
  <c r="KE83" i="8" s="1"/>
  <c r="KD62" i="8"/>
  <c r="KD83" i="8" s="1"/>
  <c r="KC62" i="8"/>
  <c r="KC83" i="8" s="1"/>
  <c r="KB62" i="8"/>
  <c r="KB83" i="8" s="1"/>
  <c r="KA62" i="8"/>
  <c r="KA83" i="8" s="1"/>
  <c r="JZ62" i="8"/>
  <c r="JZ83" i="8" s="1"/>
  <c r="JY62" i="8"/>
  <c r="JY83" i="8" s="1"/>
  <c r="JX62" i="8"/>
  <c r="JX83" i="8" s="1"/>
  <c r="JW62" i="8"/>
  <c r="JW83" i="8" s="1"/>
  <c r="JV62" i="8"/>
  <c r="JV83" i="8" s="1"/>
  <c r="JU62" i="8"/>
  <c r="JU83" i="8" s="1"/>
  <c r="JT62" i="8"/>
  <c r="JT83" i="8" s="1"/>
  <c r="JS62" i="8"/>
  <c r="JS83" i="8" s="1"/>
  <c r="JR62" i="8"/>
  <c r="JR83" i="8" s="1"/>
  <c r="JQ62" i="8"/>
  <c r="JQ83" i="8" s="1"/>
  <c r="JP62" i="8"/>
  <c r="JP83" i="8" s="1"/>
  <c r="JO62" i="8"/>
  <c r="JO83" i="8" s="1"/>
  <c r="JN62" i="8"/>
  <c r="JN83" i="8" s="1"/>
  <c r="JM62" i="8"/>
  <c r="JM83" i="8" s="1"/>
  <c r="JL62" i="8"/>
  <c r="JL83" i="8" s="1"/>
  <c r="JK62" i="8"/>
  <c r="JK83" i="8" s="1"/>
  <c r="JJ62" i="8"/>
  <c r="JJ83" i="8" s="1"/>
  <c r="JI62" i="8"/>
  <c r="JI83" i="8" s="1"/>
  <c r="JH62" i="8"/>
  <c r="JH83" i="8" s="1"/>
  <c r="JG62" i="8"/>
  <c r="JG83" i="8" s="1"/>
  <c r="JF62" i="8"/>
  <c r="JF83" i="8" s="1"/>
  <c r="JE62" i="8"/>
  <c r="JE83" i="8" s="1"/>
  <c r="JD62" i="8"/>
  <c r="JD83" i="8" s="1"/>
  <c r="JC62" i="8"/>
  <c r="JC83" i="8" s="1"/>
  <c r="JB62" i="8"/>
  <c r="JB83" i="8" s="1"/>
  <c r="JA62" i="8"/>
  <c r="JA83" i="8" s="1"/>
  <c r="IZ62" i="8"/>
  <c r="IZ83" i="8" s="1"/>
  <c r="IY62" i="8"/>
  <c r="IY83" i="8" s="1"/>
  <c r="IX62" i="8"/>
  <c r="IX83" i="8" s="1"/>
  <c r="IW62" i="8"/>
  <c r="IW83" i="8" s="1"/>
  <c r="IV62" i="8"/>
  <c r="IV83" i="8" s="1"/>
  <c r="IU62" i="8"/>
  <c r="IU83" i="8" s="1"/>
  <c r="IT62" i="8"/>
  <c r="IT83" i="8" s="1"/>
  <c r="IS62" i="8"/>
  <c r="IS83" i="8" s="1"/>
  <c r="IR62" i="8"/>
  <c r="IR83" i="8" s="1"/>
  <c r="IQ62" i="8"/>
  <c r="IQ83" i="8" s="1"/>
  <c r="IP62" i="8"/>
  <c r="IP83" i="8" s="1"/>
  <c r="IO62" i="8"/>
  <c r="IO83" i="8" s="1"/>
  <c r="IN62" i="8"/>
  <c r="IN83" i="8" s="1"/>
  <c r="IM62" i="8"/>
  <c r="IM83" i="8" s="1"/>
  <c r="IL62" i="8"/>
  <c r="IL83" i="8" s="1"/>
  <c r="IK62" i="8"/>
  <c r="IK83" i="8" s="1"/>
  <c r="IJ62" i="8"/>
  <c r="IJ83" i="8" s="1"/>
  <c r="II62" i="8"/>
  <c r="II83" i="8" s="1"/>
  <c r="IH62" i="8"/>
  <c r="IH83" i="8" s="1"/>
  <c r="IG62" i="8"/>
  <c r="IG83" i="8" s="1"/>
  <c r="IF62" i="8"/>
  <c r="IF83" i="8" s="1"/>
  <c r="IE62" i="8"/>
  <c r="IE83" i="8" s="1"/>
  <c r="ID62" i="8"/>
  <c r="ID83" i="8" s="1"/>
  <c r="IC62" i="8"/>
  <c r="IC83" i="8" s="1"/>
  <c r="IB62" i="8"/>
  <c r="IB83" i="8" s="1"/>
  <c r="IA62" i="8"/>
  <c r="IA83" i="8" s="1"/>
  <c r="HZ62" i="8"/>
  <c r="HZ83" i="8" s="1"/>
  <c r="HY62" i="8"/>
  <c r="HY83" i="8" s="1"/>
  <c r="HX62" i="8"/>
  <c r="HX83" i="8" s="1"/>
  <c r="HW62" i="8"/>
  <c r="HW83" i="8" s="1"/>
  <c r="HV62" i="8"/>
  <c r="HV83" i="8" s="1"/>
  <c r="HU62" i="8"/>
  <c r="HU83" i="8" s="1"/>
  <c r="HT62" i="8"/>
  <c r="HT83" i="8" s="1"/>
  <c r="HS62" i="8"/>
  <c r="HS83" i="8" s="1"/>
  <c r="HR62" i="8"/>
  <c r="HR83" i="8" s="1"/>
  <c r="HQ62" i="8"/>
  <c r="HQ83" i="8" s="1"/>
  <c r="HP62" i="8"/>
  <c r="HP83" i="8" s="1"/>
  <c r="HO62" i="8"/>
  <c r="HO83" i="8" s="1"/>
  <c r="HN62" i="8"/>
  <c r="HN83" i="8" s="1"/>
  <c r="HM62" i="8"/>
  <c r="HM83" i="8" s="1"/>
  <c r="HL62" i="8"/>
  <c r="HL83" i="8" s="1"/>
  <c r="HK62" i="8"/>
  <c r="HK83" i="8" s="1"/>
  <c r="HJ62" i="8"/>
  <c r="HJ83" i="8" s="1"/>
  <c r="HI62" i="8"/>
  <c r="HI83" i="8" s="1"/>
  <c r="HH62" i="8"/>
  <c r="HH83" i="8" s="1"/>
  <c r="HG62" i="8"/>
  <c r="HG83" i="8" s="1"/>
  <c r="HF62" i="8"/>
  <c r="HF83" i="8" s="1"/>
  <c r="HE62" i="8"/>
  <c r="HE83" i="8" s="1"/>
  <c r="HD62" i="8"/>
  <c r="HD83" i="8" s="1"/>
  <c r="HC62" i="8"/>
  <c r="HC83" i="8" s="1"/>
  <c r="HB62" i="8"/>
  <c r="HB83" i="8" s="1"/>
  <c r="HA62" i="8"/>
  <c r="HA83" i="8" s="1"/>
  <c r="GZ62" i="8"/>
  <c r="GZ83" i="8" s="1"/>
  <c r="GY62" i="8"/>
  <c r="GY83" i="8" s="1"/>
  <c r="GX62" i="8"/>
  <c r="GX83" i="8" s="1"/>
  <c r="GW62" i="8"/>
  <c r="GW83" i="8" s="1"/>
  <c r="GV62" i="8"/>
  <c r="GV83" i="8" s="1"/>
  <c r="GU62" i="8"/>
  <c r="GU83" i="8" s="1"/>
  <c r="GT62" i="8"/>
  <c r="GT83" i="8" s="1"/>
  <c r="GS62" i="8"/>
  <c r="GS83" i="8" s="1"/>
  <c r="GR62" i="8"/>
  <c r="GR83" i="8" s="1"/>
  <c r="GQ62" i="8"/>
  <c r="GQ83" i="8" s="1"/>
  <c r="GP62" i="8"/>
  <c r="GP83" i="8" s="1"/>
  <c r="GO62" i="8"/>
  <c r="GO83" i="8" s="1"/>
  <c r="GN62" i="8"/>
  <c r="GN83" i="8" s="1"/>
  <c r="GM62" i="8"/>
  <c r="GM83" i="8" s="1"/>
  <c r="GL62" i="8"/>
  <c r="GL83" i="8" s="1"/>
  <c r="GK62" i="8"/>
  <c r="GK83" i="8" s="1"/>
  <c r="GJ62" i="8"/>
  <c r="GJ83" i="8" s="1"/>
  <c r="GI62" i="8"/>
  <c r="GI83" i="8" s="1"/>
  <c r="GH62" i="8"/>
  <c r="GH83" i="8" s="1"/>
  <c r="GG62" i="8"/>
  <c r="GG83" i="8" s="1"/>
  <c r="GF62" i="8"/>
  <c r="GF83" i="8" s="1"/>
  <c r="GE62" i="8"/>
  <c r="GE83" i="8" s="1"/>
  <c r="GD62" i="8"/>
  <c r="GD83" i="8" s="1"/>
  <c r="GC62" i="8"/>
  <c r="GC83" i="8" s="1"/>
  <c r="GB62" i="8"/>
  <c r="GB83" i="8" s="1"/>
  <c r="GA62" i="8"/>
  <c r="GA83" i="8" s="1"/>
  <c r="FZ62" i="8"/>
  <c r="FZ83" i="8" s="1"/>
  <c r="FY62" i="8"/>
  <c r="FY83" i="8" s="1"/>
  <c r="FX62" i="8"/>
  <c r="FX83" i="8" s="1"/>
  <c r="FW62" i="8"/>
  <c r="FW83" i="8" s="1"/>
  <c r="FV62" i="8"/>
  <c r="FV83" i="8" s="1"/>
  <c r="FU62" i="8"/>
  <c r="FU83" i="8" s="1"/>
  <c r="FT62" i="8"/>
  <c r="FT83" i="8" s="1"/>
  <c r="FO62" i="8"/>
  <c r="FO83" i="8" s="1"/>
  <c r="FM62" i="8"/>
  <c r="FM83" i="8" s="1"/>
  <c r="FL62" i="8"/>
  <c r="FL83" i="8" s="1"/>
  <c r="FK62" i="8"/>
  <c r="FK83" i="8" s="1"/>
  <c r="FJ62" i="8"/>
  <c r="FJ83" i="8" s="1"/>
  <c r="FI62" i="8"/>
  <c r="FI83" i="8" s="1"/>
  <c r="FH62" i="8"/>
  <c r="FH83" i="8" s="1"/>
  <c r="FG62" i="8"/>
  <c r="FG83" i="8" s="1"/>
  <c r="FF62" i="8"/>
  <c r="FF83" i="8" s="1"/>
  <c r="FE62" i="8"/>
  <c r="FE83" i="8" s="1"/>
  <c r="FD62" i="8"/>
  <c r="FD83" i="8" s="1"/>
  <c r="FC62" i="8"/>
  <c r="FC83" i="8" s="1"/>
  <c r="FB62" i="8"/>
  <c r="FB83" i="8" s="1"/>
  <c r="FA62" i="8"/>
  <c r="FA83" i="8" s="1"/>
  <c r="EZ62" i="8"/>
  <c r="EZ83" i="8" s="1"/>
  <c r="EY62" i="8"/>
  <c r="EY83" i="8" s="1"/>
  <c r="EX62" i="8"/>
  <c r="EX83" i="8" s="1"/>
  <c r="EW62" i="8"/>
  <c r="EW83" i="8" s="1"/>
  <c r="EV62" i="8"/>
  <c r="EV83" i="8" s="1"/>
  <c r="EU62" i="8"/>
  <c r="EU83" i="8" s="1"/>
  <c r="ET62" i="8"/>
  <c r="ET83" i="8" s="1"/>
  <c r="ES62" i="8"/>
  <c r="ES83" i="8" s="1"/>
  <c r="ER62" i="8"/>
  <c r="ER83" i="8" s="1"/>
  <c r="EQ62" i="8"/>
  <c r="EQ83" i="8" s="1"/>
  <c r="EP62" i="8"/>
  <c r="EP83" i="8" s="1"/>
  <c r="EO62" i="8"/>
  <c r="EO83" i="8" s="1"/>
  <c r="EN62" i="8"/>
  <c r="EN83" i="8" s="1"/>
  <c r="EM62" i="8"/>
  <c r="EM83" i="8" s="1"/>
  <c r="EL62" i="8"/>
  <c r="EL83" i="8" s="1"/>
  <c r="EK62" i="8"/>
  <c r="EK83" i="8" s="1"/>
  <c r="EJ62" i="8"/>
  <c r="EJ83" i="8" s="1"/>
  <c r="EI62" i="8"/>
  <c r="EI83" i="8" s="1"/>
  <c r="EH62" i="8"/>
  <c r="EH83" i="8" s="1"/>
  <c r="EG62" i="8"/>
  <c r="EG83" i="8" s="1"/>
  <c r="EF62" i="8"/>
  <c r="EF83" i="8" s="1"/>
  <c r="EE62" i="8"/>
  <c r="EE83" i="8" s="1"/>
  <c r="ED62" i="8"/>
  <c r="ED83" i="8" s="1"/>
  <c r="EC62" i="8"/>
  <c r="EC83" i="8" s="1"/>
  <c r="EB62" i="8"/>
  <c r="EB83" i="8" s="1"/>
  <c r="EA62" i="8"/>
  <c r="EA83" i="8" s="1"/>
  <c r="DZ62" i="8"/>
  <c r="DZ83" i="8" s="1"/>
  <c r="DY62" i="8"/>
  <c r="DY83" i="8" s="1"/>
  <c r="DX62" i="8"/>
  <c r="DX83" i="8" s="1"/>
  <c r="DW62" i="8"/>
  <c r="DW83" i="8" s="1"/>
  <c r="DV62" i="8"/>
  <c r="DV83" i="8" s="1"/>
  <c r="DU62" i="8"/>
  <c r="DU83" i="8" s="1"/>
  <c r="DT62" i="8"/>
  <c r="DT83" i="8" s="1"/>
  <c r="DS62" i="8"/>
  <c r="DS83" i="8" s="1"/>
  <c r="DR62" i="8"/>
  <c r="DR83" i="8" s="1"/>
  <c r="DQ62" i="8"/>
  <c r="DQ83" i="8" s="1"/>
  <c r="DP62" i="8"/>
  <c r="DP83" i="8" s="1"/>
  <c r="DO62" i="8"/>
  <c r="DO83" i="8" s="1"/>
  <c r="DN62" i="8"/>
  <c r="DN83" i="8" s="1"/>
  <c r="DM62" i="8"/>
  <c r="DM83" i="8" s="1"/>
  <c r="DL62" i="8"/>
  <c r="DL83" i="8" s="1"/>
  <c r="DK62" i="8"/>
  <c r="DK83" i="8" s="1"/>
  <c r="DJ62" i="8"/>
  <c r="DJ83" i="8" s="1"/>
  <c r="DI62" i="8"/>
  <c r="DI83" i="8" s="1"/>
  <c r="DH62" i="8"/>
  <c r="DH83" i="8" s="1"/>
  <c r="DG62" i="8"/>
  <c r="DG83" i="8" s="1"/>
  <c r="DF62" i="8"/>
  <c r="DF83" i="8" s="1"/>
  <c r="DE62" i="8"/>
  <c r="DE83" i="8" s="1"/>
  <c r="DD62" i="8"/>
  <c r="DD83" i="8" s="1"/>
  <c r="DC62" i="8"/>
  <c r="DC83" i="8" s="1"/>
  <c r="DB62" i="8"/>
  <c r="DB83" i="8" s="1"/>
  <c r="DA62" i="8"/>
  <c r="DA83" i="8" s="1"/>
  <c r="CZ62" i="8"/>
  <c r="CZ83" i="8" s="1"/>
  <c r="CY62" i="8"/>
  <c r="CY83" i="8" s="1"/>
  <c r="CX62" i="8"/>
  <c r="CX83" i="8" s="1"/>
  <c r="CW62" i="8"/>
  <c r="CW83" i="8" s="1"/>
  <c r="CV62" i="8"/>
  <c r="CV83" i="8" s="1"/>
  <c r="CU62" i="8"/>
  <c r="CU83" i="8" s="1"/>
  <c r="CT62" i="8"/>
  <c r="CT83" i="8" s="1"/>
  <c r="CS62" i="8"/>
  <c r="CS83" i="8" s="1"/>
  <c r="CR62" i="8"/>
  <c r="CR83" i="8" s="1"/>
  <c r="CQ62" i="8"/>
  <c r="CQ83" i="8" s="1"/>
  <c r="CP62" i="8"/>
  <c r="CP83" i="8" s="1"/>
  <c r="CO62" i="8"/>
  <c r="CO83" i="8" s="1"/>
  <c r="CN62" i="8"/>
  <c r="CN83" i="8" s="1"/>
  <c r="CM62" i="8"/>
  <c r="CM83" i="8" s="1"/>
  <c r="CL62" i="8"/>
  <c r="CL83" i="8" s="1"/>
  <c r="CK62" i="8"/>
  <c r="CK83" i="8" s="1"/>
  <c r="CJ62" i="8"/>
  <c r="CJ83" i="8" s="1"/>
  <c r="CI62" i="8"/>
  <c r="CI83" i="8" s="1"/>
  <c r="CH62" i="8"/>
  <c r="CH83" i="8" s="1"/>
  <c r="CG62" i="8"/>
  <c r="CG83" i="8" s="1"/>
  <c r="CF62" i="8"/>
  <c r="CF83" i="8" s="1"/>
  <c r="CE62" i="8"/>
  <c r="CE83" i="8" s="1"/>
  <c r="CD62" i="8"/>
  <c r="CD83" i="8" s="1"/>
  <c r="CC62" i="8"/>
  <c r="CC83" i="8" s="1"/>
  <c r="CB62" i="8"/>
  <c r="CB83" i="8" s="1"/>
  <c r="CA62" i="8"/>
  <c r="CA83" i="8" s="1"/>
  <c r="BZ62" i="8"/>
  <c r="BZ83" i="8" s="1"/>
  <c r="BY62" i="8"/>
  <c r="BY83" i="8" s="1"/>
  <c r="BX62" i="8"/>
  <c r="BX83" i="8" s="1"/>
  <c r="BW62" i="8"/>
  <c r="BW83" i="8" s="1"/>
  <c r="BV62" i="8"/>
  <c r="BV83" i="8" s="1"/>
  <c r="BU62" i="8"/>
  <c r="BU83" i="8" s="1"/>
  <c r="BT62" i="8"/>
  <c r="BT83" i="8" s="1"/>
  <c r="BS62" i="8"/>
  <c r="BS83" i="8" s="1"/>
  <c r="BR62" i="8"/>
  <c r="BR83" i="8" s="1"/>
  <c r="BQ62" i="8"/>
  <c r="BQ83" i="8" s="1"/>
  <c r="BP62" i="8"/>
  <c r="BP83" i="8" s="1"/>
  <c r="BO62" i="8"/>
  <c r="BO83" i="8" s="1"/>
  <c r="BN62" i="8"/>
  <c r="BN83" i="8" s="1"/>
  <c r="BM62" i="8"/>
  <c r="BM83" i="8" s="1"/>
  <c r="BL62" i="8"/>
  <c r="BL83" i="8" s="1"/>
  <c r="BK62" i="8"/>
  <c r="BK83" i="8" s="1"/>
  <c r="BJ62" i="8"/>
  <c r="BJ83" i="8" s="1"/>
  <c r="BI62" i="8"/>
  <c r="BI83" i="8" s="1"/>
  <c r="BH62" i="8"/>
  <c r="BH83" i="8" s="1"/>
  <c r="BG62" i="8"/>
  <c r="BG83" i="8" s="1"/>
  <c r="BF62" i="8"/>
  <c r="BF83" i="8" s="1"/>
  <c r="BE62" i="8"/>
  <c r="BE83" i="8" s="1"/>
  <c r="BD62" i="8"/>
  <c r="BD83" i="8" s="1"/>
  <c r="BC62" i="8"/>
  <c r="BC83" i="8" s="1"/>
  <c r="BB62" i="8"/>
  <c r="BB83" i="8" s="1"/>
  <c r="BA62" i="8"/>
  <c r="BA83" i="8" s="1"/>
  <c r="AZ62" i="8"/>
  <c r="AZ83" i="8" s="1"/>
  <c r="AY62" i="8"/>
  <c r="AY83" i="8" s="1"/>
  <c r="AX62" i="8"/>
  <c r="AX83" i="8" s="1"/>
  <c r="AW62" i="8"/>
  <c r="AW83" i="8" s="1"/>
  <c r="AV62" i="8"/>
  <c r="AV83" i="8" s="1"/>
  <c r="AU62" i="8"/>
  <c r="AU83" i="8" s="1"/>
  <c r="AT62" i="8"/>
  <c r="AT83" i="8" s="1"/>
  <c r="AS62" i="8"/>
  <c r="AS83" i="8" s="1"/>
  <c r="AR62" i="8"/>
  <c r="AR83" i="8" s="1"/>
  <c r="AQ62" i="8"/>
  <c r="AQ83" i="8" s="1"/>
  <c r="AP62" i="8"/>
  <c r="AP83" i="8" s="1"/>
  <c r="AO62" i="8"/>
  <c r="AO83" i="8" s="1"/>
  <c r="AN62" i="8"/>
  <c r="AN83" i="8" s="1"/>
  <c r="AM62" i="8"/>
  <c r="AM83" i="8" s="1"/>
  <c r="AL62" i="8"/>
  <c r="AL83" i="8" s="1"/>
  <c r="AK62" i="8"/>
  <c r="AK83" i="8" s="1"/>
  <c r="AJ62" i="8"/>
  <c r="AJ83" i="8" s="1"/>
  <c r="AI62" i="8"/>
  <c r="AI83" i="8" s="1"/>
  <c r="AH62" i="8"/>
  <c r="AH83" i="8" s="1"/>
  <c r="AG62" i="8"/>
  <c r="AG83" i="8" s="1"/>
  <c r="AF62" i="8"/>
  <c r="AF83" i="8" s="1"/>
  <c r="AE62" i="8"/>
  <c r="AE83" i="8" s="1"/>
  <c r="AD62" i="8"/>
  <c r="AD83" i="8" s="1"/>
  <c r="AC62" i="8"/>
  <c r="AC83" i="8" s="1"/>
  <c r="AB62" i="8"/>
  <c r="AB83" i="8" s="1"/>
  <c r="AA62" i="8"/>
  <c r="AA83" i="8" s="1"/>
  <c r="Z62" i="8"/>
  <c r="Z83" i="8" s="1"/>
  <c r="Y62" i="8"/>
  <c r="Y83" i="8" s="1"/>
  <c r="X62" i="8"/>
  <c r="X83" i="8" s="1"/>
  <c r="W62" i="8"/>
  <c r="W83" i="8" s="1"/>
  <c r="V62" i="8"/>
  <c r="V83" i="8" s="1"/>
  <c r="U62" i="8"/>
  <c r="U83" i="8" s="1"/>
  <c r="T62" i="8"/>
  <c r="T83" i="8" s="1"/>
  <c r="S62" i="8"/>
  <c r="S83" i="8" s="1"/>
  <c r="R62" i="8"/>
  <c r="R83" i="8" s="1"/>
  <c r="Q62" i="8"/>
  <c r="Q83" i="8" s="1"/>
  <c r="P62" i="8"/>
  <c r="P83" i="8" s="1"/>
  <c r="O62" i="8"/>
  <c r="O83" i="8" s="1"/>
  <c r="N62" i="8"/>
  <c r="N83" i="8" s="1"/>
  <c r="M62" i="8"/>
  <c r="M83" i="8" s="1"/>
  <c r="L62" i="8"/>
  <c r="L83" i="8" s="1"/>
  <c r="K62" i="8"/>
  <c r="K83" i="8" s="1"/>
  <c r="J62" i="8"/>
  <c r="J83" i="8" s="1"/>
  <c r="I62" i="8"/>
  <c r="I83" i="8" s="1"/>
  <c r="H62" i="8"/>
  <c r="H83" i="8" s="1"/>
  <c r="G62" i="8"/>
  <c r="G83" i="8" s="1"/>
  <c r="F62" i="8"/>
  <c r="F83" i="8" s="1"/>
  <c r="E62" i="8"/>
  <c r="E83" i="8" s="1"/>
  <c r="D62" i="8"/>
  <c r="D83" i="8" s="1"/>
  <c r="C62" i="8"/>
  <c r="C83" i="8" s="1"/>
  <c r="OT61" i="8"/>
  <c r="OT82" i="8" s="1"/>
  <c r="OS61" i="8"/>
  <c r="OS82" i="8" s="1"/>
  <c r="NO61" i="8"/>
  <c r="NO82" i="8" s="1"/>
  <c r="NN61" i="8"/>
  <c r="NN82" i="8" s="1"/>
  <c r="NM61" i="8"/>
  <c r="NM82" i="8" s="1"/>
  <c r="NL61" i="8"/>
  <c r="NL82" i="8" s="1"/>
  <c r="NK61" i="8"/>
  <c r="NK82" i="8" s="1"/>
  <c r="NJ61" i="8"/>
  <c r="NJ82" i="8" s="1"/>
  <c r="NI61" i="8"/>
  <c r="NI82" i="8" s="1"/>
  <c r="NH61" i="8"/>
  <c r="NH82" i="8" s="1"/>
  <c r="NG61" i="8"/>
  <c r="NG82" i="8" s="1"/>
  <c r="NF61" i="8"/>
  <c r="NF82" i="8" s="1"/>
  <c r="NE61" i="8"/>
  <c r="NE82" i="8" s="1"/>
  <c r="ND61" i="8"/>
  <c r="ND82" i="8" s="1"/>
  <c r="NC61" i="8"/>
  <c r="NC82" i="8" s="1"/>
  <c r="NB61" i="8"/>
  <c r="NB82" i="8" s="1"/>
  <c r="NA61" i="8"/>
  <c r="NA82" i="8" s="1"/>
  <c r="MZ61" i="8"/>
  <c r="MZ82" i="8" s="1"/>
  <c r="MY61" i="8"/>
  <c r="MY82" i="8" s="1"/>
  <c r="MX61" i="8"/>
  <c r="MX82" i="8" s="1"/>
  <c r="MW61" i="8"/>
  <c r="MW82" i="8" s="1"/>
  <c r="MV61" i="8"/>
  <c r="MV82" i="8" s="1"/>
  <c r="MU61" i="8"/>
  <c r="MU82" i="8" s="1"/>
  <c r="MT61" i="8"/>
  <c r="MT82" i="8" s="1"/>
  <c r="MS61" i="8"/>
  <c r="MS82" i="8" s="1"/>
  <c r="MR61" i="8"/>
  <c r="MR82" i="8" s="1"/>
  <c r="MQ61" i="8"/>
  <c r="MQ82" i="8" s="1"/>
  <c r="MP61" i="8"/>
  <c r="MP82" i="8" s="1"/>
  <c r="MO61" i="8"/>
  <c r="MO82" i="8" s="1"/>
  <c r="MN61" i="8"/>
  <c r="MN82" i="8" s="1"/>
  <c r="MM61" i="8"/>
  <c r="MM82" i="8" s="1"/>
  <c r="ML61" i="8"/>
  <c r="ML82" i="8" s="1"/>
  <c r="MK61" i="8"/>
  <c r="MK82" i="8" s="1"/>
  <c r="MJ61" i="8"/>
  <c r="MJ82" i="8" s="1"/>
  <c r="MI61" i="8"/>
  <c r="MI82" i="8" s="1"/>
  <c r="MH61" i="8"/>
  <c r="MH82" i="8" s="1"/>
  <c r="MG61" i="8"/>
  <c r="MG82" i="8" s="1"/>
  <c r="MF61" i="8"/>
  <c r="MF82" i="8" s="1"/>
  <c r="ME61" i="8"/>
  <c r="ME82" i="8" s="1"/>
  <c r="MD61" i="8"/>
  <c r="MD82" i="8" s="1"/>
  <c r="MC61" i="8"/>
  <c r="MC82" i="8" s="1"/>
  <c r="MB61" i="8"/>
  <c r="MB82" i="8" s="1"/>
  <c r="MA61" i="8"/>
  <c r="MA82" i="8" s="1"/>
  <c r="LZ61" i="8"/>
  <c r="LZ82" i="8" s="1"/>
  <c r="LY61" i="8"/>
  <c r="LY82" i="8" s="1"/>
  <c r="LX61" i="8"/>
  <c r="LX82" i="8" s="1"/>
  <c r="LW61" i="8"/>
  <c r="LW82" i="8" s="1"/>
  <c r="LV61" i="8"/>
  <c r="LV82" i="8" s="1"/>
  <c r="LU61" i="8"/>
  <c r="LU82" i="8" s="1"/>
  <c r="LT61" i="8"/>
  <c r="LT82" i="8" s="1"/>
  <c r="LS61" i="8"/>
  <c r="LS82" i="8" s="1"/>
  <c r="LR61" i="8"/>
  <c r="LR82" i="8" s="1"/>
  <c r="LQ61" i="8"/>
  <c r="LQ82" i="8" s="1"/>
  <c r="LP61" i="8"/>
  <c r="LP82" i="8" s="1"/>
  <c r="LO61" i="8"/>
  <c r="LO82" i="8" s="1"/>
  <c r="LN61" i="8"/>
  <c r="LN82" i="8" s="1"/>
  <c r="LM61" i="8"/>
  <c r="LM82" i="8" s="1"/>
  <c r="LL61" i="8"/>
  <c r="LL82" i="8" s="1"/>
  <c r="LK61" i="8"/>
  <c r="LK82" i="8" s="1"/>
  <c r="LJ61" i="8"/>
  <c r="LJ82" i="8" s="1"/>
  <c r="LI61" i="8"/>
  <c r="LI82" i="8" s="1"/>
  <c r="LH61" i="8"/>
  <c r="LH82" i="8" s="1"/>
  <c r="LG61" i="8"/>
  <c r="LG82" i="8" s="1"/>
  <c r="LF61" i="8"/>
  <c r="LF82" i="8" s="1"/>
  <c r="LE61" i="8"/>
  <c r="LE82" i="8" s="1"/>
  <c r="LD61" i="8"/>
  <c r="LD82" i="8" s="1"/>
  <c r="LC61" i="8"/>
  <c r="LC82" i="8" s="1"/>
  <c r="LB61" i="8"/>
  <c r="LB82" i="8" s="1"/>
  <c r="LA61" i="8"/>
  <c r="LA82" i="8" s="1"/>
  <c r="KZ61" i="8"/>
  <c r="KZ82" i="8" s="1"/>
  <c r="KY61" i="8"/>
  <c r="KY82" i="8" s="1"/>
  <c r="KX61" i="8"/>
  <c r="KX82" i="8" s="1"/>
  <c r="KW61" i="8"/>
  <c r="KW82" i="8" s="1"/>
  <c r="KV61" i="8"/>
  <c r="KV82" i="8" s="1"/>
  <c r="KU61" i="8"/>
  <c r="KU82" i="8" s="1"/>
  <c r="KT61" i="8"/>
  <c r="KT82" i="8" s="1"/>
  <c r="KS61" i="8"/>
  <c r="KS82" i="8" s="1"/>
  <c r="KR61" i="8"/>
  <c r="KR82" i="8" s="1"/>
  <c r="KQ61" i="8"/>
  <c r="KQ82" i="8" s="1"/>
  <c r="KP61" i="8"/>
  <c r="KP82" i="8" s="1"/>
  <c r="KO61" i="8"/>
  <c r="KO82" i="8" s="1"/>
  <c r="KN61" i="8"/>
  <c r="KN82" i="8" s="1"/>
  <c r="KM61" i="8"/>
  <c r="KM82" i="8" s="1"/>
  <c r="KL61" i="8"/>
  <c r="KL82" i="8" s="1"/>
  <c r="KK61" i="8"/>
  <c r="KK82" i="8" s="1"/>
  <c r="KJ61" i="8"/>
  <c r="KJ82" i="8" s="1"/>
  <c r="KI61" i="8"/>
  <c r="KI82" i="8" s="1"/>
  <c r="KH61" i="8"/>
  <c r="KH82" i="8" s="1"/>
  <c r="KG61" i="8"/>
  <c r="KG82" i="8" s="1"/>
  <c r="KF61" i="8"/>
  <c r="KF82" i="8" s="1"/>
  <c r="KE61" i="8"/>
  <c r="KE82" i="8" s="1"/>
  <c r="KD61" i="8"/>
  <c r="KD82" i="8" s="1"/>
  <c r="KC61" i="8"/>
  <c r="KC82" i="8" s="1"/>
  <c r="KB61" i="8"/>
  <c r="KB82" i="8" s="1"/>
  <c r="KA61" i="8"/>
  <c r="KA82" i="8" s="1"/>
  <c r="JZ61" i="8"/>
  <c r="JZ82" i="8" s="1"/>
  <c r="JY61" i="8"/>
  <c r="JY82" i="8" s="1"/>
  <c r="JX61" i="8"/>
  <c r="JX82" i="8" s="1"/>
  <c r="JW61" i="8"/>
  <c r="JW82" i="8" s="1"/>
  <c r="JV61" i="8"/>
  <c r="JV82" i="8" s="1"/>
  <c r="JU61" i="8"/>
  <c r="JU82" i="8" s="1"/>
  <c r="JT61" i="8"/>
  <c r="JT82" i="8" s="1"/>
  <c r="JS61" i="8"/>
  <c r="JS82" i="8" s="1"/>
  <c r="JR61" i="8"/>
  <c r="JR82" i="8" s="1"/>
  <c r="JQ61" i="8"/>
  <c r="JQ82" i="8" s="1"/>
  <c r="JP61" i="8"/>
  <c r="JP82" i="8" s="1"/>
  <c r="JO61" i="8"/>
  <c r="JO82" i="8" s="1"/>
  <c r="JN61" i="8"/>
  <c r="JN82" i="8" s="1"/>
  <c r="JM61" i="8"/>
  <c r="JM82" i="8" s="1"/>
  <c r="JL61" i="8"/>
  <c r="JL82" i="8" s="1"/>
  <c r="JK61" i="8"/>
  <c r="JK82" i="8" s="1"/>
  <c r="JJ61" i="8"/>
  <c r="JJ82" i="8" s="1"/>
  <c r="JI61" i="8"/>
  <c r="JI82" i="8" s="1"/>
  <c r="JH61" i="8"/>
  <c r="JH82" i="8" s="1"/>
  <c r="JG61" i="8"/>
  <c r="JG82" i="8" s="1"/>
  <c r="JF61" i="8"/>
  <c r="JF82" i="8" s="1"/>
  <c r="JE61" i="8"/>
  <c r="JE82" i="8" s="1"/>
  <c r="JD61" i="8"/>
  <c r="JD82" i="8" s="1"/>
  <c r="JC61" i="8"/>
  <c r="JC82" i="8" s="1"/>
  <c r="JB61" i="8"/>
  <c r="JB82" i="8" s="1"/>
  <c r="JA61" i="8"/>
  <c r="JA82" i="8" s="1"/>
  <c r="IZ61" i="8"/>
  <c r="IZ82" i="8" s="1"/>
  <c r="IY61" i="8"/>
  <c r="IY82" i="8" s="1"/>
  <c r="IX61" i="8"/>
  <c r="IX82" i="8" s="1"/>
  <c r="IW61" i="8"/>
  <c r="IW82" i="8" s="1"/>
  <c r="IV61" i="8"/>
  <c r="IV82" i="8" s="1"/>
  <c r="IU61" i="8"/>
  <c r="IU82" i="8" s="1"/>
  <c r="IT61" i="8"/>
  <c r="IT82" i="8" s="1"/>
  <c r="IS61" i="8"/>
  <c r="IS82" i="8" s="1"/>
  <c r="IR61" i="8"/>
  <c r="IR82" i="8" s="1"/>
  <c r="IQ61" i="8"/>
  <c r="IQ82" i="8" s="1"/>
  <c r="IP61" i="8"/>
  <c r="IP82" i="8" s="1"/>
  <c r="IO61" i="8"/>
  <c r="IO82" i="8" s="1"/>
  <c r="IN61" i="8"/>
  <c r="IN82" i="8" s="1"/>
  <c r="IM61" i="8"/>
  <c r="IM82" i="8" s="1"/>
  <c r="IL61" i="8"/>
  <c r="IL82" i="8" s="1"/>
  <c r="IK61" i="8"/>
  <c r="IK82" i="8" s="1"/>
  <c r="IJ61" i="8"/>
  <c r="IJ82" i="8" s="1"/>
  <c r="II61" i="8"/>
  <c r="II82" i="8" s="1"/>
  <c r="IH61" i="8"/>
  <c r="IH82" i="8" s="1"/>
  <c r="IG61" i="8"/>
  <c r="IG82" i="8" s="1"/>
  <c r="IF61" i="8"/>
  <c r="IF82" i="8" s="1"/>
  <c r="IE61" i="8"/>
  <c r="IE82" i="8" s="1"/>
  <c r="ID61" i="8"/>
  <c r="ID82" i="8" s="1"/>
  <c r="IC61" i="8"/>
  <c r="IC82" i="8" s="1"/>
  <c r="IB61" i="8"/>
  <c r="IB82" i="8" s="1"/>
  <c r="IA61" i="8"/>
  <c r="IA82" i="8" s="1"/>
  <c r="HZ61" i="8"/>
  <c r="HZ82" i="8" s="1"/>
  <c r="HY61" i="8"/>
  <c r="HY82" i="8" s="1"/>
  <c r="HX61" i="8"/>
  <c r="HX82" i="8" s="1"/>
  <c r="HW61" i="8"/>
  <c r="HW82" i="8" s="1"/>
  <c r="HV61" i="8"/>
  <c r="HV82" i="8" s="1"/>
  <c r="HU61" i="8"/>
  <c r="HU82" i="8" s="1"/>
  <c r="HT61" i="8"/>
  <c r="HT82" i="8" s="1"/>
  <c r="HS61" i="8"/>
  <c r="HS82" i="8" s="1"/>
  <c r="HR61" i="8"/>
  <c r="HR82" i="8" s="1"/>
  <c r="HQ61" i="8"/>
  <c r="HQ82" i="8" s="1"/>
  <c r="HP61" i="8"/>
  <c r="HP82" i="8" s="1"/>
  <c r="HO61" i="8"/>
  <c r="HO82" i="8" s="1"/>
  <c r="HN61" i="8"/>
  <c r="HN82" i="8" s="1"/>
  <c r="HM61" i="8"/>
  <c r="HM82" i="8" s="1"/>
  <c r="HL61" i="8"/>
  <c r="HL82" i="8" s="1"/>
  <c r="HK61" i="8"/>
  <c r="HK82" i="8" s="1"/>
  <c r="HJ61" i="8"/>
  <c r="HJ82" i="8" s="1"/>
  <c r="HI61" i="8"/>
  <c r="HI82" i="8" s="1"/>
  <c r="HH61" i="8"/>
  <c r="HH82" i="8" s="1"/>
  <c r="HG61" i="8"/>
  <c r="HG82" i="8" s="1"/>
  <c r="HF61" i="8"/>
  <c r="HF82" i="8" s="1"/>
  <c r="HE61" i="8"/>
  <c r="HE82" i="8" s="1"/>
  <c r="HD61" i="8"/>
  <c r="HD82" i="8" s="1"/>
  <c r="HC61" i="8"/>
  <c r="HC82" i="8" s="1"/>
  <c r="HB61" i="8"/>
  <c r="HB82" i="8" s="1"/>
  <c r="HA61" i="8"/>
  <c r="HA82" i="8" s="1"/>
  <c r="GZ61" i="8"/>
  <c r="GZ82" i="8" s="1"/>
  <c r="GY61" i="8"/>
  <c r="GY82" i="8" s="1"/>
  <c r="GX61" i="8"/>
  <c r="GX82" i="8" s="1"/>
  <c r="GW61" i="8"/>
  <c r="GW82" i="8" s="1"/>
  <c r="GV61" i="8"/>
  <c r="GV82" i="8" s="1"/>
  <c r="GU61" i="8"/>
  <c r="GU82" i="8" s="1"/>
  <c r="GT61" i="8"/>
  <c r="GT82" i="8" s="1"/>
  <c r="GS61" i="8"/>
  <c r="GS82" i="8" s="1"/>
  <c r="GR61" i="8"/>
  <c r="GR82" i="8" s="1"/>
  <c r="GQ61" i="8"/>
  <c r="GQ82" i="8" s="1"/>
  <c r="GP61" i="8"/>
  <c r="GP82" i="8" s="1"/>
  <c r="GO61" i="8"/>
  <c r="GO82" i="8" s="1"/>
  <c r="GN61" i="8"/>
  <c r="GN82" i="8" s="1"/>
  <c r="GM61" i="8"/>
  <c r="GM82" i="8" s="1"/>
  <c r="GL61" i="8"/>
  <c r="GL82" i="8" s="1"/>
  <c r="GK61" i="8"/>
  <c r="GK82" i="8" s="1"/>
  <c r="GJ61" i="8"/>
  <c r="GJ82" i="8" s="1"/>
  <c r="GI61" i="8"/>
  <c r="GI82" i="8" s="1"/>
  <c r="GH61" i="8"/>
  <c r="GH82" i="8" s="1"/>
  <c r="GG61" i="8"/>
  <c r="GG82" i="8" s="1"/>
  <c r="GF61" i="8"/>
  <c r="GF82" i="8" s="1"/>
  <c r="GE61" i="8"/>
  <c r="GE82" i="8" s="1"/>
  <c r="GD61" i="8"/>
  <c r="GD82" i="8" s="1"/>
  <c r="GC61" i="8"/>
  <c r="GC82" i="8" s="1"/>
  <c r="GB61" i="8"/>
  <c r="GB82" i="8" s="1"/>
  <c r="GA61" i="8"/>
  <c r="GA82" i="8" s="1"/>
  <c r="FZ61" i="8"/>
  <c r="FZ82" i="8" s="1"/>
  <c r="FY61" i="8"/>
  <c r="FY82" i="8" s="1"/>
  <c r="FX61" i="8"/>
  <c r="FX82" i="8" s="1"/>
  <c r="FW61" i="8"/>
  <c r="FW82" i="8" s="1"/>
  <c r="FV61" i="8"/>
  <c r="FV82" i="8" s="1"/>
  <c r="FU61" i="8"/>
  <c r="FU82" i="8" s="1"/>
  <c r="FT61" i="8"/>
  <c r="FT82" i="8" s="1"/>
  <c r="FO61" i="8"/>
  <c r="FO82" i="8" s="1"/>
  <c r="FM61" i="8"/>
  <c r="FM82" i="8" s="1"/>
  <c r="FL61" i="8"/>
  <c r="FL82" i="8" s="1"/>
  <c r="FK61" i="8"/>
  <c r="FK82" i="8" s="1"/>
  <c r="FJ61" i="8"/>
  <c r="FJ82" i="8" s="1"/>
  <c r="FI61" i="8"/>
  <c r="FI82" i="8" s="1"/>
  <c r="FH61" i="8"/>
  <c r="FH82" i="8" s="1"/>
  <c r="FG61" i="8"/>
  <c r="FG82" i="8" s="1"/>
  <c r="FF61" i="8"/>
  <c r="FF82" i="8" s="1"/>
  <c r="FE61" i="8"/>
  <c r="FE82" i="8" s="1"/>
  <c r="FD61" i="8"/>
  <c r="FD82" i="8" s="1"/>
  <c r="FC61" i="8"/>
  <c r="FC82" i="8" s="1"/>
  <c r="FB61" i="8"/>
  <c r="FB82" i="8" s="1"/>
  <c r="FA61" i="8"/>
  <c r="FA82" i="8" s="1"/>
  <c r="EZ61" i="8"/>
  <c r="EZ82" i="8" s="1"/>
  <c r="EY61" i="8"/>
  <c r="EY82" i="8" s="1"/>
  <c r="EX61" i="8"/>
  <c r="EX82" i="8" s="1"/>
  <c r="EW61" i="8"/>
  <c r="EW82" i="8" s="1"/>
  <c r="EV61" i="8"/>
  <c r="EV82" i="8" s="1"/>
  <c r="EU61" i="8"/>
  <c r="EU82" i="8" s="1"/>
  <c r="ET61" i="8"/>
  <c r="ET82" i="8" s="1"/>
  <c r="ES61" i="8"/>
  <c r="ES82" i="8" s="1"/>
  <c r="ER61" i="8"/>
  <c r="ER82" i="8" s="1"/>
  <c r="EQ61" i="8"/>
  <c r="EQ82" i="8" s="1"/>
  <c r="EP61" i="8"/>
  <c r="EP82" i="8" s="1"/>
  <c r="EO61" i="8"/>
  <c r="EO82" i="8" s="1"/>
  <c r="EN61" i="8"/>
  <c r="EN82" i="8" s="1"/>
  <c r="EM61" i="8"/>
  <c r="EM82" i="8" s="1"/>
  <c r="EL61" i="8"/>
  <c r="EL82" i="8" s="1"/>
  <c r="EK61" i="8"/>
  <c r="EK82" i="8" s="1"/>
  <c r="EJ61" i="8"/>
  <c r="EJ82" i="8" s="1"/>
  <c r="EI61" i="8"/>
  <c r="EI82" i="8" s="1"/>
  <c r="EH61" i="8"/>
  <c r="EH82" i="8" s="1"/>
  <c r="EG61" i="8"/>
  <c r="EG82" i="8" s="1"/>
  <c r="EF61" i="8"/>
  <c r="EF82" i="8" s="1"/>
  <c r="EE61" i="8"/>
  <c r="EE82" i="8" s="1"/>
  <c r="ED61" i="8"/>
  <c r="ED82" i="8" s="1"/>
  <c r="EC61" i="8"/>
  <c r="EC82" i="8" s="1"/>
  <c r="EB61" i="8"/>
  <c r="EB82" i="8" s="1"/>
  <c r="EA61" i="8"/>
  <c r="EA82" i="8" s="1"/>
  <c r="DZ61" i="8"/>
  <c r="DZ82" i="8" s="1"/>
  <c r="DY61" i="8"/>
  <c r="DY82" i="8" s="1"/>
  <c r="DX61" i="8"/>
  <c r="DX82" i="8" s="1"/>
  <c r="DW61" i="8"/>
  <c r="DW82" i="8" s="1"/>
  <c r="DV61" i="8"/>
  <c r="DV82" i="8" s="1"/>
  <c r="DU61" i="8"/>
  <c r="DU82" i="8" s="1"/>
  <c r="DT61" i="8"/>
  <c r="DT82" i="8" s="1"/>
  <c r="DS61" i="8"/>
  <c r="DS82" i="8" s="1"/>
  <c r="DR61" i="8"/>
  <c r="DR82" i="8" s="1"/>
  <c r="DQ61" i="8"/>
  <c r="DQ82" i="8" s="1"/>
  <c r="DP61" i="8"/>
  <c r="DP82" i="8" s="1"/>
  <c r="DO61" i="8"/>
  <c r="DO82" i="8" s="1"/>
  <c r="DN61" i="8"/>
  <c r="DN82" i="8" s="1"/>
  <c r="DM61" i="8"/>
  <c r="DM82" i="8" s="1"/>
  <c r="DL61" i="8"/>
  <c r="DL82" i="8" s="1"/>
  <c r="DK61" i="8"/>
  <c r="DK82" i="8" s="1"/>
  <c r="DJ61" i="8"/>
  <c r="DJ82" i="8" s="1"/>
  <c r="DI61" i="8"/>
  <c r="DI82" i="8" s="1"/>
  <c r="DH61" i="8"/>
  <c r="DH82" i="8" s="1"/>
  <c r="DG61" i="8"/>
  <c r="DG82" i="8" s="1"/>
  <c r="DF61" i="8"/>
  <c r="DF82" i="8" s="1"/>
  <c r="DE61" i="8"/>
  <c r="DE82" i="8" s="1"/>
  <c r="DD61" i="8"/>
  <c r="DD82" i="8" s="1"/>
  <c r="DC61" i="8"/>
  <c r="DC82" i="8" s="1"/>
  <c r="DB61" i="8"/>
  <c r="DB82" i="8" s="1"/>
  <c r="DA61" i="8"/>
  <c r="DA82" i="8" s="1"/>
  <c r="CZ61" i="8"/>
  <c r="CZ82" i="8" s="1"/>
  <c r="CY61" i="8"/>
  <c r="CY82" i="8" s="1"/>
  <c r="CX61" i="8"/>
  <c r="CX82" i="8" s="1"/>
  <c r="CW61" i="8"/>
  <c r="CW82" i="8" s="1"/>
  <c r="CV61" i="8"/>
  <c r="CV82" i="8" s="1"/>
  <c r="CU61" i="8"/>
  <c r="CU82" i="8" s="1"/>
  <c r="CT61" i="8"/>
  <c r="CT82" i="8" s="1"/>
  <c r="CS61" i="8"/>
  <c r="CS82" i="8" s="1"/>
  <c r="CR61" i="8"/>
  <c r="CR82" i="8" s="1"/>
  <c r="CQ61" i="8"/>
  <c r="CQ82" i="8" s="1"/>
  <c r="CP61" i="8"/>
  <c r="CP82" i="8" s="1"/>
  <c r="CO61" i="8"/>
  <c r="CO82" i="8" s="1"/>
  <c r="CN61" i="8"/>
  <c r="CN82" i="8" s="1"/>
  <c r="CM61" i="8"/>
  <c r="CM82" i="8" s="1"/>
  <c r="CL61" i="8"/>
  <c r="CL82" i="8" s="1"/>
  <c r="CK61" i="8"/>
  <c r="CK82" i="8" s="1"/>
  <c r="CJ61" i="8"/>
  <c r="CJ82" i="8" s="1"/>
  <c r="CI61" i="8"/>
  <c r="CI82" i="8" s="1"/>
  <c r="CH61" i="8"/>
  <c r="CH82" i="8" s="1"/>
  <c r="CG61" i="8"/>
  <c r="CG82" i="8" s="1"/>
  <c r="CF61" i="8"/>
  <c r="CF82" i="8" s="1"/>
  <c r="CE61" i="8"/>
  <c r="CE82" i="8" s="1"/>
  <c r="CD61" i="8"/>
  <c r="CD82" i="8" s="1"/>
  <c r="CC61" i="8"/>
  <c r="CC82" i="8" s="1"/>
  <c r="CB61" i="8"/>
  <c r="CB82" i="8" s="1"/>
  <c r="CA61" i="8"/>
  <c r="CA82" i="8" s="1"/>
  <c r="BZ61" i="8"/>
  <c r="BZ82" i="8" s="1"/>
  <c r="BY61" i="8"/>
  <c r="BY82" i="8" s="1"/>
  <c r="BX61" i="8"/>
  <c r="BX82" i="8" s="1"/>
  <c r="BW61" i="8"/>
  <c r="BW82" i="8" s="1"/>
  <c r="BV61" i="8"/>
  <c r="BV82" i="8" s="1"/>
  <c r="BU61" i="8"/>
  <c r="BU82" i="8" s="1"/>
  <c r="BT61" i="8"/>
  <c r="BT82" i="8" s="1"/>
  <c r="BS61" i="8"/>
  <c r="BS82" i="8" s="1"/>
  <c r="BR61" i="8"/>
  <c r="BR82" i="8" s="1"/>
  <c r="BQ61" i="8"/>
  <c r="BQ82" i="8" s="1"/>
  <c r="BP61" i="8"/>
  <c r="BP82" i="8" s="1"/>
  <c r="BO61" i="8"/>
  <c r="BO82" i="8" s="1"/>
  <c r="BN61" i="8"/>
  <c r="BN82" i="8" s="1"/>
  <c r="BM61" i="8"/>
  <c r="BM82" i="8" s="1"/>
  <c r="BL61" i="8"/>
  <c r="BL82" i="8" s="1"/>
  <c r="BK61" i="8"/>
  <c r="BK82" i="8" s="1"/>
  <c r="BJ61" i="8"/>
  <c r="BJ82" i="8" s="1"/>
  <c r="BI61" i="8"/>
  <c r="BI82" i="8" s="1"/>
  <c r="BH61" i="8"/>
  <c r="BH82" i="8" s="1"/>
  <c r="BG61" i="8"/>
  <c r="BG82" i="8" s="1"/>
  <c r="BF61" i="8"/>
  <c r="BF82" i="8" s="1"/>
  <c r="BE61" i="8"/>
  <c r="BE82" i="8" s="1"/>
  <c r="BD61" i="8"/>
  <c r="BD82" i="8" s="1"/>
  <c r="BC61" i="8"/>
  <c r="BC82" i="8" s="1"/>
  <c r="BB61" i="8"/>
  <c r="BB82" i="8" s="1"/>
  <c r="BA61" i="8"/>
  <c r="BA82" i="8" s="1"/>
  <c r="AZ61" i="8"/>
  <c r="AZ82" i="8" s="1"/>
  <c r="AY61" i="8"/>
  <c r="AY82" i="8" s="1"/>
  <c r="AX61" i="8"/>
  <c r="AX82" i="8" s="1"/>
  <c r="AW61" i="8"/>
  <c r="AW82" i="8" s="1"/>
  <c r="AV61" i="8"/>
  <c r="AV82" i="8" s="1"/>
  <c r="AU61" i="8"/>
  <c r="AU82" i="8" s="1"/>
  <c r="AT61" i="8"/>
  <c r="AT82" i="8" s="1"/>
  <c r="AS61" i="8"/>
  <c r="AS82" i="8" s="1"/>
  <c r="AR61" i="8"/>
  <c r="AR82" i="8" s="1"/>
  <c r="AQ61" i="8"/>
  <c r="AQ82" i="8" s="1"/>
  <c r="AP61" i="8"/>
  <c r="AP82" i="8" s="1"/>
  <c r="AO61" i="8"/>
  <c r="AO82" i="8" s="1"/>
  <c r="AN61" i="8"/>
  <c r="AN82" i="8" s="1"/>
  <c r="AM61" i="8"/>
  <c r="AM82" i="8" s="1"/>
  <c r="AL61" i="8"/>
  <c r="AL82" i="8" s="1"/>
  <c r="AK61" i="8"/>
  <c r="AK82" i="8" s="1"/>
  <c r="AJ61" i="8"/>
  <c r="AJ82" i="8" s="1"/>
  <c r="AI61" i="8"/>
  <c r="AI82" i="8" s="1"/>
  <c r="AH61" i="8"/>
  <c r="AH82" i="8" s="1"/>
  <c r="AG61" i="8"/>
  <c r="AG82" i="8" s="1"/>
  <c r="AF61" i="8"/>
  <c r="AF82" i="8" s="1"/>
  <c r="AE61" i="8"/>
  <c r="AE82" i="8" s="1"/>
  <c r="AD61" i="8"/>
  <c r="AD82" i="8" s="1"/>
  <c r="AC61" i="8"/>
  <c r="AC82" i="8" s="1"/>
  <c r="AB61" i="8"/>
  <c r="AB82" i="8" s="1"/>
  <c r="AA61" i="8"/>
  <c r="AA82" i="8" s="1"/>
  <c r="Z61" i="8"/>
  <c r="Z82" i="8" s="1"/>
  <c r="Y61" i="8"/>
  <c r="Y82" i="8" s="1"/>
  <c r="X61" i="8"/>
  <c r="X82" i="8" s="1"/>
  <c r="W61" i="8"/>
  <c r="W82" i="8" s="1"/>
  <c r="V61" i="8"/>
  <c r="V82" i="8" s="1"/>
  <c r="U61" i="8"/>
  <c r="U82" i="8" s="1"/>
  <c r="T61" i="8"/>
  <c r="T82" i="8" s="1"/>
  <c r="S61" i="8"/>
  <c r="S82" i="8" s="1"/>
  <c r="R61" i="8"/>
  <c r="R82" i="8" s="1"/>
  <c r="Q61" i="8"/>
  <c r="Q82" i="8" s="1"/>
  <c r="P61" i="8"/>
  <c r="P82" i="8" s="1"/>
  <c r="O61" i="8"/>
  <c r="O82" i="8" s="1"/>
  <c r="N61" i="8"/>
  <c r="N82" i="8" s="1"/>
  <c r="M61" i="8"/>
  <c r="M82" i="8" s="1"/>
  <c r="L61" i="8"/>
  <c r="L82" i="8" s="1"/>
  <c r="K61" i="8"/>
  <c r="K82" i="8" s="1"/>
  <c r="J61" i="8"/>
  <c r="J82" i="8" s="1"/>
  <c r="I61" i="8"/>
  <c r="I82" i="8" s="1"/>
  <c r="H61" i="8"/>
  <c r="H82" i="8" s="1"/>
  <c r="G61" i="8"/>
  <c r="G82" i="8" s="1"/>
  <c r="F61" i="8"/>
  <c r="F82" i="8" s="1"/>
  <c r="E61" i="8"/>
  <c r="E82" i="8" s="1"/>
  <c r="D61" i="8"/>
  <c r="D82" i="8" s="1"/>
  <c r="C61" i="8"/>
  <c r="C82" i="8" s="1"/>
  <c r="OT60" i="8"/>
  <c r="OT81" i="8" s="1"/>
  <c r="OS60" i="8"/>
  <c r="OS81" i="8" s="1"/>
  <c r="NO60" i="8"/>
  <c r="NO81" i="8" s="1"/>
  <c r="NN60" i="8"/>
  <c r="NN81" i="8" s="1"/>
  <c r="NM60" i="8"/>
  <c r="NM81" i="8" s="1"/>
  <c r="NL60" i="8"/>
  <c r="NL81" i="8" s="1"/>
  <c r="NK60" i="8"/>
  <c r="NK81" i="8" s="1"/>
  <c r="NJ60" i="8"/>
  <c r="NJ81" i="8" s="1"/>
  <c r="NI60" i="8"/>
  <c r="NI81" i="8" s="1"/>
  <c r="NH60" i="8"/>
  <c r="NH81" i="8" s="1"/>
  <c r="NG60" i="8"/>
  <c r="NG81" i="8" s="1"/>
  <c r="NF60" i="8"/>
  <c r="NF81" i="8" s="1"/>
  <c r="NE60" i="8"/>
  <c r="NE81" i="8" s="1"/>
  <c r="ND60" i="8"/>
  <c r="ND81" i="8" s="1"/>
  <c r="NC60" i="8"/>
  <c r="NC81" i="8" s="1"/>
  <c r="NB60" i="8"/>
  <c r="NB81" i="8" s="1"/>
  <c r="NA60" i="8"/>
  <c r="NA81" i="8" s="1"/>
  <c r="MZ60" i="8"/>
  <c r="MZ81" i="8" s="1"/>
  <c r="MY60" i="8"/>
  <c r="MY81" i="8" s="1"/>
  <c r="MX60" i="8"/>
  <c r="MX81" i="8" s="1"/>
  <c r="MW60" i="8"/>
  <c r="MW81" i="8" s="1"/>
  <c r="MV60" i="8"/>
  <c r="MV81" i="8" s="1"/>
  <c r="MU60" i="8"/>
  <c r="MU81" i="8" s="1"/>
  <c r="MT60" i="8"/>
  <c r="MT81" i="8" s="1"/>
  <c r="MS60" i="8"/>
  <c r="MS81" i="8" s="1"/>
  <c r="MR60" i="8"/>
  <c r="MR81" i="8" s="1"/>
  <c r="MQ60" i="8"/>
  <c r="MQ81" i="8" s="1"/>
  <c r="MP60" i="8"/>
  <c r="MP81" i="8" s="1"/>
  <c r="MO60" i="8"/>
  <c r="MO81" i="8" s="1"/>
  <c r="MN60" i="8"/>
  <c r="MN81" i="8" s="1"/>
  <c r="MM60" i="8"/>
  <c r="MM81" i="8" s="1"/>
  <c r="ML60" i="8"/>
  <c r="ML81" i="8" s="1"/>
  <c r="MK60" i="8"/>
  <c r="MK81" i="8" s="1"/>
  <c r="MJ60" i="8"/>
  <c r="MJ81" i="8" s="1"/>
  <c r="MI60" i="8"/>
  <c r="MI81" i="8" s="1"/>
  <c r="MH60" i="8"/>
  <c r="MH81" i="8" s="1"/>
  <c r="MG60" i="8"/>
  <c r="MG81" i="8" s="1"/>
  <c r="MF60" i="8"/>
  <c r="MF81" i="8" s="1"/>
  <c r="ME60" i="8"/>
  <c r="ME81" i="8" s="1"/>
  <c r="MD60" i="8"/>
  <c r="MD81" i="8" s="1"/>
  <c r="MC60" i="8"/>
  <c r="MC81" i="8" s="1"/>
  <c r="MB60" i="8"/>
  <c r="MB81" i="8" s="1"/>
  <c r="MA60" i="8"/>
  <c r="MA81" i="8" s="1"/>
  <c r="LZ60" i="8"/>
  <c r="LZ81" i="8" s="1"/>
  <c r="LY60" i="8"/>
  <c r="LY81" i="8" s="1"/>
  <c r="LX60" i="8"/>
  <c r="LX81" i="8" s="1"/>
  <c r="LW60" i="8"/>
  <c r="LW81" i="8" s="1"/>
  <c r="LV60" i="8"/>
  <c r="LV81" i="8" s="1"/>
  <c r="LU60" i="8"/>
  <c r="LU81" i="8" s="1"/>
  <c r="LT60" i="8"/>
  <c r="LT81" i="8" s="1"/>
  <c r="LS60" i="8"/>
  <c r="LS81" i="8" s="1"/>
  <c r="LR60" i="8"/>
  <c r="LR81" i="8" s="1"/>
  <c r="LQ60" i="8"/>
  <c r="LQ81" i="8" s="1"/>
  <c r="LP60" i="8"/>
  <c r="LP81" i="8" s="1"/>
  <c r="LO60" i="8"/>
  <c r="LO81" i="8" s="1"/>
  <c r="LN60" i="8"/>
  <c r="LN81" i="8" s="1"/>
  <c r="LM60" i="8"/>
  <c r="LM81" i="8" s="1"/>
  <c r="LL60" i="8"/>
  <c r="LL81" i="8" s="1"/>
  <c r="LK60" i="8"/>
  <c r="LK81" i="8" s="1"/>
  <c r="LJ60" i="8"/>
  <c r="LJ81" i="8" s="1"/>
  <c r="LI60" i="8"/>
  <c r="LI81" i="8" s="1"/>
  <c r="LH60" i="8"/>
  <c r="LH81" i="8" s="1"/>
  <c r="LG60" i="8"/>
  <c r="LG81" i="8" s="1"/>
  <c r="LF60" i="8"/>
  <c r="LF81" i="8" s="1"/>
  <c r="LE60" i="8"/>
  <c r="LE81" i="8" s="1"/>
  <c r="LD60" i="8"/>
  <c r="LD81" i="8" s="1"/>
  <c r="LC60" i="8"/>
  <c r="LC81" i="8" s="1"/>
  <c r="LB60" i="8"/>
  <c r="LB81" i="8" s="1"/>
  <c r="LA60" i="8"/>
  <c r="LA81" i="8" s="1"/>
  <c r="KZ60" i="8"/>
  <c r="KZ81" i="8" s="1"/>
  <c r="KY60" i="8"/>
  <c r="KY81" i="8" s="1"/>
  <c r="KX60" i="8"/>
  <c r="KX81" i="8" s="1"/>
  <c r="KW60" i="8"/>
  <c r="KW81" i="8" s="1"/>
  <c r="KV60" i="8"/>
  <c r="KV81" i="8" s="1"/>
  <c r="KU60" i="8"/>
  <c r="KU81" i="8" s="1"/>
  <c r="KT60" i="8"/>
  <c r="KT81" i="8" s="1"/>
  <c r="KS60" i="8"/>
  <c r="KS81" i="8" s="1"/>
  <c r="KR60" i="8"/>
  <c r="KR81" i="8" s="1"/>
  <c r="KQ60" i="8"/>
  <c r="KQ81" i="8" s="1"/>
  <c r="KP60" i="8"/>
  <c r="KP81" i="8" s="1"/>
  <c r="KO60" i="8"/>
  <c r="KO81" i="8" s="1"/>
  <c r="KN60" i="8"/>
  <c r="KN81" i="8" s="1"/>
  <c r="KM60" i="8"/>
  <c r="KM81" i="8" s="1"/>
  <c r="KL60" i="8"/>
  <c r="KL81" i="8" s="1"/>
  <c r="KK60" i="8"/>
  <c r="KK81" i="8" s="1"/>
  <c r="KJ60" i="8"/>
  <c r="KJ81" i="8" s="1"/>
  <c r="KI60" i="8"/>
  <c r="KI81" i="8" s="1"/>
  <c r="KH60" i="8"/>
  <c r="KH81" i="8" s="1"/>
  <c r="KG60" i="8"/>
  <c r="KG81" i="8" s="1"/>
  <c r="KF60" i="8"/>
  <c r="KF81" i="8" s="1"/>
  <c r="KE60" i="8"/>
  <c r="KE81" i="8" s="1"/>
  <c r="KD60" i="8"/>
  <c r="KD81" i="8" s="1"/>
  <c r="KC60" i="8"/>
  <c r="KC81" i="8" s="1"/>
  <c r="KB60" i="8"/>
  <c r="KB81" i="8" s="1"/>
  <c r="KA60" i="8"/>
  <c r="KA81" i="8" s="1"/>
  <c r="JZ60" i="8"/>
  <c r="JZ81" i="8" s="1"/>
  <c r="JY60" i="8"/>
  <c r="JY81" i="8" s="1"/>
  <c r="JX60" i="8"/>
  <c r="JX81" i="8" s="1"/>
  <c r="JW60" i="8"/>
  <c r="JW81" i="8" s="1"/>
  <c r="JV60" i="8"/>
  <c r="JV81" i="8" s="1"/>
  <c r="JU60" i="8"/>
  <c r="JU81" i="8" s="1"/>
  <c r="JT60" i="8"/>
  <c r="JT81" i="8" s="1"/>
  <c r="JS60" i="8"/>
  <c r="JS81" i="8" s="1"/>
  <c r="JR60" i="8"/>
  <c r="JR81" i="8" s="1"/>
  <c r="JQ60" i="8"/>
  <c r="JQ81" i="8" s="1"/>
  <c r="JP60" i="8"/>
  <c r="JP81" i="8" s="1"/>
  <c r="JO60" i="8"/>
  <c r="JO81" i="8" s="1"/>
  <c r="JN60" i="8"/>
  <c r="JN81" i="8" s="1"/>
  <c r="JM60" i="8"/>
  <c r="JM81" i="8" s="1"/>
  <c r="JL60" i="8"/>
  <c r="JL81" i="8" s="1"/>
  <c r="JK60" i="8"/>
  <c r="JK81" i="8" s="1"/>
  <c r="JJ60" i="8"/>
  <c r="JJ81" i="8" s="1"/>
  <c r="JI60" i="8"/>
  <c r="JI81" i="8" s="1"/>
  <c r="JH60" i="8"/>
  <c r="JH81" i="8" s="1"/>
  <c r="JG60" i="8"/>
  <c r="JG81" i="8" s="1"/>
  <c r="JF60" i="8"/>
  <c r="JF81" i="8" s="1"/>
  <c r="JE60" i="8"/>
  <c r="JE81" i="8" s="1"/>
  <c r="JD60" i="8"/>
  <c r="JD81" i="8" s="1"/>
  <c r="JC60" i="8"/>
  <c r="JC81" i="8" s="1"/>
  <c r="JB60" i="8"/>
  <c r="JB81" i="8" s="1"/>
  <c r="JA60" i="8"/>
  <c r="JA81" i="8" s="1"/>
  <c r="IZ60" i="8"/>
  <c r="IZ81" i="8" s="1"/>
  <c r="IY60" i="8"/>
  <c r="IY81" i="8" s="1"/>
  <c r="IX60" i="8"/>
  <c r="IX81" i="8" s="1"/>
  <c r="IW60" i="8"/>
  <c r="IW81" i="8" s="1"/>
  <c r="IV60" i="8"/>
  <c r="IV81" i="8" s="1"/>
  <c r="IU60" i="8"/>
  <c r="IU81" i="8" s="1"/>
  <c r="IT60" i="8"/>
  <c r="IT81" i="8" s="1"/>
  <c r="IS60" i="8"/>
  <c r="IS81" i="8" s="1"/>
  <c r="IR60" i="8"/>
  <c r="IR81" i="8" s="1"/>
  <c r="IQ60" i="8"/>
  <c r="IQ81" i="8" s="1"/>
  <c r="IP60" i="8"/>
  <c r="IP81" i="8" s="1"/>
  <c r="IO60" i="8"/>
  <c r="IO81" i="8" s="1"/>
  <c r="IN60" i="8"/>
  <c r="IN81" i="8" s="1"/>
  <c r="IM60" i="8"/>
  <c r="IM81" i="8" s="1"/>
  <c r="IL60" i="8"/>
  <c r="IL81" i="8" s="1"/>
  <c r="IK60" i="8"/>
  <c r="IK81" i="8" s="1"/>
  <c r="IJ60" i="8"/>
  <c r="IJ81" i="8" s="1"/>
  <c r="II60" i="8"/>
  <c r="II81" i="8" s="1"/>
  <c r="IH60" i="8"/>
  <c r="IH81" i="8" s="1"/>
  <c r="IG60" i="8"/>
  <c r="IG81" i="8" s="1"/>
  <c r="IF60" i="8"/>
  <c r="IF81" i="8" s="1"/>
  <c r="IE60" i="8"/>
  <c r="IE81" i="8" s="1"/>
  <c r="ID60" i="8"/>
  <c r="ID81" i="8" s="1"/>
  <c r="IC60" i="8"/>
  <c r="IC81" i="8" s="1"/>
  <c r="IB60" i="8"/>
  <c r="IB81" i="8" s="1"/>
  <c r="IA60" i="8"/>
  <c r="IA81" i="8" s="1"/>
  <c r="HZ60" i="8"/>
  <c r="HZ81" i="8" s="1"/>
  <c r="HY60" i="8"/>
  <c r="HY81" i="8" s="1"/>
  <c r="HX60" i="8"/>
  <c r="HX81" i="8" s="1"/>
  <c r="HW60" i="8"/>
  <c r="HW81" i="8" s="1"/>
  <c r="HV60" i="8"/>
  <c r="HV81" i="8" s="1"/>
  <c r="HU60" i="8"/>
  <c r="HU81" i="8" s="1"/>
  <c r="HT60" i="8"/>
  <c r="HT81" i="8" s="1"/>
  <c r="HS60" i="8"/>
  <c r="HS81" i="8" s="1"/>
  <c r="HR60" i="8"/>
  <c r="HR81" i="8" s="1"/>
  <c r="HQ60" i="8"/>
  <c r="HQ81" i="8" s="1"/>
  <c r="HP60" i="8"/>
  <c r="HP81" i="8" s="1"/>
  <c r="HO60" i="8"/>
  <c r="HO81" i="8" s="1"/>
  <c r="HN60" i="8"/>
  <c r="HN81" i="8" s="1"/>
  <c r="HM60" i="8"/>
  <c r="HM81" i="8" s="1"/>
  <c r="HL60" i="8"/>
  <c r="HL81" i="8" s="1"/>
  <c r="HK60" i="8"/>
  <c r="HK81" i="8" s="1"/>
  <c r="HJ60" i="8"/>
  <c r="HJ81" i="8" s="1"/>
  <c r="HI60" i="8"/>
  <c r="HI81" i="8" s="1"/>
  <c r="HH60" i="8"/>
  <c r="HH81" i="8" s="1"/>
  <c r="HG60" i="8"/>
  <c r="HG81" i="8" s="1"/>
  <c r="HF60" i="8"/>
  <c r="HF81" i="8" s="1"/>
  <c r="HE60" i="8"/>
  <c r="HE81" i="8" s="1"/>
  <c r="HD60" i="8"/>
  <c r="HD81" i="8" s="1"/>
  <c r="HC60" i="8"/>
  <c r="HC81" i="8" s="1"/>
  <c r="HB60" i="8"/>
  <c r="HB81" i="8" s="1"/>
  <c r="HA60" i="8"/>
  <c r="HA81" i="8" s="1"/>
  <c r="GZ60" i="8"/>
  <c r="GZ81" i="8" s="1"/>
  <c r="GY60" i="8"/>
  <c r="GY81" i="8" s="1"/>
  <c r="GX60" i="8"/>
  <c r="GX81" i="8" s="1"/>
  <c r="GW60" i="8"/>
  <c r="GW81" i="8" s="1"/>
  <c r="GV60" i="8"/>
  <c r="GV81" i="8" s="1"/>
  <c r="GU60" i="8"/>
  <c r="GU81" i="8" s="1"/>
  <c r="GT60" i="8"/>
  <c r="GT81" i="8" s="1"/>
  <c r="GS60" i="8"/>
  <c r="GS81" i="8" s="1"/>
  <c r="GR60" i="8"/>
  <c r="GR81" i="8" s="1"/>
  <c r="GQ60" i="8"/>
  <c r="GQ81" i="8" s="1"/>
  <c r="GP60" i="8"/>
  <c r="GP81" i="8" s="1"/>
  <c r="GO60" i="8"/>
  <c r="GO81" i="8" s="1"/>
  <c r="GN60" i="8"/>
  <c r="GN81" i="8" s="1"/>
  <c r="GM60" i="8"/>
  <c r="GM81" i="8" s="1"/>
  <c r="GL60" i="8"/>
  <c r="GL81" i="8" s="1"/>
  <c r="GK60" i="8"/>
  <c r="GK81" i="8" s="1"/>
  <c r="GJ60" i="8"/>
  <c r="GJ81" i="8" s="1"/>
  <c r="GI60" i="8"/>
  <c r="GI81" i="8" s="1"/>
  <c r="GH60" i="8"/>
  <c r="GH81" i="8" s="1"/>
  <c r="GG60" i="8"/>
  <c r="GG81" i="8" s="1"/>
  <c r="GF60" i="8"/>
  <c r="GF81" i="8" s="1"/>
  <c r="GE60" i="8"/>
  <c r="GE81" i="8" s="1"/>
  <c r="GD60" i="8"/>
  <c r="GD81" i="8" s="1"/>
  <c r="GC60" i="8"/>
  <c r="GC81" i="8" s="1"/>
  <c r="GB60" i="8"/>
  <c r="GB81" i="8" s="1"/>
  <c r="GA60" i="8"/>
  <c r="GA81" i="8" s="1"/>
  <c r="FZ60" i="8"/>
  <c r="FZ81" i="8" s="1"/>
  <c r="FY60" i="8"/>
  <c r="FY81" i="8" s="1"/>
  <c r="FX60" i="8"/>
  <c r="FX81" i="8" s="1"/>
  <c r="FW60" i="8"/>
  <c r="FW81" i="8" s="1"/>
  <c r="FV60" i="8"/>
  <c r="FV81" i="8" s="1"/>
  <c r="FU60" i="8"/>
  <c r="FU81" i="8" s="1"/>
  <c r="FT60" i="8"/>
  <c r="FT81" i="8" s="1"/>
  <c r="FO60" i="8"/>
  <c r="FO81" i="8" s="1"/>
  <c r="FM60" i="8"/>
  <c r="FM81" i="8" s="1"/>
  <c r="FL60" i="8"/>
  <c r="FL81" i="8" s="1"/>
  <c r="FK60" i="8"/>
  <c r="FK81" i="8" s="1"/>
  <c r="FJ60" i="8"/>
  <c r="FJ81" i="8" s="1"/>
  <c r="FI60" i="8"/>
  <c r="FI81" i="8" s="1"/>
  <c r="FH60" i="8"/>
  <c r="FH81" i="8" s="1"/>
  <c r="FG60" i="8"/>
  <c r="FG81" i="8" s="1"/>
  <c r="FF60" i="8"/>
  <c r="FF81" i="8" s="1"/>
  <c r="FE60" i="8"/>
  <c r="FE81" i="8" s="1"/>
  <c r="FD60" i="8"/>
  <c r="FD81" i="8" s="1"/>
  <c r="FC60" i="8"/>
  <c r="FC81" i="8" s="1"/>
  <c r="FB60" i="8"/>
  <c r="FB81" i="8" s="1"/>
  <c r="FA60" i="8"/>
  <c r="FA81" i="8" s="1"/>
  <c r="EZ60" i="8"/>
  <c r="EZ81" i="8" s="1"/>
  <c r="EY60" i="8"/>
  <c r="EY81" i="8" s="1"/>
  <c r="EX60" i="8"/>
  <c r="EX81" i="8" s="1"/>
  <c r="EW60" i="8"/>
  <c r="EW81" i="8" s="1"/>
  <c r="EV60" i="8"/>
  <c r="EV81" i="8" s="1"/>
  <c r="EU60" i="8"/>
  <c r="EU81" i="8" s="1"/>
  <c r="ET60" i="8"/>
  <c r="ET81" i="8" s="1"/>
  <c r="ES60" i="8"/>
  <c r="ES81" i="8" s="1"/>
  <c r="ER60" i="8"/>
  <c r="ER81" i="8" s="1"/>
  <c r="EQ60" i="8"/>
  <c r="EQ81" i="8" s="1"/>
  <c r="EP60" i="8"/>
  <c r="EP81" i="8" s="1"/>
  <c r="EO60" i="8"/>
  <c r="EO81" i="8" s="1"/>
  <c r="EN60" i="8"/>
  <c r="EN81" i="8" s="1"/>
  <c r="EM60" i="8"/>
  <c r="EM81" i="8" s="1"/>
  <c r="EL60" i="8"/>
  <c r="EL81" i="8" s="1"/>
  <c r="EK60" i="8"/>
  <c r="EK81" i="8" s="1"/>
  <c r="EJ60" i="8"/>
  <c r="EJ81" i="8" s="1"/>
  <c r="EI60" i="8"/>
  <c r="EI81" i="8" s="1"/>
  <c r="EH60" i="8"/>
  <c r="EH81" i="8" s="1"/>
  <c r="EG60" i="8"/>
  <c r="EG81" i="8" s="1"/>
  <c r="EF60" i="8"/>
  <c r="EF81" i="8" s="1"/>
  <c r="EE60" i="8"/>
  <c r="EE81" i="8" s="1"/>
  <c r="ED60" i="8"/>
  <c r="ED81" i="8" s="1"/>
  <c r="EC60" i="8"/>
  <c r="EC81" i="8" s="1"/>
  <c r="EB60" i="8"/>
  <c r="EB81" i="8" s="1"/>
  <c r="EA60" i="8"/>
  <c r="EA81" i="8" s="1"/>
  <c r="DZ60" i="8"/>
  <c r="DZ81" i="8" s="1"/>
  <c r="DY60" i="8"/>
  <c r="DY81" i="8" s="1"/>
  <c r="DX60" i="8"/>
  <c r="DX81" i="8" s="1"/>
  <c r="DW60" i="8"/>
  <c r="DW81" i="8" s="1"/>
  <c r="DV60" i="8"/>
  <c r="DV81" i="8" s="1"/>
  <c r="DU60" i="8"/>
  <c r="DU81" i="8" s="1"/>
  <c r="DT60" i="8"/>
  <c r="DT81" i="8" s="1"/>
  <c r="DS60" i="8"/>
  <c r="DS81" i="8" s="1"/>
  <c r="DR60" i="8"/>
  <c r="DR81" i="8" s="1"/>
  <c r="DQ60" i="8"/>
  <c r="DQ81" i="8" s="1"/>
  <c r="DP60" i="8"/>
  <c r="DP81" i="8" s="1"/>
  <c r="DO60" i="8"/>
  <c r="DO81" i="8" s="1"/>
  <c r="DN60" i="8"/>
  <c r="DN81" i="8" s="1"/>
  <c r="DM60" i="8"/>
  <c r="DM81" i="8" s="1"/>
  <c r="DL60" i="8"/>
  <c r="DL81" i="8" s="1"/>
  <c r="DK60" i="8"/>
  <c r="DK81" i="8" s="1"/>
  <c r="DJ60" i="8"/>
  <c r="DJ81" i="8" s="1"/>
  <c r="DI60" i="8"/>
  <c r="DI81" i="8" s="1"/>
  <c r="DH60" i="8"/>
  <c r="DH81" i="8" s="1"/>
  <c r="DG60" i="8"/>
  <c r="DG81" i="8" s="1"/>
  <c r="DF60" i="8"/>
  <c r="DF81" i="8" s="1"/>
  <c r="DE60" i="8"/>
  <c r="DE81" i="8" s="1"/>
  <c r="DD60" i="8"/>
  <c r="DD81" i="8" s="1"/>
  <c r="DC60" i="8"/>
  <c r="DC81" i="8" s="1"/>
  <c r="DB60" i="8"/>
  <c r="DB81" i="8" s="1"/>
  <c r="DA60" i="8"/>
  <c r="DA81" i="8" s="1"/>
  <c r="CZ60" i="8"/>
  <c r="CZ81" i="8" s="1"/>
  <c r="CY60" i="8"/>
  <c r="CY81" i="8" s="1"/>
  <c r="CX60" i="8"/>
  <c r="CX81" i="8" s="1"/>
  <c r="CW60" i="8"/>
  <c r="CW81" i="8" s="1"/>
  <c r="CV60" i="8"/>
  <c r="CV81" i="8" s="1"/>
  <c r="CU60" i="8"/>
  <c r="CU81" i="8" s="1"/>
  <c r="CT60" i="8"/>
  <c r="CT81" i="8" s="1"/>
  <c r="CS60" i="8"/>
  <c r="CS81" i="8" s="1"/>
  <c r="CR60" i="8"/>
  <c r="CR81" i="8" s="1"/>
  <c r="CQ60" i="8"/>
  <c r="CQ81" i="8" s="1"/>
  <c r="CP60" i="8"/>
  <c r="CP81" i="8" s="1"/>
  <c r="CO60" i="8"/>
  <c r="CO81" i="8" s="1"/>
  <c r="CN60" i="8"/>
  <c r="CN81" i="8" s="1"/>
  <c r="CM60" i="8"/>
  <c r="CM81" i="8" s="1"/>
  <c r="CL60" i="8"/>
  <c r="CL81" i="8" s="1"/>
  <c r="CK60" i="8"/>
  <c r="CK81" i="8" s="1"/>
  <c r="CJ60" i="8"/>
  <c r="CJ81" i="8" s="1"/>
  <c r="CI60" i="8"/>
  <c r="CI81" i="8" s="1"/>
  <c r="CH60" i="8"/>
  <c r="CH81" i="8" s="1"/>
  <c r="CG60" i="8"/>
  <c r="CG81" i="8" s="1"/>
  <c r="CF60" i="8"/>
  <c r="CF81" i="8" s="1"/>
  <c r="CE60" i="8"/>
  <c r="CE81" i="8" s="1"/>
  <c r="CD60" i="8"/>
  <c r="CD81" i="8" s="1"/>
  <c r="CC60" i="8"/>
  <c r="CC81" i="8" s="1"/>
  <c r="CB60" i="8"/>
  <c r="CB81" i="8" s="1"/>
  <c r="CA60" i="8"/>
  <c r="CA81" i="8" s="1"/>
  <c r="BZ60" i="8"/>
  <c r="BZ81" i="8" s="1"/>
  <c r="BY60" i="8"/>
  <c r="BY81" i="8" s="1"/>
  <c r="BX60" i="8"/>
  <c r="BX81" i="8" s="1"/>
  <c r="BW60" i="8"/>
  <c r="BW81" i="8" s="1"/>
  <c r="BV60" i="8"/>
  <c r="BV81" i="8" s="1"/>
  <c r="BU60" i="8"/>
  <c r="BU81" i="8" s="1"/>
  <c r="BT60" i="8"/>
  <c r="BT81" i="8" s="1"/>
  <c r="BS60" i="8"/>
  <c r="BS81" i="8" s="1"/>
  <c r="BR60" i="8"/>
  <c r="BR81" i="8" s="1"/>
  <c r="BQ60" i="8"/>
  <c r="BQ81" i="8" s="1"/>
  <c r="BP60" i="8"/>
  <c r="BP81" i="8" s="1"/>
  <c r="BO60" i="8"/>
  <c r="BO81" i="8" s="1"/>
  <c r="BN60" i="8"/>
  <c r="BN81" i="8" s="1"/>
  <c r="BM60" i="8"/>
  <c r="BM81" i="8" s="1"/>
  <c r="BL60" i="8"/>
  <c r="BL81" i="8" s="1"/>
  <c r="BK60" i="8"/>
  <c r="BK81" i="8" s="1"/>
  <c r="BJ60" i="8"/>
  <c r="BJ81" i="8" s="1"/>
  <c r="BI60" i="8"/>
  <c r="BI81" i="8" s="1"/>
  <c r="BH60" i="8"/>
  <c r="BH81" i="8" s="1"/>
  <c r="BG60" i="8"/>
  <c r="BG81" i="8" s="1"/>
  <c r="BF60" i="8"/>
  <c r="BF81" i="8" s="1"/>
  <c r="BE60" i="8"/>
  <c r="BE81" i="8" s="1"/>
  <c r="BD60" i="8"/>
  <c r="BD81" i="8" s="1"/>
  <c r="BC60" i="8"/>
  <c r="BC81" i="8" s="1"/>
  <c r="BB60" i="8"/>
  <c r="BB81" i="8" s="1"/>
  <c r="BA60" i="8"/>
  <c r="BA81" i="8" s="1"/>
  <c r="AZ60" i="8"/>
  <c r="AZ81" i="8" s="1"/>
  <c r="AY60" i="8"/>
  <c r="AY81" i="8" s="1"/>
  <c r="AX60" i="8"/>
  <c r="AX81" i="8" s="1"/>
  <c r="AW60" i="8"/>
  <c r="AW81" i="8" s="1"/>
  <c r="AV60" i="8"/>
  <c r="AV81" i="8" s="1"/>
  <c r="AU60" i="8"/>
  <c r="AU81" i="8" s="1"/>
  <c r="AT60" i="8"/>
  <c r="AT81" i="8" s="1"/>
  <c r="AS60" i="8"/>
  <c r="AS81" i="8" s="1"/>
  <c r="AR60" i="8"/>
  <c r="AR81" i="8" s="1"/>
  <c r="AQ60" i="8"/>
  <c r="AQ81" i="8" s="1"/>
  <c r="AP60" i="8"/>
  <c r="AP81" i="8" s="1"/>
  <c r="AO60" i="8"/>
  <c r="AO81" i="8" s="1"/>
  <c r="AN60" i="8"/>
  <c r="AN81" i="8" s="1"/>
  <c r="AM60" i="8"/>
  <c r="AM81" i="8" s="1"/>
  <c r="AL60" i="8"/>
  <c r="AL81" i="8" s="1"/>
  <c r="AK60" i="8"/>
  <c r="AK81" i="8" s="1"/>
  <c r="AJ60" i="8"/>
  <c r="AJ81" i="8" s="1"/>
  <c r="AI60" i="8"/>
  <c r="AI81" i="8" s="1"/>
  <c r="AH60" i="8"/>
  <c r="AH81" i="8" s="1"/>
  <c r="AG60" i="8"/>
  <c r="AG81" i="8" s="1"/>
  <c r="AF60" i="8"/>
  <c r="AF81" i="8" s="1"/>
  <c r="AE60" i="8"/>
  <c r="AE81" i="8" s="1"/>
  <c r="AD60" i="8"/>
  <c r="AD81" i="8" s="1"/>
  <c r="AC60" i="8"/>
  <c r="AC81" i="8" s="1"/>
  <c r="AB60" i="8"/>
  <c r="AB81" i="8" s="1"/>
  <c r="AA60" i="8"/>
  <c r="AA81" i="8" s="1"/>
  <c r="Z60" i="8"/>
  <c r="Z81" i="8" s="1"/>
  <c r="Y60" i="8"/>
  <c r="Y81" i="8" s="1"/>
  <c r="X60" i="8"/>
  <c r="X81" i="8" s="1"/>
  <c r="W60" i="8"/>
  <c r="W81" i="8" s="1"/>
  <c r="V60" i="8"/>
  <c r="V81" i="8" s="1"/>
  <c r="U60" i="8"/>
  <c r="U81" i="8" s="1"/>
  <c r="T60" i="8"/>
  <c r="T81" i="8" s="1"/>
  <c r="S60" i="8"/>
  <c r="S81" i="8" s="1"/>
  <c r="R60" i="8"/>
  <c r="R81" i="8" s="1"/>
  <c r="Q60" i="8"/>
  <c r="Q81" i="8" s="1"/>
  <c r="P60" i="8"/>
  <c r="P81" i="8" s="1"/>
  <c r="O60" i="8"/>
  <c r="O81" i="8" s="1"/>
  <c r="N60" i="8"/>
  <c r="N81" i="8" s="1"/>
  <c r="M60" i="8"/>
  <c r="M81" i="8" s="1"/>
  <c r="L60" i="8"/>
  <c r="L81" i="8" s="1"/>
  <c r="K60" i="8"/>
  <c r="K81" i="8" s="1"/>
  <c r="J60" i="8"/>
  <c r="J81" i="8" s="1"/>
  <c r="I60" i="8"/>
  <c r="I81" i="8" s="1"/>
  <c r="H60" i="8"/>
  <c r="H81" i="8" s="1"/>
  <c r="G60" i="8"/>
  <c r="G81" i="8" s="1"/>
  <c r="F60" i="8"/>
  <c r="F81" i="8" s="1"/>
  <c r="E60" i="8"/>
  <c r="E81" i="8" s="1"/>
  <c r="D60" i="8"/>
  <c r="D81" i="8" s="1"/>
  <c r="C60" i="8"/>
  <c r="C81" i="8" s="1"/>
  <c r="OT59" i="8"/>
  <c r="OT80" i="8" s="1"/>
  <c r="OS59" i="8"/>
  <c r="OS80" i="8" s="1"/>
  <c r="NO59" i="8"/>
  <c r="NO80" i="8" s="1"/>
  <c r="NN59" i="8"/>
  <c r="NN80" i="8" s="1"/>
  <c r="NM59" i="8"/>
  <c r="NM80" i="8" s="1"/>
  <c r="NL59" i="8"/>
  <c r="NL80" i="8" s="1"/>
  <c r="NK59" i="8"/>
  <c r="NK80" i="8" s="1"/>
  <c r="NJ59" i="8"/>
  <c r="NJ80" i="8" s="1"/>
  <c r="NI59" i="8"/>
  <c r="NI80" i="8" s="1"/>
  <c r="NH59" i="8"/>
  <c r="NH80" i="8" s="1"/>
  <c r="NG59" i="8"/>
  <c r="NG80" i="8" s="1"/>
  <c r="NF59" i="8"/>
  <c r="NF80" i="8" s="1"/>
  <c r="NE59" i="8"/>
  <c r="NE80" i="8" s="1"/>
  <c r="ND59" i="8"/>
  <c r="ND80" i="8" s="1"/>
  <c r="NC59" i="8"/>
  <c r="NC80" i="8" s="1"/>
  <c r="NB59" i="8"/>
  <c r="NB80" i="8" s="1"/>
  <c r="NA59" i="8"/>
  <c r="NA80" i="8" s="1"/>
  <c r="MZ59" i="8"/>
  <c r="MZ80" i="8" s="1"/>
  <c r="MY59" i="8"/>
  <c r="MY80" i="8" s="1"/>
  <c r="MX59" i="8"/>
  <c r="MX80" i="8" s="1"/>
  <c r="MW59" i="8"/>
  <c r="MW80" i="8" s="1"/>
  <c r="MV59" i="8"/>
  <c r="MV80" i="8" s="1"/>
  <c r="MU59" i="8"/>
  <c r="MU80" i="8" s="1"/>
  <c r="MT59" i="8"/>
  <c r="MT80" i="8" s="1"/>
  <c r="MS59" i="8"/>
  <c r="MS80" i="8" s="1"/>
  <c r="MR59" i="8"/>
  <c r="MR80" i="8" s="1"/>
  <c r="MQ59" i="8"/>
  <c r="MQ80" i="8" s="1"/>
  <c r="MP59" i="8"/>
  <c r="MP80" i="8" s="1"/>
  <c r="MO59" i="8"/>
  <c r="MO80" i="8" s="1"/>
  <c r="MN59" i="8"/>
  <c r="MN80" i="8" s="1"/>
  <c r="MM59" i="8"/>
  <c r="MM80" i="8" s="1"/>
  <c r="ML59" i="8"/>
  <c r="ML80" i="8" s="1"/>
  <c r="MK59" i="8"/>
  <c r="MK80" i="8" s="1"/>
  <c r="MJ59" i="8"/>
  <c r="MJ80" i="8" s="1"/>
  <c r="MI59" i="8"/>
  <c r="MI80" i="8" s="1"/>
  <c r="MH59" i="8"/>
  <c r="MH80" i="8" s="1"/>
  <c r="MG59" i="8"/>
  <c r="MG80" i="8" s="1"/>
  <c r="MF59" i="8"/>
  <c r="MF80" i="8" s="1"/>
  <c r="ME59" i="8"/>
  <c r="ME80" i="8" s="1"/>
  <c r="MD59" i="8"/>
  <c r="MD80" i="8" s="1"/>
  <c r="MC59" i="8"/>
  <c r="MC80" i="8" s="1"/>
  <c r="MB59" i="8"/>
  <c r="MB80" i="8" s="1"/>
  <c r="MA59" i="8"/>
  <c r="MA80" i="8" s="1"/>
  <c r="LZ59" i="8"/>
  <c r="LZ80" i="8" s="1"/>
  <c r="LY59" i="8"/>
  <c r="LY80" i="8" s="1"/>
  <c r="LX59" i="8"/>
  <c r="LX80" i="8" s="1"/>
  <c r="LW59" i="8"/>
  <c r="LW80" i="8" s="1"/>
  <c r="LV59" i="8"/>
  <c r="LV80" i="8" s="1"/>
  <c r="LU59" i="8"/>
  <c r="LU80" i="8" s="1"/>
  <c r="LT59" i="8"/>
  <c r="LT80" i="8" s="1"/>
  <c r="LS59" i="8"/>
  <c r="LS80" i="8" s="1"/>
  <c r="LR59" i="8"/>
  <c r="LR80" i="8" s="1"/>
  <c r="LQ59" i="8"/>
  <c r="LQ80" i="8" s="1"/>
  <c r="LP59" i="8"/>
  <c r="LP80" i="8" s="1"/>
  <c r="LO59" i="8"/>
  <c r="LO80" i="8" s="1"/>
  <c r="LN59" i="8"/>
  <c r="LN80" i="8" s="1"/>
  <c r="LM59" i="8"/>
  <c r="LM80" i="8" s="1"/>
  <c r="LL59" i="8"/>
  <c r="LL80" i="8" s="1"/>
  <c r="LK59" i="8"/>
  <c r="LK80" i="8" s="1"/>
  <c r="LJ59" i="8"/>
  <c r="LJ80" i="8" s="1"/>
  <c r="LI59" i="8"/>
  <c r="LI80" i="8" s="1"/>
  <c r="LH59" i="8"/>
  <c r="LH80" i="8" s="1"/>
  <c r="LG59" i="8"/>
  <c r="LG80" i="8" s="1"/>
  <c r="LF59" i="8"/>
  <c r="LF80" i="8" s="1"/>
  <c r="LE59" i="8"/>
  <c r="LE80" i="8" s="1"/>
  <c r="LD59" i="8"/>
  <c r="LD80" i="8" s="1"/>
  <c r="LC59" i="8"/>
  <c r="LC80" i="8" s="1"/>
  <c r="LB59" i="8"/>
  <c r="LB80" i="8" s="1"/>
  <c r="LA59" i="8"/>
  <c r="LA80" i="8" s="1"/>
  <c r="KZ59" i="8"/>
  <c r="KZ80" i="8" s="1"/>
  <c r="KY59" i="8"/>
  <c r="KY80" i="8" s="1"/>
  <c r="KX59" i="8"/>
  <c r="KX80" i="8" s="1"/>
  <c r="KW59" i="8"/>
  <c r="KW80" i="8" s="1"/>
  <c r="KV59" i="8"/>
  <c r="KV80" i="8" s="1"/>
  <c r="KU59" i="8"/>
  <c r="KU80" i="8" s="1"/>
  <c r="KT59" i="8"/>
  <c r="KT80" i="8" s="1"/>
  <c r="KS59" i="8"/>
  <c r="KS80" i="8" s="1"/>
  <c r="KR59" i="8"/>
  <c r="KR80" i="8" s="1"/>
  <c r="KQ59" i="8"/>
  <c r="KQ80" i="8" s="1"/>
  <c r="KP59" i="8"/>
  <c r="KP80" i="8" s="1"/>
  <c r="KO59" i="8"/>
  <c r="KO80" i="8" s="1"/>
  <c r="KN59" i="8"/>
  <c r="KN80" i="8" s="1"/>
  <c r="KM59" i="8"/>
  <c r="KM80" i="8" s="1"/>
  <c r="KL59" i="8"/>
  <c r="KL80" i="8" s="1"/>
  <c r="KK59" i="8"/>
  <c r="KK80" i="8" s="1"/>
  <c r="KJ59" i="8"/>
  <c r="KJ80" i="8" s="1"/>
  <c r="KI59" i="8"/>
  <c r="KI80" i="8" s="1"/>
  <c r="KH59" i="8"/>
  <c r="KH80" i="8" s="1"/>
  <c r="KG59" i="8"/>
  <c r="KG80" i="8" s="1"/>
  <c r="KF59" i="8"/>
  <c r="KF80" i="8" s="1"/>
  <c r="KE59" i="8"/>
  <c r="KE80" i="8" s="1"/>
  <c r="KD59" i="8"/>
  <c r="KD80" i="8" s="1"/>
  <c r="KC59" i="8"/>
  <c r="KC80" i="8" s="1"/>
  <c r="KB59" i="8"/>
  <c r="KB80" i="8" s="1"/>
  <c r="KA59" i="8"/>
  <c r="KA80" i="8" s="1"/>
  <c r="JZ59" i="8"/>
  <c r="JZ80" i="8" s="1"/>
  <c r="JY59" i="8"/>
  <c r="JY80" i="8" s="1"/>
  <c r="JX59" i="8"/>
  <c r="JX80" i="8" s="1"/>
  <c r="JW59" i="8"/>
  <c r="JW80" i="8" s="1"/>
  <c r="JV59" i="8"/>
  <c r="JV80" i="8" s="1"/>
  <c r="JU59" i="8"/>
  <c r="JU80" i="8" s="1"/>
  <c r="JT59" i="8"/>
  <c r="JT80" i="8" s="1"/>
  <c r="JS59" i="8"/>
  <c r="JS80" i="8" s="1"/>
  <c r="JR59" i="8"/>
  <c r="JR80" i="8" s="1"/>
  <c r="JQ59" i="8"/>
  <c r="JQ80" i="8" s="1"/>
  <c r="JP59" i="8"/>
  <c r="JP80" i="8" s="1"/>
  <c r="JO59" i="8"/>
  <c r="JO80" i="8" s="1"/>
  <c r="JN59" i="8"/>
  <c r="JN80" i="8" s="1"/>
  <c r="JM59" i="8"/>
  <c r="JM80" i="8" s="1"/>
  <c r="JL59" i="8"/>
  <c r="JL80" i="8" s="1"/>
  <c r="JK59" i="8"/>
  <c r="JK80" i="8" s="1"/>
  <c r="JJ59" i="8"/>
  <c r="JJ80" i="8" s="1"/>
  <c r="JI59" i="8"/>
  <c r="JI80" i="8" s="1"/>
  <c r="JH59" i="8"/>
  <c r="JH80" i="8" s="1"/>
  <c r="JG59" i="8"/>
  <c r="JG80" i="8" s="1"/>
  <c r="JF59" i="8"/>
  <c r="JF80" i="8" s="1"/>
  <c r="JE59" i="8"/>
  <c r="JE80" i="8" s="1"/>
  <c r="JD59" i="8"/>
  <c r="JD80" i="8" s="1"/>
  <c r="JC59" i="8"/>
  <c r="JC80" i="8" s="1"/>
  <c r="JB59" i="8"/>
  <c r="JB80" i="8" s="1"/>
  <c r="JA59" i="8"/>
  <c r="JA80" i="8" s="1"/>
  <c r="IZ59" i="8"/>
  <c r="IZ80" i="8" s="1"/>
  <c r="IY59" i="8"/>
  <c r="IY80" i="8" s="1"/>
  <c r="IX59" i="8"/>
  <c r="IX80" i="8" s="1"/>
  <c r="IW59" i="8"/>
  <c r="IW80" i="8" s="1"/>
  <c r="IV59" i="8"/>
  <c r="IV80" i="8" s="1"/>
  <c r="IU59" i="8"/>
  <c r="IU80" i="8" s="1"/>
  <c r="IT59" i="8"/>
  <c r="IT80" i="8" s="1"/>
  <c r="IS59" i="8"/>
  <c r="IS80" i="8" s="1"/>
  <c r="IR59" i="8"/>
  <c r="IR80" i="8" s="1"/>
  <c r="IQ59" i="8"/>
  <c r="IQ80" i="8" s="1"/>
  <c r="IP59" i="8"/>
  <c r="IP80" i="8" s="1"/>
  <c r="IO59" i="8"/>
  <c r="IO80" i="8" s="1"/>
  <c r="IN59" i="8"/>
  <c r="IN80" i="8" s="1"/>
  <c r="IM59" i="8"/>
  <c r="IM80" i="8" s="1"/>
  <c r="IL59" i="8"/>
  <c r="IL80" i="8" s="1"/>
  <c r="IK59" i="8"/>
  <c r="IK80" i="8" s="1"/>
  <c r="IJ59" i="8"/>
  <c r="IJ80" i="8" s="1"/>
  <c r="II59" i="8"/>
  <c r="II80" i="8" s="1"/>
  <c r="IH59" i="8"/>
  <c r="IH80" i="8" s="1"/>
  <c r="IG59" i="8"/>
  <c r="IG80" i="8" s="1"/>
  <c r="IF59" i="8"/>
  <c r="IF80" i="8" s="1"/>
  <c r="IE59" i="8"/>
  <c r="IE80" i="8" s="1"/>
  <c r="ID59" i="8"/>
  <c r="ID80" i="8" s="1"/>
  <c r="IC59" i="8"/>
  <c r="IC80" i="8" s="1"/>
  <c r="IB59" i="8"/>
  <c r="IB80" i="8" s="1"/>
  <c r="IA59" i="8"/>
  <c r="IA80" i="8" s="1"/>
  <c r="HZ59" i="8"/>
  <c r="HZ80" i="8" s="1"/>
  <c r="HY59" i="8"/>
  <c r="HY80" i="8" s="1"/>
  <c r="HX59" i="8"/>
  <c r="HX80" i="8" s="1"/>
  <c r="HW59" i="8"/>
  <c r="HW80" i="8" s="1"/>
  <c r="HV59" i="8"/>
  <c r="HV80" i="8" s="1"/>
  <c r="HU59" i="8"/>
  <c r="HU80" i="8" s="1"/>
  <c r="HT59" i="8"/>
  <c r="HT80" i="8" s="1"/>
  <c r="HS59" i="8"/>
  <c r="HS80" i="8" s="1"/>
  <c r="HR59" i="8"/>
  <c r="HR80" i="8" s="1"/>
  <c r="HQ59" i="8"/>
  <c r="HQ80" i="8" s="1"/>
  <c r="HP59" i="8"/>
  <c r="HP80" i="8" s="1"/>
  <c r="HO59" i="8"/>
  <c r="HO80" i="8" s="1"/>
  <c r="HN59" i="8"/>
  <c r="HN80" i="8" s="1"/>
  <c r="HM59" i="8"/>
  <c r="HM80" i="8" s="1"/>
  <c r="HL59" i="8"/>
  <c r="HL80" i="8" s="1"/>
  <c r="HK59" i="8"/>
  <c r="HK80" i="8" s="1"/>
  <c r="HJ59" i="8"/>
  <c r="HJ80" i="8" s="1"/>
  <c r="HI59" i="8"/>
  <c r="HI80" i="8" s="1"/>
  <c r="HH59" i="8"/>
  <c r="HH80" i="8" s="1"/>
  <c r="HG59" i="8"/>
  <c r="HG80" i="8" s="1"/>
  <c r="HF59" i="8"/>
  <c r="HF80" i="8" s="1"/>
  <c r="HE59" i="8"/>
  <c r="HE80" i="8" s="1"/>
  <c r="HD59" i="8"/>
  <c r="HD80" i="8" s="1"/>
  <c r="HC59" i="8"/>
  <c r="HC80" i="8" s="1"/>
  <c r="HB59" i="8"/>
  <c r="HB80" i="8" s="1"/>
  <c r="HA59" i="8"/>
  <c r="HA80" i="8" s="1"/>
  <c r="GZ59" i="8"/>
  <c r="GZ80" i="8" s="1"/>
  <c r="GY59" i="8"/>
  <c r="GY80" i="8" s="1"/>
  <c r="GX59" i="8"/>
  <c r="GX80" i="8" s="1"/>
  <c r="GW59" i="8"/>
  <c r="GW80" i="8" s="1"/>
  <c r="GV59" i="8"/>
  <c r="GV80" i="8" s="1"/>
  <c r="GU59" i="8"/>
  <c r="GU80" i="8" s="1"/>
  <c r="GT59" i="8"/>
  <c r="GT80" i="8" s="1"/>
  <c r="GS59" i="8"/>
  <c r="GS80" i="8" s="1"/>
  <c r="GR59" i="8"/>
  <c r="GR80" i="8" s="1"/>
  <c r="GQ59" i="8"/>
  <c r="GQ80" i="8" s="1"/>
  <c r="GP59" i="8"/>
  <c r="GP80" i="8" s="1"/>
  <c r="GO59" i="8"/>
  <c r="GO80" i="8" s="1"/>
  <c r="GN59" i="8"/>
  <c r="GN80" i="8" s="1"/>
  <c r="GM59" i="8"/>
  <c r="GM80" i="8" s="1"/>
  <c r="GL59" i="8"/>
  <c r="GL80" i="8" s="1"/>
  <c r="GK59" i="8"/>
  <c r="GK80" i="8" s="1"/>
  <c r="GJ59" i="8"/>
  <c r="GJ80" i="8" s="1"/>
  <c r="GI59" i="8"/>
  <c r="GI80" i="8" s="1"/>
  <c r="GH59" i="8"/>
  <c r="GH80" i="8" s="1"/>
  <c r="GG59" i="8"/>
  <c r="GG80" i="8" s="1"/>
  <c r="GF59" i="8"/>
  <c r="GF80" i="8" s="1"/>
  <c r="GE59" i="8"/>
  <c r="GE80" i="8" s="1"/>
  <c r="GD59" i="8"/>
  <c r="GD80" i="8" s="1"/>
  <c r="GC59" i="8"/>
  <c r="GC80" i="8" s="1"/>
  <c r="GB59" i="8"/>
  <c r="GB80" i="8" s="1"/>
  <c r="GA59" i="8"/>
  <c r="GA80" i="8" s="1"/>
  <c r="FZ59" i="8"/>
  <c r="FZ80" i="8" s="1"/>
  <c r="FY59" i="8"/>
  <c r="FY80" i="8" s="1"/>
  <c r="FX59" i="8"/>
  <c r="FX80" i="8" s="1"/>
  <c r="FW59" i="8"/>
  <c r="FW80" i="8" s="1"/>
  <c r="FV59" i="8"/>
  <c r="FV80" i="8" s="1"/>
  <c r="FU59" i="8"/>
  <c r="FU80" i="8" s="1"/>
  <c r="FT59" i="8"/>
  <c r="FT80" i="8" s="1"/>
  <c r="FO59" i="8"/>
  <c r="FO80" i="8" s="1"/>
  <c r="FM59" i="8"/>
  <c r="FM80" i="8" s="1"/>
  <c r="FL59" i="8"/>
  <c r="FL80" i="8" s="1"/>
  <c r="FK59" i="8"/>
  <c r="FK80" i="8" s="1"/>
  <c r="FJ59" i="8"/>
  <c r="FJ80" i="8" s="1"/>
  <c r="FI59" i="8"/>
  <c r="FI80" i="8" s="1"/>
  <c r="FH59" i="8"/>
  <c r="FH80" i="8" s="1"/>
  <c r="FG59" i="8"/>
  <c r="FG80" i="8" s="1"/>
  <c r="FF59" i="8"/>
  <c r="FF80" i="8" s="1"/>
  <c r="FE59" i="8"/>
  <c r="FE80" i="8" s="1"/>
  <c r="FD59" i="8"/>
  <c r="FD80" i="8" s="1"/>
  <c r="FC59" i="8"/>
  <c r="FC80" i="8" s="1"/>
  <c r="FB59" i="8"/>
  <c r="FB80" i="8" s="1"/>
  <c r="FA59" i="8"/>
  <c r="FA80" i="8" s="1"/>
  <c r="EZ59" i="8"/>
  <c r="EZ80" i="8" s="1"/>
  <c r="EY59" i="8"/>
  <c r="EY80" i="8" s="1"/>
  <c r="EX59" i="8"/>
  <c r="EX80" i="8" s="1"/>
  <c r="EW59" i="8"/>
  <c r="EW80" i="8" s="1"/>
  <c r="EV59" i="8"/>
  <c r="EV80" i="8" s="1"/>
  <c r="EU59" i="8"/>
  <c r="EU80" i="8" s="1"/>
  <c r="ET59" i="8"/>
  <c r="ET80" i="8" s="1"/>
  <c r="ES59" i="8"/>
  <c r="ES80" i="8" s="1"/>
  <c r="ER59" i="8"/>
  <c r="ER80" i="8" s="1"/>
  <c r="EQ59" i="8"/>
  <c r="EQ80" i="8" s="1"/>
  <c r="EP59" i="8"/>
  <c r="EP80" i="8" s="1"/>
  <c r="EO59" i="8"/>
  <c r="EO80" i="8" s="1"/>
  <c r="EN59" i="8"/>
  <c r="EN80" i="8" s="1"/>
  <c r="EM59" i="8"/>
  <c r="EM80" i="8" s="1"/>
  <c r="EL59" i="8"/>
  <c r="EL80" i="8" s="1"/>
  <c r="EK59" i="8"/>
  <c r="EK80" i="8" s="1"/>
  <c r="EJ59" i="8"/>
  <c r="EJ80" i="8" s="1"/>
  <c r="EI59" i="8"/>
  <c r="EI80" i="8" s="1"/>
  <c r="EH59" i="8"/>
  <c r="EH80" i="8" s="1"/>
  <c r="EG59" i="8"/>
  <c r="EG80" i="8" s="1"/>
  <c r="EF59" i="8"/>
  <c r="EF80" i="8" s="1"/>
  <c r="EE59" i="8"/>
  <c r="EE80" i="8" s="1"/>
  <c r="ED59" i="8"/>
  <c r="ED80" i="8" s="1"/>
  <c r="EC59" i="8"/>
  <c r="EC80" i="8" s="1"/>
  <c r="EB59" i="8"/>
  <c r="EB80" i="8" s="1"/>
  <c r="EA59" i="8"/>
  <c r="EA80" i="8" s="1"/>
  <c r="DZ59" i="8"/>
  <c r="DZ80" i="8" s="1"/>
  <c r="DY59" i="8"/>
  <c r="DY80" i="8" s="1"/>
  <c r="DX59" i="8"/>
  <c r="DX80" i="8" s="1"/>
  <c r="DW59" i="8"/>
  <c r="DW80" i="8" s="1"/>
  <c r="DV59" i="8"/>
  <c r="DV80" i="8" s="1"/>
  <c r="DU59" i="8"/>
  <c r="DU80" i="8" s="1"/>
  <c r="DT59" i="8"/>
  <c r="DT80" i="8" s="1"/>
  <c r="DS59" i="8"/>
  <c r="DS80" i="8" s="1"/>
  <c r="DR59" i="8"/>
  <c r="DR80" i="8" s="1"/>
  <c r="DQ59" i="8"/>
  <c r="DQ80" i="8" s="1"/>
  <c r="DP59" i="8"/>
  <c r="DP80" i="8" s="1"/>
  <c r="DO59" i="8"/>
  <c r="DO80" i="8" s="1"/>
  <c r="DN59" i="8"/>
  <c r="DN80" i="8" s="1"/>
  <c r="DM59" i="8"/>
  <c r="DM80" i="8" s="1"/>
  <c r="DL59" i="8"/>
  <c r="DL80" i="8" s="1"/>
  <c r="DK59" i="8"/>
  <c r="DK80" i="8" s="1"/>
  <c r="DJ59" i="8"/>
  <c r="DJ80" i="8" s="1"/>
  <c r="DI59" i="8"/>
  <c r="DI80" i="8" s="1"/>
  <c r="DH59" i="8"/>
  <c r="DH80" i="8" s="1"/>
  <c r="DG59" i="8"/>
  <c r="DG80" i="8" s="1"/>
  <c r="DF59" i="8"/>
  <c r="DF80" i="8" s="1"/>
  <c r="DE59" i="8"/>
  <c r="DE80" i="8" s="1"/>
  <c r="DD59" i="8"/>
  <c r="DD80" i="8" s="1"/>
  <c r="DC59" i="8"/>
  <c r="DC80" i="8" s="1"/>
  <c r="DB59" i="8"/>
  <c r="DB80" i="8" s="1"/>
  <c r="DA59" i="8"/>
  <c r="DA80" i="8" s="1"/>
  <c r="CZ59" i="8"/>
  <c r="CZ80" i="8" s="1"/>
  <c r="CY59" i="8"/>
  <c r="CY80" i="8" s="1"/>
  <c r="CX59" i="8"/>
  <c r="CX80" i="8" s="1"/>
  <c r="CW59" i="8"/>
  <c r="CW80" i="8" s="1"/>
  <c r="CV59" i="8"/>
  <c r="CV80" i="8" s="1"/>
  <c r="CU59" i="8"/>
  <c r="CU80" i="8" s="1"/>
  <c r="CT59" i="8"/>
  <c r="CT80" i="8" s="1"/>
  <c r="CS59" i="8"/>
  <c r="CS80" i="8" s="1"/>
  <c r="CR59" i="8"/>
  <c r="CR80" i="8" s="1"/>
  <c r="CQ59" i="8"/>
  <c r="CQ80" i="8" s="1"/>
  <c r="CP59" i="8"/>
  <c r="CP80" i="8" s="1"/>
  <c r="CO59" i="8"/>
  <c r="CO80" i="8" s="1"/>
  <c r="CN59" i="8"/>
  <c r="CN80" i="8" s="1"/>
  <c r="CM59" i="8"/>
  <c r="CM80" i="8" s="1"/>
  <c r="CL59" i="8"/>
  <c r="CL80" i="8" s="1"/>
  <c r="CK59" i="8"/>
  <c r="CK80" i="8" s="1"/>
  <c r="CJ59" i="8"/>
  <c r="CJ80" i="8" s="1"/>
  <c r="CI59" i="8"/>
  <c r="CI80" i="8" s="1"/>
  <c r="CH59" i="8"/>
  <c r="CH80" i="8" s="1"/>
  <c r="CG59" i="8"/>
  <c r="CG80" i="8" s="1"/>
  <c r="CF59" i="8"/>
  <c r="CF80" i="8" s="1"/>
  <c r="CE59" i="8"/>
  <c r="CE80" i="8" s="1"/>
  <c r="CD59" i="8"/>
  <c r="CD80" i="8" s="1"/>
  <c r="CC59" i="8"/>
  <c r="CC80" i="8" s="1"/>
  <c r="CB59" i="8"/>
  <c r="CB80" i="8" s="1"/>
  <c r="CA59" i="8"/>
  <c r="CA80" i="8" s="1"/>
  <c r="BZ59" i="8"/>
  <c r="BZ80" i="8" s="1"/>
  <c r="BY59" i="8"/>
  <c r="BY80" i="8" s="1"/>
  <c r="BX59" i="8"/>
  <c r="BX80" i="8" s="1"/>
  <c r="BW59" i="8"/>
  <c r="BW80" i="8" s="1"/>
  <c r="BV59" i="8"/>
  <c r="BV80" i="8" s="1"/>
  <c r="BU59" i="8"/>
  <c r="BU80" i="8" s="1"/>
  <c r="BT59" i="8"/>
  <c r="BT80" i="8" s="1"/>
  <c r="BS59" i="8"/>
  <c r="BS80" i="8" s="1"/>
  <c r="BR59" i="8"/>
  <c r="BR80" i="8" s="1"/>
  <c r="BQ59" i="8"/>
  <c r="BQ80" i="8" s="1"/>
  <c r="BP59" i="8"/>
  <c r="BP80" i="8" s="1"/>
  <c r="BO59" i="8"/>
  <c r="BO80" i="8" s="1"/>
  <c r="BN59" i="8"/>
  <c r="BN80" i="8" s="1"/>
  <c r="BM59" i="8"/>
  <c r="BM80" i="8" s="1"/>
  <c r="BL59" i="8"/>
  <c r="BL80" i="8" s="1"/>
  <c r="BK59" i="8"/>
  <c r="BK80" i="8" s="1"/>
  <c r="BJ59" i="8"/>
  <c r="BJ80" i="8" s="1"/>
  <c r="BI59" i="8"/>
  <c r="BI80" i="8" s="1"/>
  <c r="BH59" i="8"/>
  <c r="BH80" i="8" s="1"/>
  <c r="BG59" i="8"/>
  <c r="BG80" i="8" s="1"/>
  <c r="BF59" i="8"/>
  <c r="BF80" i="8" s="1"/>
  <c r="BE59" i="8"/>
  <c r="BE80" i="8" s="1"/>
  <c r="BD59" i="8"/>
  <c r="BD80" i="8" s="1"/>
  <c r="BC59" i="8"/>
  <c r="BC80" i="8" s="1"/>
  <c r="BB59" i="8"/>
  <c r="BB80" i="8" s="1"/>
  <c r="BA59" i="8"/>
  <c r="BA80" i="8" s="1"/>
  <c r="AZ59" i="8"/>
  <c r="AZ80" i="8" s="1"/>
  <c r="AY59" i="8"/>
  <c r="AY80" i="8" s="1"/>
  <c r="AX59" i="8"/>
  <c r="AX80" i="8" s="1"/>
  <c r="AW59" i="8"/>
  <c r="AW80" i="8" s="1"/>
  <c r="AV59" i="8"/>
  <c r="AV80" i="8" s="1"/>
  <c r="AU59" i="8"/>
  <c r="AU80" i="8" s="1"/>
  <c r="AT59" i="8"/>
  <c r="AT80" i="8" s="1"/>
  <c r="AS59" i="8"/>
  <c r="AS80" i="8" s="1"/>
  <c r="AR59" i="8"/>
  <c r="AR80" i="8" s="1"/>
  <c r="AQ59" i="8"/>
  <c r="AQ80" i="8" s="1"/>
  <c r="AP59" i="8"/>
  <c r="AP80" i="8" s="1"/>
  <c r="AO59" i="8"/>
  <c r="AO80" i="8" s="1"/>
  <c r="AN59" i="8"/>
  <c r="AN80" i="8" s="1"/>
  <c r="AM59" i="8"/>
  <c r="AM80" i="8" s="1"/>
  <c r="AL59" i="8"/>
  <c r="AL80" i="8" s="1"/>
  <c r="AK59" i="8"/>
  <c r="AK80" i="8" s="1"/>
  <c r="AJ59" i="8"/>
  <c r="AJ80" i="8" s="1"/>
  <c r="AI59" i="8"/>
  <c r="AI80" i="8" s="1"/>
  <c r="AH59" i="8"/>
  <c r="AH80" i="8" s="1"/>
  <c r="AG59" i="8"/>
  <c r="AG80" i="8" s="1"/>
  <c r="AF59" i="8"/>
  <c r="AF80" i="8" s="1"/>
  <c r="AE59" i="8"/>
  <c r="AE80" i="8" s="1"/>
  <c r="AD59" i="8"/>
  <c r="AD80" i="8" s="1"/>
  <c r="AC59" i="8"/>
  <c r="AC80" i="8" s="1"/>
  <c r="AB59" i="8"/>
  <c r="AB80" i="8" s="1"/>
  <c r="AA59" i="8"/>
  <c r="AA80" i="8" s="1"/>
  <c r="Z59" i="8"/>
  <c r="Z80" i="8" s="1"/>
  <c r="Y59" i="8"/>
  <c r="Y80" i="8" s="1"/>
  <c r="X59" i="8"/>
  <c r="X80" i="8" s="1"/>
  <c r="W59" i="8"/>
  <c r="W80" i="8" s="1"/>
  <c r="V59" i="8"/>
  <c r="V80" i="8" s="1"/>
  <c r="U59" i="8"/>
  <c r="U80" i="8" s="1"/>
  <c r="T59" i="8"/>
  <c r="T80" i="8" s="1"/>
  <c r="S59" i="8"/>
  <c r="S80" i="8" s="1"/>
  <c r="R59" i="8"/>
  <c r="R80" i="8" s="1"/>
  <c r="Q59" i="8"/>
  <c r="Q80" i="8" s="1"/>
  <c r="P59" i="8"/>
  <c r="P80" i="8" s="1"/>
  <c r="O59" i="8"/>
  <c r="O80" i="8" s="1"/>
  <c r="N59" i="8"/>
  <c r="N80" i="8" s="1"/>
  <c r="M59" i="8"/>
  <c r="M80" i="8" s="1"/>
  <c r="L59" i="8"/>
  <c r="L80" i="8" s="1"/>
  <c r="K59" i="8"/>
  <c r="K80" i="8" s="1"/>
  <c r="J59" i="8"/>
  <c r="J80" i="8" s="1"/>
  <c r="I59" i="8"/>
  <c r="I80" i="8" s="1"/>
  <c r="H59" i="8"/>
  <c r="H80" i="8" s="1"/>
  <c r="G59" i="8"/>
  <c r="G80" i="8" s="1"/>
  <c r="F59" i="8"/>
  <c r="F80" i="8" s="1"/>
  <c r="E59" i="8"/>
  <c r="E80" i="8" s="1"/>
  <c r="D59" i="8"/>
  <c r="D80" i="8" s="1"/>
  <c r="C59" i="8"/>
  <c r="C80" i="8" s="1"/>
  <c r="OT58" i="8"/>
  <c r="OT79" i="8" s="1"/>
  <c r="OS58" i="8"/>
  <c r="OS79" i="8" s="1"/>
  <c r="NO58" i="8"/>
  <c r="NO79" i="8" s="1"/>
  <c r="NN58" i="8"/>
  <c r="NN79" i="8" s="1"/>
  <c r="NM58" i="8"/>
  <c r="NM79" i="8" s="1"/>
  <c r="NL58" i="8"/>
  <c r="NL79" i="8" s="1"/>
  <c r="NK58" i="8"/>
  <c r="NK79" i="8" s="1"/>
  <c r="NJ58" i="8"/>
  <c r="NJ79" i="8" s="1"/>
  <c r="NI58" i="8"/>
  <c r="NI79" i="8" s="1"/>
  <c r="NH58" i="8"/>
  <c r="NH79" i="8" s="1"/>
  <c r="NG58" i="8"/>
  <c r="NG79" i="8" s="1"/>
  <c r="NF58" i="8"/>
  <c r="NF79" i="8" s="1"/>
  <c r="NE58" i="8"/>
  <c r="NE79" i="8" s="1"/>
  <c r="ND58" i="8"/>
  <c r="ND79" i="8" s="1"/>
  <c r="NC58" i="8"/>
  <c r="NC79" i="8" s="1"/>
  <c r="NB58" i="8"/>
  <c r="NB79" i="8" s="1"/>
  <c r="NA58" i="8"/>
  <c r="NA79" i="8" s="1"/>
  <c r="MZ58" i="8"/>
  <c r="MZ79" i="8" s="1"/>
  <c r="MY58" i="8"/>
  <c r="MY79" i="8" s="1"/>
  <c r="MX58" i="8"/>
  <c r="MX79" i="8" s="1"/>
  <c r="MW58" i="8"/>
  <c r="MW79" i="8" s="1"/>
  <c r="MV58" i="8"/>
  <c r="MV79" i="8" s="1"/>
  <c r="MU58" i="8"/>
  <c r="MU79" i="8" s="1"/>
  <c r="MT58" i="8"/>
  <c r="MT79" i="8" s="1"/>
  <c r="MS58" i="8"/>
  <c r="MS79" i="8" s="1"/>
  <c r="MR58" i="8"/>
  <c r="MR79" i="8" s="1"/>
  <c r="MQ58" i="8"/>
  <c r="MQ79" i="8" s="1"/>
  <c r="MP58" i="8"/>
  <c r="MP79" i="8" s="1"/>
  <c r="MO58" i="8"/>
  <c r="MO79" i="8" s="1"/>
  <c r="MN58" i="8"/>
  <c r="MN79" i="8" s="1"/>
  <c r="MM58" i="8"/>
  <c r="MM79" i="8" s="1"/>
  <c r="ML58" i="8"/>
  <c r="ML79" i="8" s="1"/>
  <c r="MK58" i="8"/>
  <c r="MK79" i="8" s="1"/>
  <c r="MJ58" i="8"/>
  <c r="MJ79" i="8" s="1"/>
  <c r="MI58" i="8"/>
  <c r="MI79" i="8" s="1"/>
  <c r="MH58" i="8"/>
  <c r="MH79" i="8" s="1"/>
  <c r="MG58" i="8"/>
  <c r="MG79" i="8" s="1"/>
  <c r="MF58" i="8"/>
  <c r="MF79" i="8" s="1"/>
  <c r="ME58" i="8"/>
  <c r="ME79" i="8" s="1"/>
  <c r="MD58" i="8"/>
  <c r="MD79" i="8" s="1"/>
  <c r="MC58" i="8"/>
  <c r="MC79" i="8" s="1"/>
  <c r="MB58" i="8"/>
  <c r="MB79" i="8" s="1"/>
  <c r="MA58" i="8"/>
  <c r="MA79" i="8" s="1"/>
  <c r="LZ58" i="8"/>
  <c r="LZ79" i="8" s="1"/>
  <c r="LY58" i="8"/>
  <c r="LY79" i="8" s="1"/>
  <c r="LX58" i="8"/>
  <c r="LX79" i="8" s="1"/>
  <c r="LW58" i="8"/>
  <c r="LW79" i="8" s="1"/>
  <c r="LV58" i="8"/>
  <c r="LV79" i="8" s="1"/>
  <c r="LU58" i="8"/>
  <c r="LU79" i="8" s="1"/>
  <c r="LT58" i="8"/>
  <c r="LT79" i="8" s="1"/>
  <c r="LS58" i="8"/>
  <c r="LS79" i="8" s="1"/>
  <c r="LR58" i="8"/>
  <c r="LR79" i="8" s="1"/>
  <c r="LQ58" i="8"/>
  <c r="LQ79" i="8" s="1"/>
  <c r="LP58" i="8"/>
  <c r="LP79" i="8" s="1"/>
  <c r="LO58" i="8"/>
  <c r="LO79" i="8" s="1"/>
  <c r="LN58" i="8"/>
  <c r="LN79" i="8" s="1"/>
  <c r="LM58" i="8"/>
  <c r="LM79" i="8" s="1"/>
  <c r="LL58" i="8"/>
  <c r="LL79" i="8" s="1"/>
  <c r="LK58" i="8"/>
  <c r="LK79" i="8" s="1"/>
  <c r="LJ58" i="8"/>
  <c r="LJ79" i="8" s="1"/>
  <c r="LI58" i="8"/>
  <c r="LI79" i="8" s="1"/>
  <c r="LH58" i="8"/>
  <c r="LH79" i="8" s="1"/>
  <c r="LG58" i="8"/>
  <c r="LG79" i="8" s="1"/>
  <c r="LF58" i="8"/>
  <c r="LF79" i="8" s="1"/>
  <c r="LE58" i="8"/>
  <c r="LE79" i="8" s="1"/>
  <c r="LD58" i="8"/>
  <c r="LD79" i="8" s="1"/>
  <c r="LC58" i="8"/>
  <c r="LC79" i="8" s="1"/>
  <c r="LB58" i="8"/>
  <c r="LB79" i="8" s="1"/>
  <c r="LA58" i="8"/>
  <c r="LA79" i="8" s="1"/>
  <c r="KZ58" i="8"/>
  <c r="KZ79" i="8" s="1"/>
  <c r="KY58" i="8"/>
  <c r="KY79" i="8" s="1"/>
  <c r="KX58" i="8"/>
  <c r="KX79" i="8" s="1"/>
  <c r="KW58" i="8"/>
  <c r="KW79" i="8" s="1"/>
  <c r="KV58" i="8"/>
  <c r="KV79" i="8" s="1"/>
  <c r="KU58" i="8"/>
  <c r="KU79" i="8" s="1"/>
  <c r="KT58" i="8"/>
  <c r="KT79" i="8" s="1"/>
  <c r="KS58" i="8"/>
  <c r="KS79" i="8" s="1"/>
  <c r="KR58" i="8"/>
  <c r="KR79" i="8" s="1"/>
  <c r="KQ58" i="8"/>
  <c r="KQ79" i="8" s="1"/>
  <c r="KP58" i="8"/>
  <c r="KP79" i="8" s="1"/>
  <c r="KO58" i="8"/>
  <c r="KO79" i="8" s="1"/>
  <c r="KN58" i="8"/>
  <c r="KN79" i="8" s="1"/>
  <c r="KM58" i="8"/>
  <c r="KM79" i="8" s="1"/>
  <c r="KL58" i="8"/>
  <c r="KL79" i="8" s="1"/>
  <c r="KK58" i="8"/>
  <c r="KK79" i="8" s="1"/>
  <c r="KJ58" i="8"/>
  <c r="KJ79" i="8" s="1"/>
  <c r="KI58" i="8"/>
  <c r="KI79" i="8" s="1"/>
  <c r="KH58" i="8"/>
  <c r="KH79" i="8" s="1"/>
  <c r="KG58" i="8"/>
  <c r="KG79" i="8" s="1"/>
  <c r="KF58" i="8"/>
  <c r="KF79" i="8" s="1"/>
  <c r="KE58" i="8"/>
  <c r="KE79" i="8" s="1"/>
  <c r="KD58" i="8"/>
  <c r="KD79" i="8" s="1"/>
  <c r="KC58" i="8"/>
  <c r="KC79" i="8" s="1"/>
  <c r="KB58" i="8"/>
  <c r="KB79" i="8" s="1"/>
  <c r="KA58" i="8"/>
  <c r="KA79" i="8" s="1"/>
  <c r="JZ58" i="8"/>
  <c r="JZ79" i="8" s="1"/>
  <c r="JY58" i="8"/>
  <c r="JY79" i="8" s="1"/>
  <c r="JX58" i="8"/>
  <c r="JX79" i="8" s="1"/>
  <c r="JW58" i="8"/>
  <c r="JW79" i="8" s="1"/>
  <c r="JV58" i="8"/>
  <c r="JV79" i="8" s="1"/>
  <c r="JU58" i="8"/>
  <c r="JU79" i="8" s="1"/>
  <c r="JT58" i="8"/>
  <c r="JT79" i="8" s="1"/>
  <c r="JS58" i="8"/>
  <c r="JS79" i="8" s="1"/>
  <c r="JR58" i="8"/>
  <c r="JR79" i="8" s="1"/>
  <c r="JQ58" i="8"/>
  <c r="JQ79" i="8" s="1"/>
  <c r="JP58" i="8"/>
  <c r="JP79" i="8" s="1"/>
  <c r="JO58" i="8"/>
  <c r="JO79" i="8" s="1"/>
  <c r="JN58" i="8"/>
  <c r="JN79" i="8" s="1"/>
  <c r="JM58" i="8"/>
  <c r="JM79" i="8" s="1"/>
  <c r="JL58" i="8"/>
  <c r="JL79" i="8" s="1"/>
  <c r="JK58" i="8"/>
  <c r="JK79" i="8" s="1"/>
  <c r="JJ58" i="8"/>
  <c r="JJ79" i="8" s="1"/>
  <c r="JI58" i="8"/>
  <c r="JI79" i="8" s="1"/>
  <c r="JH58" i="8"/>
  <c r="JH79" i="8" s="1"/>
  <c r="JG58" i="8"/>
  <c r="JG79" i="8" s="1"/>
  <c r="JF58" i="8"/>
  <c r="JF79" i="8" s="1"/>
  <c r="JE58" i="8"/>
  <c r="JE79" i="8" s="1"/>
  <c r="JD58" i="8"/>
  <c r="JD79" i="8" s="1"/>
  <c r="JC58" i="8"/>
  <c r="JC79" i="8" s="1"/>
  <c r="JB58" i="8"/>
  <c r="JB79" i="8" s="1"/>
  <c r="JA58" i="8"/>
  <c r="JA79" i="8" s="1"/>
  <c r="IZ58" i="8"/>
  <c r="IZ79" i="8" s="1"/>
  <c r="IY58" i="8"/>
  <c r="IY79" i="8" s="1"/>
  <c r="IX58" i="8"/>
  <c r="IX79" i="8" s="1"/>
  <c r="IW58" i="8"/>
  <c r="IW79" i="8" s="1"/>
  <c r="IV58" i="8"/>
  <c r="IV79" i="8" s="1"/>
  <c r="IU58" i="8"/>
  <c r="IU79" i="8" s="1"/>
  <c r="IT58" i="8"/>
  <c r="IT79" i="8" s="1"/>
  <c r="IS58" i="8"/>
  <c r="IS79" i="8" s="1"/>
  <c r="IR58" i="8"/>
  <c r="IR79" i="8" s="1"/>
  <c r="IQ58" i="8"/>
  <c r="IQ79" i="8" s="1"/>
  <c r="IP58" i="8"/>
  <c r="IP79" i="8" s="1"/>
  <c r="IO58" i="8"/>
  <c r="IO79" i="8" s="1"/>
  <c r="IN58" i="8"/>
  <c r="IN79" i="8" s="1"/>
  <c r="IM58" i="8"/>
  <c r="IM79" i="8" s="1"/>
  <c r="IL58" i="8"/>
  <c r="IL79" i="8" s="1"/>
  <c r="IK58" i="8"/>
  <c r="IK79" i="8" s="1"/>
  <c r="IJ58" i="8"/>
  <c r="IJ79" i="8" s="1"/>
  <c r="II58" i="8"/>
  <c r="II79" i="8" s="1"/>
  <c r="IH58" i="8"/>
  <c r="IH79" i="8" s="1"/>
  <c r="IG58" i="8"/>
  <c r="IG79" i="8" s="1"/>
  <c r="IF58" i="8"/>
  <c r="IF79" i="8" s="1"/>
  <c r="IE58" i="8"/>
  <c r="IE79" i="8" s="1"/>
  <c r="ID58" i="8"/>
  <c r="ID79" i="8" s="1"/>
  <c r="IC58" i="8"/>
  <c r="IC79" i="8" s="1"/>
  <c r="IB58" i="8"/>
  <c r="IB79" i="8" s="1"/>
  <c r="IA58" i="8"/>
  <c r="IA79" i="8" s="1"/>
  <c r="HZ58" i="8"/>
  <c r="HZ79" i="8" s="1"/>
  <c r="HY58" i="8"/>
  <c r="HY79" i="8" s="1"/>
  <c r="HX58" i="8"/>
  <c r="HX79" i="8" s="1"/>
  <c r="HW58" i="8"/>
  <c r="HW79" i="8" s="1"/>
  <c r="HV58" i="8"/>
  <c r="HV79" i="8" s="1"/>
  <c r="HU58" i="8"/>
  <c r="HU79" i="8" s="1"/>
  <c r="HT58" i="8"/>
  <c r="HT79" i="8" s="1"/>
  <c r="HS58" i="8"/>
  <c r="HS79" i="8" s="1"/>
  <c r="HR58" i="8"/>
  <c r="HR79" i="8" s="1"/>
  <c r="HQ58" i="8"/>
  <c r="HQ79" i="8" s="1"/>
  <c r="HP58" i="8"/>
  <c r="HP79" i="8" s="1"/>
  <c r="HO58" i="8"/>
  <c r="HO79" i="8" s="1"/>
  <c r="HN58" i="8"/>
  <c r="HN79" i="8" s="1"/>
  <c r="HM58" i="8"/>
  <c r="HM79" i="8" s="1"/>
  <c r="HL58" i="8"/>
  <c r="HL79" i="8" s="1"/>
  <c r="HK58" i="8"/>
  <c r="HK79" i="8" s="1"/>
  <c r="HJ58" i="8"/>
  <c r="HJ79" i="8" s="1"/>
  <c r="HI58" i="8"/>
  <c r="HI79" i="8" s="1"/>
  <c r="HH58" i="8"/>
  <c r="HH79" i="8" s="1"/>
  <c r="HG58" i="8"/>
  <c r="HG79" i="8" s="1"/>
  <c r="HF58" i="8"/>
  <c r="HF79" i="8" s="1"/>
  <c r="HE58" i="8"/>
  <c r="HE79" i="8" s="1"/>
  <c r="HD58" i="8"/>
  <c r="HD79" i="8" s="1"/>
  <c r="HC58" i="8"/>
  <c r="HC79" i="8" s="1"/>
  <c r="HB58" i="8"/>
  <c r="HB79" i="8" s="1"/>
  <c r="HA58" i="8"/>
  <c r="HA79" i="8" s="1"/>
  <c r="GZ58" i="8"/>
  <c r="GZ79" i="8" s="1"/>
  <c r="GY58" i="8"/>
  <c r="GY79" i="8" s="1"/>
  <c r="GX58" i="8"/>
  <c r="GX79" i="8" s="1"/>
  <c r="GW58" i="8"/>
  <c r="GW79" i="8" s="1"/>
  <c r="GV58" i="8"/>
  <c r="GV79" i="8" s="1"/>
  <c r="GU58" i="8"/>
  <c r="GU79" i="8" s="1"/>
  <c r="GT58" i="8"/>
  <c r="GT79" i="8" s="1"/>
  <c r="GS58" i="8"/>
  <c r="GS79" i="8" s="1"/>
  <c r="GR58" i="8"/>
  <c r="GR79" i="8" s="1"/>
  <c r="GQ58" i="8"/>
  <c r="GQ79" i="8" s="1"/>
  <c r="GP58" i="8"/>
  <c r="GP79" i="8" s="1"/>
  <c r="GO58" i="8"/>
  <c r="GO79" i="8" s="1"/>
  <c r="GN58" i="8"/>
  <c r="GN79" i="8" s="1"/>
  <c r="GM58" i="8"/>
  <c r="GM79" i="8" s="1"/>
  <c r="GL58" i="8"/>
  <c r="GL79" i="8" s="1"/>
  <c r="GK58" i="8"/>
  <c r="GK79" i="8" s="1"/>
  <c r="GJ58" i="8"/>
  <c r="GJ79" i="8" s="1"/>
  <c r="GI58" i="8"/>
  <c r="GI79" i="8" s="1"/>
  <c r="GH58" i="8"/>
  <c r="GH79" i="8" s="1"/>
  <c r="GG58" i="8"/>
  <c r="GG79" i="8" s="1"/>
  <c r="GF58" i="8"/>
  <c r="GF79" i="8" s="1"/>
  <c r="GE58" i="8"/>
  <c r="GE79" i="8" s="1"/>
  <c r="GD58" i="8"/>
  <c r="GD79" i="8" s="1"/>
  <c r="GC58" i="8"/>
  <c r="GC79" i="8" s="1"/>
  <c r="GB58" i="8"/>
  <c r="GB79" i="8" s="1"/>
  <c r="GA58" i="8"/>
  <c r="GA79" i="8" s="1"/>
  <c r="FZ58" i="8"/>
  <c r="FZ79" i="8" s="1"/>
  <c r="FY58" i="8"/>
  <c r="FY79" i="8" s="1"/>
  <c r="FX58" i="8"/>
  <c r="FX79" i="8" s="1"/>
  <c r="FW58" i="8"/>
  <c r="FW79" i="8" s="1"/>
  <c r="FV58" i="8"/>
  <c r="FV79" i="8" s="1"/>
  <c r="FU58" i="8"/>
  <c r="FU79" i="8" s="1"/>
  <c r="FT58" i="8"/>
  <c r="FT79" i="8" s="1"/>
  <c r="FO58" i="8"/>
  <c r="FO79" i="8" s="1"/>
  <c r="FM58" i="8"/>
  <c r="FM79" i="8" s="1"/>
  <c r="FL58" i="8"/>
  <c r="FL79" i="8" s="1"/>
  <c r="FK58" i="8"/>
  <c r="FK79" i="8" s="1"/>
  <c r="FJ58" i="8"/>
  <c r="FJ79" i="8" s="1"/>
  <c r="FI58" i="8"/>
  <c r="FI79" i="8" s="1"/>
  <c r="FH58" i="8"/>
  <c r="FH79" i="8" s="1"/>
  <c r="FG58" i="8"/>
  <c r="FG79" i="8" s="1"/>
  <c r="FF58" i="8"/>
  <c r="FF79" i="8" s="1"/>
  <c r="FE58" i="8"/>
  <c r="FE79" i="8" s="1"/>
  <c r="FD58" i="8"/>
  <c r="FD79" i="8" s="1"/>
  <c r="FC58" i="8"/>
  <c r="FC79" i="8" s="1"/>
  <c r="FB58" i="8"/>
  <c r="FB79" i="8" s="1"/>
  <c r="FA58" i="8"/>
  <c r="FA79" i="8" s="1"/>
  <c r="EZ58" i="8"/>
  <c r="EZ79" i="8" s="1"/>
  <c r="EY58" i="8"/>
  <c r="EY79" i="8" s="1"/>
  <c r="EX58" i="8"/>
  <c r="EX79" i="8" s="1"/>
  <c r="EW58" i="8"/>
  <c r="EW79" i="8" s="1"/>
  <c r="EV58" i="8"/>
  <c r="EV79" i="8" s="1"/>
  <c r="EU58" i="8"/>
  <c r="EU79" i="8" s="1"/>
  <c r="ET58" i="8"/>
  <c r="ET79" i="8" s="1"/>
  <c r="ES58" i="8"/>
  <c r="ES79" i="8" s="1"/>
  <c r="ER58" i="8"/>
  <c r="ER79" i="8" s="1"/>
  <c r="EQ58" i="8"/>
  <c r="EQ79" i="8" s="1"/>
  <c r="EP58" i="8"/>
  <c r="EP79" i="8" s="1"/>
  <c r="EO58" i="8"/>
  <c r="EO79" i="8" s="1"/>
  <c r="EN58" i="8"/>
  <c r="EN79" i="8" s="1"/>
  <c r="EM58" i="8"/>
  <c r="EM79" i="8" s="1"/>
  <c r="EL58" i="8"/>
  <c r="EL79" i="8" s="1"/>
  <c r="EK58" i="8"/>
  <c r="EK79" i="8" s="1"/>
  <c r="EJ58" i="8"/>
  <c r="EJ79" i="8" s="1"/>
  <c r="EI58" i="8"/>
  <c r="EI79" i="8" s="1"/>
  <c r="EH58" i="8"/>
  <c r="EH79" i="8" s="1"/>
  <c r="EG58" i="8"/>
  <c r="EG79" i="8" s="1"/>
  <c r="EF58" i="8"/>
  <c r="EF79" i="8" s="1"/>
  <c r="EE58" i="8"/>
  <c r="EE79" i="8" s="1"/>
  <c r="ED58" i="8"/>
  <c r="ED79" i="8" s="1"/>
  <c r="EC58" i="8"/>
  <c r="EC79" i="8" s="1"/>
  <c r="EB58" i="8"/>
  <c r="EB79" i="8" s="1"/>
  <c r="EA58" i="8"/>
  <c r="EA79" i="8" s="1"/>
  <c r="DZ58" i="8"/>
  <c r="DZ79" i="8" s="1"/>
  <c r="DY58" i="8"/>
  <c r="DY79" i="8" s="1"/>
  <c r="DX58" i="8"/>
  <c r="DX79" i="8" s="1"/>
  <c r="DW58" i="8"/>
  <c r="DW79" i="8" s="1"/>
  <c r="DV58" i="8"/>
  <c r="DV79" i="8" s="1"/>
  <c r="DU58" i="8"/>
  <c r="DU79" i="8" s="1"/>
  <c r="DT58" i="8"/>
  <c r="DT79" i="8" s="1"/>
  <c r="DS58" i="8"/>
  <c r="DS79" i="8" s="1"/>
  <c r="DR58" i="8"/>
  <c r="DR79" i="8" s="1"/>
  <c r="DQ58" i="8"/>
  <c r="DQ79" i="8" s="1"/>
  <c r="DP58" i="8"/>
  <c r="DP79" i="8" s="1"/>
  <c r="DO58" i="8"/>
  <c r="DO79" i="8" s="1"/>
  <c r="DN58" i="8"/>
  <c r="DN79" i="8" s="1"/>
  <c r="DM58" i="8"/>
  <c r="DM79" i="8" s="1"/>
  <c r="DL58" i="8"/>
  <c r="DL79" i="8" s="1"/>
  <c r="DK58" i="8"/>
  <c r="DK79" i="8" s="1"/>
  <c r="DJ58" i="8"/>
  <c r="DJ79" i="8" s="1"/>
  <c r="DI58" i="8"/>
  <c r="DI79" i="8" s="1"/>
  <c r="DH58" i="8"/>
  <c r="DH79" i="8" s="1"/>
  <c r="DG58" i="8"/>
  <c r="DG79" i="8" s="1"/>
  <c r="DF58" i="8"/>
  <c r="DF79" i="8" s="1"/>
  <c r="DE58" i="8"/>
  <c r="DE79" i="8" s="1"/>
  <c r="DD58" i="8"/>
  <c r="DD79" i="8" s="1"/>
  <c r="DC58" i="8"/>
  <c r="DC79" i="8" s="1"/>
  <c r="DB58" i="8"/>
  <c r="DB79" i="8" s="1"/>
  <c r="DA58" i="8"/>
  <c r="DA79" i="8" s="1"/>
  <c r="CZ58" i="8"/>
  <c r="CZ79" i="8" s="1"/>
  <c r="CY58" i="8"/>
  <c r="CY79" i="8" s="1"/>
  <c r="CX58" i="8"/>
  <c r="CX79" i="8" s="1"/>
  <c r="CW58" i="8"/>
  <c r="CW79" i="8" s="1"/>
  <c r="CV58" i="8"/>
  <c r="CV79" i="8" s="1"/>
  <c r="CU58" i="8"/>
  <c r="CU79" i="8" s="1"/>
  <c r="CT58" i="8"/>
  <c r="CT79" i="8" s="1"/>
  <c r="CS58" i="8"/>
  <c r="CS79" i="8" s="1"/>
  <c r="CR58" i="8"/>
  <c r="CR79" i="8" s="1"/>
  <c r="CQ58" i="8"/>
  <c r="CQ79" i="8" s="1"/>
  <c r="CP58" i="8"/>
  <c r="CP79" i="8" s="1"/>
  <c r="CO58" i="8"/>
  <c r="CO79" i="8" s="1"/>
  <c r="CN58" i="8"/>
  <c r="CN79" i="8" s="1"/>
  <c r="CM58" i="8"/>
  <c r="CM79" i="8" s="1"/>
  <c r="CL58" i="8"/>
  <c r="CL79" i="8" s="1"/>
  <c r="CK58" i="8"/>
  <c r="CK79" i="8" s="1"/>
  <c r="CJ58" i="8"/>
  <c r="CJ79" i="8" s="1"/>
  <c r="CI58" i="8"/>
  <c r="CI79" i="8" s="1"/>
  <c r="CH58" i="8"/>
  <c r="CH79" i="8" s="1"/>
  <c r="CG58" i="8"/>
  <c r="CG79" i="8" s="1"/>
  <c r="CF58" i="8"/>
  <c r="CF79" i="8" s="1"/>
  <c r="CE58" i="8"/>
  <c r="CE79" i="8" s="1"/>
  <c r="CD58" i="8"/>
  <c r="CD79" i="8" s="1"/>
  <c r="CC58" i="8"/>
  <c r="CC79" i="8" s="1"/>
  <c r="CB58" i="8"/>
  <c r="CB79" i="8" s="1"/>
  <c r="CA58" i="8"/>
  <c r="CA79" i="8" s="1"/>
  <c r="BZ58" i="8"/>
  <c r="BZ79" i="8" s="1"/>
  <c r="BY58" i="8"/>
  <c r="BY79" i="8" s="1"/>
  <c r="BX58" i="8"/>
  <c r="BX79" i="8" s="1"/>
  <c r="BW58" i="8"/>
  <c r="BW79" i="8" s="1"/>
  <c r="BV58" i="8"/>
  <c r="BV79" i="8" s="1"/>
  <c r="BU58" i="8"/>
  <c r="BU79" i="8" s="1"/>
  <c r="BT58" i="8"/>
  <c r="BT79" i="8" s="1"/>
  <c r="BS58" i="8"/>
  <c r="BS79" i="8" s="1"/>
  <c r="BR58" i="8"/>
  <c r="BR79" i="8" s="1"/>
  <c r="BQ58" i="8"/>
  <c r="BQ79" i="8" s="1"/>
  <c r="BP58" i="8"/>
  <c r="BP79" i="8" s="1"/>
  <c r="BO58" i="8"/>
  <c r="BO79" i="8" s="1"/>
  <c r="BN58" i="8"/>
  <c r="BN79" i="8" s="1"/>
  <c r="BM58" i="8"/>
  <c r="BM79" i="8" s="1"/>
  <c r="BL58" i="8"/>
  <c r="BL79" i="8" s="1"/>
  <c r="BK58" i="8"/>
  <c r="BK79" i="8" s="1"/>
  <c r="BJ58" i="8"/>
  <c r="BJ79" i="8" s="1"/>
  <c r="BI58" i="8"/>
  <c r="BI79" i="8" s="1"/>
  <c r="BH58" i="8"/>
  <c r="BH79" i="8" s="1"/>
  <c r="BG58" i="8"/>
  <c r="BG79" i="8" s="1"/>
  <c r="BF58" i="8"/>
  <c r="BF79" i="8" s="1"/>
  <c r="BE58" i="8"/>
  <c r="BE79" i="8" s="1"/>
  <c r="BD58" i="8"/>
  <c r="BD79" i="8" s="1"/>
  <c r="BC58" i="8"/>
  <c r="BC79" i="8" s="1"/>
  <c r="BB58" i="8"/>
  <c r="BB79" i="8" s="1"/>
  <c r="BA58" i="8"/>
  <c r="BA79" i="8" s="1"/>
  <c r="AZ58" i="8"/>
  <c r="AZ79" i="8" s="1"/>
  <c r="AY58" i="8"/>
  <c r="AY79" i="8" s="1"/>
  <c r="AX58" i="8"/>
  <c r="AX79" i="8" s="1"/>
  <c r="AW58" i="8"/>
  <c r="AW79" i="8" s="1"/>
  <c r="AV58" i="8"/>
  <c r="AV79" i="8" s="1"/>
  <c r="AU58" i="8"/>
  <c r="AU79" i="8" s="1"/>
  <c r="AT58" i="8"/>
  <c r="AT79" i="8" s="1"/>
  <c r="AS58" i="8"/>
  <c r="AS79" i="8" s="1"/>
  <c r="AR58" i="8"/>
  <c r="AR79" i="8" s="1"/>
  <c r="AQ58" i="8"/>
  <c r="AQ79" i="8" s="1"/>
  <c r="AP58" i="8"/>
  <c r="AP79" i="8" s="1"/>
  <c r="AO58" i="8"/>
  <c r="AO79" i="8" s="1"/>
  <c r="AN58" i="8"/>
  <c r="AN79" i="8" s="1"/>
  <c r="AM58" i="8"/>
  <c r="AM79" i="8" s="1"/>
  <c r="AL58" i="8"/>
  <c r="AL79" i="8" s="1"/>
  <c r="AK58" i="8"/>
  <c r="AK79" i="8" s="1"/>
  <c r="AJ58" i="8"/>
  <c r="AJ79" i="8" s="1"/>
  <c r="AI58" i="8"/>
  <c r="AI79" i="8" s="1"/>
  <c r="AH58" i="8"/>
  <c r="AH79" i="8" s="1"/>
  <c r="AG58" i="8"/>
  <c r="AG79" i="8" s="1"/>
  <c r="AF58" i="8"/>
  <c r="AF79" i="8" s="1"/>
  <c r="AE58" i="8"/>
  <c r="AE79" i="8" s="1"/>
  <c r="AD58" i="8"/>
  <c r="AD79" i="8" s="1"/>
  <c r="AC58" i="8"/>
  <c r="AC79" i="8" s="1"/>
  <c r="AB58" i="8"/>
  <c r="AB79" i="8" s="1"/>
  <c r="AA58" i="8"/>
  <c r="AA79" i="8" s="1"/>
  <c r="Z58" i="8"/>
  <c r="Z79" i="8" s="1"/>
  <c r="Y58" i="8"/>
  <c r="Y79" i="8" s="1"/>
  <c r="X58" i="8"/>
  <c r="X79" i="8" s="1"/>
  <c r="W58" i="8"/>
  <c r="W79" i="8" s="1"/>
  <c r="V58" i="8"/>
  <c r="V79" i="8" s="1"/>
  <c r="U58" i="8"/>
  <c r="U79" i="8" s="1"/>
  <c r="T58" i="8"/>
  <c r="T79" i="8" s="1"/>
  <c r="S58" i="8"/>
  <c r="S79" i="8" s="1"/>
  <c r="R58" i="8"/>
  <c r="R79" i="8" s="1"/>
  <c r="Q58" i="8"/>
  <c r="Q79" i="8" s="1"/>
  <c r="P58" i="8"/>
  <c r="P79" i="8" s="1"/>
  <c r="O58" i="8"/>
  <c r="O79" i="8" s="1"/>
  <c r="N58" i="8"/>
  <c r="N79" i="8" s="1"/>
  <c r="M58" i="8"/>
  <c r="M79" i="8" s="1"/>
  <c r="L58" i="8"/>
  <c r="L79" i="8" s="1"/>
  <c r="K58" i="8"/>
  <c r="K79" i="8" s="1"/>
  <c r="J58" i="8"/>
  <c r="J79" i="8" s="1"/>
  <c r="I58" i="8"/>
  <c r="I79" i="8" s="1"/>
  <c r="H58" i="8"/>
  <c r="H79" i="8" s="1"/>
  <c r="G58" i="8"/>
  <c r="G79" i="8" s="1"/>
  <c r="F58" i="8"/>
  <c r="F79" i="8" s="1"/>
  <c r="E58" i="8"/>
  <c r="E79" i="8" s="1"/>
  <c r="D58" i="8"/>
  <c r="D79" i="8" s="1"/>
  <c r="C58" i="8"/>
  <c r="C79" i="8" s="1"/>
  <c r="OT57" i="8"/>
  <c r="OT78" i="8" s="1"/>
  <c r="OS57" i="8"/>
  <c r="OS78" i="8" s="1"/>
  <c r="NO57" i="8"/>
  <c r="NO78" i="8" s="1"/>
  <c r="NN57" i="8"/>
  <c r="NN78" i="8" s="1"/>
  <c r="NM57" i="8"/>
  <c r="NM78" i="8" s="1"/>
  <c r="NL57" i="8"/>
  <c r="NL78" i="8" s="1"/>
  <c r="NK57" i="8"/>
  <c r="NK78" i="8" s="1"/>
  <c r="NJ57" i="8"/>
  <c r="NJ78" i="8" s="1"/>
  <c r="NI57" i="8"/>
  <c r="NI78" i="8" s="1"/>
  <c r="NH57" i="8"/>
  <c r="NH78" i="8" s="1"/>
  <c r="NG57" i="8"/>
  <c r="NG78" i="8" s="1"/>
  <c r="NF57" i="8"/>
  <c r="NF78" i="8" s="1"/>
  <c r="NE57" i="8"/>
  <c r="NE78" i="8" s="1"/>
  <c r="ND57" i="8"/>
  <c r="ND78" i="8" s="1"/>
  <c r="NC57" i="8"/>
  <c r="NC78" i="8" s="1"/>
  <c r="NB57" i="8"/>
  <c r="NB78" i="8" s="1"/>
  <c r="NA57" i="8"/>
  <c r="NA78" i="8" s="1"/>
  <c r="MZ57" i="8"/>
  <c r="MZ78" i="8" s="1"/>
  <c r="MY57" i="8"/>
  <c r="MY78" i="8" s="1"/>
  <c r="MX57" i="8"/>
  <c r="MX78" i="8" s="1"/>
  <c r="MW57" i="8"/>
  <c r="MW78" i="8" s="1"/>
  <c r="MV57" i="8"/>
  <c r="MV78" i="8" s="1"/>
  <c r="MU57" i="8"/>
  <c r="MU78" i="8" s="1"/>
  <c r="MT57" i="8"/>
  <c r="MT78" i="8" s="1"/>
  <c r="MS57" i="8"/>
  <c r="MS78" i="8" s="1"/>
  <c r="MR57" i="8"/>
  <c r="MR78" i="8" s="1"/>
  <c r="MQ57" i="8"/>
  <c r="MQ78" i="8" s="1"/>
  <c r="MP57" i="8"/>
  <c r="MP78" i="8" s="1"/>
  <c r="MO57" i="8"/>
  <c r="MO78" i="8" s="1"/>
  <c r="MN57" i="8"/>
  <c r="MN78" i="8" s="1"/>
  <c r="MM57" i="8"/>
  <c r="MM78" i="8" s="1"/>
  <c r="ML57" i="8"/>
  <c r="ML78" i="8" s="1"/>
  <c r="MK57" i="8"/>
  <c r="MK78" i="8" s="1"/>
  <c r="MJ57" i="8"/>
  <c r="MJ78" i="8" s="1"/>
  <c r="MI57" i="8"/>
  <c r="MI78" i="8" s="1"/>
  <c r="MH57" i="8"/>
  <c r="MH78" i="8" s="1"/>
  <c r="MG57" i="8"/>
  <c r="MG78" i="8" s="1"/>
  <c r="MF57" i="8"/>
  <c r="MF78" i="8" s="1"/>
  <c r="ME57" i="8"/>
  <c r="ME78" i="8" s="1"/>
  <c r="MD57" i="8"/>
  <c r="MD78" i="8" s="1"/>
  <c r="MC57" i="8"/>
  <c r="MC78" i="8" s="1"/>
  <c r="MB57" i="8"/>
  <c r="MB78" i="8" s="1"/>
  <c r="MA57" i="8"/>
  <c r="MA78" i="8" s="1"/>
  <c r="LZ57" i="8"/>
  <c r="LZ78" i="8" s="1"/>
  <c r="LY57" i="8"/>
  <c r="LY78" i="8" s="1"/>
  <c r="LX57" i="8"/>
  <c r="LX78" i="8" s="1"/>
  <c r="LW57" i="8"/>
  <c r="LW78" i="8" s="1"/>
  <c r="LV57" i="8"/>
  <c r="LV78" i="8" s="1"/>
  <c r="LU57" i="8"/>
  <c r="LU78" i="8" s="1"/>
  <c r="LT57" i="8"/>
  <c r="LT78" i="8" s="1"/>
  <c r="LS57" i="8"/>
  <c r="LS78" i="8" s="1"/>
  <c r="LR57" i="8"/>
  <c r="LR78" i="8" s="1"/>
  <c r="LQ57" i="8"/>
  <c r="LQ78" i="8" s="1"/>
  <c r="LP57" i="8"/>
  <c r="LP78" i="8" s="1"/>
  <c r="LO57" i="8"/>
  <c r="LO78" i="8" s="1"/>
  <c r="LN57" i="8"/>
  <c r="LN78" i="8" s="1"/>
  <c r="LM57" i="8"/>
  <c r="LM78" i="8" s="1"/>
  <c r="LL57" i="8"/>
  <c r="LL78" i="8" s="1"/>
  <c r="LK57" i="8"/>
  <c r="LK78" i="8" s="1"/>
  <c r="LJ57" i="8"/>
  <c r="LJ78" i="8" s="1"/>
  <c r="LI57" i="8"/>
  <c r="LI78" i="8" s="1"/>
  <c r="LH57" i="8"/>
  <c r="LH78" i="8" s="1"/>
  <c r="LG57" i="8"/>
  <c r="LG78" i="8" s="1"/>
  <c r="LF57" i="8"/>
  <c r="LF78" i="8" s="1"/>
  <c r="LE57" i="8"/>
  <c r="LE78" i="8" s="1"/>
  <c r="LD57" i="8"/>
  <c r="LD78" i="8" s="1"/>
  <c r="LC57" i="8"/>
  <c r="LC78" i="8" s="1"/>
  <c r="LB57" i="8"/>
  <c r="LB78" i="8" s="1"/>
  <c r="LA57" i="8"/>
  <c r="LA78" i="8" s="1"/>
  <c r="KZ57" i="8"/>
  <c r="KZ78" i="8" s="1"/>
  <c r="KY57" i="8"/>
  <c r="KY78" i="8" s="1"/>
  <c r="KX57" i="8"/>
  <c r="KX78" i="8" s="1"/>
  <c r="KW57" i="8"/>
  <c r="KW78" i="8" s="1"/>
  <c r="KV57" i="8"/>
  <c r="KV78" i="8" s="1"/>
  <c r="KU57" i="8"/>
  <c r="KU78" i="8" s="1"/>
  <c r="KT57" i="8"/>
  <c r="KT78" i="8" s="1"/>
  <c r="KS57" i="8"/>
  <c r="KS78" i="8" s="1"/>
  <c r="KR57" i="8"/>
  <c r="KR78" i="8" s="1"/>
  <c r="KQ57" i="8"/>
  <c r="KQ78" i="8" s="1"/>
  <c r="KP57" i="8"/>
  <c r="KP78" i="8" s="1"/>
  <c r="KO57" i="8"/>
  <c r="KO78" i="8" s="1"/>
  <c r="KN57" i="8"/>
  <c r="KN78" i="8" s="1"/>
  <c r="KM57" i="8"/>
  <c r="KM78" i="8" s="1"/>
  <c r="KL57" i="8"/>
  <c r="KL78" i="8" s="1"/>
  <c r="KK57" i="8"/>
  <c r="KK78" i="8" s="1"/>
  <c r="KJ57" i="8"/>
  <c r="KJ78" i="8" s="1"/>
  <c r="KI57" i="8"/>
  <c r="KI78" i="8" s="1"/>
  <c r="KH57" i="8"/>
  <c r="KH78" i="8" s="1"/>
  <c r="KG57" i="8"/>
  <c r="KG78" i="8" s="1"/>
  <c r="KF57" i="8"/>
  <c r="KF78" i="8" s="1"/>
  <c r="KE57" i="8"/>
  <c r="KE78" i="8" s="1"/>
  <c r="KD57" i="8"/>
  <c r="KD78" i="8" s="1"/>
  <c r="KC57" i="8"/>
  <c r="KC78" i="8" s="1"/>
  <c r="KB57" i="8"/>
  <c r="KB78" i="8" s="1"/>
  <c r="KA57" i="8"/>
  <c r="KA78" i="8" s="1"/>
  <c r="JZ57" i="8"/>
  <c r="JY57" i="8"/>
  <c r="JY78" i="8" s="1"/>
  <c r="JX57" i="8"/>
  <c r="JX78" i="8" s="1"/>
  <c r="JW57" i="8"/>
  <c r="JW78" i="8" s="1"/>
  <c r="JV57" i="8"/>
  <c r="JV78" i="8" s="1"/>
  <c r="JU57" i="8"/>
  <c r="JU78" i="8" s="1"/>
  <c r="JT57" i="8"/>
  <c r="JT78" i="8" s="1"/>
  <c r="JS57" i="8"/>
  <c r="JS78" i="8" s="1"/>
  <c r="JR57" i="8"/>
  <c r="JR78" i="8" s="1"/>
  <c r="JQ57" i="8"/>
  <c r="JQ78" i="8" s="1"/>
  <c r="JP57" i="8"/>
  <c r="JP78" i="8" s="1"/>
  <c r="JO57" i="8"/>
  <c r="JO78" i="8" s="1"/>
  <c r="JN57" i="8"/>
  <c r="JN78" i="8" s="1"/>
  <c r="JM57" i="8"/>
  <c r="JM78" i="8" s="1"/>
  <c r="JL57" i="8"/>
  <c r="JL78" i="8" s="1"/>
  <c r="JK57" i="8"/>
  <c r="JK78" i="8" s="1"/>
  <c r="JJ57" i="8"/>
  <c r="JJ78" i="8" s="1"/>
  <c r="JI57" i="8"/>
  <c r="JI78" i="8" s="1"/>
  <c r="JH57" i="8"/>
  <c r="JH78" i="8" s="1"/>
  <c r="JG57" i="8"/>
  <c r="JG78" i="8" s="1"/>
  <c r="JF57" i="8"/>
  <c r="JF78" i="8" s="1"/>
  <c r="JE57" i="8"/>
  <c r="JE78" i="8" s="1"/>
  <c r="JD57" i="8"/>
  <c r="JD78" i="8" s="1"/>
  <c r="JC57" i="8"/>
  <c r="JC78" i="8" s="1"/>
  <c r="JB57" i="8"/>
  <c r="JB78" i="8" s="1"/>
  <c r="JA57" i="8"/>
  <c r="JA78" i="8" s="1"/>
  <c r="IZ57" i="8"/>
  <c r="IZ78" i="8" s="1"/>
  <c r="IY57" i="8"/>
  <c r="IY78" i="8" s="1"/>
  <c r="IX57" i="8"/>
  <c r="IX78" i="8" s="1"/>
  <c r="IW57" i="8"/>
  <c r="IW78" i="8" s="1"/>
  <c r="IV57" i="8"/>
  <c r="IV78" i="8" s="1"/>
  <c r="IU57" i="8"/>
  <c r="IU78" i="8" s="1"/>
  <c r="IT57" i="8"/>
  <c r="IT78" i="8" s="1"/>
  <c r="IS57" i="8"/>
  <c r="IS78" i="8" s="1"/>
  <c r="IR57" i="8"/>
  <c r="IR78" i="8" s="1"/>
  <c r="IQ57" i="8"/>
  <c r="IQ78" i="8" s="1"/>
  <c r="IP57" i="8"/>
  <c r="IP78" i="8" s="1"/>
  <c r="IO57" i="8"/>
  <c r="IO78" i="8" s="1"/>
  <c r="IN57" i="8"/>
  <c r="IN78" i="8" s="1"/>
  <c r="IM57" i="8"/>
  <c r="IM78" i="8" s="1"/>
  <c r="IL57" i="8"/>
  <c r="IL78" i="8" s="1"/>
  <c r="IK57" i="8"/>
  <c r="IK78" i="8" s="1"/>
  <c r="IJ57" i="8"/>
  <c r="IJ78" i="8" s="1"/>
  <c r="II57" i="8"/>
  <c r="II78" i="8" s="1"/>
  <c r="IH57" i="8"/>
  <c r="IH78" i="8" s="1"/>
  <c r="IG57" i="8"/>
  <c r="IG78" i="8" s="1"/>
  <c r="IF57" i="8"/>
  <c r="IF78" i="8" s="1"/>
  <c r="IE57" i="8"/>
  <c r="IE78" i="8" s="1"/>
  <c r="ID57" i="8"/>
  <c r="ID78" i="8" s="1"/>
  <c r="IC57" i="8"/>
  <c r="IC78" i="8" s="1"/>
  <c r="IB57" i="8"/>
  <c r="IB78" i="8" s="1"/>
  <c r="IA57" i="8"/>
  <c r="IA78" i="8" s="1"/>
  <c r="HZ57" i="8"/>
  <c r="HZ78" i="8" s="1"/>
  <c r="HY57" i="8"/>
  <c r="HY78" i="8" s="1"/>
  <c r="HX57" i="8"/>
  <c r="HX78" i="8" s="1"/>
  <c r="HW57" i="8"/>
  <c r="HW78" i="8" s="1"/>
  <c r="HV57" i="8"/>
  <c r="HV78" i="8" s="1"/>
  <c r="HU57" i="8"/>
  <c r="HU78" i="8" s="1"/>
  <c r="HT57" i="8"/>
  <c r="HT78" i="8" s="1"/>
  <c r="HS57" i="8"/>
  <c r="HS78" i="8" s="1"/>
  <c r="HR57" i="8"/>
  <c r="HR78" i="8" s="1"/>
  <c r="HQ57" i="8"/>
  <c r="HQ78" i="8" s="1"/>
  <c r="HP57" i="8"/>
  <c r="HP78" i="8" s="1"/>
  <c r="HO57" i="8"/>
  <c r="HO78" i="8" s="1"/>
  <c r="HN57" i="8"/>
  <c r="HN78" i="8" s="1"/>
  <c r="HM57" i="8"/>
  <c r="HM78" i="8" s="1"/>
  <c r="HL57" i="8"/>
  <c r="HL78" i="8" s="1"/>
  <c r="HK57" i="8"/>
  <c r="HK78" i="8" s="1"/>
  <c r="HJ57" i="8"/>
  <c r="HJ78" i="8" s="1"/>
  <c r="HI57" i="8"/>
  <c r="HI78" i="8" s="1"/>
  <c r="HH57" i="8"/>
  <c r="HH78" i="8" s="1"/>
  <c r="HG57" i="8"/>
  <c r="HG78" i="8" s="1"/>
  <c r="HF57" i="8"/>
  <c r="HF78" i="8" s="1"/>
  <c r="HE57" i="8"/>
  <c r="HE78" i="8" s="1"/>
  <c r="HD57" i="8"/>
  <c r="HD78" i="8" s="1"/>
  <c r="HC57" i="8"/>
  <c r="HC78" i="8" s="1"/>
  <c r="HB57" i="8"/>
  <c r="HB78" i="8" s="1"/>
  <c r="HA57" i="8"/>
  <c r="HA78" i="8" s="1"/>
  <c r="GZ57" i="8"/>
  <c r="GZ78" i="8" s="1"/>
  <c r="GY57" i="8"/>
  <c r="GY78" i="8" s="1"/>
  <c r="GX57" i="8"/>
  <c r="GX78" i="8" s="1"/>
  <c r="GW57" i="8"/>
  <c r="GW78" i="8" s="1"/>
  <c r="GV57" i="8"/>
  <c r="GV78" i="8" s="1"/>
  <c r="GU57" i="8"/>
  <c r="GU78" i="8" s="1"/>
  <c r="GT57" i="8"/>
  <c r="GT78" i="8" s="1"/>
  <c r="GS57" i="8"/>
  <c r="GS78" i="8" s="1"/>
  <c r="GR57" i="8"/>
  <c r="GR78" i="8" s="1"/>
  <c r="GQ57" i="8"/>
  <c r="GQ78" i="8" s="1"/>
  <c r="GP57" i="8"/>
  <c r="GP78" i="8" s="1"/>
  <c r="GO57" i="8"/>
  <c r="GO78" i="8" s="1"/>
  <c r="GN57" i="8"/>
  <c r="GN78" i="8" s="1"/>
  <c r="GM57" i="8"/>
  <c r="GM78" i="8" s="1"/>
  <c r="GL57" i="8"/>
  <c r="GL78" i="8" s="1"/>
  <c r="GK57" i="8"/>
  <c r="GK78" i="8" s="1"/>
  <c r="GJ57" i="8"/>
  <c r="GJ78" i="8" s="1"/>
  <c r="GI57" i="8"/>
  <c r="GI78" i="8" s="1"/>
  <c r="GH57" i="8"/>
  <c r="GH78" i="8" s="1"/>
  <c r="GG57" i="8"/>
  <c r="GG78" i="8" s="1"/>
  <c r="GF57" i="8"/>
  <c r="GF78" i="8" s="1"/>
  <c r="GE57" i="8"/>
  <c r="GE78" i="8" s="1"/>
  <c r="GD57" i="8"/>
  <c r="GD78" i="8" s="1"/>
  <c r="GC57" i="8"/>
  <c r="GC78" i="8" s="1"/>
  <c r="GB57" i="8"/>
  <c r="GB78" i="8" s="1"/>
  <c r="GA57" i="8"/>
  <c r="GA78" i="8" s="1"/>
  <c r="FZ57" i="8"/>
  <c r="FZ78" i="8" s="1"/>
  <c r="FY57" i="8"/>
  <c r="FY78" i="8" s="1"/>
  <c r="FX57" i="8"/>
  <c r="FX78" i="8" s="1"/>
  <c r="FW57" i="8"/>
  <c r="FW78" i="8" s="1"/>
  <c r="FV57" i="8"/>
  <c r="FV78" i="8" s="1"/>
  <c r="FU57" i="8"/>
  <c r="FU78" i="8" s="1"/>
  <c r="FT57" i="8"/>
  <c r="FT78" i="8" s="1"/>
  <c r="FO57" i="8"/>
  <c r="FO78" i="8" s="1"/>
  <c r="FM57" i="8"/>
  <c r="FM78" i="8" s="1"/>
  <c r="FL57" i="8"/>
  <c r="FL78" i="8" s="1"/>
  <c r="FK57" i="8"/>
  <c r="FK78" i="8" s="1"/>
  <c r="FJ57" i="8"/>
  <c r="FJ78" i="8" s="1"/>
  <c r="FI57" i="8"/>
  <c r="FI78" i="8" s="1"/>
  <c r="FH57" i="8"/>
  <c r="FH78" i="8" s="1"/>
  <c r="FG57" i="8"/>
  <c r="FG78" i="8" s="1"/>
  <c r="FF57" i="8"/>
  <c r="FF78" i="8" s="1"/>
  <c r="FE57" i="8"/>
  <c r="FE78" i="8" s="1"/>
  <c r="FD57" i="8"/>
  <c r="FD78" i="8" s="1"/>
  <c r="FC57" i="8"/>
  <c r="FC78" i="8" s="1"/>
  <c r="FB57" i="8"/>
  <c r="FB78" i="8" s="1"/>
  <c r="FA57" i="8"/>
  <c r="FA78" i="8" s="1"/>
  <c r="EZ57" i="8"/>
  <c r="EZ78" i="8" s="1"/>
  <c r="EY57" i="8"/>
  <c r="EY78" i="8" s="1"/>
  <c r="EX57" i="8"/>
  <c r="EX78" i="8" s="1"/>
  <c r="EW57" i="8"/>
  <c r="EW78" i="8" s="1"/>
  <c r="EV57" i="8"/>
  <c r="EV78" i="8" s="1"/>
  <c r="EU57" i="8"/>
  <c r="EU78" i="8" s="1"/>
  <c r="ET57" i="8"/>
  <c r="ET78" i="8" s="1"/>
  <c r="ES57" i="8"/>
  <c r="ES78" i="8" s="1"/>
  <c r="ER57" i="8"/>
  <c r="ER78" i="8" s="1"/>
  <c r="EQ57" i="8"/>
  <c r="EQ78" i="8" s="1"/>
  <c r="EP57" i="8"/>
  <c r="EP78" i="8" s="1"/>
  <c r="EO57" i="8"/>
  <c r="EO78" i="8" s="1"/>
  <c r="EN57" i="8"/>
  <c r="EN78" i="8" s="1"/>
  <c r="EM57" i="8"/>
  <c r="EM78" i="8" s="1"/>
  <c r="EL57" i="8"/>
  <c r="EL78" i="8" s="1"/>
  <c r="EK57" i="8"/>
  <c r="EK78" i="8" s="1"/>
  <c r="EJ57" i="8"/>
  <c r="EJ78" i="8" s="1"/>
  <c r="EI57" i="8"/>
  <c r="EI78" i="8" s="1"/>
  <c r="EH57" i="8"/>
  <c r="EH78" i="8" s="1"/>
  <c r="EG57" i="8"/>
  <c r="EG78" i="8" s="1"/>
  <c r="EF57" i="8"/>
  <c r="EF78" i="8" s="1"/>
  <c r="EE57" i="8"/>
  <c r="EE78" i="8" s="1"/>
  <c r="ED57" i="8"/>
  <c r="ED78" i="8" s="1"/>
  <c r="EC57" i="8"/>
  <c r="EC78" i="8" s="1"/>
  <c r="EB57" i="8"/>
  <c r="EB78" i="8" s="1"/>
  <c r="EA57" i="8"/>
  <c r="EA78" i="8" s="1"/>
  <c r="DZ57" i="8"/>
  <c r="DZ78" i="8" s="1"/>
  <c r="DY57" i="8"/>
  <c r="DY78" i="8" s="1"/>
  <c r="DX57" i="8"/>
  <c r="DX78" i="8" s="1"/>
  <c r="DW57" i="8"/>
  <c r="DW78" i="8" s="1"/>
  <c r="DV57" i="8"/>
  <c r="DV78" i="8" s="1"/>
  <c r="DU57" i="8"/>
  <c r="DU78" i="8" s="1"/>
  <c r="DT57" i="8"/>
  <c r="DT78" i="8" s="1"/>
  <c r="DS57" i="8"/>
  <c r="DS78" i="8" s="1"/>
  <c r="DR57" i="8"/>
  <c r="DR78" i="8" s="1"/>
  <c r="DQ57" i="8"/>
  <c r="DQ78" i="8" s="1"/>
  <c r="DP57" i="8"/>
  <c r="DP78" i="8" s="1"/>
  <c r="DO57" i="8"/>
  <c r="DO78" i="8" s="1"/>
  <c r="DN57" i="8"/>
  <c r="DN78" i="8" s="1"/>
  <c r="DM57" i="8"/>
  <c r="DM78" i="8" s="1"/>
  <c r="DL57" i="8"/>
  <c r="DL78" i="8" s="1"/>
  <c r="DK57" i="8"/>
  <c r="DK78" i="8" s="1"/>
  <c r="DJ57" i="8"/>
  <c r="DJ78" i="8" s="1"/>
  <c r="DI57" i="8"/>
  <c r="DI78" i="8" s="1"/>
  <c r="DH57" i="8"/>
  <c r="DH78" i="8" s="1"/>
  <c r="DG57" i="8"/>
  <c r="DG78" i="8" s="1"/>
  <c r="DF57" i="8"/>
  <c r="DF78" i="8" s="1"/>
  <c r="DE57" i="8"/>
  <c r="DE78" i="8" s="1"/>
  <c r="DD57" i="8"/>
  <c r="DD78" i="8" s="1"/>
  <c r="DC57" i="8"/>
  <c r="DC78" i="8" s="1"/>
  <c r="DB57" i="8"/>
  <c r="DB78" i="8" s="1"/>
  <c r="DA57" i="8"/>
  <c r="DA78" i="8" s="1"/>
  <c r="CZ57" i="8"/>
  <c r="CZ78" i="8" s="1"/>
  <c r="CY57" i="8"/>
  <c r="CY78" i="8" s="1"/>
  <c r="CX57" i="8"/>
  <c r="CX78" i="8" s="1"/>
  <c r="CW57" i="8"/>
  <c r="CW78" i="8" s="1"/>
  <c r="CV57" i="8"/>
  <c r="CV78" i="8" s="1"/>
  <c r="CU57" i="8"/>
  <c r="CU78" i="8" s="1"/>
  <c r="CT57" i="8"/>
  <c r="CT78" i="8" s="1"/>
  <c r="CS57" i="8"/>
  <c r="CS78" i="8" s="1"/>
  <c r="CR57" i="8"/>
  <c r="CR78" i="8" s="1"/>
  <c r="CQ57" i="8"/>
  <c r="CQ78" i="8" s="1"/>
  <c r="CP57" i="8"/>
  <c r="CP78" i="8" s="1"/>
  <c r="CO57" i="8"/>
  <c r="CO78" i="8" s="1"/>
  <c r="CN57" i="8"/>
  <c r="CN78" i="8" s="1"/>
  <c r="CM57" i="8"/>
  <c r="CM78" i="8" s="1"/>
  <c r="CL57" i="8"/>
  <c r="CL78" i="8" s="1"/>
  <c r="CK57" i="8"/>
  <c r="CK78" i="8" s="1"/>
  <c r="CJ57" i="8"/>
  <c r="CJ78" i="8" s="1"/>
  <c r="CI57" i="8"/>
  <c r="CI78" i="8" s="1"/>
  <c r="CH57" i="8"/>
  <c r="CH78" i="8" s="1"/>
  <c r="CG57" i="8"/>
  <c r="CG78" i="8" s="1"/>
  <c r="CF57" i="8"/>
  <c r="CF78" i="8" s="1"/>
  <c r="CE57" i="8"/>
  <c r="CE78" i="8" s="1"/>
  <c r="CD57" i="8"/>
  <c r="CD78" i="8" s="1"/>
  <c r="CC57" i="8"/>
  <c r="CC78" i="8" s="1"/>
  <c r="CB57" i="8"/>
  <c r="CB78" i="8" s="1"/>
  <c r="CA57" i="8"/>
  <c r="CA78" i="8" s="1"/>
  <c r="BZ57" i="8"/>
  <c r="BZ78" i="8" s="1"/>
  <c r="BY57" i="8"/>
  <c r="BY78" i="8" s="1"/>
  <c r="BX57" i="8"/>
  <c r="BX78" i="8" s="1"/>
  <c r="BW57" i="8"/>
  <c r="BW78" i="8" s="1"/>
  <c r="BV57" i="8"/>
  <c r="BV78" i="8" s="1"/>
  <c r="BU57" i="8"/>
  <c r="BU78" i="8" s="1"/>
  <c r="BT57" i="8"/>
  <c r="BT78" i="8" s="1"/>
  <c r="BS57" i="8"/>
  <c r="BS78" i="8" s="1"/>
  <c r="BR57" i="8"/>
  <c r="BR78" i="8" s="1"/>
  <c r="BQ57" i="8"/>
  <c r="BQ78" i="8" s="1"/>
  <c r="BP57" i="8"/>
  <c r="BP78" i="8" s="1"/>
  <c r="BO57" i="8"/>
  <c r="BO78" i="8" s="1"/>
  <c r="BN57" i="8"/>
  <c r="BN78" i="8" s="1"/>
  <c r="BM57" i="8"/>
  <c r="BM78" i="8" s="1"/>
  <c r="BL57" i="8"/>
  <c r="BL78" i="8" s="1"/>
  <c r="BK57" i="8"/>
  <c r="BK78" i="8" s="1"/>
  <c r="BJ57" i="8"/>
  <c r="BJ78" i="8" s="1"/>
  <c r="BI57" i="8"/>
  <c r="BI78" i="8" s="1"/>
  <c r="BH57" i="8"/>
  <c r="BH78" i="8" s="1"/>
  <c r="BG57" i="8"/>
  <c r="BG78" i="8" s="1"/>
  <c r="BF57" i="8"/>
  <c r="BF78" i="8" s="1"/>
  <c r="BE57" i="8"/>
  <c r="BE78" i="8" s="1"/>
  <c r="BD57" i="8"/>
  <c r="BD78" i="8" s="1"/>
  <c r="BC57" i="8"/>
  <c r="BC78" i="8" s="1"/>
  <c r="BB57" i="8"/>
  <c r="BB78" i="8" s="1"/>
  <c r="BA57" i="8"/>
  <c r="BA78" i="8" s="1"/>
  <c r="AZ57" i="8"/>
  <c r="AZ78" i="8" s="1"/>
  <c r="AY57" i="8"/>
  <c r="AY78" i="8" s="1"/>
  <c r="AX57" i="8"/>
  <c r="AX78" i="8" s="1"/>
  <c r="AW57" i="8"/>
  <c r="AW78" i="8" s="1"/>
  <c r="AV57" i="8"/>
  <c r="AV78" i="8" s="1"/>
  <c r="AU57" i="8"/>
  <c r="AU78" i="8" s="1"/>
  <c r="AT57" i="8"/>
  <c r="AT78" i="8" s="1"/>
  <c r="AS57" i="8"/>
  <c r="AS78" i="8" s="1"/>
  <c r="AR57" i="8"/>
  <c r="AR78" i="8" s="1"/>
  <c r="AQ57" i="8"/>
  <c r="AQ78" i="8" s="1"/>
  <c r="AP57" i="8"/>
  <c r="AP78" i="8" s="1"/>
  <c r="AO57" i="8"/>
  <c r="AO78" i="8" s="1"/>
  <c r="AN57" i="8"/>
  <c r="AN78" i="8" s="1"/>
  <c r="AM57" i="8"/>
  <c r="AM78" i="8" s="1"/>
  <c r="AL57" i="8"/>
  <c r="AL78" i="8" s="1"/>
  <c r="AK57" i="8"/>
  <c r="AK78" i="8" s="1"/>
  <c r="AJ57" i="8"/>
  <c r="AJ78" i="8" s="1"/>
  <c r="AI57" i="8"/>
  <c r="AI78" i="8" s="1"/>
  <c r="AH57" i="8"/>
  <c r="AH78" i="8" s="1"/>
  <c r="AG57" i="8"/>
  <c r="AG78" i="8" s="1"/>
  <c r="AF57" i="8"/>
  <c r="AF78" i="8" s="1"/>
  <c r="AE57" i="8"/>
  <c r="AE78" i="8" s="1"/>
  <c r="AD57" i="8"/>
  <c r="AD78" i="8" s="1"/>
  <c r="AC57" i="8"/>
  <c r="AC78" i="8" s="1"/>
  <c r="AB57" i="8"/>
  <c r="AB78" i="8" s="1"/>
  <c r="AA57" i="8"/>
  <c r="AA78" i="8" s="1"/>
  <c r="Z57" i="8"/>
  <c r="Z78" i="8" s="1"/>
  <c r="Y57" i="8"/>
  <c r="Y78" i="8" s="1"/>
  <c r="X57" i="8"/>
  <c r="X78" i="8" s="1"/>
  <c r="W57" i="8"/>
  <c r="W78" i="8" s="1"/>
  <c r="V57" i="8"/>
  <c r="V78" i="8" s="1"/>
  <c r="U57" i="8"/>
  <c r="U78" i="8" s="1"/>
  <c r="T57" i="8"/>
  <c r="T78" i="8" s="1"/>
  <c r="S57" i="8"/>
  <c r="S78" i="8" s="1"/>
  <c r="R57" i="8"/>
  <c r="R78" i="8" s="1"/>
  <c r="Q57" i="8"/>
  <c r="Q78" i="8" s="1"/>
  <c r="P57" i="8"/>
  <c r="P78" i="8" s="1"/>
  <c r="O57" i="8"/>
  <c r="O78" i="8" s="1"/>
  <c r="N57" i="8"/>
  <c r="N78" i="8" s="1"/>
  <c r="M57" i="8"/>
  <c r="M78" i="8" s="1"/>
  <c r="L57" i="8"/>
  <c r="L78" i="8" s="1"/>
  <c r="K57" i="8"/>
  <c r="K78" i="8" s="1"/>
  <c r="J57" i="8"/>
  <c r="J78" i="8" s="1"/>
  <c r="I57" i="8"/>
  <c r="I78" i="8" s="1"/>
  <c r="H57" i="8"/>
  <c r="H78" i="8" s="1"/>
  <c r="G57" i="8"/>
  <c r="G78" i="8" s="1"/>
  <c r="F57" i="8"/>
  <c r="F78" i="8" s="1"/>
  <c r="E57" i="8"/>
  <c r="E78" i="8" s="1"/>
  <c r="D57" i="8"/>
  <c r="D78" i="8" s="1"/>
  <c r="C57" i="8"/>
  <c r="C78" i="8" s="1"/>
  <c r="OT56" i="8"/>
  <c r="OT77" i="8" s="1"/>
  <c r="OS56" i="8"/>
  <c r="OS77" i="8" s="1"/>
  <c r="NO56" i="8"/>
  <c r="NO77" i="8" s="1"/>
  <c r="NN56" i="8"/>
  <c r="NN77" i="8" s="1"/>
  <c r="NM56" i="8"/>
  <c r="NM77" i="8" s="1"/>
  <c r="NL56" i="8"/>
  <c r="NL77" i="8" s="1"/>
  <c r="NK56" i="8"/>
  <c r="NK77" i="8" s="1"/>
  <c r="NJ56" i="8"/>
  <c r="NJ77" i="8" s="1"/>
  <c r="NI56" i="8"/>
  <c r="NI77" i="8" s="1"/>
  <c r="NH56" i="8"/>
  <c r="NH77" i="8" s="1"/>
  <c r="NG56" i="8"/>
  <c r="NG77" i="8" s="1"/>
  <c r="NF56" i="8"/>
  <c r="NF77" i="8" s="1"/>
  <c r="NE56" i="8"/>
  <c r="NE77" i="8" s="1"/>
  <c r="ND56" i="8"/>
  <c r="ND77" i="8" s="1"/>
  <c r="NC56" i="8"/>
  <c r="NC77" i="8" s="1"/>
  <c r="NB56" i="8"/>
  <c r="NB77" i="8" s="1"/>
  <c r="NA56" i="8"/>
  <c r="NA77" i="8" s="1"/>
  <c r="MZ56" i="8"/>
  <c r="MZ77" i="8" s="1"/>
  <c r="MY56" i="8"/>
  <c r="MY77" i="8" s="1"/>
  <c r="MX56" i="8"/>
  <c r="MX77" i="8" s="1"/>
  <c r="MW56" i="8"/>
  <c r="MW77" i="8" s="1"/>
  <c r="MV56" i="8"/>
  <c r="MV77" i="8" s="1"/>
  <c r="MU56" i="8"/>
  <c r="MU77" i="8" s="1"/>
  <c r="MT56" i="8"/>
  <c r="MT77" i="8" s="1"/>
  <c r="MS56" i="8"/>
  <c r="MS77" i="8" s="1"/>
  <c r="MR56" i="8"/>
  <c r="MR77" i="8" s="1"/>
  <c r="MQ56" i="8"/>
  <c r="MQ77" i="8" s="1"/>
  <c r="MP56" i="8"/>
  <c r="MP77" i="8" s="1"/>
  <c r="MO56" i="8"/>
  <c r="MO77" i="8" s="1"/>
  <c r="MN56" i="8"/>
  <c r="MN77" i="8" s="1"/>
  <c r="MM56" i="8"/>
  <c r="MM77" i="8" s="1"/>
  <c r="ML56" i="8"/>
  <c r="ML77" i="8" s="1"/>
  <c r="MK56" i="8"/>
  <c r="MK77" i="8" s="1"/>
  <c r="MJ56" i="8"/>
  <c r="MJ77" i="8" s="1"/>
  <c r="MI56" i="8"/>
  <c r="MI77" i="8" s="1"/>
  <c r="MH56" i="8"/>
  <c r="MH77" i="8" s="1"/>
  <c r="MG56" i="8"/>
  <c r="MG77" i="8" s="1"/>
  <c r="MF56" i="8"/>
  <c r="MF77" i="8" s="1"/>
  <c r="ME56" i="8"/>
  <c r="ME77" i="8" s="1"/>
  <c r="MD56" i="8"/>
  <c r="MD77" i="8" s="1"/>
  <c r="MC56" i="8"/>
  <c r="MC77" i="8" s="1"/>
  <c r="MB56" i="8"/>
  <c r="MB77" i="8" s="1"/>
  <c r="MA56" i="8"/>
  <c r="MA77" i="8" s="1"/>
  <c r="LZ56" i="8"/>
  <c r="LZ77" i="8" s="1"/>
  <c r="LY56" i="8"/>
  <c r="LY77" i="8" s="1"/>
  <c r="LX56" i="8"/>
  <c r="LX77" i="8" s="1"/>
  <c r="LW56" i="8"/>
  <c r="LW77" i="8" s="1"/>
  <c r="LV56" i="8"/>
  <c r="LV77" i="8" s="1"/>
  <c r="LU56" i="8"/>
  <c r="LU77" i="8" s="1"/>
  <c r="LT56" i="8"/>
  <c r="LT77" i="8" s="1"/>
  <c r="LS56" i="8"/>
  <c r="LS77" i="8" s="1"/>
  <c r="LR56" i="8"/>
  <c r="LR77" i="8" s="1"/>
  <c r="LQ56" i="8"/>
  <c r="LQ77" i="8" s="1"/>
  <c r="LP56" i="8"/>
  <c r="LP77" i="8" s="1"/>
  <c r="LO56" i="8"/>
  <c r="LO77" i="8" s="1"/>
  <c r="LN56" i="8"/>
  <c r="LN77" i="8" s="1"/>
  <c r="LM56" i="8"/>
  <c r="LM77" i="8" s="1"/>
  <c r="LL56" i="8"/>
  <c r="LL77" i="8" s="1"/>
  <c r="LK56" i="8"/>
  <c r="LK77" i="8" s="1"/>
  <c r="LJ56" i="8"/>
  <c r="LJ77" i="8" s="1"/>
  <c r="LI56" i="8"/>
  <c r="LI77" i="8" s="1"/>
  <c r="LH56" i="8"/>
  <c r="LH77" i="8" s="1"/>
  <c r="LG56" i="8"/>
  <c r="LG77" i="8" s="1"/>
  <c r="LF56" i="8"/>
  <c r="LF77" i="8" s="1"/>
  <c r="LE56" i="8"/>
  <c r="LE77" i="8" s="1"/>
  <c r="LD56" i="8"/>
  <c r="LD77" i="8" s="1"/>
  <c r="LC56" i="8"/>
  <c r="LC77" i="8" s="1"/>
  <c r="LB56" i="8"/>
  <c r="LB77" i="8" s="1"/>
  <c r="LA56" i="8"/>
  <c r="LA77" i="8" s="1"/>
  <c r="KZ56" i="8"/>
  <c r="KZ77" i="8" s="1"/>
  <c r="KY56" i="8"/>
  <c r="KY77" i="8" s="1"/>
  <c r="KX56" i="8"/>
  <c r="KX77" i="8" s="1"/>
  <c r="KW56" i="8"/>
  <c r="KW77" i="8" s="1"/>
  <c r="KV56" i="8"/>
  <c r="KV77" i="8" s="1"/>
  <c r="KU56" i="8"/>
  <c r="KU77" i="8" s="1"/>
  <c r="KT56" i="8"/>
  <c r="KT77" i="8" s="1"/>
  <c r="KS56" i="8"/>
  <c r="KS77" i="8" s="1"/>
  <c r="KR56" i="8"/>
  <c r="KR77" i="8" s="1"/>
  <c r="KQ56" i="8"/>
  <c r="KQ77" i="8" s="1"/>
  <c r="KP56" i="8"/>
  <c r="KP77" i="8" s="1"/>
  <c r="KO56" i="8"/>
  <c r="KO77" i="8" s="1"/>
  <c r="KN56" i="8"/>
  <c r="KN77" i="8" s="1"/>
  <c r="KM56" i="8"/>
  <c r="KM77" i="8" s="1"/>
  <c r="KL56" i="8"/>
  <c r="KL77" i="8" s="1"/>
  <c r="KK56" i="8"/>
  <c r="KK77" i="8" s="1"/>
  <c r="KJ56" i="8"/>
  <c r="KJ77" i="8" s="1"/>
  <c r="KI56" i="8"/>
  <c r="KI77" i="8" s="1"/>
  <c r="KH56" i="8"/>
  <c r="KH77" i="8" s="1"/>
  <c r="KG56" i="8"/>
  <c r="KG77" i="8" s="1"/>
  <c r="KF56" i="8"/>
  <c r="KF77" i="8" s="1"/>
  <c r="KE56" i="8"/>
  <c r="KE77" i="8" s="1"/>
  <c r="KD56" i="8"/>
  <c r="KD77" i="8" s="1"/>
  <c r="KC56" i="8"/>
  <c r="KC77" i="8" s="1"/>
  <c r="KB56" i="8"/>
  <c r="KB77" i="8" s="1"/>
  <c r="KA56" i="8"/>
  <c r="KA77" i="8" s="1"/>
  <c r="JZ56" i="8"/>
  <c r="JZ77" i="8" s="1"/>
  <c r="JY56" i="8"/>
  <c r="JY77" i="8" s="1"/>
  <c r="JX56" i="8"/>
  <c r="JX77" i="8" s="1"/>
  <c r="JW56" i="8"/>
  <c r="JW77" i="8" s="1"/>
  <c r="JV56" i="8"/>
  <c r="JV77" i="8" s="1"/>
  <c r="JU56" i="8"/>
  <c r="JU77" i="8" s="1"/>
  <c r="JT56" i="8"/>
  <c r="JT77" i="8" s="1"/>
  <c r="JS56" i="8"/>
  <c r="JS77" i="8" s="1"/>
  <c r="JR56" i="8"/>
  <c r="JR77" i="8" s="1"/>
  <c r="JQ56" i="8"/>
  <c r="JQ77" i="8" s="1"/>
  <c r="JP56" i="8"/>
  <c r="JP77" i="8" s="1"/>
  <c r="JO56" i="8"/>
  <c r="JO77" i="8" s="1"/>
  <c r="JN56" i="8"/>
  <c r="JN77" i="8" s="1"/>
  <c r="JM56" i="8"/>
  <c r="JM77" i="8" s="1"/>
  <c r="JL56" i="8"/>
  <c r="JL77" i="8" s="1"/>
  <c r="JK56" i="8"/>
  <c r="JK77" i="8" s="1"/>
  <c r="JJ56" i="8"/>
  <c r="JJ77" i="8" s="1"/>
  <c r="JI56" i="8"/>
  <c r="JI77" i="8" s="1"/>
  <c r="JH56" i="8"/>
  <c r="JH77" i="8" s="1"/>
  <c r="JG56" i="8"/>
  <c r="JG77" i="8" s="1"/>
  <c r="JF56" i="8"/>
  <c r="JF77" i="8" s="1"/>
  <c r="JE56" i="8"/>
  <c r="JE77" i="8" s="1"/>
  <c r="JD56" i="8"/>
  <c r="JD77" i="8" s="1"/>
  <c r="JC56" i="8"/>
  <c r="JC77" i="8" s="1"/>
  <c r="JB56" i="8"/>
  <c r="JB77" i="8" s="1"/>
  <c r="JA56" i="8"/>
  <c r="JA77" i="8" s="1"/>
  <c r="IZ56" i="8"/>
  <c r="IZ77" i="8" s="1"/>
  <c r="IY56" i="8"/>
  <c r="IY77" i="8" s="1"/>
  <c r="IX56" i="8"/>
  <c r="IX77" i="8" s="1"/>
  <c r="IW56" i="8"/>
  <c r="IW77" i="8" s="1"/>
  <c r="IV56" i="8"/>
  <c r="IV77" i="8" s="1"/>
  <c r="IU56" i="8"/>
  <c r="IU77" i="8" s="1"/>
  <c r="IT56" i="8"/>
  <c r="IT77" i="8" s="1"/>
  <c r="IS56" i="8"/>
  <c r="IS77" i="8" s="1"/>
  <c r="IR56" i="8"/>
  <c r="IR77" i="8" s="1"/>
  <c r="IQ56" i="8"/>
  <c r="IQ77" i="8" s="1"/>
  <c r="IP56" i="8"/>
  <c r="IP77" i="8" s="1"/>
  <c r="IO56" i="8"/>
  <c r="IO77" i="8" s="1"/>
  <c r="IN56" i="8"/>
  <c r="IN77" i="8" s="1"/>
  <c r="IM56" i="8"/>
  <c r="IM77" i="8" s="1"/>
  <c r="IL56" i="8"/>
  <c r="IL77" i="8" s="1"/>
  <c r="IK56" i="8"/>
  <c r="IK77" i="8" s="1"/>
  <c r="IJ56" i="8"/>
  <c r="IJ77" i="8" s="1"/>
  <c r="II56" i="8"/>
  <c r="II77" i="8" s="1"/>
  <c r="IH56" i="8"/>
  <c r="IH77" i="8" s="1"/>
  <c r="IG56" i="8"/>
  <c r="IG77" i="8" s="1"/>
  <c r="IF56" i="8"/>
  <c r="IF77" i="8" s="1"/>
  <c r="IE56" i="8"/>
  <c r="IE77" i="8" s="1"/>
  <c r="ID56" i="8"/>
  <c r="ID77" i="8" s="1"/>
  <c r="IC56" i="8"/>
  <c r="IC77" i="8" s="1"/>
  <c r="IB56" i="8"/>
  <c r="IB77" i="8" s="1"/>
  <c r="IA56" i="8"/>
  <c r="IA77" i="8" s="1"/>
  <c r="HZ56" i="8"/>
  <c r="HZ77" i="8" s="1"/>
  <c r="HY56" i="8"/>
  <c r="HY77" i="8" s="1"/>
  <c r="HX56" i="8"/>
  <c r="HX77" i="8" s="1"/>
  <c r="HW56" i="8"/>
  <c r="HW77" i="8" s="1"/>
  <c r="HV56" i="8"/>
  <c r="HV77" i="8" s="1"/>
  <c r="HU56" i="8"/>
  <c r="HU77" i="8" s="1"/>
  <c r="HT56" i="8"/>
  <c r="HT77" i="8" s="1"/>
  <c r="HS56" i="8"/>
  <c r="HS77" i="8" s="1"/>
  <c r="HR56" i="8"/>
  <c r="HR77" i="8" s="1"/>
  <c r="HQ56" i="8"/>
  <c r="HQ77" i="8" s="1"/>
  <c r="HP56" i="8"/>
  <c r="HP77" i="8" s="1"/>
  <c r="HO56" i="8"/>
  <c r="HO77" i="8" s="1"/>
  <c r="HN56" i="8"/>
  <c r="HN77" i="8" s="1"/>
  <c r="HM56" i="8"/>
  <c r="HM77" i="8" s="1"/>
  <c r="HL56" i="8"/>
  <c r="HL77" i="8" s="1"/>
  <c r="HK56" i="8"/>
  <c r="HK77" i="8" s="1"/>
  <c r="HJ56" i="8"/>
  <c r="HJ77" i="8" s="1"/>
  <c r="HI56" i="8"/>
  <c r="HI77" i="8" s="1"/>
  <c r="HH56" i="8"/>
  <c r="HH77" i="8" s="1"/>
  <c r="HG56" i="8"/>
  <c r="HG77" i="8" s="1"/>
  <c r="HF56" i="8"/>
  <c r="HF77" i="8" s="1"/>
  <c r="HE56" i="8"/>
  <c r="HE77" i="8" s="1"/>
  <c r="HD56" i="8"/>
  <c r="HD77" i="8" s="1"/>
  <c r="HC56" i="8"/>
  <c r="HC77" i="8" s="1"/>
  <c r="HB56" i="8"/>
  <c r="HB77" i="8" s="1"/>
  <c r="HA56" i="8"/>
  <c r="HA77" i="8" s="1"/>
  <c r="GZ56" i="8"/>
  <c r="GZ77" i="8" s="1"/>
  <c r="GY56" i="8"/>
  <c r="GY77" i="8" s="1"/>
  <c r="GX56" i="8"/>
  <c r="GX77" i="8" s="1"/>
  <c r="GW56" i="8"/>
  <c r="GW77" i="8" s="1"/>
  <c r="GV56" i="8"/>
  <c r="GV77" i="8" s="1"/>
  <c r="GU56" i="8"/>
  <c r="GU77" i="8" s="1"/>
  <c r="GT56" i="8"/>
  <c r="GT77" i="8" s="1"/>
  <c r="GS56" i="8"/>
  <c r="GS77" i="8" s="1"/>
  <c r="GR56" i="8"/>
  <c r="GR77" i="8" s="1"/>
  <c r="GQ56" i="8"/>
  <c r="GQ77" i="8" s="1"/>
  <c r="GP56" i="8"/>
  <c r="GP77" i="8" s="1"/>
  <c r="GO56" i="8"/>
  <c r="GO77" i="8" s="1"/>
  <c r="GN56" i="8"/>
  <c r="GN77" i="8" s="1"/>
  <c r="GM56" i="8"/>
  <c r="GM77" i="8" s="1"/>
  <c r="GL56" i="8"/>
  <c r="GL77" i="8" s="1"/>
  <c r="GK56" i="8"/>
  <c r="GK77" i="8" s="1"/>
  <c r="GJ56" i="8"/>
  <c r="GJ77" i="8" s="1"/>
  <c r="GI56" i="8"/>
  <c r="GI77" i="8" s="1"/>
  <c r="GH56" i="8"/>
  <c r="GH77" i="8" s="1"/>
  <c r="GG56" i="8"/>
  <c r="GG77" i="8" s="1"/>
  <c r="GF56" i="8"/>
  <c r="GF77" i="8" s="1"/>
  <c r="GE56" i="8"/>
  <c r="GE77" i="8" s="1"/>
  <c r="GD56" i="8"/>
  <c r="GD77" i="8" s="1"/>
  <c r="GC56" i="8"/>
  <c r="GC77" i="8" s="1"/>
  <c r="GB56" i="8"/>
  <c r="GB77" i="8" s="1"/>
  <c r="GA56" i="8"/>
  <c r="GA77" i="8" s="1"/>
  <c r="FZ56" i="8"/>
  <c r="FZ77" i="8" s="1"/>
  <c r="FY56" i="8"/>
  <c r="FY77" i="8" s="1"/>
  <c r="FX56" i="8"/>
  <c r="FX77" i="8" s="1"/>
  <c r="FW56" i="8"/>
  <c r="FW77" i="8" s="1"/>
  <c r="FV56" i="8"/>
  <c r="FV77" i="8" s="1"/>
  <c r="FU56" i="8"/>
  <c r="FU77" i="8" s="1"/>
  <c r="FT56" i="8"/>
  <c r="FT77" i="8" s="1"/>
  <c r="FS56" i="8"/>
  <c r="FS77" i="8" s="1"/>
  <c r="FR56" i="8"/>
  <c r="FQ56" i="8"/>
  <c r="FQ77" i="8" s="1"/>
  <c r="FP56" i="8"/>
  <c r="FO56" i="8"/>
  <c r="FO77" i="8" s="1"/>
  <c r="FN56" i="8"/>
  <c r="FM56" i="8"/>
  <c r="FM77" i="8" s="1"/>
  <c r="FL56" i="8"/>
  <c r="FL77" i="8" s="1"/>
  <c r="FK56" i="8"/>
  <c r="FK77" i="8" s="1"/>
  <c r="FJ56" i="8"/>
  <c r="FJ77" i="8" s="1"/>
  <c r="FI56" i="8"/>
  <c r="FI77" i="8" s="1"/>
  <c r="FH56" i="8"/>
  <c r="FH77" i="8" s="1"/>
  <c r="FG56" i="8"/>
  <c r="FG77" i="8" s="1"/>
  <c r="FF56" i="8"/>
  <c r="FF77" i="8" s="1"/>
  <c r="FE56" i="8"/>
  <c r="FE77" i="8" s="1"/>
  <c r="FD56" i="8"/>
  <c r="FD77" i="8" s="1"/>
  <c r="FC56" i="8"/>
  <c r="FC77" i="8" s="1"/>
  <c r="FB56" i="8"/>
  <c r="FB77" i="8" s="1"/>
  <c r="FA56" i="8"/>
  <c r="FA77" i="8" s="1"/>
  <c r="EZ56" i="8"/>
  <c r="EZ77" i="8" s="1"/>
  <c r="EY56" i="8"/>
  <c r="EY77" i="8" s="1"/>
  <c r="EX56" i="8"/>
  <c r="EX77" i="8" s="1"/>
  <c r="EW56" i="8"/>
  <c r="EW77" i="8" s="1"/>
  <c r="EV56" i="8"/>
  <c r="EV77" i="8" s="1"/>
  <c r="EU56" i="8"/>
  <c r="EU77" i="8" s="1"/>
  <c r="ET56" i="8"/>
  <c r="ET77" i="8" s="1"/>
  <c r="ES56" i="8"/>
  <c r="ES77" i="8" s="1"/>
  <c r="ER56" i="8"/>
  <c r="ER77" i="8" s="1"/>
  <c r="EQ56" i="8"/>
  <c r="EQ77" i="8" s="1"/>
  <c r="EP56" i="8"/>
  <c r="EP77" i="8" s="1"/>
  <c r="EO56" i="8"/>
  <c r="EO77" i="8" s="1"/>
  <c r="EN56" i="8"/>
  <c r="EN77" i="8" s="1"/>
  <c r="EM56" i="8"/>
  <c r="EM77" i="8" s="1"/>
  <c r="EL56" i="8"/>
  <c r="EL77" i="8" s="1"/>
  <c r="EK56" i="8"/>
  <c r="EK77" i="8" s="1"/>
  <c r="EJ56" i="8"/>
  <c r="EJ77" i="8" s="1"/>
  <c r="EI56" i="8"/>
  <c r="EI77" i="8" s="1"/>
  <c r="EH56" i="8"/>
  <c r="EH77" i="8" s="1"/>
  <c r="EG56" i="8"/>
  <c r="EG77" i="8" s="1"/>
  <c r="EF56" i="8"/>
  <c r="EF77" i="8" s="1"/>
  <c r="EE56" i="8"/>
  <c r="EE77" i="8" s="1"/>
  <c r="ED56" i="8"/>
  <c r="ED77" i="8" s="1"/>
  <c r="EC56" i="8"/>
  <c r="EC77" i="8" s="1"/>
  <c r="EB56" i="8"/>
  <c r="EB77" i="8" s="1"/>
  <c r="EA56" i="8"/>
  <c r="EA77" i="8" s="1"/>
  <c r="DZ56" i="8"/>
  <c r="DZ77" i="8" s="1"/>
  <c r="DY56" i="8"/>
  <c r="DY77" i="8" s="1"/>
  <c r="DX56" i="8"/>
  <c r="DX77" i="8" s="1"/>
  <c r="DW56" i="8"/>
  <c r="DW77" i="8" s="1"/>
  <c r="DV56" i="8"/>
  <c r="DV77" i="8" s="1"/>
  <c r="DU56" i="8"/>
  <c r="DU77" i="8" s="1"/>
  <c r="DT56" i="8"/>
  <c r="DT77" i="8" s="1"/>
  <c r="DS56" i="8"/>
  <c r="DS77" i="8" s="1"/>
  <c r="DR56" i="8"/>
  <c r="DR77" i="8" s="1"/>
  <c r="DQ56" i="8"/>
  <c r="DQ77" i="8" s="1"/>
  <c r="DP56" i="8"/>
  <c r="DP77" i="8" s="1"/>
  <c r="DO56" i="8"/>
  <c r="DO77" i="8" s="1"/>
  <c r="DN56" i="8"/>
  <c r="DN77" i="8" s="1"/>
  <c r="DM56" i="8"/>
  <c r="DM77" i="8" s="1"/>
  <c r="DL56" i="8"/>
  <c r="DL77" i="8" s="1"/>
  <c r="DK56" i="8"/>
  <c r="DK77" i="8" s="1"/>
  <c r="DJ56" i="8"/>
  <c r="DJ77" i="8" s="1"/>
  <c r="DI56" i="8"/>
  <c r="DI77" i="8" s="1"/>
  <c r="DH56" i="8"/>
  <c r="DH77" i="8" s="1"/>
  <c r="DG56" i="8"/>
  <c r="DG77" i="8" s="1"/>
  <c r="DF56" i="8"/>
  <c r="DF77" i="8" s="1"/>
  <c r="DE56" i="8"/>
  <c r="DE77" i="8" s="1"/>
  <c r="DD56" i="8"/>
  <c r="DD77" i="8" s="1"/>
  <c r="DC56" i="8"/>
  <c r="DC77" i="8" s="1"/>
  <c r="DB56" i="8"/>
  <c r="DB77" i="8" s="1"/>
  <c r="DA56" i="8"/>
  <c r="DA77" i="8" s="1"/>
  <c r="CZ56" i="8"/>
  <c r="CZ77" i="8" s="1"/>
  <c r="CY56" i="8"/>
  <c r="CY77" i="8" s="1"/>
  <c r="CX56" i="8"/>
  <c r="CX77" i="8" s="1"/>
  <c r="CW56" i="8"/>
  <c r="CW77" i="8" s="1"/>
  <c r="CV56" i="8"/>
  <c r="CV77" i="8" s="1"/>
  <c r="CU56" i="8"/>
  <c r="CU77" i="8" s="1"/>
  <c r="CT56" i="8"/>
  <c r="CT77" i="8" s="1"/>
  <c r="CS56" i="8"/>
  <c r="CS77" i="8" s="1"/>
  <c r="CR56" i="8"/>
  <c r="CR77" i="8" s="1"/>
  <c r="CQ56" i="8"/>
  <c r="CQ77" i="8" s="1"/>
  <c r="CP56" i="8"/>
  <c r="CP77" i="8" s="1"/>
  <c r="CO56" i="8"/>
  <c r="CO77" i="8" s="1"/>
  <c r="CN56" i="8"/>
  <c r="CN77" i="8" s="1"/>
  <c r="CM56" i="8"/>
  <c r="CM77" i="8" s="1"/>
  <c r="CL56" i="8"/>
  <c r="CL77" i="8" s="1"/>
  <c r="CK56" i="8"/>
  <c r="CK77" i="8" s="1"/>
  <c r="CJ56" i="8"/>
  <c r="CJ77" i="8" s="1"/>
  <c r="CI56" i="8"/>
  <c r="CI77" i="8" s="1"/>
  <c r="CH56" i="8"/>
  <c r="CH77" i="8" s="1"/>
  <c r="CG56" i="8"/>
  <c r="CG77" i="8" s="1"/>
  <c r="CF56" i="8"/>
  <c r="CF77" i="8" s="1"/>
  <c r="CE56" i="8"/>
  <c r="CE77" i="8" s="1"/>
  <c r="CD56" i="8"/>
  <c r="CD77" i="8" s="1"/>
  <c r="CC56" i="8"/>
  <c r="CC77" i="8" s="1"/>
  <c r="CB56" i="8"/>
  <c r="CB77" i="8" s="1"/>
  <c r="CA56" i="8"/>
  <c r="CA77" i="8" s="1"/>
  <c r="BZ56" i="8"/>
  <c r="BZ77" i="8" s="1"/>
  <c r="BY56" i="8"/>
  <c r="BY77" i="8" s="1"/>
  <c r="BX56" i="8"/>
  <c r="BX77" i="8" s="1"/>
  <c r="BW56" i="8"/>
  <c r="BW77" i="8" s="1"/>
  <c r="BV56" i="8"/>
  <c r="BV77" i="8" s="1"/>
  <c r="BU56" i="8"/>
  <c r="BU77" i="8" s="1"/>
  <c r="BT56" i="8"/>
  <c r="BT77" i="8" s="1"/>
  <c r="BS56" i="8"/>
  <c r="BS77" i="8" s="1"/>
  <c r="BR56" i="8"/>
  <c r="BR77" i="8" s="1"/>
  <c r="BQ56" i="8"/>
  <c r="BQ77" i="8" s="1"/>
  <c r="BP56" i="8"/>
  <c r="BP77" i="8" s="1"/>
  <c r="BO56" i="8"/>
  <c r="BO77" i="8" s="1"/>
  <c r="BN56" i="8"/>
  <c r="BN77" i="8" s="1"/>
  <c r="BM56" i="8"/>
  <c r="BM77" i="8" s="1"/>
  <c r="BL56" i="8"/>
  <c r="BL77" i="8" s="1"/>
  <c r="BK56" i="8"/>
  <c r="BK77" i="8" s="1"/>
  <c r="BJ56" i="8"/>
  <c r="BJ77" i="8" s="1"/>
  <c r="BI56" i="8"/>
  <c r="BI77" i="8" s="1"/>
  <c r="BH56" i="8"/>
  <c r="BH77" i="8" s="1"/>
  <c r="BG56" i="8"/>
  <c r="BG77" i="8" s="1"/>
  <c r="BF56" i="8"/>
  <c r="BF77" i="8" s="1"/>
  <c r="BE56" i="8"/>
  <c r="BE77" i="8" s="1"/>
  <c r="BD56" i="8"/>
  <c r="BD77" i="8" s="1"/>
  <c r="BC56" i="8"/>
  <c r="BC77" i="8" s="1"/>
  <c r="BB56" i="8"/>
  <c r="BB77" i="8" s="1"/>
  <c r="BA56" i="8"/>
  <c r="BA77" i="8" s="1"/>
  <c r="AZ56" i="8"/>
  <c r="AZ77" i="8" s="1"/>
  <c r="AY56" i="8"/>
  <c r="AY77" i="8" s="1"/>
  <c r="AX56" i="8"/>
  <c r="AX77" i="8" s="1"/>
  <c r="AW56" i="8"/>
  <c r="AW77" i="8" s="1"/>
  <c r="AV56" i="8"/>
  <c r="AV77" i="8" s="1"/>
  <c r="AU56" i="8"/>
  <c r="AU77" i="8" s="1"/>
  <c r="AT56" i="8"/>
  <c r="AT77" i="8" s="1"/>
  <c r="AS56" i="8"/>
  <c r="AS77" i="8" s="1"/>
  <c r="AR56" i="8"/>
  <c r="AR77" i="8" s="1"/>
  <c r="AQ56" i="8"/>
  <c r="AQ77" i="8" s="1"/>
  <c r="AP56" i="8"/>
  <c r="AP77" i="8" s="1"/>
  <c r="AO56" i="8"/>
  <c r="AO77" i="8" s="1"/>
  <c r="AN56" i="8"/>
  <c r="AN77" i="8" s="1"/>
  <c r="AM56" i="8"/>
  <c r="AM77" i="8" s="1"/>
  <c r="AL56" i="8"/>
  <c r="AL77" i="8" s="1"/>
  <c r="AK56" i="8"/>
  <c r="AK77" i="8" s="1"/>
  <c r="AJ56" i="8"/>
  <c r="AJ77" i="8" s="1"/>
  <c r="AI56" i="8"/>
  <c r="AI77" i="8" s="1"/>
  <c r="AH56" i="8"/>
  <c r="AH77" i="8" s="1"/>
  <c r="AG56" i="8"/>
  <c r="AG77" i="8" s="1"/>
  <c r="AF56" i="8"/>
  <c r="AF77" i="8" s="1"/>
  <c r="AE56" i="8"/>
  <c r="AE77" i="8" s="1"/>
  <c r="AD56" i="8"/>
  <c r="AD77" i="8" s="1"/>
  <c r="AC56" i="8"/>
  <c r="AC77" i="8" s="1"/>
  <c r="AB56" i="8"/>
  <c r="AB77" i="8" s="1"/>
  <c r="AA56" i="8"/>
  <c r="AA77" i="8" s="1"/>
  <c r="Z56" i="8"/>
  <c r="Z77" i="8" s="1"/>
  <c r="Y56" i="8"/>
  <c r="Y77" i="8" s="1"/>
  <c r="X56" i="8"/>
  <c r="X77" i="8" s="1"/>
  <c r="W56" i="8"/>
  <c r="W77" i="8" s="1"/>
  <c r="V56" i="8"/>
  <c r="V77" i="8" s="1"/>
  <c r="U56" i="8"/>
  <c r="U77" i="8" s="1"/>
  <c r="T56" i="8"/>
  <c r="T77" i="8" s="1"/>
  <c r="S56" i="8"/>
  <c r="S77" i="8" s="1"/>
  <c r="R56" i="8"/>
  <c r="R77" i="8" s="1"/>
  <c r="Q56" i="8"/>
  <c r="Q77" i="8" s="1"/>
  <c r="P56" i="8"/>
  <c r="P77" i="8" s="1"/>
  <c r="O56" i="8"/>
  <c r="O77" i="8" s="1"/>
  <c r="N56" i="8"/>
  <c r="N77" i="8" s="1"/>
  <c r="M56" i="8"/>
  <c r="M77" i="8" s="1"/>
  <c r="L56" i="8"/>
  <c r="L77" i="8" s="1"/>
  <c r="K56" i="8"/>
  <c r="K77" i="8" s="1"/>
  <c r="J56" i="8"/>
  <c r="J77" i="8" s="1"/>
  <c r="I56" i="8"/>
  <c r="I77" i="8" s="1"/>
  <c r="H56" i="8"/>
  <c r="H77" i="8" s="1"/>
  <c r="G56" i="8"/>
  <c r="G77" i="8" s="1"/>
  <c r="F56" i="8"/>
  <c r="F77" i="8" s="1"/>
  <c r="E56" i="8"/>
  <c r="E77" i="8" s="1"/>
  <c r="D56" i="8"/>
  <c r="D77" i="8" s="1"/>
  <c r="C56" i="8"/>
  <c r="C77" i="8" s="1"/>
  <c r="OT55" i="8"/>
  <c r="OT76" i="8" s="1"/>
  <c r="OS55" i="8"/>
  <c r="OS76" i="8" s="1"/>
  <c r="NO55" i="8"/>
  <c r="NO76" i="8" s="1"/>
  <c r="NN55" i="8"/>
  <c r="NN76" i="8" s="1"/>
  <c r="NM55" i="8"/>
  <c r="NM76" i="8" s="1"/>
  <c r="NL55" i="8"/>
  <c r="NL76" i="8" s="1"/>
  <c r="NK55" i="8"/>
  <c r="NK76" i="8" s="1"/>
  <c r="NJ55" i="8"/>
  <c r="NJ76" i="8" s="1"/>
  <c r="NI55" i="8"/>
  <c r="NI76" i="8" s="1"/>
  <c r="NH55" i="8"/>
  <c r="NH76" i="8" s="1"/>
  <c r="NG55" i="8"/>
  <c r="NG76" i="8" s="1"/>
  <c r="NF55" i="8"/>
  <c r="NF76" i="8" s="1"/>
  <c r="NE55" i="8"/>
  <c r="NE76" i="8" s="1"/>
  <c r="ND55" i="8"/>
  <c r="ND76" i="8" s="1"/>
  <c r="NC55" i="8"/>
  <c r="NC76" i="8" s="1"/>
  <c r="NB55" i="8"/>
  <c r="NB76" i="8" s="1"/>
  <c r="NA55" i="8"/>
  <c r="NA76" i="8" s="1"/>
  <c r="MZ55" i="8"/>
  <c r="MZ76" i="8" s="1"/>
  <c r="MY55" i="8"/>
  <c r="MY76" i="8" s="1"/>
  <c r="MX55" i="8"/>
  <c r="MX76" i="8" s="1"/>
  <c r="MW55" i="8"/>
  <c r="MW76" i="8" s="1"/>
  <c r="MV55" i="8"/>
  <c r="MV76" i="8" s="1"/>
  <c r="MU55" i="8"/>
  <c r="MU76" i="8" s="1"/>
  <c r="MT55" i="8"/>
  <c r="MT76" i="8" s="1"/>
  <c r="MS55" i="8"/>
  <c r="MS76" i="8" s="1"/>
  <c r="MR55" i="8"/>
  <c r="MR76" i="8" s="1"/>
  <c r="MQ55" i="8"/>
  <c r="MQ76" i="8" s="1"/>
  <c r="MP55" i="8"/>
  <c r="MP76" i="8" s="1"/>
  <c r="MO55" i="8"/>
  <c r="MO76" i="8" s="1"/>
  <c r="MN55" i="8"/>
  <c r="MN76" i="8" s="1"/>
  <c r="MM55" i="8"/>
  <c r="MM76" i="8" s="1"/>
  <c r="ML55" i="8"/>
  <c r="ML76" i="8" s="1"/>
  <c r="MK55" i="8"/>
  <c r="MK76" i="8" s="1"/>
  <c r="MJ55" i="8"/>
  <c r="MJ76" i="8" s="1"/>
  <c r="MI55" i="8"/>
  <c r="MI76" i="8" s="1"/>
  <c r="MH55" i="8"/>
  <c r="MH76" i="8" s="1"/>
  <c r="MG55" i="8"/>
  <c r="MG76" i="8" s="1"/>
  <c r="MF55" i="8"/>
  <c r="MF76" i="8" s="1"/>
  <c r="ME55" i="8"/>
  <c r="ME76" i="8" s="1"/>
  <c r="MD55" i="8"/>
  <c r="MD76" i="8" s="1"/>
  <c r="MC55" i="8"/>
  <c r="MC76" i="8" s="1"/>
  <c r="MB55" i="8"/>
  <c r="MB76" i="8" s="1"/>
  <c r="MA55" i="8"/>
  <c r="MA76" i="8" s="1"/>
  <c r="LZ55" i="8"/>
  <c r="LZ76" i="8" s="1"/>
  <c r="LY55" i="8"/>
  <c r="LY76" i="8" s="1"/>
  <c r="LX55" i="8"/>
  <c r="LX76" i="8" s="1"/>
  <c r="LW55" i="8"/>
  <c r="LW76" i="8" s="1"/>
  <c r="LV55" i="8"/>
  <c r="LV76" i="8" s="1"/>
  <c r="LU55" i="8"/>
  <c r="LU76" i="8" s="1"/>
  <c r="LT55" i="8"/>
  <c r="LT76" i="8" s="1"/>
  <c r="LS55" i="8"/>
  <c r="LS76" i="8" s="1"/>
  <c r="LR55" i="8"/>
  <c r="LR76" i="8" s="1"/>
  <c r="LQ55" i="8"/>
  <c r="LQ76" i="8" s="1"/>
  <c r="LP55" i="8"/>
  <c r="LP76" i="8" s="1"/>
  <c r="LO55" i="8"/>
  <c r="LO76" i="8" s="1"/>
  <c r="LN55" i="8"/>
  <c r="LN76" i="8" s="1"/>
  <c r="LM55" i="8"/>
  <c r="LM76" i="8" s="1"/>
  <c r="LL55" i="8"/>
  <c r="LL76" i="8" s="1"/>
  <c r="LK55" i="8"/>
  <c r="LK76" i="8" s="1"/>
  <c r="LJ55" i="8"/>
  <c r="LJ76" i="8" s="1"/>
  <c r="LI55" i="8"/>
  <c r="LI76" i="8" s="1"/>
  <c r="LH55" i="8"/>
  <c r="LH76" i="8" s="1"/>
  <c r="LG55" i="8"/>
  <c r="LG76" i="8" s="1"/>
  <c r="LF55" i="8"/>
  <c r="LF76" i="8" s="1"/>
  <c r="LE55" i="8"/>
  <c r="LE76" i="8" s="1"/>
  <c r="LD55" i="8"/>
  <c r="LD76" i="8" s="1"/>
  <c r="LC55" i="8"/>
  <c r="LC76" i="8" s="1"/>
  <c r="LB55" i="8"/>
  <c r="LB76" i="8" s="1"/>
  <c r="LA55" i="8"/>
  <c r="LA76" i="8" s="1"/>
  <c r="KZ55" i="8"/>
  <c r="KZ76" i="8" s="1"/>
  <c r="KY55" i="8"/>
  <c r="KY76" i="8" s="1"/>
  <c r="KX55" i="8"/>
  <c r="KX76" i="8" s="1"/>
  <c r="KW55" i="8"/>
  <c r="KW76" i="8" s="1"/>
  <c r="KV55" i="8"/>
  <c r="KV76" i="8" s="1"/>
  <c r="KU55" i="8"/>
  <c r="KU76" i="8" s="1"/>
  <c r="KT55" i="8"/>
  <c r="KT76" i="8" s="1"/>
  <c r="KS55" i="8"/>
  <c r="KS76" i="8" s="1"/>
  <c r="KR55" i="8"/>
  <c r="KR76" i="8" s="1"/>
  <c r="KQ55" i="8"/>
  <c r="KQ76" i="8" s="1"/>
  <c r="KP55" i="8"/>
  <c r="KP76" i="8" s="1"/>
  <c r="KO55" i="8"/>
  <c r="KO76" i="8" s="1"/>
  <c r="KN55" i="8"/>
  <c r="KN76" i="8" s="1"/>
  <c r="KM55" i="8"/>
  <c r="KM76" i="8" s="1"/>
  <c r="KL55" i="8"/>
  <c r="KL76" i="8" s="1"/>
  <c r="KK55" i="8"/>
  <c r="KK76" i="8" s="1"/>
  <c r="KJ55" i="8"/>
  <c r="KJ76" i="8" s="1"/>
  <c r="KI55" i="8"/>
  <c r="KI76" i="8" s="1"/>
  <c r="KH55" i="8"/>
  <c r="KH76" i="8" s="1"/>
  <c r="KG55" i="8"/>
  <c r="KG76" i="8" s="1"/>
  <c r="KF55" i="8"/>
  <c r="KF76" i="8" s="1"/>
  <c r="KE55" i="8"/>
  <c r="KE76" i="8" s="1"/>
  <c r="KD55" i="8"/>
  <c r="KD76" i="8" s="1"/>
  <c r="KC55" i="8"/>
  <c r="KC76" i="8" s="1"/>
  <c r="KB55" i="8"/>
  <c r="KB76" i="8" s="1"/>
  <c r="KA55" i="8"/>
  <c r="KA76" i="8" s="1"/>
  <c r="JZ55" i="8"/>
  <c r="JZ76" i="8" s="1"/>
  <c r="JY55" i="8"/>
  <c r="JY76" i="8" s="1"/>
  <c r="JX55" i="8"/>
  <c r="JX76" i="8" s="1"/>
  <c r="JW55" i="8"/>
  <c r="JW76" i="8" s="1"/>
  <c r="JV55" i="8"/>
  <c r="JV76" i="8" s="1"/>
  <c r="JU55" i="8"/>
  <c r="JU76" i="8" s="1"/>
  <c r="JT55" i="8"/>
  <c r="JT76" i="8" s="1"/>
  <c r="JS55" i="8"/>
  <c r="JS76" i="8" s="1"/>
  <c r="JR55" i="8"/>
  <c r="JR76" i="8" s="1"/>
  <c r="JQ55" i="8"/>
  <c r="JQ76" i="8" s="1"/>
  <c r="JP55" i="8"/>
  <c r="JP76" i="8" s="1"/>
  <c r="JO55" i="8"/>
  <c r="JO76" i="8" s="1"/>
  <c r="JN55" i="8"/>
  <c r="JN76" i="8" s="1"/>
  <c r="JM55" i="8"/>
  <c r="JM76" i="8" s="1"/>
  <c r="JL55" i="8"/>
  <c r="JL76" i="8" s="1"/>
  <c r="JK55" i="8"/>
  <c r="JK76" i="8" s="1"/>
  <c r="JJ55" i="8"/>
  <c r="JJ76" i="8" s="1"/>
  <c r="JI55" i="8"/>
  <c r="JI76" i="8" s="1"/>
  <c r="JH55" i="8"/>
  <c r="JH76" i="8" s="1"/>
  <c r="JG55" i="8"/>
  <c r="JG76" i="8" s="1"/>
  <c r="JF55" i="8"/>
  <c r="JF76" i="8" s="1"/>
  <c r="JE55" i="8"/>
  <c r="JE76" i="8" s="1"/>
  <c r="JD55" i="8"/>
  <c r="JD76" i="8" s="1"/>
  <c r="JC55" i="8"/>
  <c r="JC76" i="8" s="1"/>
  <c r="JB55" i="8"/>
  <c r="JB76" i="8" s="1"/>
  <c r="JA55" i="8"/>
  <c r="JA76" i="8" s="1"/>
  <c r="IZ55" i="8"/>
  <c r="IZ76" i="8" s="1"/>
  <c r="IY55" i="8"/>
  <c r="IY76" i="8" s="1"/>
  <c r="IX55" i="8"/>
  <c r="IX76" i="8" s="1"/>
  <c r="IW55" i="8"/>
  <c r="IW76" i="8" s="1"/>
  <c r="IV55" i="8"/>
  <c r="IV76" i="8" s="1"/>
  <c r="IU55" i="8"/>
  <c r="IU76" i="8" s="1"/>
  <c r="IT55" i="8"/>
  <c r="IT76" i="8" s="1"/>
  <c r="IS55" i="8"/>
  <c r="IS76" i="8" s="1"/>
  <c r="IR55" i="8"/>
  <c r="IR76" i="8" s="1"/>
  <c r="IQ55" i="8"/>
  <c r="IQ76" i="8" s="1"/>
  <c r="IP55" i="8"/>
  <c r="IP76" i="8" s="1"/>
  <c r="IO55" i="8"/>
  <c r="IO76" i="8" s="1"/>
  <c r="IN55" i="8"/>
  <c r="IN76" i="8" s="1"/>
  <c r="IM55" i="8"/>
  <c r="IM76" i="8" s="1"/>
  <c r="IL55" i="8"/>
  <c r="IL76" i="8" s="1"/>
  <c r="IK55" i="8"/>
  <c r="IK76" i="8" s="1"/>
  <c r="IJ55" i="8"/>
  <c r="IJ76" i="8" s="1"/>
  <c r="II55" i="8"/>
  <c r="II76" i="8" s="1"/>
  <c r="IH55" i="8"/>
  <c r="IH76" i="8" s="1"/>
  <c r="IG55" i="8"/>
  <c r="IG76" i="8" s="1"/>
  <c r="IF55" i="8"/>
  <c r="IF76" i="8" s="1"/>
  <c r="IE55" i="8"/>
  <c r="IE76" i="8" s="1"/>
  <c r="ID55" i="8"/>
  <c r="ID76" i="8" s="1"/>
  <c r="IC55" i="8"/>
  <c r="IC76" i="8" s="1"/>
  <c r="IB55" i="8"/>
  <c r="IB76" i="8" s="1"/>
  <c r="IA55" i="8"/>
  <c r="IA76" i="8" s="1"/>
  <c r="HZ55" i="8"/>
  <c r="HZ76" i="8" s="1"/>
  <c r="HY55" i="8"/>
  <c r="HY76" i="8" s="1"/>
  <c r="HX55" i="8"/>
  <c r="HX76" i="8" s="1"/>
  <c r="HW55" i="8"/>
  <c r="HW76" i="8" s="1"/>
  <c r="HV55" i="8"/>
  <c r="HV76" i="8" s="1"/>
  <c r="HU55" i="8"/>
  <c r="HU76" i="8" s="1"/>
  <c r="HT55" i="8"/>
  <c r="HT76" i="8" s="1"/>
  <c r="HS55" i="8"/>
  <c r="HS76" i="8" s="1"/>
  <c r="HR55" i="8"/>
  <c r="HR76" i="8" s="1"/>
  <c r="HQ55" i="8"/>
  <c r="HQ76" i="8" s="1"/>
  <c r="HP55" i="8"/>
  <c r="HP76" i="8" s="1"/>
  <c r="HO55" i="8"/>
  <c r="HO76" i="8" s="1"/>
  <c r="HN55" i="8"/>
  <c r="HN76" i="8" s="1"/>
  <c r="HM55" i="8"/>
  <c r="HM76" i="8" s="1"/>
  <c r="HL55" i="8"/>
  <c r="HL76" i="8" s="1"/>
  <c r="HK55" i="8"/>
  <c r="HK76" i="8" s="1"/>
  <c r="HJ55" i="8"/>
  <c r="HJ76" i="8" s="1"/>
  <c r="HI55" i="8"/>
  <c r="HI76" i="8" s="1"/>
  <c r="HH55" i="8"/>
  <c r="HH76" i="8" s="1"/>
  <c r="HG55" i="8"/>
  <c r="HG76" i="8" s="1"/>
  <c r="HF55" i="8"/>
  <c r="HF76" i="8" s="1"/>
  <c r="HE55" i="8"/>
  <c r="HE76" i="8" s="1"/>
  <c r="HD55" i="8"/>
  <c r="HD76" i="8" s="1"/>
  <c r="HC55" i="8"/>
  <c r="HC76" i="8" s="1"/>
  <c r="HB55" i="8"/>
  <c r="HB76" i="8" s="1"/>
  <c r="HA55" i="8"/>
  <c r="HA76" i="8" s="1"/>
  <c r="GZ55" i="8"/>
  <c r="GZ76" i="8" s="1"/>
  <c r="GY55" i="8"/>
  <c r="GY76" i="8" s="1"/>
  <c r="GX55" i="8"/>
  <c r="GX76" i="8" s="1"/>
  <c r="GW55" i="8"/>
  <c r="GW76" i="8" s="1"/>
  <c r="GV55" i="8"/>
  <c r="GV76" i="8" s="1"/>
  <c r="GU55" i="8"/>
  <c r="GU76" i="8" s="1"/>
  <c r="GT55" i="8"/>
  <c r="GT76" i="8" s="1"/>
  <c r="GS55" i="8"/>
  <c r="GS76" i="8" s="1"/>
  <c r="GR55" i="8"/>
  <c r="GR76" i="8" s="1"/>
  <c r="GQ55" i="8"/>
  <c r="GQ76" i="8" s="1"/>
  <c r="GP55" i="8"/>
  <c r="GP76" i="8" s="1"/>
  <c r="GO55" i="8"/>
  <c r="GO76" i="8" s="1"/>
  <c r="GN55" i="8"/>
  <c r="GN76" i="8" s="1"/>
  <c r="GM55" i="8"/>
  <c r="GM76" i="8" s="1"/>
  <c r="GL55" i="8"/>
  <c r="GL76" i="8" s="1"/>
  <c r="GK55" i="8"/>
  <c r="GK76" i="8" s="1"/>
  <c r="GJ55" i="8"/>
  <c r="GJ76" i="8" s="1"/>
  <c r="GI55" i="8"/>
  <c r="GI76" i="8" s="1"/>
  <c r="GH55" i="8"/>
  <c r="GH76" i="8" s="1"/>
  <c r="GG55" i="8"/>
  <c r="GG76" i="8" s="1"/>
  <c r="GF55" i="8"/>
  <c r="GF76" i="8" s="1"/>
  <c r="GE55" i="8"/>
  <c r="GE76" i="8" s="1"/>
  <c r="GD55" i="8"/>
  <c r="GD76" i="8" s="1"/>
  <c r="GC55" i="8"/>
  <c r="GC76" i="8" s="1"/>
  <c r="GB55" i="8"/>
  <c r="GB76" i="8" s="1"/>
  <c r="GA55" i="8"/>
  <c r="GA76" i="8" s="1"/>
  <c r="FZ55" i="8"/>
  <c r="FZ76" i="8" s="1"/>
  <c r="FY55" i="8"/>
  <c r="FY76" i="8" s="1"/>
  <c r="FX55" i="8"/>
  <c r="FX76" i="8" s="1"/>
  <c r="FW55" i="8"/>
  <c r="FW76" i="8" s="1"/>
  <c r="FV55" i="8"/>
  <c r="FV76" i="8" s="1"/>
  <c r="FU55" i="8"/>
  <c r="FU76" i="8" s="1"/>
  <c r="FT55" i="8"/>
  <c r="FT76" i="8" s="1"/>
  <c r="FO55" i="8"/>
  <c r="FO76" i="8" s="1"/>
  <c r="FM55" i="8"/>
  <c r="FM76" i="8" s="1"/>
  <c r="FL55" i="8"/>
  <c r="FL76" i="8" s="1"/>
  <c r="FK55" i="8"/>
  <c r="FK76" i="8" s="1"/>
  <c r="FJ55" i="8"/>
  <c r="FJ76" i="8" s="1"/>
  <c r="FI55" i="8"/>
  <c r="FI76" i="8" s="1"/>
  <c r="FH55" i="8"/>
  <c r="FH76" i="8" s="1"/>
  <c r="FG55" i="8"/>
  <c r="FG76" i="8" s="1"/>
  <c r="FF55" i="8"/>
  <c r="FF76" i="8" s="1"/>
  <c r="FE55" i="8"/>
  <c r="FE76" i="8" s="1"/>
  <c r="FD55" i="8"/>
  <c r="FD76" i="8" s="1"/>
  <c r="FC55" i="8"/>
  <c r="FC76" i="8" s="1"/>
  <c r="FB55" i="8"/>
  <c r="FB76" i="8" s="1"/>
  <c r="FA55" i="8"/>
  <c r="FA76" i="8" s="1"/>
  <c r="EZ55" i="8"/>
  <c r="EZ76" i="8" s="1"/>
  <c r="EY55" i="8"/>
  <c r="EY76" i="8" s="1"/>
  <c r="EX55" i="8"/>
  <c r="EX76" i="8" s="1"/>
  <c r="EW55" i="8"/>
  <c r="EW76" i="8" s="1"/>
  <c r="EV55" i="8"/>
  <c r="EV76" i="8" s="1"/>
  <c r="EU55" i="8"/>
  <c r="EU76" i="8" s="1"/>
  <c r="ET55" i="8"/>
  <c r="ET76" i="8" s="1"/>
  <c r="ES55" i="8"/>
  <c r="ES76" i="8" s="1"/>
  <c r="ER55" i="8"/>
  <c r="ER76" i="8" s="1"/>
  <c r="EQ55" i="8"/>
  <c r="EQ76" i="8" s="1"/>
  <c r="EP55" i="8"/>
  <c r="EP76" i="8" s="1"/>
  <c r="EO55" i="8"/>
  <c r="EO76" i="8" s="1"/>
  <c r="EN55" i="8"/>
  <c r="EN76" i="8" s="1"/>
  <c r="EM55" i="8"/>
  <c r="EM76" i="8" s="1"/>
  <c r="EL55" i="8"/>
  <c r="EL76" i="8" s="1"/>
  <c r="EK55" i="8"/>
  <c r="EK76" i="8" s="1"/>
  <c r="EJ55" i="8"/>
  <c r="EJ76" i="8" s="1"/>
  <c r="EI55" i="8"/>
  <c r="EI76" i="8" s="1"/>
  <c r="EH55" i="8"/>
  <c r="EH76" i="8" s="1"/>
  <c r="EG55" i="8"/>
  <c r="EG76" i="8" s="1"/>
  <c r="EF55" i="8"/>
  <c r="EF76" i="8" s="1"/>
  <c r="EE55" i="8"/>
  <c r="EE76" i="8" s="1"/>
  <c r="ED55" i="8"/>
  <c r="ED76" i="8" s="1"/>
  <c r="EC55" i="8"/>
  <c r="EC76" i="8" s="1"/>
  <c r="EB55" i="8"/>
  <c r="EB76" i="8" s="1"/>
  <c r="EA55" i="8"/>
  <c r="EA76" i="8" s="1"/>
  <c r="DZ55" i="8"/>
  <c r="DZ76" i="8" s="1"/>
  <c r="DY55" i="8"/>
  <c r="DY76" i="8" s="1"/>
  <c r="DX55" i="8"/>
  <c r="DX76" i="8" s="1"/>
  <c r="DW55" i="8"/>
  <c r="DW76" i="8" s="1"/>
  <c r="DV55" i="8"/>
  <c r="DV76" i="8" s="1"/>
  <c r="DU55" i="8"/>
  <c r="DU76" i="8" s="1"/>
  <c r="DT55" i="8"/>
  <c r="DT76" i="8" s="1"/>
  <c r="DS55" i="8"/>
  <c r="DS76" i="8" s="1"/>
  <c r="DR55" i="8"/>
  <c r="DR76" i="8" s="1"/>
  <c r="DQ55" i="8"/>
  <c r="DQ76" i="8" s="1"/>
  <c r="DP55" i="8"/>
  <c r="DP76" i="8" s="1"/>
  <c r="DO55" i="8"/>
  <c r="DO76" i="8" s="1"/>
  <c r="DN55" i="8"/>
  <c r="DM55" i="8"/>
  <c r="DM76" i="8" s="1"/>
  <c r="DL55" i="8"/>
  <c r="DL76" i="8" s="1"/>
  <c r="DK55" i="8"/>
  <c r="DK76" i="8" s="1"/>
  <c r="DJ55" i="8"/>
  <c r="DJ76" i="8" s="1"/>
  <c r="DI55" i="8"/>
  <c r="DI76" i="8" s="1"/>
  <c r="DH55" i="8"/>
  <c r="DH76" i="8" s="1"/>
  <c r="DG55" i="8"/>
  <c r="DG76" i="8" s="1"/>
  <c r="DF55" i="8"/>
  <c r="DF76" i="8" s="1"/>
  <c r="DE55" i="8"/>
  <c r="DE76" i="8" s="1"/>
  <c r="DD55" i="8"/>
  <c r="DD76" i="8" s="1"/>
  <c r="DC55" i="8"/>
  <c r="DC76" i="8" s="1"/>
  <c r="DB55" i="8"/>
  <c r="DB76" i="8" s="1"/>
  <c r="DA55" i="8"/>
  <c r="DA76" i="8" s="1"/>
  <c r="CZ55" i="8"/>
  <c r="CZ76" i="8" s="1"/>
  <c r="CY55" i="8"/>
  <c r="CY76" i="8" s="1"/>
  <c r="CX55" i="8"/>
  <c r="CX76" i="8" s="1"/>
  <c r="CW55" i="8"/>
  <c r="CW76" i="8" s="1"/>
  <c r="CV55" i="8"/>
  <c r="CV76" i="8" s="1"/>
  <c r="CU55" i="8"/>
  <c r="CU76" i="8" s="1"/>
  <c r="CT55" i="8"/>
  <c r="CT76" i="8" s="1"/>
  <c r="CS55" i="8"/>
  <c r="CS76" i="8" s="1"/>
  <c r="CR55" i="8"/>
  <c r="CR76" i="8" s="1"/>
  <c r="CQ55" i="8"/>
  <c r="CQ76" i="8" s="1"/>
  <c r="CP55" i="8"/>
  <c r="CP76" i="8" s="1"/>
  <c r="CO55" i="8"/>
  <c r="CO76" i="8" s="1"/>
  <c r="CN55" i="8"/>
  <c r="CN76" i="8" s="1"/>
  <c r="CM55" i="8"/>
  <c r="CM76" i="8" s="1"/>
  <c r="CL55" i="8"/>
  <c r="CL76" i="8" s="1"/>
  <c r="CK55" i="8"/>
  <c r="CK76" i="8" s="1"/>
  <c r="CJ55" i="8"/>
  <c r="CJ76" i="8" s="1"/>
  <c r="CI55" i="8"/>
  <c r="CI76" i="8" s="1"/>
  <c r="CH55" i="8"/>
  <c r="CH76" i="8" s="1"/>
  <c r="CG55" i="8"/>
  <c r="CG76" i="8" s="1"/>
  <c r="CF55" i="8"/>
  <c r="CF76" i="8" s="1"/>
  <c r="CE55" i="8"/>
  <c r="CE76" i="8" s="1"/>
  <c r="CD55" i="8"/>
  <c r="CD76" i="8" s="1"/>
  <c r="CC55" i="8"/>
  <c r="CC76" i="8" s="1"/>
  <c r="CB55" i="8"/>
  <c r="CB76" i="8" s="1"/>
  <c r="CA55" i="8"/>
  <c r="CA76" i="8" s="1"/>
  <c r="BZ55" i="8"/>
  <c r="BZ76" i="8" s="1"/>
  <c r="BY55" i="8"/>
  <c r="BY76" i="8" s="1"/>
  <c r="BX55" i="8"/>
  <c r="BX76" i="8" s="1"/>
  <c r="BW55" i="8"/>
  <c r="BW76" i="8" s="1"/>
  <c r="BV55" i="8"/>
  <c r="BV76" i="8" s="1"/>
  <c r="BU55" i="8"/>
  <c r="BU76" i="8" s="1"/>
  <c r="BT55" i="8"/>
  <c r="BT76" i="8" s="1"/>
  <c r="BS55" i="8"/>
  <c r="BS76" i="8" s="1"/>
  <c r="BR55" i="8"/>
  <c r="BR76" i="8" s="1"/>
  <c r="BQ55" i="8"/>
  <c r="BQ76" i="8" s="1"/>
  <c r="BP55" i="8"/>
  <c r="BP76" i="8" s="1"/>
  <c r="BO55" i="8"/>
  <c r="BO76" i="8" s="1"/>
  <c r="BN55" i="8"/>
  <c r="BN76" i="8" s="1"/>
  <c r="BM55" i="8"/>
  <c r="BM76" i="8" s="1"/>
  <c r="BL55" i="8"/>
  <c r="BL76" i="8" s="1"/>
  <c r="BK55" i="8"/>
  <c r="BK76" i="8" s="1"/>
  <c r="BJ55" i="8"/>
  <c r="BJ76" i="8" s="1"/>
  <c r="BI55" i="8"/>
  <c r="BI76" i="8" s="1"/>
  <c r="BH55" i="8"/>
  <c r="BH76" i="8" s="1"/>
  <c r="BG55" i="8"/>
  <c r="BG76" i="8" s="1"/>
  <c r="BF55" i="8"/>
  <c r="BF76" i="8" s="1"/>
  <c r="BE55" i="8"/>
  <c r="BE76" i="8" s="1"/>
  <c r="BD55" i="8"/>
  <c r="BD76" i="8" s="1"/>
  <c r="BC55" i="8"/>
  <c r="BC76" i="8" s="1"/>
  <c r="BB55" i="8"/>
  <c r="BB76" i="8" s="1"/>
  <c r="BA55" i="8"/>
  <c r="BA76" i="8" s="1"/>
  <c r="AZ55" i="8"/>
  <c r="AZ76" i="8" s="1"/>
  <c r="AY55" i="8"/>
  <c r="AY76" i="8" s="1"/>
  <c r="AX55" i="8"/>
  <c r="AX76" i="8" s="1"/>
  <c r="AW55" i="8"/>
  <c r="AW76" i="8" s="1"/>
  <c r="AV55" i="8"/>
  <c r="AV76" i="8" s="1"/>
  <c r="AU55" i="8"/>
  <c r="AU76" i="8" s="1"/>
  <c r="AT55" i="8"/>
  <c r="AT76" i="8" s="1"/>
  <c r="AS55" i="8"/>
  <c r="AS76" i="8" s="1"/>
  <c r="AR55" i="8"/>
  <c r="AR76" i="8" s="1"/>
  <c r="AQ55" i="8"/>
  <c r="AQ76" i="8" s="1"/>
  <c r="AP55" i="8"/>
  <c r="AP76" i="8" s="1"/>
  <c r="AO55" i="8"/>
  <c r="AO76" i="8" s="1"/>
  <c r="AN55" i="8"/>
  <c r="AN76" i="8" s="1"/>
  <c r="AM55" i="8"/>
  <c r="AM76" i="8" s="1"/>
  <c r="AL55" i="8"/>
  <c r="AL76" i="8" s="1"/>
  <c r="AK55" i="8"/>
  <c r="AK76" i="8" s="1"/>
  <c r="AJ55" i="8"/>
  <c r="AJ76" i="8" s="1"/>
  <c r="AI55" i="8"/>
  <c r="AI76" i="8" s="1"/>
  <c r="AH55" i="8"/>
  <c r="AH76" i="8" s="1"/>
  <c r="AG55" i="8"/>
  <c r="AG76" i="8" s="1"/>
  <c r="AF55" i="8"/>
  <c r="AF76" i="8" s="1"/>
  <c r="AE55" i="8"/>
  <c r="AE76" i="8" s="1"/>
  <c r="AD55" i="8"/>
  <c r="AD76" i="8" s="1"/>
  <c r="AC55" i="8"/>
  <c r="AC76" i="8" s="1"/>
  <c r="AB55" i="8"/>
  <c r="AB76" i="8" s="1"/>
  <c r="AA55" i="8"/>
  <c r="AA76" i="8" s="1"/>
  <c r="Z55" i="8"/>
  <c r="Z76" i="8" s="1"/>
  <c r="Y55" i="8"/>
  <c r="Y76" i="8" s="1"/>
  <c r="X55" i="8"/>
  <c r="X76" i="8" s="1"/>
  <c r="W55" i="8"/>
  <c r="W76" i="8" s="1"/>
  <c r="V55" i="8"/>
  <c r="V76" i="8" s="1"/>
  <c r="U55" i="8"/>
  <c r="U76" i="8" s="1"/>
  <c r="T55" i="8"/>
  <c r="T76" i="8" s="1"/>
  <c r="S55" i="8"/>
  <c r="S76" i="8" s="1"/>
  <c r="R55" i="8"/>
  <c r="R76" i="8" s="1"/>
  <c r="Q55" i="8"/>
  <c r="Q76" i="8" s="1"/>
  <c r="P55" i="8"/>
  <c r="P76" i="8" s="1"/>
  <c r="O55" i="8"/>
  <c r="O76" i="8" s="1"/>
  <c r="N55" i="8"/>
  <c r="N76" i="8" s="1"/>
  <c r="M55" i="8"/>
  <c r="M76" i="8" s="1"/>
  <c r="L55" i="8"/>
  <c r="L76" i="8" s="1"/>
  <c r="K55" i="8"/>
  <c r="K76" i="8" s="1"/>
  <c r="J55" i="8"/>
  <c r="J76" i="8" s="1"/>
  <c r="I55" i="8"/>
  <c r="I76" i="8" s="1"/>
  <c r="H55" i="8"/>
  <c r="H76" i="8" s="1"/>
  <c r="G55" i="8"/>
  <c r="G76" i="8" s="1"/>
  <c r="F55" i="8"/>
  <c r="F76" i="8" s="1"/>
  <c r="E55" i="8"/>
  <c r="D55" i="8"/>
  <c r="D76" i="8" s="1"/>
  <c r="C55" i="8"/>
  <c r="C76" i="8" s="1"/>
  <c r="OT54" i="8"/>
  <c r="OT75" i="8" s="1"/>
  <c r="OS54" i="8"/>
  <c r="OS75" i="8" s="1"/>
  <c r="NO54" i="8"/>
  <c r="NO75" i="8" s="1"/>
  <c r="NN54" i="8"/>
  <c r="NN75" i="8" s="1"/>
  <c r="NM54" i="8"/>
  <c r="NM75" i="8" s="1"/>
  <c r="NL54" i="8"/>
  <c r="NL75" i="8" s="1"/>
  <c r="NK54" i="8"/>
  <c r="NK75" i="8" s="1"/>
  <c r="NJ54" i="8"/>
  <c r="NJ75" i="8" s="1"/>
  <c r="NI54" i="8"/>
  <c r="NI75" i="8" s="1"/>
  <c r="NH54" i="8"/>
  <c r="NH75" i="8" s="1"/>
  <c r="NG54" i="8"/>
  <c r="NG75" i="8" s="1"/>
  <c r="NF54" i="8"/>
  <c r="NF75" i="8" s="1"/>
  <c r="NE54" i="8"/>
  <c r="NE75" i="8" s="1"/>
  <c r="ND54" i="8"/>
  <c r="ND75" i="8" s="1"/>
  <c r="NC54" i="8"/>
  <c r="NC75" i="8" s="1"/>
  <c r="NB54" i="8"/>
  <c r="NB75" i="8" s="1"/>
  <c r="NA54" i="8"/>
  <c r="NA75" i="8" s="1"/>
  <c r="MZ54" i="8"/>
  <c r="MZ75" i="8" s="1"/>
  <c r="MY54" i="8"/>
  <c r="MY75" i="8" s="1"/>
  <c r="MX54" i="8"/>
  <c r="MX75" i="8" s="1"/>
  <c r="MW54" i="8"/>
  <c r="MW75" i="8" s="1"/>
  <c r="MV54" i="8"/>
  <c r="MV75" i="8" s="1"/>
  <c r="MU54" i="8"/>
  <c r="MU75" i="8" s="1"/>
  <c r="MT54" i="8"/>
  <c r="MT75" i="8" s="1"/>
  <c r="MS54" i="8"/>
  <c r="MS75" i="8" s="1"/>
  <c r="MR54" i="8"/>
  <c r="MR75" i="8" s="1"/>
  <c r="MQ54" i="8"/>
  <c r="MQ75" i="8" s="1"/>
  <c r="MP54" i="8"/>
  <c r="MP75" i="8" s="1"/>
  <c r="MO54" i="8"/>
  <c r="MO75" i="8" s="1"/>
  <c r="MN54" i="8"/>
  <c r="MM54" i="8"/>
  <c r="MM75" i="8" s="1"/>
  <c r="ML54" i="8"/>
  <c r="ML75" i="8" s="1"/>
  <c r="MK54" i="8"/>
  <c r="MK75" i="8" s="1"/>
  <c r="MJ54" i="8"/>
  <c r="MJ75" i="8" s="1"/>
  <c r="MI54" i="8"/>
  <c r="MI75" i="8" s="1"/>
  <c r="MH54" i="8"/>
  <c r="MH75" i="8" s="1"/>
  <c r="MG54" i="8"/>
  <c r="MG75" i="8" s="1"/>
  <c r="MF54" i="8"/>
  <c r="MF75" i="8" s="1"/>
  <c r="ME54" i="8"/>
  <c r="ME75" i="8" s="1"/>
  <c r="MD54" i="8"/>
  <c r="MD75" i="8" s="1"/>
  <c r="MC54" i="8"/>
  <c r="MC75" i="8" s="1"/>
  <c r="MB54" i="8"/>
  <c r="MB75" i="8" s="1"/>
  <c r="MA54" i="8"/>
  <c r="MA75" i="8" s="1"/>
  <c r="LZ54" i="8"/>
  <c r="LZ75" i="8" s="1"/>
  <c r="LY54" i="8"/>
  <c r="LY75" i="8" s="1"/>
  <c r="LX54" i="8"/>
  <c r="LX75" i="8" s="1"/>
  <c r="LW54" i="8"/>
  <c r="LW75" i="8" s="1"/>
  <c r="LV54" i="8"/>
  <c r="LV75" i="8" s="1"/>
  <c r="LU54" i="8"/>
  <c r="LU75" i="8" s="1"/>
  <c r="LT54" i="8"/>
  <c r="LT75" i="8" s="1"/>
  <c r="LS54" i="8"/>
  <c r="LS75" i="8" s="1"/>
  <c r="LR54" i="8"/>
  <c r="LR75" i="8" s="1"/>
  <c r="LQ54" i="8"/>
  <c r="LQ75" i="8" s="1"/>
  <c r="LP54" i="8"/>
  <c r="LP75" i="8" s="1"/>
  <c r="LO54" i="8"/>
  <c r="LO75" i="8" s="1"/>
  <c r="LN54" i="8"/>
  <c r="LN75" i="8" s="1"/>
  <c r="LM54" i="8"/>
  <c r="LM75" i="8" s="1"/>
  <c r="LL54" i="8"/>
  <c r="LL75" i="8" s="1"/>
  <c r="LK54" i="8"/>
  <c r="LK75" i="8" s="1"/>
  <c r="LJ54" i="8"/>
  <c r="LJ75" i="8" s="1"/>
  <c r="LI54" i="8"/>
  <c r="LI75" i="8" s="1"/>
  <c r="LH54" i="8"/>
  <c r="LH75" i="8" s="1"/>
  <c r="LG54" i="8"/>
  <c r="LG75" i="8" s="1"/>
  <c r="LF54" i="8"/>
  <c r="LF75" i="8" s="1"/>
  <c r="LE54" i="8"/>
  <c r="LE75" i="8" s="1"/>
  <c r="LD54" i="8"/>
  <c r="LD75" i="8" s="1"/>
  <c r="LC54" i="8"/>
  <c r="LC75" i="8" s="1"/>
  <c r="LB54" i="8"/>
  <c r="LB75" i="8" s="1"/>
  <c r="LA54" i="8"/>
  <c r="LA75" i="8" s="1"/>
  <c r="KZ54" i="8"/>
  <c r="KZ75" i="8" s="1"/>
  <c r="KY54" i="8"/>
  <c r="KY75" i="8" s="1"/>
  <c r="KX54" i="8"/>
  <c r="KX75" i="8" s="1"/>
  <c r="KW54" i="8"/>
  <c r="KW75" i="8" s="1"/>
  <c r="KV54" i="8"/>
  <c r="KV75" i="8" s="1"/>
  <c r="KU54" i="8"/>
  <c r="KU75" i="8" s="1"/>
  <c r="KT54" i="8"/>
  <c r="KT75" i="8" s="1"/>
  <c r="KS54" i="8"/>
  <c r="KS75" i="8" s="1"/>
  <c r="KR54" i="8"/>
  <c r="KR75" i="8" s="1"/>
  <c r="KQ54" i="8"/>
  <c r="KQ75" i="8" s="1"/>
  <c r="KP54" i="8"/>
  <c r="KP75" i="8" s="1"/>
  <c r="KO54" i="8"/>
  <c r="KO75" i="8" s="1"/>
  <c r="KN54" i="8"/>
  <c r="KN75" i="8" s="1"/>
  <c r="KM54" i="8"/>
  <c r="KM75" i="8" s="1"/>
  <c r="KL54" i="8"/>
  <c r="KL75" i="8" s="1"/>
  <c r="KK54" i="8"/>
  <c r="KK75" i="8" s="1"/>
  <c r="KJ54" i="8"/>
  <c r="KJ75" i="8" s="1"/>
  <c r="KI54" i="8"/>
  <c r="KI75" i="8" s="1"/>
  <c r="KH54" i="8"/>
  <c r="KH75" i="8" s="1"/>
  <c r="KG54" i="8"/>
  <c r="KG75" i="8" s="1"/>
  <c r="KF54" i="8"/>
  <c r="KF75" i="8" s="1"/>
  <c r="KE54" i="8"/>
  <c r="KE75" i="8" s="1"/>
  <c r="KD54" i="8"/>
  <c r="KD75" i="8" s="1"/>
  <c r="KC54" i="8"/>
  <c r="KC75" i="8" s="1"/>
  <c r="KB54" i="8"/>
  <c r="KB75" i="8" s="1"/>
  <c r="KA54" i="8"/>
  <c r="KA75" i="8" s="1"/>
  <c r="JZ54" i="8"/>
  <c r="JZ75" i="8" s="1"/>
  <c r="JY54" i="8"/>
  <c r="JY75" i="8" s="1"/>
  <c r="JX54" i="8"/>
  <c r="JX75" i="8" s="1"/>
  <c r="JW54" i="8"/>
  <c r="JW75" i="8" s="1"/>
  <c r="JV54" i="8"/>
  <c r="JV75" i="8" s="1"/>
  <c r="JU54" i="8"/>
  <c r="JU75" i="8" s="1"/>
  <c r="JT54" i="8"/>
  <c r="JT75" i="8" s="1"/>
  <c r="JS54" i="8"/>
  <c r="JS75" i="8" s="1"/>
  <c r="JR54" i="8"/>
  <c r="JR75" i="8" s="1"/>
  <c r="JQ54" i="8"/>
  <c r="JQ75" i="8" s="1"/>
  <c r="JP54" i="8"/>
  <c r="JP75" i="8" s="1"/>
  <c r="JO54" i="8"/>
  <c r="JO75" i="8" s="1"/>
  <c r="JN54" i="8"/>
  <c r="JN75" i="8" s="1"/>
  <c r="JM54" i="8"/>
  <c r="JM75" i="8" s="1"/>
  <c r="JL54" i="8"/>
  <c r="JL75" i="8" s="1"/>
  <c r="JK54" i="8"/>
  <c r="JK75" i="8" s="1"/>
  <c r="JJ54" i="8"/>
  <c r="JJ75" i="8" s="1"/>
  <c r="JI54" i="8"/>
  <c r="JI75" i="8" s="1"/>
  <c r="JH54" i="8"/>
  <c r="JH75" i="8" s="1"/>
  <c r="JG54" i="8"/>
  <c r="JG75" i="8" s="1"/>
  <c r="JF54" i="8"/>
  <c r="JF75" i="8" s="1"/>
  <c r="JE54" i="8"/>
  <c r="JE75" i="8" s="1"/>
  <c r="JD54" i="8"/>
  <c r="JD75" i="8" s="1"/>
  <c r="JC54" i="8"/>
  <c r="JC75" i="8" s="1"/>
  <c r="JB54" i="8"/>
  <c r="JB75" i="8" s="1"/>
  <c r="JA54" i="8"/>
  <c r="JA75" i="8" s="1"/>
  <c r="IZ54" i="8"/>
  <c r="IZ75" i="8" s="1"/>
  <c r="IY54" i="8"/>
  <c r="IY75" i="8" s="1"/>
  <c r="IX54" i="8"/>
  <c r="IX75" i="8" s="1"/>
  <c r="IW54" i="8"/>
  <c r="IW75" i="8" s="1"/>
  <c r="IV54" i="8"/>
  <c r="IU54" i="8"/>
  <c r="IU75" i="8" s="1"/>
  <c r="IT54" i="8"/>
  <c r="IT75" i="8" s="1"/>
  <c r="IS54" i="8"/>
  <c r="IS75" i="8" s="1"/>
  <c r="IR54" i="8"/>
  <c r="IR75" i="8" s="1"/>
  <c r="IQ54" i="8"/>
  <c r="IQ75" i="8" s="1"/>
  <c r="IP54" i="8"/>
  <c r="IP75" i="8" s="1"/>
  <c r="IO54" i="8"/>
  <c r="IO75" i="8" s="1"/>
  <c r="IN54" i="8"/>
  <c r="IN75" i="8" s="1"/>
  <c r="IM54" i="8"/>
  <c r="IM75" i="8" s="1"/>
  <c r="IL54" i="8"/>
  <c r="IL75" i="8" s="1"/>
  <c r="IK54" i="8"/>
  <c r="IK75" i="8" s="1"/>
  <c r="IJ54" i="8"/>
  <c r="IJ75" i="8" s="1"/>
  <c r="II54" i="8"/>
  <c r="II75" i="8" s="1"/>
  <c r="IH54" i="8"/>
  <c r="IH75" i="8" s="1"/>
  <c r="IG54" i="8"/>
  <c r="IG75" i="8" s="1"/>
  <c r="IF54" i="8"/>
  <c r="IF75" i="8" s="1"/>
  <c r="IE54" i="8"/>
  <c r="IE75" i="8" s="1"/>
  <c r="ID54" i="8"/>
  <c r="ID75" i="8" s="1"/>
  <c r="IC54" i="8"/>
  <c r="IC75" i="8" s="1"/>
  <c r="IB54" i="8"/>
  <c r="IB75" i="8" s="1"/>
  <c r="IA54" i="8"/>
  <c r="IA75" i="8" s="1"/>
  <c r="HZ54" i="8"/>
  <c r="HZ75" i="8" s="1"/>
  <c r="HY54" i="8"/>
  <c r="HY75" i="8" s="1"/>
  <c r="HX54" i="8"/>
  <c r="HX75" i="8" s="1"/>
  <c r="HW54" i="8"/>
  <c r="HW75" i="8" s="1"/>
  <c r="HV54" i="8"/>
  <c r="HV75" i="8" s="1"/>
  <c r="HU54" i="8"/>
  <c r="HU75" i="8" s="1"/>
  <c r="HT54" i="8"/>
  <c r="HT75" i="8" s="1"/>
  <c r="HS54" i="8"/>
  <c r="HS75" i="8" s="1"/>
  <c r="HR54" i="8"/>
  <c r="HR75" i="8" s="1"/>
  <c r="HQ54" i="8"/>
  <c r="HQ75" i="8" s="1"/>
  <c r="HP54" i="8"/>
  <c r="HO54" i="8"/>
  <c r="HO75" i="8" s="1"/>
  <c r="HN54" i="8"/>
  <c r="HN75" i="8" s="1"/>
  <c r="HM54" i="8"/>
  <c r="HM75" i="8" s="1"/>
  <c r="HL54" i="8"/>
  <c r="HL75" i="8" s="1"/>
  <c r="HK54" i="8"/>
  <c r="HK75" i="8" s="1"/>
  <c r="HJ54" i="8"/>
  <c r="HJ75" i="8" s="1"/>
  <c r="HI54" i="8"/>
  <c r="HI75" i="8" s="1"/>
  <c r="HH54" i="8"/>
  <c r="HH75" i="8" s="1"/>
  <c r="HG54" i="8"/>
  <c r="HG75" i="8" s="1"/>
  <c r="HF54" i="8"/>
  <c r="HF75" i="8" s="1"/>
  <c r="HE54" i="8"/>
  <c r="HE75" i="8" s="1"/>
  <c r="HD54" i="8"/>
  <c r="HD75" i="8" s="1"/>
  <c r="HC54" i="8"/>
  <c r="HC75" i="8" s="1"/>
  <c r="HB54" i="8"/>
  <c r="HB75" i="8" s="1"/>
  <c r="HA54" i="8"/>
  <c r="HA75" i="8" s="1"/>
  <c r="GZ54" i="8"/>
  <c r="GZ75" i="8" s="1"/>
  <c r="GY54" i="8"/>
  <c r="GY75" i="8" s="1"/>
  <c r="GX54" i="8"/>
  <c r="GX75" i="8" s="1"/>
  <c r="GW54" i="8"/>
  <c r="GW75" i="8" s="1"/>
  <c r="GV54" i="8"/>
  <c r="GV75" i="8" s="1"/>
  <c r="GU54" i="8"/>
  <c r="GU75" i="8" s="1"/>
  <c r="GT54" i="8"/>
  <c r="GT75" i="8" s="1"/>
  <c r="GS54" i="8"/>
  <c r="GS75" i="8" s="1"/>
  <c r="GR54" i="8"/>
  <c r="GR75" i="8" s="1"/>
  <c r="GQ54" i="8"/>
  <c r="GQ75" i="8" s="1"/>
  <c r="GP54" i="8"/>
  <c r="GP75" i="8" s="1"/>
  <c r="GO54" i="8"/>
  <c r="GO75" i="8" s="1"/>
  <c r="GN54" i="8"/>
  <c r="GN75" i="8" s="1"/>
  <c r="GM54" i="8"/>
  <c r="GM75" i="8" s="1"/>
  <c r="GL54" i="8"/>
  <c r="GL75" i="8" s="1"/>
  <c r="GK54" i="8"/>
  <c r="GK75" i="8" s="1"/>
  <c r="GJ54" i="8"/>
  <c r="GJ75" i="8" s="1"/>
  <c r="GI54" i="8"/>
  <c r="GI75" i="8" s="1"/>
  <c r="GH54" i="8"/>
  <c r="GH75" i="8" s="1"/>
  <c r="GG54" i="8"/>
  <c r="GG75" i="8" s="1"/>
  <c r="GF54" i="8"/>
  <c r="GF75" i="8" s="1"/>
  <c r="GE54" i="8"/>
  <c r="GE75" i="8" s="1"/>
  <c r="GD54" i="8"/>
  <c r="GD75" i="8" s="1"/>
  <c r="GC54" i="8"/>
  <c r="GC75" i="8" s="1"/>
  <c r="GB54" i="8"/>
  <c r="GB75" i="8" s="1"/>
  <c r="GA54" i="8"/>
  <c r="GA75" i="8" s="1"/>
  <c r="FZ54" i="8"/>
  <c r="FZ75" i="8" s="1"/>
  <c r="FY54" i="8"/>
  <c r="FY75" i="8" s="1"/>
  <c r="FX54" i="8"/>
  <c r="FX75" i="8" s="1"/>
  <c r="FW54" i="8"/>
  <c r="FW75" i="8" s="1"/>
  <c r="FV54" i="8"/>
  <c r="FV75" i="8" s="1"/>
  <c r="FU54" i="8"/>
  <c r="FU75" i="8" s="1"/>
  <c r="FT54" i="8"/>
  <c r="FT75" i="8" s="1"/>
  <c r="FO54" i="8"/>
  <c r="FO75" i="8" s="1"/>
  <c r="FM54" i="8"/>
  <c r="FM75" i="8" s="1"/>
  <c r="FL54" i="8"/>
  <c r="FL75" i="8" s="1"/>
  <c r="FK54" i="8"/>
  <c r="FK75" i="8" s="1"/>
  <c r="FJ54" i="8"/>
  <c r="FJ75" i="8" s="1"/>
  <c r="FI54" i="8"/>
  <c r="FH54" i="8"/>
  <c r="FH75" i="8" s="1"/>
  <c r="FG54" i="8"/>
  <c r="FG75" i="8" s="1"/>
  <c r="FF54" i="8"/>
  <c r="FF75" i="8" s="1"/>
  <c r="FE54" i="8"/>
  <c r="FE75" i="8" s="1"/>
  <c r="FD54" i="8"/>
  <c r="FD75" i="8" s="1"/>
  <c r="FC54" i="8"/>
  <c r="FC75" i="8" s="1"/>
  <c r="FB54" i="8"/>
  <c r="FB75" i="8" s="1"/>
  <c r="FA54" i="8"/>
  <c r="FA75" i="8" s="1"/>
  <c r="EZ54" i="8"/>
  <c r="EZ75" i="8" s="1"/>
  <c r="EY54" i="8"/>
  <c r="EY75" i="8" s="1"/>
  <c r="EX54" i="8"/>
  <c r="EX75" i="8" s="1"/>
  <c r="EW54" i="8"/>
  <c r="EW75" i="8" s="1"/>
  <c r="EV54" i="8"/>
  <c r="EV75" i="8" s="1"/>
  <c r="EU54" i="8"/>
  <c r="EU75" i="8" s="1"/>
  <c r="ET54" i="8"/>
  <c r="ET75" i="8" s="1"/>
  <c r="ES54" i="8"/>
  <c r="ES75" i="8" s="1"/>
  <c r="ER54" i="8"/>
  <c r="ER75" i="8" s="1"/>
  <c r="EQ54" i="8"/>
  <c r="EQ75" i="8" s="1"/>
  <c r="EP54" i="8"/>
  <c r="EP75" i="8" s="1"/>
  <c r="EO54" i="8"/>
  <c r="EO75" i="8" s="1"/>
  <c r="EN54" i="8"/>
  <c r="EN75" i="8" s="1"/>
  <c r="EM54" i="8"/>
  <c r="EM75" i="8" s="1"/>
  <c r="EL54" i="8"/>
  <c r="EL75" i="8" s="1"/>
  <c r="EK54" i="8"/>
  <c r="EK75" i="8" s="1"/>
  <c r="EJ54" i="8"/>
  <c r="EJ75" i="8" s="1"/>
  <c r="EI54" i="8"/>
  <c r="EI75" i="8" s="1"/>
  <c r="EH54" i="8"/>
  <c r="EH75" i="8" s="1"/>
  <c r="EG54" i="8"/>
  <c r="EG75" i="8" s="1"/>
  <c r="EF54" i="8"/>
  <c r="EF75" i="8" s="1"/>
  <c r="EE54" i="8"/>
  <c r="EE75" i="8" s="1"/>
  <c r="ED54" i="8"/>
  <c r="ED75" i="8" s="1"/>
  <c r="EC54" i="8"/>
  <c r="EB54" i="8"/>
  <c r="EB75" i="8" s="1"/>
  <c r="EA54" i="8"/>
  <c r="EA75" i="8" s="1"/>
  <c r="DZ54" i="8"/>
  <c r="DZ75" i="8" s="1"/>
  <c r="DY54" i="8"/>
  <c r="DY75" i="8" s="1"/>
  <c r="DX54" i="8"/>
  <c r="DX75" i="8" s="1"/>
  <c r="DW54" i="8"/>
  <c r="DW75" i="8" s="1"/>
  <c r="DV54" i="8"/>
  <c r="DV75" i="8" s="1"/>
  <c r="DU54" i="8"/>
  <c r="DU75" i="8" s="1"/>
  <c r="DT54" i="8"/>
  <c r="DT75" i="8" s="1"/>
  <c r="DS54" i="8"/>
  <c r="DS75" i="8" s="1"/>
  <c r="DR54" i="8"/>
  <c r="DR75" i="8" s="1"/>
  <c r="DQ54" i="8"/>
  <c r="DQ75" i="8" s="1"/>
  <c r="DP54" i="8"/>
  <c r="DP75" i="8" s="1"/>
  <c r="DO54" i="8"/>
  <c r="DO75" i="8" s="1"/>
  <c r="DN54" i="8"/>
  <c r="DN75" i="8" s="1"/>
  <c r="DM54" i="8"/>
  <c r="DM75" i="8" s="1"/>
  <c r="DL54" i="8"/>
  <c r="DL75" i="8" s="1"/>
  <c r="DK54" i="8"/>
  <c r="DK75" i="8" s="1"/>
  <c r="DJ54" i="8"/>
  <c r="DJ75" i="8" s="1"/>
  <c r="DI54" i="8"/>
  <c r="DI75" i="8" s="1"/>
  <c r="DH54" i="8"/>
  <c r="DH75" i="8" s="1"/>
  <c r="DG54" i="8"/>
  <c r="DG75" i="8" s="1"/>
  <c r="DF54" i="8"/>
  <c r="DF75" i="8" s="1"/>
  <c r="DE54" i="8"/>
  <c r="DE75" i="8" s="1"/>
  <c r="DD54" i="8"/>
  <c r="DD75" i="8" s="1"/>
  <c r="DC54" i="8"/>
  <c r="DC75" i="8" s="1"/>
  <c r="DB54" i="8"/>
  <c r="DB75" i="8" s="1"/>
  <c r="DA54" i="8"/>
  <c r="DA75" i="8" s="1"/>
  <c r="CZ54" i="8"/>
  <c r="CZ75" i="8" s="1"/>
  <c r="CY54" i="8"/>
  <c r="CY75" i="8" s="1"/>
  <c r="CX54" i="8"/>
  <c r="CX75" i="8" s="1"/>
  <c r="CW54" i="8"/>
  <c r="CW75" i="8" s="1"/>
  <c r="CV54" i="8"/>
  <c r="CV75" i="8" s="1"/>
  <c r="CU54" i="8"/>
  <c r="CU75" i="8" s="1"/>
  <c r="CT54" i="8"/>
  <c r="CT75" i="8" s="1"/>
  <c r="CS54" i="8"/>
  <c r="CS75" i="8" s="1"/>
  <c r="CR54" i="8"/>
  <c r="CR75" i="8" s="1"/>
  <c r="CQ54" i="8"/>
  <c r="CQ75" i="8" s="1"/>
  <c r="CP54" i="8"/>
  <c r="CP75" i="8" s="1"/>
  <c r="CO54" i="8"/>
  <c r="CO75" i="8" s="1"/>
  <c r="CN54" i="8"/>
  <c r="CN75" i="8" s="1"/>
  <c r="CM54" i="8"/>
  <c r="CM75" i="8" s="1"/>
  <c r="CL54" i="8"/>
  <c r="CL75" i="8" s="1"/>
  <c r="CK54" i="8"/>
  <c r="CK75" i="8" s="1"/>
  <c r="CJ54" i="8"/>
  <c r="CJ75" i="8" s="1"/>
  <c r="CI54" i="8"/>
  <c r="CI75" i="8" s="1"/>
  <c r="CH54" i="8"/>
  <c r="CH75" i="8" s="1"/>
  <c r="CG54" i="8"/>
  <c r="CG75" i="8" s="1"/>
  <c r="CF54" i="8"/>
  <c r="CF75" i="8" s="1"/>
  <c r="CE54" i="8"/>
  <c r="CE75" i="8" s="1"/>
  <c r="CD54" i="8"/>
  <c r="CD75" i="8" s="1"/>
  <c r="CC54" i="8"/>
  <c r="CC75" i="8" s="1"/>
  <c r="CB54" i="8"/>
  <c r="CB75" i="8" s="1"/>
  <c r="CA54" i="8"/>
  <c r="CA75" i="8" s="1"/>
  <c r="BZ54" i="8"/>
  <c r="BZ75" i="8" s="1"/>
  <c r="BY54" i="8"/>
  <c r="BY75" i="8" s="1"/>
  <c r="BX54" i="8"/>
  <c r="BX75" i="8" s="1"/>
  <c r="BW54" i="8"/>
  <c r="BW75" i="8" s="1"/>
  <c r="BV54" i="8"/>
  <c r="BV75" i="8" s="1"/>
  <c r="BU54" i="8"/>
  <c r="BU75" i="8" s="1"/>
  <c r="BT54" i="8"/>
  <c r="BT75" i="8" s="1"/>
  <c r="BS54" i="8"/>
  <c r="BS75" i="8" s="1"/>
  <c r="BR54" i="8"/>
  <c r="BR75" i="8" s="1"/>
  <c r="BQ54" i="8"/>
  <c r="BQ75" i="8" s="1"/>
  <c r="BP54" i="8"/>
  <c r="BP75" i="8" s="1"/>
  <c r="BO54" i="8"/>
  <c r="BO75" i="8" s="1"/>
  <c r="BN54" i="8"/>
  <c r="BN75" i="8" s="1"/>
  <c r="BM54" i="8"/>
  <c r="BM75" i="8" s="1"/>
  <c r="BL54" i="8"/>
  <c r="BL75" i="8" s="1"/>
  <c r="BK54" i="8"/>
  <c r="BK75" i="8" s="1"/>
  <c r="BJ54" i="8"/>
  <c r="BJ75" i="8" s="1"/>
  <c r="BI54" i="8"/>
  <c r="BI75" i="8" s="1"/>
  <c r="BH54" i="8"/>
  <c r="BH75" i="8" s="1"/>
  <c r="BG54" i="8"/>
  <c r="BG75" i="8" s="1"/>
  <c r="BF54" i="8"/>
  <c r="BF75" i="8" s="1"/>
  <c r="BE54" i="8"/>
  <c r="BE75" i="8" s="1"/>
  <c r="BD54" i="8"/>
  <c r="BD75" i="8" s="1"/>
  <c r="BC54" i="8"/>
  <c r="BC75" i="8" s="1"/>
  <c r="BB54" i="8"/>
  <c r="BB75" i="8" s="1"/>
  <c r="BA54" i="8"/>
  <c r="BA75" i="8" s="1"/>
  <c r="AZ54" i="8"/>
  <c r="AZ75" i="8" s="1"/>
  <c r="AY54" i="8"/>
  <c r="AY75" i="8" s="1"/>
  <c r="AX54" i="8"/>
  <c r="AX75" i="8" s="1"/>
  <c r="AW54" i="8"/>
  <c r="AW75" i="8" s="1"/>
  <c r="AV54" i="8"/>
  <c r="AV75" i="8" s="1"/>
  <c r="AU54" i="8"/>
  <c r="AU75" i="8" s="1"/>
  <c r="AT54" i="8"/>
  <c r="AT75" i="8" s="1"/>
  <c r="AS54" i="8"/>
  <c r="AS75" i="8" s="1"/>
  <c r="AR54" i="8"/>
  <c r="AR75" i="8" s="1"/>
  <c r="AQ54" i="8"/>
  <c r="AQ75" i="8" s="1"/>
  <c r="AP54" i="8"/>
  <c r="AP75" i="8" s="1"/>
  <c r="AO54" i="8"/>
  <c r="AO75" i="8" s="1"/>
  <c r="AN54" i="8"/>
  <c r="AN75" i="8" s="1"/>
  <c r="AM54" i="8"/>
  <c r="AM75" i="8" s="1"/>
  <c r="AL54" i="8"/>
  <c r="AL75" i="8" s="1"/>
  <c r="AK54" i="8"/>
  <c r="AJ54" i="8"/>
  <c r="AJ75" i="8" s="1"/>
  <c r="AI54" i="8"/>
  <c r="AI75" i="8" s="1"/>
  <c r="AH54" i="8"/>
  <c r="AH75" i="8" s="1"/>
  <c r="AG54" i="8"/>
  <c r="AG75" i="8" s="1"/>
  <c r="AF54" i="8"/>
  <c r="AF75" i="8" s="1"/>
  <c r="AE54" i="8"/>
  <c r="AE75" i="8" s="1"/>
  <c r="AD54" i="8"/>
  <c r="AD75" i="8" s="1"/>
  <c r="AC54" i="8"/>
  <c r="AC75" i="8" s="1"/>
  <c r="AB54" i="8"/>
  <c r="AB75" i="8" s="1"/>
  <c r="AA54" i="8"/>
  <c r="AA75" i="8" s="1"/>
  <c r="Z54" i="8"/>
  <c r="Z75" i="8" s="1"/>
  <c r="Y54" i="8"/>
  <c r="Y75" i="8" s="1"/>
  <c r="X54" i="8"/>
  <c r="X75" i="8" s="1"/>
  <c r="W54" i="8"/>
  <c r="W75" i="8" s="1"/>
  <c r="V54" i="8"/>
  <c r="V75" i="8" s="1"/>
  <c r="U54" i="8"/>
  <c r="U75" i="8" s="1"/>
  <c r="T54" i="8"/>
  <c r="T75" i="8" s="1"/>
  <c r="S54" i="8"/>
  <c r="S75" i="8" s="1"/>
  <c r="R54" i="8"/>
  <c r="R75" i="8" s="1"/>
  <c r="Q54" i="8"/>
  <c r="Q75" i="8" s="1"/>
  <c r="P54" i="8"/>
  <c r="P75" i="8" s="1"/>
  <c r="O54" i="8"/>
  <c r="O75" i="8" s="1"/>
  <c r="N54" i="8"/>
  <c r="N75" i="8" s="1"/>
  <c r="M54" i="8"/>
  <c r="M75" i="8" s="1"/>
  <c r="L54" i="8"/>
  <c r="L75" i="8" s="1"/>
  <c r="K54" i="8"/>
  <c r="K75" i="8" s="1"/>
  <c r="J54" i="8"/>
  <c r="J75" i="8" s="1"/>
  <c r="I54" i="8"/>
  <c r="I75" i="8" s="1"/>
  <c r="H54" i="8"/>
  <c r="H75" i="8" s="1"/>
  <c r="G54" i="8"/>
  <c r="G75" i="8" s="1"/>
  <c r="F54" i="8"/>
  <c r="F75" i="8" s="1"/>
  <c r="E54" i="8"/>
  <c r="D54" i="8"/>
  <c r="D75" i="8" s="1"/>
  <c r="C54" i="8"/>
  <c r="C75" i="8" s="1"/>
  <c r="OT53" i="8"/>
  <c r="OT74" i="8" s="1"/>
  <c r="OS53" i="8"/>
  <c r="OS74" i="8" s="1"/>
  <c r="NO53" i="8"/>
  <c r="NO74" i="8" s="1"/>
  <c r="NN53" i="8"/>
  <c r="NN74" i="8" s="1"/>
  <c r="NM53" i="8"/>
  <c r="NM74" i="8" s="1"/>
  <c r="NL53" i="8"/>
  <c r="NL74" i="8" s="1"/>
  <c r="NK53" i="8"/>
  <c r="NK74" i="8" s="1"/>
  <c r="NJ53" i="8"/>
  <c r="NJ74" i="8" s="1"/>
  <c r="NI53" i="8"/>
  <c r="NI74" i="8" s="1"/>
  <c r="NH53" i="8"/>
  <c r="NH74" i="8" s="1"/>
  <c r="NG53" i="8"/>
  <c r="NG74" i="8" s="1"/>
  <c r="NF53" i="8"/>
  <c r="NF74" i="8" s="1"/>
  <c r="NE53" i="8"/>
  <c r="NE74" i="8" s="1"/>
  <c r="ND53" i="8"/>
  <c r="ND74" i="8" s="1"/>
  <c r="NC53" i="8"/>
  <c r="NC74" i="8" s="1"/>
  <c r="NB53" i="8"/>
  <c r="NB74" i="8" s="1"/>
  <c r="NA53" i="8"/>
  <c r="NA74" i="8" s="1"/>
  <c r="MZ53" i="8"/>
  <c r="MZ74" i="8" s="1"/>
  <c r="MY53" i="8"/>
  <c r="MY74" i="8" s="1"/>
  <c r="MX53" i="8"/>
  <c r="MX74" i="8" s="1"/>
  <c r="MW53" i="8"/>
  <c r="MW74" i="8" s="1"/>
  <c r="MV53" i="8"/>
  <c r="MV74" i="8" s="1"/>
  <c r="MU53" i="8"/>
  <c r="MU74" i="8" s="1"/>
  <c r="MT53" i="8"/>
  <c r="MT74" i="8" s="1"/>
  <c r="MS53" i="8"/>
  <c r="MS74" i="8" s="1"/>
  <c r="MR53" i="8"/>
  <c r="MR74" i="8" s="1"/>
  <c r="MQ53" i="8"/>
  <c r="MQ74" i="8" s="1"/>
  <c r="MP53" i="8"/>
  <c r="MP74" i="8" s="1"/>
  <c r="MO53" i="8"/>
  <c r="MO74" i="8" s="1"/>
  <c r="MN53" i="8"/>
  <c r="MN74" i="8" s="1"/>
  <c r="MM53" i="8"/>
  <c r="MM74" i="8" s="1"/>
  <c r="ML53" i="8"/>
  <c r="ML74" i="8" s="1"/>
  <c r="MK53" i="8"/>
  <c r="MK74" i="8" s="1"/>
  <c r="MJ53" i="8"/>
  <c r="MJ74" i="8" s="1"/>
  <c r="MI53" i="8"/>
  <c r="MI74" i="8" s="1"/>
  <c r="MH53" i="8"/>
  <c r="MH74" i="8" s="1"/>
  <c r="MG53" i="8"/>
  <c r="MG74" i="8" s="1"/>
  <c r="MF53" i="8"/>
  <c r="MF74" i="8" s="1"/>
  <c r="ME53" i="8"/>
  <c r="ME74" i="8" s="1"/>
  <c r="MD53" i="8"/>
  <c r="MD74" i="8" s="1"/>
  <c r="MC53" i="8"/>
  <c r="MC74" i="8" s="1"/>
  <c r="MB53" i="8"/>
  <c r="MB74" i="8" s="1"/>
  <c r="MA53" i="8"/>
  <c r="MA74" i="8" s="1"/>
  <c r="LZ53" i="8"/>
  <c r="LZ74" i="8" s="1"/>
  <c r="LY53" i="8"/>
  <c r="LY74" i="8" s="1"/>
  <c r="LX53" i="8"/>
  <c r="LX74" i="8" s="1"/>
  <c r="LW53" i="8"/>
  <c r="LW74" i="8" s="1"/>
  <c r="LV53" i="8"/>
  <c r="LV74" i="8" s="1"/>
  <c r="LU53" i="8"/>
  <c r="LU74" i="8" s="1"/>
  <c r="LT53" i="8"/>
  <c r="LT74" i="8" s="1"/>
  <c r="LS53" i="8"/>
  <c r="LS74" i="8" s="1"/>
  <c r="LR53" i="8"/>
  <c r="LR74" i="8" s="1"/>
  <c r="LQ53" i="8"/>
  <c r="LQ74" i="8" s="1"/>
  <c r="LP53" i="8"/>
  <c r="LP74" i="8" s="1"/>
  <c r="LO53" i="8"/>
  <c r="LO74" i="8" s="1"/>
  <c r="LN53" i="8"/>
  <c r="LN74" i="8" s="1"/>
  <c r="LM53" i="8"/>
  <c r="LM74" i="8" s="1"/>
  <c r="LL53" i="8"/>
  <c r="LL74" i="8" s="1"/>
  <c r="LK53" i="8"/>
  <c r="LK74" i="8" s="1"/>
  <c r="LJ53" i="8"/>
  <c r="LJ74" i="8" s="1"/>
  <c r="LI53" i="8"/>
  <c r="LI74" i="8" s="1"/>
  <c r="LH53" i="8"/>
  <c r="LH74" i="8" s="1"/>
  <c r="LG53" i="8"/>
  <c r="LG74" i="8" s="1"/>
  <c r="LF53" i="8"/>
  <c r="LF74" i="8" s="1"/>
  <c r="LE53" i="8"/>
  <c r="LE74" i="8" s="1"/>
  <c r="LD53" i="8"/>
  <c r="LD74" i="8" s="1"/>
  <c r="LC53" i="8"/>
  <c r="LC74" i="8" s="1"/>
  <c r="LB53" i="8"/>
  <c r="LB74" i="8" s="1"/>
  <c r="LA53" i="8"/>
  <c r="LA74" i="8" s="1"/>
  <c r="KZ53" i="8"/>
  <c r="KZ74" i="8" s="1"/>
  <c r="KY53" i="8"/>
  <c r="KY74" i="8" s="1"/>
  <c r="KX53" i="8"/>
  <c r="KX74" i="8" s="1"/>
  <c r="KW53" i="8"/>
  <c r="KW74" i="8" s="1"/>
  <c r="KV53" i="8"/>
  <c r="KV74" i="8" s="1"/>
  <c r="KU53" i="8"/>
  <c r="KU74" i="8" s="1"/>
  <c r="KT53" i="8"/>
  <c r="KT74" i="8" s="1"/>
  <c r="KS53" i="8"/>
  <c r="KS74" i="8" s="1"/>
  <c r="KR53" i="8"/>
  <c r="KR74" i="8" s="1"/>
  <c r="KQ53" i="8"/>
  <c r="KQ74" i="8" s="1"/>
  <c r="KP53" i="8"/>
  <c r="KP74" i="8" s="1"/>
  <c r="KO53" i="8"/>
  <c r="KO74" i="8" s="1"/>
  <c r="KN53" i="8"/>
  <c r="KN74" i="8" s="1"/>
  <c r="KM53" i="8"/>
  <c r="KM74" i="8" s="1"/>
  <c r="KL53" i="8"/>
  <c r="KL74" i="8" s="1"/>
  <c r="KK53" i="8"/>
  <c r="KK74" i="8" s="1"/>
  <c r="KJ53" i="8"/>
  <c r="KJ74" i="8" s="1"/>
  <c r="KI53" i="8"/>
  <c r="KI74" i="8" s="1"/>
  <c r="KH53" i="8"/>
  <c r="KH74" i="8" s="1"/>
  <c r="KG53" i="8"/>
  <c r="KG74" i="8" s="1"/>
  <c r="KF53" i="8"/>
  <c r="KF74" i="8" s="1"/>
  <c r="KE53" i="8"/>
  <c r="KE74" i="8" s="1"/>
  <c r="KD53" i="8"/>
  <c r="KD74" i="8" s="1"/>
  <c r="KC53" i="8"/>
  <c r="KC74" i="8" s="1"/>
  <c r="KB53" i="8"/>
  <c r="KA53" i="8"/>
  <c r="KA74" i="8" s="1"/>
  <c r="JZ53" i="8"/>
  <c r="JZ74" i="8" s="1"/>
  <c r="JY53" i="8"/>
  <c r="JY74" i="8" s="1"/>
  <c r="JX53" i="8"/>
  <c r="JX74" i="8" s="1"/>
  <c r="JW53" i="8"/>
  <c r="JW74" i="8" s="1"/>
  <c r="JV53" i="8"/>
  <c r="JV74" i="8" s="1"/>
  <c r="JU53" i="8"/>
  <c r="JU74" i="8" s="1"/>
  <c r="JT53" i="8"/>
  <c r="JT74" i="8" s="1"/>
  <c r="JS53" i="8"/>
  <c r="JS74" i="8" s="1"/>
  <c r="JR53" i="8"/>
  <c r="JR74" i="8" s="1"/>
  <c r="JQ53" i="8"/>
  <c r="JQ74" i="8" s="1"/>
  <c r="JP53" i="8"/>
  <c r="JP74" i="8" s="1"/>
  <c r="JO53" i="8"/>
  <c r="JO74" i="8" s="1"/>
  <c r="JN53" i="8"/>
  <c r="JN74" i="8" s="1"/>
  <c r="JM53" i="8"/>
  <c r="JM74" i="8" s="1"/>
  <c r="JL53" i="8"/>
  <c r="JL74" i="8" s="1"/>
  <c r="JK53" i="8"/>
  <c r="JK74" i="8" s="1"/>
  <c r="JJ53" i="8"/>
  <c r="JJ74" i="8" s="1"/>
  <c r="JI53" i="8"/>
  <c r="JI74" i="8" s="1"/>
  <c r="JH53" i="8"/>
  <c r="JH74" i="8" s="1"/>
  <c r="JG53" i="8"/>
  <c r="JG74" i="8" s="1"/>
  <c r="JF53" i="8"/>
  <c r="JF74" i="8" s="1"/>
  <c r="JE53" i="8"/>
  <c r="JE74" i="8" s="1"/>
  <c r="JD53" i="8"/>
  <c r="JD74" i="8" s="1"/>
  <c r="JC53" i="8"/>
  <c r="JC74" i="8" s="1"/>
  <c r="JB53" i="8"/>
  <c r="JB74" i="8" s="1"/>
  <c r="JA53" i="8"/>
  <c r="JA74" i="8" s="1"/>
  <c r="IZ53" i="8"/>
  <c r="IZ74" i="8" s="1"/>
  <c r="IY53" i="8"/>
  <c r="IY74" i="8" s="1"/>
  <c r="IX53" i="8"/>
  <c r="IX74" i="8" s="1"/>
  <c r="IW53" i="8"/>
  <c r="IW74" i="8" s="1"/>
  <c r="IV53" i="8"/>
  <c r="IU53" i="8"/>
  <c r="IU74" i="8" s="1"/>
  <c r="IT53" i="8"/>
  <c r="IT74" i="8" s="1"/>
  <c r="IS53" i="8"/>
  <c r="IS74" i="8" s="1"/>
  <c r="IR53" i="8"/>
  <c r="IR74" i="8" s="1"/>
  <c r="IQ53" i="8"/>
  <c r="IQ74" i="8" s="1"/>
  <c r="IP53" i="8"/>
  <c r="IP74" i="8" s="1"/>
  <c r="IO53" i="8"/>
  <c r="IO74" i="8" s="1"/>
  <c r="IN53" i="8"/>
  <c r="IN74" i="8" s="1"/>
  <c r="IM53" i="8"/>
  <c r="IM74" i="8" s="1"/>
  <c r="IL53" i="8"/>
  <c r="IL74" i="8" s="1"/>
  <c r="IK53" i="8"/>
  <c r="IK74" i="8" s="1"/>
  <c r="IJ53" i="8"/>
  <c r="IJ74" i="8" s="1"/>
  <c r="II53" i="8"/>
  <c r="II74" i="8" s="1"/>
  <c r="IH53" i="8"/>
  <c r="IH74" i="8" s="1"/>
  <c r="IG53" i="8"/>
  <c r="IG74" i="8" s="1"/>
  <c r="IF53" i="8"/>
  <c r="IF74" i="8" s="1"/>
  <c r="IE53" i="8"/>
  <c r="IE74" i="8" s="1"/>
  <c r="ID53" i="8"/>
  <c r="ID74" i="8" s="1"/>
  <c r="IC53" i="8"/>
  <c r="IC74" i="8" s="1"/>
  <c r="IB53" i="8"/>
  <c r="IB74" i="8" s="1"/>
  <c r="IA53" i="8"/>
  <c r="IA74" i="8" s="1"/>
  <c r="HZ53" i="8"/>
  <c r="HZ74" i="8" s="1"/>
  <c r="HY53" i="8"/>
  <c r="HY74" i="8" s="1"/>
  <c r="HX53" i="8"/>
  <c r="HX74" i="8" s="1"/>
  <c r="HW53" i="8"/>
  <c r="HW74" i="8" s="1"/>
  <c r="HV53" i="8"/>
  <c r="HV74" i="8" s="1"/>
  <c r="HU53" i="8"/>
  <c r="HU74" i="8" s="1"/>
  <c r="HT53" i="8"/>
  <c r="HT74" i="8" s="1"/>
  <c r="HS53" i="8"/>
  <c r="HS74" i="8" s="1"/>
  <c r="HR53" i="8"/>
  <c r="HR74" i="8" s="1"/>
  <c r="HQ53" i="8"/>
  <c r="HQ74" i="8" s="1"/>
  <c r="HP53" i="8"/>
  <c r="HP74" i="8" s="1"/>
  <c r="HO53" i="8"/>
  <c r="HO74" i="8" s="1"/>
  <c r="HN53" i="8"/>
  <c r="HN74" i="8" s="1"/>
  <c r="HM53" i="8"/>
  <c r="HM74" i="8" s="1"/>
  <c r="HL53" i="8"/>
  <c r="HL74" i="8" s="1"/>
  <c r="HK53" i="8"/>
  <c r="HK74" i="8" s="1"/>
  <c r="HJ53" i="8"/>
  <c r="HJ74" i="8" s="1"/>
  <c r="HI53" i="8"/>
  <c r="HI74" i="8" s="1"/>
  <c r="HH53" i="8"/>
  <c r="HH74" i="8" s="1"/>
  <c r="HG53" i="8"/>
  <c r="HG74" i="8" s="1"/>
  <c r="HF53" i="8"/>
  <c r="HF74" i="8" s="1"/>
  <c r="HE53" i="8"/>
  <c r="HE74" i="8" s="1"/>
  <c r="HD53" i="8"/>
  <c r="HD74" i="8" s="1"/>
  <c r="HC53" i="8"/>
  <c r="HC74" i="8" s="1"/>
  <c r="HB53" i="8"/>
  <c r="HB74" i="8" s="1"/>
  <c r="HA53" i="8"/>
  <c r="HA74" i="8" s="1"/>
  <c r="GZ53" i="8"/>
  <c r="GZ74" i="8" s="1"/>
  <c r="GY53" i="8"/>
  <c r="GY74" i="8" s="1"/>
  <c r="GX53" i="8"/>
  <c r="GX74" i="8" s="1"/>
  <c r="GW53" i="8"/>
  <c r="GW74" i="8" s="1"/>
  <c r="GV53" i="8"/>
  <c r="GV74" i="8" s="1"/>
  <c r="GU53" i="8"/>
  <c r="GU74" i="8" s="1"/>
  <c r="GT53" i="8"/>
  <c r="GT74" i="8" s="1"/>
  <c r="GS53" i="8"/>
  <c r="GS74" i="8" s="1"/>
  <c r="GR53" i="8"/>
  <c r="GR74" i="8" s="1"/>
  <c r="GQ53" i="8"/>
  <c r="GQ74" i="8" s="1"/>
  <c r="GP53" i="8"/>
  <c r="GP74" i="8" s="1"/>
  <c r="GO53" i="8"/>
  <c r="GO74" i="8" s="1"/>
  <c r="GN53" i="8"/>
  <c r="GN74" i="8" s="1"/>
  <c r="GM53" i="8"/>
  <c r="GM74" i="8" s="1"/>
  <c r="GL53" i="8"/>
  <c r="GL74" i="8" s="1"/>
  <c r="GK53" i="8"/>
  <c r="GK74" i="8" s="1"/>
  <c r="GJ53" i="8"/>
  <c r="GJ74" i="8" s="1"/>
  <c r="GI53" i="8"/>
  <c r="GI74" i="8" s="1"/>
  <c r="GH53" i="8"/>
  <c r="GH74" i="8" s="1"/>
  <c r="GG53" i="8"/>
  <c r="GG74" i="8" s="1"/>
  <c r="GF53" i="8"/>
  <c r="GF74" i="8" s="1"/>
  <c r="GE53" i="8"/>
  <c r="GE74" i="8" s="1"/>
  <c r="GD53" i="8"/>
  <c r="GD74" i="8" s="1"/>
  <c r="GC53" i="8"/>
  <c r="GC74" i="8" s="1"/>
  <c r="GB53" i="8"/>
  <c r="GB74" i="8" s="1"/>
  <c r="GA53" i="8"/>
  <c r="GA74" i="8" s="1"/>
  <c r="FZ53" i="8"/>
  <c r="FZ74" i="8" s="1"/>
  <c r="FY53" i="8"/>
  <c r="FY74" i="8" s="1"/>
  <c r="FX53" i="8"/>
  <c r="FX74" i="8" s="1"/>
  <c r="FW53" i="8"/>
  <c r="FW74" i="8" s="1"/>
  <c r="FV53" i="8"/>
  <c r="FV74" i="8" s="1"/>
  <c r="FU53" i="8"/>
  <c r="FU74" i="8" s="1"/>
  <c r="FT53" i="8"/>
  <c r="FT74" i="8" s="1"/>
  <c r="FO53" i="8"/>
  <c r="FO74" i="8" s="1"/>
  <c r="FM53" i="8"/>
  <c r="FM74" i="8" s="1"/>
  <c r="FL53" i="8"/>
  <c r="FL74" i="8" s="1"/>
  <c r="FK53" i="8"/>
  <c r="FK74" i="8" s="1"/>
  <c r="FJ53" i="8"/>
  <c r="FJ74" i="8" s="1"/>
  <c r="FI53" i="8"/>
  <c r="FI74" i="8" s="1"/>
  <c r="FH53" i="8"/>
  <c r="FH74" i="8" s="1"/>
  <c r="FG53" i="8"/>
  <c r="FG74" i="8" s="1"/>
  <c r="FF53" i="8"/>
  <c r="FF74" i="8" s="1"/>
  <c r="FE53" i="8"/>
  <c r="FE74" i="8" s="1"/>
  <c r="FD53" i="8"/>
  <c r="FD74" i="8" s="1"/>
  <c r="FC53" i="8"/>
  <c r="FC74" i="8" s="1"/>
  <c r="FB53" i="8"/>
  <c r="FB74" i="8" s="1"/>
  <c r="FA53" i="8"/>
  <c r="FA74" i="8" s="1"/>
  <c r="EZ53" i="8"/>
  <c r="EZ74" i="8" s="1"/>
  <c r="EY53" i="8"/>
  <c r="EY74" i="8" s="1"/>
  <c r="EX53" i="8"/>
  <c r="EX74" i="8" s="1"/>
  <c r="EW53" i="8"/>
  <c r="EW74" i="8" s="1"/>
  <c r="EV53" i="8"/>
  <c r="EV74" i="8" s="1"/>
  <c r="EU53" i="8"/>
  <c r="EU74" i="8" s="1"/>
  <c r="ET53" i="8"/>
  <c r="ET74" i="8" s="1"/>
  <c r="ES53" i="8"/>
  <c r="ES74" i="8" s="1"/>
  <c r="ER53" i="8"/>
  <c r="ER74" i="8" s="1"/>
  <c r="EQ53" i="8"/>
  <c r="EQ74" i="8" s="1"/>
  <c r="EP53" i="8"/>
  <c r="EP74" i="8" s="1"/>
  <c r="EO53" i="8"/>
  <c r="EO74" i="8" s="1"/>
  <c r="EN53" i="8"/>
  <c r="EN74" i="8" s="1"/>
  <c r="EM53" i="8"/>
  <c r="EM74" i="8" s="1"/>
  <c r="EL53" i="8"/>
  <c r="EL74" i="8" s="1"/>
  <c r="EK53" i="8"/>
  <c r="EK74" i="8" s="1"/>
  <c r="EJ53" i="8"/>
  <c r="EJ74" i="8" s="1"/>
  <c r="EI53" i="8"/>
  <c r="EI74" i="8" s="1"/>
  <c r="EH53" i="8"/>
  <c r="EH74" i="8" s="1"/>
  <c r="EG53" i="8"/>
  <c r="EG74" i="8" s="1"/>
  <c r="EF53" i="8"/>
  <c r="EF74" i="8" s="1"/>
  <c r="EE53" i="8"/>
  <c r="EE74" i="8" s="1"/>
  <c r="ED53" i="8"/>
  <c r="ED74" i="8" s="1"/>
  <c r="EC53" i="8"/>
  <c r="EC74" i="8" s="1"/>
  <c r="EB53" i="8"/>
  <c r="EB74" i="8" s="1"/>
  <c r="EA53" i="8"/>
  <c r="EA74" i="8" s="1"/>
  <c r="DZ53" i="8"/>
  <c r="DZ74" i="8" s="1"/>
  <c r="DY53" i="8"/>
  <c r="DY74" i="8" s="1"/>
  <c r="DX53" i="8"/>
  <c r="DX74" i="8" s="1"/>
  <c r="DW53" i="8"/>
  <c r="DW74" i="8" s="1"/>
  <c r="DV53" i="8"/>
  <c r="DV74" i="8" s="1"/>
  <c r="DU53" i="8"/>
  <c r="DU74" i="8" s="1"/>
  <c r="DT53" i="8"/>
  <c r="DT74" i="8" s="1"/>
  <c r="DS53" i="8"/>
  <c r="DS74" i="8" s="1"/>
  <c r="DR53" i="8"/>
  <c r="DR74" i="8" s="1"/>
  <c r="DQ53" i="8"/>
  <c r="DQ74" i="8" s="1"/>
  <c r="DP53" i="8"/>
  <c r="DP74" i="8" s="1"/>
  <c r="DO53" i="8"/>
  <c r="DO74" i="8" s="1"/>
  <c r="DN53" i="8"/>
  <c r="DN74" i="8" s="1"/>
  <c r="DM53" i="8"/>
  <c r="DM74" i="8" s="1"/>
  <c r="DL53" i="8"/>
  <c r="DL74" i="8" s="1"/>
  <c r="DK53" i="8"/>
  <c r="DK74" i="8" s="1"/>
  <c r="DJ53" i="8"/>
  <c r="DJ74" i="8" s="1"/>
  <c r="DI53" i="8"/>
  <c r="DI74" i="8" s="1"/>
  <c r="DH53" i="8"/>
  <c r="DH74" i="8" s="1"/>
  <c r="DG53" i="8"/>
  <c r="DG74" i="8" s="1"/>
  <c r="DF53" i="8"/>
  <c r="DF74" i="8" s="1"/>
  <c r="DE53" i="8"/>
  <c r="DE74" i="8" s="1"/>
  <c r="DD53" i="8"/>
  <c r="DD74" i="8" s="1"/>
  <c r="DC53" i="8"/>
  <c r="DC74" i="8" s="1"/>
  <c r="DB53" i="8"/>
  <c r="DB74" i="8" s="1"/>
  <c r="DA53" i="8"/>
  <c r="DA74" i="8" s="1"/>
  <c r="CZ53" i="8"/>
  <c r="CZ74" i="8" s="1"/>
  <c r="CY53" i="8"/>
  <c r="CY74" i="8" s="1"/>
  <c r="CX53" i="8"/>
  <c r="CX74" i="8" s="1"/>
  <c r="CW53" i="8"/>
  <c r="CW74" i="8" s="1"/>
  <c r="CV53" i="8"/>
  <c r="CV74" i="8" s="1"/>
  <c r="CU53" i="8"/>
  <c r="CU74" i="8" s="1"/>
  <c r="CT53" i="8"/>
  <c r="CT74" i="8" s="1"/>
  <c r="CS53" i="8"/>
  <c r="CS74" i="8" s="1"/>
  <c r="CR53" i="8"/>
  <c r="CR74" i="8" s="1"/>
  <c r="CQ53" i="8"/>
  <c r="CQ74" i="8" s="1"/>
  <c r="CP53" i="8"/>
  <c r="CP74" i="8" s="1"/>
  <c r="CO53" i="8"/>
  <c r="CO74" i="8" s="1"/>
  <c r="CN53" i="8"/>
  <c r="CN74" i="8" s="1"/>
  <c r="CM53" i="8"/>
  <c r="CM74" i="8" s="1"/>
  <c r="CL53" i="8"/>
  <c r="CL74" i="8" s="1"/>
  <c r="CK53" i="8"/>
  <c r="CK74" i="8" s="1"/>
  <c r="CJ53" i="8"/>
  <c r="CJ74" i="8" s="1"/>
  <c r="CI53" i="8"/>
  <c r="CI74" i="8" s="1"/>
  <c r="CH53" i="8"/>
  <c r="CH74" i="8" s="1"/>
  <c r="CG53" i="8"/>
  <c r="CG74" i="8" s="1"/>
  <c r="CF53" i="8"/>
  <c r="CF74" i="8" s="1"/>
  <c r="CE53" i="8"/>
  <c r="CE74" i="8" s="1"/>
  <c r="CD53" i="8"/>
  <c r="CD74" i="8" s="1"/>
  <c r="CC53" i="8"/>
  <c r="CC74" i="8" s="1"/>
  <c r="CB53" i="8"/>
  <c r="CB74" i="8" s="1"/>
  <c r="CA53" i="8"/>
  <c r="CA74" i="8" s="1"/>
  <c r="BZ53" i="8"/>
  <c r="BZ74" i="8" s="1"/>
  <c r="BY53" i="8"/>
  <c r="BY74" i="8" s="1"/>
  <c r="BX53" i="8"/>
  <c r="BX74" i="8" s="1"/>
  <c r="BW53" i="8"/>
  <c r="BW74" i="8" s="1"/>
  <c r="BV53" i="8"/>
  <c r="BV74" i="8" s="1"/>
  <c r="BU53" i="8"/>
  <c r="BU74" i="8" s="1"/>
  <c r="BT53" i="8"/>
  <c r="BT74" i="8" s="1"/>
  <c r="BS53" i="8"/>
  <c r="BS74" i="8" s="1"/>
  <c r="BR53" i="8"/>
  <c r="BR74" i="8" s="1"/>
  <c r="BQ53" i="8"/>
  <c r="BQ74" i="8" s="1"/>
  <c r="BP53" i="8"/>
  <c r="BP74" i="8" s="1"/>
  <c r="BO53" i="8"/>
  <c r="BO74" i="8" s="1"/>
  <c r="BN53" i="8"/>
  <c r="BN74" i="8" s="1"/>
  <c r="BM53" i="8"/>
  <c r="BM74" i="8" s="1"/>
  <c r="BL53" i="8"/>
  <c r="BL74" i="8" s="1"/>
  <c r="BK53" i="8"/>
  <c r="BK74" i="8" s="1"/>
  <c r="BJ53" i="8"/>
  <c r="BJ74" i="8" s="1"/>
  <c r="BI53" i="8"/>
  <c r="BI74" i="8" s="1"/>
  <c r="BH53" i="8"/>
  <c r="BH74" i="8" s="1"/>
  <c r="BG53" i="8"/>
  <c r="BG74" i="8" s="1"/>
  <c r="BF53" i="8"/>
  <c r="BF74" i="8" s="1"/>
  <c r="BE53" i="8"/>
  <c r="BE74" i="8" s="1"/>
  <c r="BD53" i="8"/>
  <c r="BD74" i="8" s="1"/>
  <c r="BC53" i="8"/>
  <c r="BC74" i="8" s="1"/>
  <c r="BB53" i="8"/>
  <c r="BB74" i="8" s="1"/>
  <c r="BA53" i="8"/>
  <c r="BA74" i="8" s="1"/>
  <c r="AZ53" i="8"/>
  <c r="AZ74" i="8" s="1"/>
  <c r="AY53" i="8"/>
  <c r="AY74" i="8" s="1"/>
  <c r="AX53" i="8"/>
  <c r="AX74" i="8" s="1"/>
  <c r="AW53" i="8"/>
  <c r="AW74" i="8" s="1"/>
  <c r="AV53" i="8"/>
  <c r="AV74" i="8" s="1"/>
  <c r="AU53" i="8"/>
  <c r="AU74" i="8" s="1"/>
  <c r="AT53" i="8"/>
  <c r="AT74" i="8" s="1"/>
  <c r="AS53" i="8"/>
  <c r="AS74" i="8" s="1"/>
  <c r="AR53" i="8"/>
  <c r="AR74" i="8" s="1"/>
  <c r="AQ53" i="8"/>
  <c r="AQ74" i="8" s="1"/>
  <c r="AP53" i="8"/>
  <c r="AP74" i="8" s="1"/>
  <c r="AO53" i="8"/>
  <c r="AO74" i="8" s="1"/>
  <c r="AN53" i="8"/>
  <c r="AN74" i="8" s="1"/>
  <c r="AM53" i="8"/>
  <c r="AM74" i="8" s="1"/>
  <c r="AL53" i="8"/>
  <c r="AL74" i="8" s="1"/>
  <c r="AK53" i="8"/>
  <c r="AK74" i="8" s="1"/>
  <c r="AJ53" i="8"/>
  <c r="AJ74" i="8" s="1"/>
  <c r="AI53" i="8"/>
  <c r="AI74" i="8" s="1"/>
  <c r="AH53" i="8"/>
  <c r="AH74" i="8" s="1"/>
  <c r="AG53" i="8"/>
  <c r="AG74" i="8" s="1"/>
  <c r="AF53" i="8"/>
  <c r="AF74" i="8" s="1"/>
  <c r="AE53" i="8"/>
  <c r="AE74" i="8" s="1"/>
  <c r="AD53" i="8"/>
  <c r="AD74" i="8" s="1"/>
  <c r="AC53" i="8"/>
  <c r="AC74" i="8" s="1"/>
  <c r="AB53" i="8"/>
  <c r="AB74" i="8" s="1"/>
  <c r="AA53" i="8"/>
  <c r="AA74" i="8" s="1"/>
  <c r="Z53" i="8"/>
  <c r="Z74" i="8" s="1"/>
  <c r="Y53" i="8"/>
  <c r="Y74" i="8" s="1"/>
  <c r="X53" i="8"/>
  <c r="X74" i="8" s="1"/>
  <c r="W53" i="8"/>
  <c r="W74" i="8" s="1"/>
  <c r="V53" i="8"/>
  <c r="V74" i="8" s="1"/>
  <c r="U53" i="8"/>
  <c r="U74" i="8" s="1"/>
  <c r="T53" i="8"/>
  <c r="T74" i="8" s="1"/>
  <c r="S53" i="8"/>
  <c r="S74" i="8" s="1"/>
  <c r="R53" i="8"/>
  <c r="R74" i="8" s="1"/>
  <c r="Q53" i="8"/>
  <c r="Q74" i="8" s="1"/>
  <c r="P53" i="8"/>
  <c r="P74" i="8" s="1"/>
  <c r="O53" i="8"/>
  <c r="O74" i="8" s="1"/>
  <c r="N53" i="8"/>
  <c r="N74" i="8" s="1"/>
  <c r="M53" i="8"/>
  <c r="M74" i="8" s="1"/>
  <c r="L53" i="8"/>
  <c r="L74" i="8" s="1"/>
  <c r="K53" i="8"/>
  <c r="K74" i="8" s="1"/>
  <c r="J53" i="8"/>
  <c r="J74" i="8" s="1"/>
  <c r="I53" i="8"/>
  <c r="I74" i="8" s="1"/>
  <c r="H53" i="8"/>
  <c r="H74" i="8" s="1"/>
  <c r="G53" i="8"/>
  <c r="G74" i="8" s="1"/>
  <c r="F53" i="8"/>
  <c r="F74" i="8" s="1"/>
  <c r="E53" i="8"/>
  <c r="E74" i="8" s="1"/>
  <c r="D53" i="8"/>
  <c r="D74" i="8" s="1"/>
  <c r="C53" i="8"/>
  <c r="C74" i="8" s="1"/>
  <c r="OT52" i="8"/>
  <c r="OT73" i="8" s="1"/>
  <c r="OS52" i="8"/>
  <c r="OS73" i="8" s="1"/>
  <c r="NO52" i="8"/>
  <c r="NO73" i="8" s="1"/>
  <c r="NN52" i="8"/>
  <c r="NN73" i="8" s="1"/>
  <c r="NM52" i="8"/>
  <c r="NM73" i="8" s="1"/>
  <c r="NL52" i="8"/>
  <c r="NL73" i="8" s="1"/>
  <c r="NK52" i="8"/>
  <c r="NK73" i="8" s="1"/>
  <c r="NJ52" i="8"/>
  <c r="NJ73" i="8" s="1"/>
  <c r="NI52" i="8"/>
  <c r="NI73" i="8" s="1"/>
  <c r="NH52" i="8"/>
  <c r="NH73" i="8" s="1"/>
  <c r="NG52" i="8"/>
  <c r="NG73" i="8" s="1"/>
  <c r="NF52" i="8"/>
  <c r="NF73" i="8" s="1"/>
  <c r="NE52" i="8"/>
  <c r="NE73" i="8" s="1"/>
  <c r="ND52" i="8"/>
  <c r="ND73" i="8" s="1"/>
  <c r="NC52" i="8"/>
  <c r="NC73" i="8" s="1"/>
  <c r="NB52" i="8"/>
  <c r="NB73" i="8" s="1"/>
  <c r="NA52" i="8"/>
  <c r="NA73" i="8" s="1"/>
  <c r="MZ52" i="8"/>
  <c r="MZ73" i="8" s="1"/>
  <c r="MY52" i="8"/>
  <c r="MY73" i="8" s="1"/>
  <c r="MX52" i="8"/>
  <c r="MX73" i="8" s="1"/>
  <c r="MW52" i="8"/>
  <c r="MW73" i="8" s="1"/>
  <c r="MV52" i="8"/>
  <c r="MV73" i="8" s="1"/>
  <c r="MU52" i="8"/>
  <c r="MU73" i="8" s="1"/>
  <c r="MT52" i="8"/>
  <c r="MT73" i="8" s="1"/>
  <c r="MS52" i="8"/>
  <c r="MS73" i="8" s="1"/>
  <c r="MR52" i="8"/>
  <c r="MR73" i="8" s="1"/>
  <c r="MQ52" i="8"/>
  <c r="MQ73" i="8" s="1"/>
  <c r="MP52" i="8"/>
  <c r="MP73" i="8" s="1"/>
  <c r="MO52" i="8"/>
  <c r="MO73" i="8" s="1"/>
  <c r="MN52" i="8"/>
  <c r="MN73" i="8" s="1"/>
  <c r="MM52" i="8"/>
  <c r="MM73" i="8" s="1"/>
  <c r="ML52" i="8"/>
  <c r="ML73" i="8" s="1"/>
  <c r="MK52" i="8"/>
  <c r="MK73" i="8" s="1"/>
  <c r="MJ52" i="8"/>
  <c r="MJ73" i="8" s="1"/>
  <c r="MI52" i="8"/>
  <c r="MI73" i="8" s="1"/>
  <c r="MH52" i="8"/>
  <c r="MH73" i="8" s="1"/>
  <c r="MG52" i="8"/>
  <c r="MG73" i="8" s="1"/>
  <c r="MF52" i="8"/>
  <c r="MF73" i="8" s="1"/>
  <c r="ME52" i="8"/>
  <c r="ME73" i="8" s="1"/>
  <c r="MD52" i="8"/>
  <c r="MD73" i="8" s="1"/>
  <c r="MC52" i="8"/>
  <c r="MC73" i="8" s="1"/>
  <c r="MB52" i="8"/>
  <c r="MB73" i="8" s="1"/>
  <c r="MA52" i="8"/>
  <c r="MA73" i="8" s="1"/>
  <c r="LZ52" i="8"/>
  <c r="LZ73" i="8" s="1"/>
  <c r="LY52" i="8"/>
  <c r="LY73" i="8" s="1"/>
  <c r="LX52" i="8"/>
  <c r="LX73" i="8" s="1"/>
  <c r="LW52" i="8"/>
  <c r="LW73" i="8" s="1"/>
  <c r="LV52" i="8"/>
  <c r="LV73" i="8" s="1"/>
  <c r="LU52" i="8"/>
  <c r="LU73" i="8" s="1"/>
  <c r="LT52" i="8"/>
  <c r="LT73" i="8" s="1"/>
  <c r="LS52" i="8"/>
  <c r="LS73" i="8" s="1"/>
  <c r="LR52" i="8"/>
  <c r="LR73" i="8" s="1"/>
  <c r="LQ52" i="8"/>
  <c r="LQ73" i="8" s="1"/>
  <c r="LP52" i="8"/>
  <c r="LP73" i="8" s="1"/>
  <c r="LO52" i="8"/>
  <c r="LO73" i="8" s="1"/>
  <c r="LN52" i="8"/>
  <c r="LN73" i="8" s="1"/>
  <c r="LM52" i="8"/>
  <c r="LM73" i="8" s="1"/>
  <c r="LL52" i="8"/>
  <c r="LL73" i="8" s="1"/>
  <c r="LK52" i="8"/>
  <c r="LK73" i="8" s="1"/>
  <c r="LJ52" i="8"/>
  <c r="LJ73" i="8" s="1"/>
  <c r="LI52" i="8"/>
  <c r="LI73" i="8" s="1"/>
  <c r="LH52" i="8"/>
  <c r="LH73" i="8" s="1"/>
  <c r="LG52" i="8"/>
  <c r="LG73" i="8" s="1"/>
  <c r="LF52" i="8"/>
  <c r="LF73" i="8" s="1"/>
  <c r="LE52" i="8"/>
  <c r="LE73" i="8" s="1"/>
  <c r="LD52" i="8"/>
  <c r="LD73" i="8" s="1"/>
  <c r="LC52" i="8"/>
  <c r="LC73" i="8" s="1"/>
  <c r="LB52" i="8"/>
  <c r="LB73" i="8" s="1"/>
  <c r="LA52" i="8"/>
  <c r="LA73" i="8" s="1"/>
  <c r="KZ52" i="8"/>
  <c r="KZ73" i="8" s="1"/>
  <c r="KY52" i="8"/>
  <c r="KY73" i="8" s="1"/>
  <c r="KX52" i="8"/>
  <c r="KX73" i="8" s="1"/>
  <c r="KW52" i="8"/>
  <c r="KW73" i="8" s="1"/>
  <c r="KV52" i="8"/>
  <c r="KV73" i="8" s="1"/>
  <c r="KU52" i="8"/>
  <c r="KU73" i="8" s="1"/>
  <c r="KT52" i="8"/>
  <c r="KT73" i="8" s="1"/>
  <c r="KS52" i="8"/>
  <c r="KS73" i="8" s="1"/>
  <c r="KR52" i="8"/>
  <c r="KR73" i="8" s="1"/>
  <c r="KQ52" i="8"/>
  <c r="KQ73" i="8" s="1"/>
  <c r="KP52" i="8"/>
  <c r="KP73" i="8" s="1"/>
  <c r="KO52" i="8"/>
  <c r="KO73" i="8" s="1"/>
  <c r="KN52" i="8"/>
  <c r="KN73" i="8" s="1"/>
  <c r="KM52" i="8"/>
  <c r="KM73" i="8" s="1"/>
  <c r="KL52" i="8"/>
  <c r="KL73" i="8" s="1"/>
  <c r="KK52" i="8"/>
  <c r="KK73" i="8" s="1"/>
  <c r="KJ52" i="8"/>
  <c r="KJ73" i="8" s="1"/>
  <c r="KI52" i="8"/>
  <c r="KI73" i="8" s="1"/>
  <c r="KH52" i="8"/>
  <c r="KH73" i="8" s="1"/>
  <c r="KG52" i="8"/>
  <c r="KG73" i="8" s="1"/>
  <c r="KF52" i="8"/>
  <c r="KF73" i="8" s="1"/>
  <c r="KE52" i="8"/>
  <c r="KE73" i="8" s="1"/>
  <c r="KD52" i="8"/>
  <c r="KD73" i="8" s="1"/>
  <c r="KC52" i="8"/>
  <c r="KC73" i="8" s="1"/>
  <c r="KB52" i="8"/>
  <c r="KB73" i="8" s="1"/>
  <c r="KA52" i="8"/>
  <c r="KA73" i="8" s="1"/>
  <c r="JZ52" i="8"/>
  <c r="JZ73" i="8" s="1"/>
  <c r="JY52" i="8"/>
  <c r="JY73" i="8" s="1"/>
  <c r="JX52" i="8"/>
  <c r="JX73" i="8" s="1"/>
  <c r="JW52" i="8"/>
  <c r="JW73" i="8" s="1"/>
  <c r="JV52" i="8"/>
  <c r="JV73" i="8" s="1"/>
  <c r="JU52" i="8"/>
  <c r="JU73" i="8" s="1"/>
  <c r="JT52" i="8"/>
  <c r="JT73" i="8" s="1"/>
  <c r="JS52" i="8"/>
  <c r="JS73" i="8" s="1"/>
  <c r="JR52" i="8"/>
  <c r="JR73" i="8" s="1"/>
  <c r="JQ52" i="8"/>
  <c r="JQ73" i="8" s="1"/>
  <c r="JP52" i="8"/>
  <c r="JP73" i="8" s="1"/>
  <c r="JO52" i="8"/>
  <c r="JO73" i="8" s="1"/>
  <c r="JN52" i="8"/>
  <c r="JN73" i="8" s="1"/>
  <c r="JM52" i="8"/>
  <c r="JM73" i="8" s="1"/>
  <c r="JL52" i="8"/>
  <c r="JL73" i="8" s="1"/>
  <c r="JK52" i="8"/>
  <c r="JK73" i="8" s="1"/>
  <c r="JJ52" i="8"/>
  <c r="JJ73" i="8" s="1"/>
  <c r="JI52" i="8"/>
  <c r="JI73" i="8" s="1"/>
  <c r="JH52" i="8"/>
  <c r="JH73" i="8" s="1"/>
  <c r="JG52" i="8"/>
  <c r="JG73" i="8" s="1"/>
  <c r="JF52" i="8"/>
  <c r="JF73" i="8" s="1"/>
  <c r="JE52" i="8"/>
  <c r="JE73" i="8" s="1"/>
  <c r="JD52" i="8"/>
  <c r="JD73" i="8" s="1"/>
  <c r="JC52" i="8"/>
  <c r="JC73" i="8" s="1"/>
  <c r="JB52" i="8"/>
  <c r="JB73" i="8" s="1"/>
  <c r="JA52" i="8"/>
  <c r="JA73" i="8" s="1"/>
  <c r="IZ52" i="8"/>
  <c r="IZ73" i="8" s="1"/>
  <c r="IY52" i="8"/>
  <c r="IY73" i="8" s="1"/>
  <c r="IX52" i="8"/>
  <c r="IX73" i="8" s="1"/>
  <c r="IW52" i="8"/>
  <c r="IW73" i="8" s="1"/>
  <c r="IV52" i="8"/>
  <c r="IV73" i="8" s="1"/>
  <c r="IU52" i="8"/>
  <c r="IU73" i="8" s="1"/>
  <c r="IT52" i="8"/>
  <c r="IT73" i="8" s="1"/>
  <c r="IS52" i="8"/>
  <c r="IS73" i="8" s="1"/>
  <c r="IR52" i="8"/>
  <c r="IR73" i="8" s="1"/>
  <c r="IQ52" i="8"/>
  <c r="IQ73" i="8" s="1"/>
  <c r="IP52" i="8"/>
  <c r="IP73" i="8" s="1"/>
  <c r="IO52" i="8"/>
  <c r="IO73" i="8" s="1"/>
  <c r="IN52" i="8"/>
  <c r="IN73" i="8" s="1"/>
  <c r="IM52" i="8"/>
  <c r="IM73" i="8" s="1"/>
  <c r="IL52" i="8"/>
  <c r="IL73" i="8" s="1"/>
  <c r="IK52" i="8"/>
  <c r="IK73" i="8" s="1"/>
  <c r="IJ52" i="8"/>
  <c r="IJ73" i="8" s="1"/>
  <c r="II52" i="8"/>
  <c r="II73" i="8" s="1"/>
  <c r="IH52" i="8"/>
  <c r="IH73" i="8" s="1"/>
  <c r="IG52" i="8"/>
  <c r="IG73" i="8" s="1"/>
  <c r="IF52" i="8"/>
  <c r="IF73" i="8" s="1"/>
  <c r="IE52" i="8"/>
  <c r="IE73" i="8" s="1"/>
  <c r="ID52" i="8"/>
  <c r="ID73" i="8" s="1"/>
  <c r="IC52" i="8"/>
  <c r="IC73" i="8" s="1"/>
  <c r="IB52" i="8"/>
  <c r="IB73" i="8" s="1"/>
  <c r="IA52" i="8"/>
  <c r="IA73" i="8" s="1"/>
  <c r="HZ52" i="8"/>
  <c r="HZ73" i="8" s="1"/>
  <c r="HY52" i="8"/>
  <c r="HY73" i="8" s="1"/>
  <c r="HX52" i="8"/>
  <c r="HX73" i="8" s="1"/>
  <c r="HW52" i="8"/>
  <c r="HW73" i="8" s="1"/>
  <c r="HV52" i="8"/>
  <c r="HV73" i="8" s="1"/>
  <c r="HU52" i="8"/>
  <c r="HU73" i="8" s="1"/>
  <c r="HT52" i="8"/>
  <c r="HT73" i="8" s="1"/>
  <c r="HS52" i="8"/>
  <c r="HS73" i="8" s="1"/>
  <c r="HR52" i="8"/>
  <c r="HR73" i="8" s="1"/>
  <c r="HQ52" i="8"/>
  <c r="HQ73" i="8" s="1"/>
  <c r="HP52" i="8"/>
  <c r="HP73" i="8" s="1"/>
  <c r="HO52" i="8"/>
  <c r="HO73" i="8" s="1"/>
  <c r="HN52" i="8"/>
  <c r="HN73" i="8" s="1"/>
  <c r="HM52" i="8"/>
  <c r="HM73" i="8" s="1"/>
  <c r="HL52" i="8"/>
  <c r="HL73" i="8" s="1"/>
  <c r="HK52" i="8"/>
  <c r="HK73" i="8" s="1"/>
  <c r="HJ52" i="8"/>
  <c r="HJ73" i="8" s="1"/>
  <c r="HI52" i="8"/>
  <c r="HI73" i="8" s="1"/>
  <c r="HH52" i="8"/>
  <c r="HH73" i="8" s="1"/>
  <c r="HG52" i="8"/>
  <c r="HG73" i="8" s="1"/>
  <c r="HF52" i="8"/>
  <c r="HF73" i="8" s="1"/>
  <c r="HE52" i="8"/>
  <c r="HE73" i="8" s="1"/>
  <c r="HD52" i="8"/>
  <c r="HD73" i="8" s="1"/>
  <c r="HC52" i="8"/>
  <c r="HC73" i="8" s="1"/>
  <c r="HB52" i="8"/>
  <c r="HB73" i="8" s="1"/>
  <c r="HA52" i="8"/>
  <c r="HA73" i="8" s="1"/>
  <c r="GZ52" i="8"/>
  <c r="GZ73" i="8" s="1"/>
  <c r="GY52" i="8"/>
  <c r="GY73" i="8" s="1"/>
  <c r="GX52" i="8"/>
  <c r="GX73" i="8" s="1"/>
  <c r="GW52" i="8"/>
  <c r="GW73" i="8" s="1"/>
  <c r="GV52" i="8"/>
  <c r="GV73" i="8" s="1"/>
  <c r="GU52" i="8"/>
  <c r="GU73" i="8" s="1"/>
  <c r="GT52" i="8"/>
  <c r="GT73" i="8" s="1"/>
  <c r="GS52" i="8"/>
  <c r="GS73" i="8" s="1"/>
  <c r="GR52" i="8"/>
  <c r="GR73" i="8" s="1"/>
  <c r="GQ52" i="8"/>
  <c r="GQ73" i="8" s="1"/>
  <c r="GP52" i="8"/>
  <c r="GP73" i="8" s="1"/>
  <c r="GO52" i="8"/>
  <c r="GO73" i="8" s="1"/>
  <c r="GN52" i="8"/>
  <c r="GN73" i="8" s="1"/>
  <c r="GM52" i="8"/>
  <c r="GM73" i="8" s="1"/>
  <c r="GL52" i="8"/>
  <c r="GL73" i="8" s="1"/>
  <c r="GK52" i="8"/>
  <c r="GK73" i="8" s="1"/>
  <c r="GJ52" i="8"/>
  <c r="GJ73" i="8" s="1"/>
  <c r="GI52" i="8"/>
  <c r="GI73" i="8" s="1"/>
  <c r="GH52" i="8"/>
  <c r="GH73" i="8" s="1"/>
  <c r="GG52" i="8"/>
  <c r="GG73" i="8" s="1"/>
  <c r="GF52" i="8"/>
  <c r="GF73" i="8" s="1"/>
  <c r="GE52" i="8"/>
  <c r="GE73" i="8" s="1"/>
  <c r="GD52" i="8"/>
  <c r="GD73" i="8" s="1"/>
  <c r="GC52" i="8"/>
  <c r="GC73" i="8" s="1"/>
  <c r="GB52" i="8"/>
  <c r="GB73" i="8" s="1"/>
  <c r="GA52" i="8"/>
  <c r="GA73" i="8" s="1"/>
  <c r="FZ52" i="8"/>
  <c r="FZ73" i="8" s="1"/>
  <c r="FY52" i="8"/>
  <c r="FY73" i="8" s="1"/>
  <c r="FX52" i="8"/>
  <c r="FX73" i="8" s="1"/>
  <c r="FW52" i="8"/>
  <c r="FW73" i="8" s="1"/>
  <c r="FV52" i="8"/>
  <c r="FV73" i="8" s="1"/>
  <c r="FU52" i="8"/>
  <c r="FU73" i="8" s="1"/>
  <c r="FT52" i="8"/>
  <c r="FT73" i="8" s="1"/>
  <c r="FO52" i="8"/>
  <c r="FO73" i="8" s="1"/>
  <c r="FM52" i="8"/>
  <c r="FM73" i="8" s="1"/>
  <c r="FL52" i="8"/>
  <c r="FL73" i="8" s="1"/>
  <c r="FK52" i="8"/>
  <c r="FK73" i="8" s="1"/>
  <c r="FJ52" i="8"/>
  <c r="FJ73" i="8" s="1"/>
  <c r="FI52" i="8"/>
  <c r="FI73" i="8" s="1"/>
  <c r="FH52" i="8"/>
  <c r="FH73" i="8" s="1"/>
  <c r="FG52" i="8"/>
  <c r="FG73" i="8" s="1"/>
  <c r="FF52" i="8"/>
  <c r="FF73" i="8" s="1"/>
  <c r="FE52" i="8"/>
  <c r="FE73" i="8" s="1"/>
  <c r="FD52" i="8"/>
  <c r="FD73" i="8" s="1"/>
  <c r="FC52" i="8"/>
  <c r="FC73" i="8" s="1"/>
  <c r="FB52" i="8"/>
  <c r="FB73" i="8" s="1"/>
  <c r="FA52" i="8"/>
  <c r="FA73" i="8" s="1"/>
  <c r="EZ52" i="8"/>
  <c r="EZ73" i="8" s="1"/>
  <c r="EY52" i="8"/>
  <c r="EY73" i="8" s="1"/>
  <c r="EX52" i="8"/>
  <c r="EX73" i="8" s="1"/>
  <c r="EW52" i="8"/>
  <c r="EW73" i="8" s="1"/>
  <c r="EV52" i="8"/>
  <c r="EV73" i="8" s="1"/>
  <c r="EU52" i="8"/>
  <c r="EU73" i="8" s="1"/>
  <c r="ET52" i="8"/>
  <c r="ET73" i="8" s="1"/>
  <c r="ES52" i="8"/>
  <c r="ES73" i="8" s="1"/>
  <c r="ER52" i="8"/>
  <c r="ER73" i="8" s="1"/>
  <c r="EQ52" i="8"/>
  <c r="EQ73" i="8" s="1"/>
  <c r="EP52" i="8"/>
  <c r="EP73" i="8" s="1"/>
  <c r="EO52" i="8"/>
  <c r="EO73" i="8" s="1"/>
  <c r="EN52" i="8"/>
  <c r="EN73" i="8" s="1"/>
  <c r="EM52" i="8"/>
  <c r="EL52" i="8"/>
  <c r="EL73" i="8" s="1"/>
  <c r="EK52" i="8"/>
  <c r="EK73" i="8" s="1"/>
  <c r="EJ52" i="8"/>
  <c r="EJ73" i="8" s="1"/>
  <c r="EI52" i="8"/>
  <c r="EI73" i="8" s="1"/>
  <c r="EH52" i="8"/>
  <c r="EH73" i="8" s="1"/>
  <c r="EG52" i="8"/>
  <c r="EG73" i="8" s="1"/>
  <c r="EF52" i="8"/>
  <c r="EF73" i="8" s="1"/>
  <c r="EE52" i="8"/>
  <c r="EE73" i="8" s="1"/>
  <c r="ED52" i="8"/>
  <c r="ED73" i="8" s="1"/>
  <c r="EC52" i="8"/>
  <c r="EC73" i="8" s="1"/>
  <c r="EB52" i="8"/>
  <c r="EB73" i="8" s="1"/>
  <c r="EA52" i="8"/>
  <c r="EA73" i="8" s="1"/>
  <c r="DZ52" i="8"/>
  <c r="DZ73" i="8" s="1"/>
  <c r="DY52" i="8"/>
  <c r="DY73" i="8" s="1"/>
  <c r="DX52" i="8"/>
  <c r="DX73" i="8" s="1"/>
  <c r="DW52" i="8"/>
  <c r="DW73" i="8" s="1"/>
  <c r="DV52" i="8"/>
  <c r="DV73" i="8" s="1"/>
  <c r="DU52" i="8"/>
  <c r="DU73" i="8" s="1"/>
  <c r="DT52" i="8"/>
  <c r="DT73" i="8" s="1"/>
  <c r="DS52" i="8"/>
  <c r="DS73" i="8" s="1"/>
  <c r="DR52" i="8"/>
  <c r="DR73" i="8" s="1"/>
  <c r="DQ52" i="8"/>
  <c r="DQ73" i="8" s="1"/>
  <c r="DP52" i="8"/>
  <c r="DP73" i="8" s="1"/>
  <c r="DO52" i="8"/>
  <c r="DO73" i="8" s="1"/>
  <c r="DN52" i="8"/>
  <c r="DN73" i="8" s="1"/>
  <c r="DM52" i="8"/>
  <c r="DM73" i="8" s="1"/>
  <c r="DL52" i="8"/>
  <c r="DL73" i="8" s="1"/>
  <c r="DK52" i="8"/>
  <c r="DK73" i="8" s="1"/>
  <c r="DJ52" i="8"/>
  <c r="DJ73" i="8" s="1"/>
  <c r="DI52" i="8"/>
  <c r="DI73" i="8" s="1"/>
  <c r="DH52" i="8"/>
  <c r="DH73" i="8" s="1"/>
  <c r="DG52" i="8"/>
  <c r="DG73" i="8" s="1"/>
  <c r="DF52" i="8"/>
  <c r="DF73" i="8" s="1"/>
  <c r="DE52" i="8"/>
  <c r="DE73" i="8" s="1"/>
  <c r="DD52" i="8"/>
  <c r="DD73" i="8" s="1"/>
  <c r="DC52" i="8"/>
  <c r="DC73" i="8" s="1"/>
  <c r="DB52" i="8"/>
  <c r="DB73" i="8" s="1"/>
  <c r="DA52" i="8"/>
  <c r="DA73" i="8" s="1"/>
  <c r="CZ52" i="8"/>
  <c r="CY52" i="8"/>
  <c r="CX52" i="8"/>
  <c r="CX73" i="8" s="1"/>
  <c r="CW52" i="8"/>
  <c r="CW73" i="8" s="1"/>
  <c r="CV52" i="8"/>
  <c r="CV73" i="8" s="1"/>
  <c r="CU52" i="8"/>
  <c r="CU73" i="8" s="1"/>
  <c r="CT52" i="8"/>
  <c r="CT73" i="8" s="1"/>
  <c r="CS52" i="8"/>
  <c r="CS73" i="8" s="1"/>
  <c r="CR52" i="8"/>
  <c r="CR73" i="8" s="1"/>
  <c r="CQ52" i="8"/>
  <c r="CQ73" i="8" s="1"/>
  <c r="CP52" i="8"/>
  <c r="CP73" i="8" s="1"/>
  <c r="CO52" i="8"/>
  <c r="CO73" i="8" s="1"/>
  <c r="CN52" i="8"/>
  <c r="CN73" i="8" s="1"/>
  <c r="CM52" i="8"/>
  <c r="CM73" i="8" s="1"/>
  <c r="CL52" i="8"/>
  <c r="CL73" i="8" s="1"/>
  <c r="CK52" i="8"/>
  <c r="CK73" i="8" s="1"/>
  <c r="CJ52" i="8"/>
  <c r="CJ73" i="8" s="1"/>
  <c r="CI52" i="8"/>
  <c r="CI73" i="8" s="1"/>
  <c r="CH52" i="8"/>
  <c r="CH73" i="8" s="1"/>
  <c r="CG52" i="8"/>
  <c r="CG73" i="8" s="1"/>
  <c r="CF52" i="8"/>
  <c r="CF73" i="8" s="1"/>
  <c r="CE52" i="8"/>
  <c r="CE73" i="8" s="1"/>
  <c r="CD52" i="8"/>
  <c r="CD73" i="8" s="1"/>
  <c r="CC52" i="8"/>
  <c r="CC73" i="8" s="1"/>
  <c r="CB52" i="8"/>
  <c r="CB73" i="8" s="1"/>
  <c r="CA52" i="8"/>
  <c r="CA73" i="8" s="1"/>
  <c r="BZ52" i="8"/>
  <c r="BZ73" i="8" s="1"/>
  <c r="BY52" i="8"/>
  <c r="BY73" i="8" s="1"/>
  <c r="BX52" i="8"/>
  <c r="BX73" i="8" s="1"/>
  <c r="BW52" i="8"/>
  <c r="BW73" i="8" s="1"/>
  <c r="BV52" i="8"/>
  <c r="BV73" i="8" s="1"/>
  <c r="BU52" i="8"/>
  <c r="BU73" i="8" s="1"/>
  <c r="BT52" i="8"/>
  <c r="BT73" i="8" s="1"/>
  <c r="BS52" i="8"/>
  <c r="BS73" i="8" s="1"/>
  <c r="BR52" i="8"/>
  <c r="BR73" i="8" s="1"/>
  <c r="BQ52" i="8"/>
  <c r="BQ73" i="8" s="1"/>
  <c r="BP52" i="8"/>
  <c r="BP73" i="8" s="1"/>
  <c r="BO52" i="8"/>
  <c r="BO73" i="8" s="1"/>
  <c r="BN52" i="8"/>
  <c r="BN73" i="8" s="1"/>
  <c r="BM52" i="8"/>
  <c r="BM73" i="8" s="1"/>
  <c r="BL52" i="8"/>
  <c r="BL73" i="8" s="1"/>
  <c r="BK52" i="8"/>
  <c r="BK73" i="8" s="1"/>
  <c r="BJ52" i="8"/>
  <c r="BJ73" i="8" s="1"/>
  <c r="BI52" i="8"/>
  <c r="BI73" i="8" s="1"/>
  <c r="BH52" i="8"/>
  <c r="BH73" i="8" s="1"/>
  <c r="BG52" i="8"/>
  <c r="BG73" i="8" s="1"/>
  <c r="BF52" i="8"/>
  <c r="BF73" i="8" s="1"/>
  <c r="BE52" i="8"/>
  <c r="BE73" i="8" s="1"/>
  <c r="BD52" i="8"/>
  <c r="BD73" i="8" s="1"/>
  <c r="BC52" i="8"/>
  <c r="BC73" i="8" s="1"/>
  <c r="BB52" i="8"/>
  <c r="BB73" i="8" s="1"/>
  <c r="BA52" i="8"/>
  <c r="BA73" i="8" s="1"/>
  <c r="AZ52" i="8"/>
  <c r="AZ73" i="8" s="1"/>
  <c r="AY52" i="8"/>
  <c r="AY73" i="8" s="1"/>
  <c r="AX52" i="8"/>
  <c r="AX73" i="8" s="1"/>
  <c r="AW52" i="8"/>
  <c r="AW73" i="8" s="1"/>
  <c r="AV52" i="8"/>
  <c r="AV73" i="8" s="1"/>
  <c r="AU52" i="8"/>
  <c r="AU73" i="8" s="1"/>
  <c r="AT52" i="8"/>
  <c r="AT73" i="8" s="1"/>
  <c r="AS52" i="8"/>
  <c r="AS73" i="8" s="1"/>
  <c r="AR52" i="8"/>
  <c r="AR73" i="8" s="1"/>
  <c r="AQ52" i="8"/>
  <c r="AQ73" i="8" s="1"/>
  <c r="AP52" i="8"/>
  <c r="AP73" i="8" s="1"/>
  <c r="AO52" i="8"/>
  <c r="AO73" i="8" s="1"/>
  <c r="AN52" i="8"/>
  <c r="AN73" i="8" s="1"/>
  <c r="AM52" i="8"/>
  <c r="AM73" i="8" s="1"/>
  <c r="AL52" i="8"/>
  <c r="AL73" i="8" s="1"/>
  <c r="AK52" i="8"/>
  <c r="AK73" i="8" s="1"/>
  <c r="AJ52" i="8"/>
  <c r="AJ73" i="8" s="1"/>
  <c r="AI52" i="8"/>
  <c r="AI73" i="8" s="1"/>
  <c r="AH52" i="8"/>
  <c r="AH73" i="8" s="1"/>
  <c r="AG52" i="8"/>
  <c r="AG73" i="8" s="1"/>
  <c r="AF52" i="8"/>
  <c r="AF73" i="8" s="1"/>
  <c r="AE52" i="8"/>
  <c r="AE73" i="8" s="1"/>
  <c r="AD52" i="8"/>
  <c r="AD73" i="8" s="1"/>
  <c r="AC52" i="8"/>
  <c r="AC73" i="8" s="1"/>
  <c r="AB52" i="8"/>
  <c r="AB73" i="8" s="1"/>
  <c r="AA52" i="8"/>
  <c r="AA73" i="8" s="1"/>
  <c r="Z52" i="8"/>
  <c r="Z73" i="8" s="1"/>
  <c r="Y52" i="8"/>
  <c r="Y73" i="8" s="1"/>
  <c r="X52" i="8"/>
  <c r="X73" i="8" s="1"/>
  <c r="W52" i="8"/>
  <c r="W73" i="8" s="1"/>
  <c r="V52" i="8"/>
  <c r="V73" i="8" s="1"/>
  <c r="U52" i="8"/>
  <c r="U73" i="8" s="1"/>
  <c r="T52" i="8"/>
  <c r="T73" i="8" s="1"/>
  <c r="S52" i="8"/>
  <c r="S73" i="8" s="1"/>
  <c r="R52" i="8"/>
  <c r="R73" i="8" s="1"/>
  <c r="Q52" i="8"/>
  <c r="Q73" i="8" s="1"/>
  <c r="P52" i="8"/>
  <c r="P73" i="8" s="1"/>
  <c r="O52" i="8"/>
  <c r="O73" i="8" s="1"/>
  <c r="N52" i="8"/>
  <c r="N73" i="8" s="1"/>
  <c r="M52" i="8"/>
  <c r="M73" i="8" s="1"/>
  <c r="L52" i="8"/>
  <c r="L73" i="8" s="1"/>
  <c r="K52" i="8"/>
  <c r="K73" i="8" s="1"/>
  <c r="J52" i="8"/>
  <c r="J73" i="8" s="1"/>
  <c r="I52" i="8"/>
  <c r="I73" i="8" s="1"/>
  <c r="H52" i="8"/>
  <c r="H73" i="8" s="1"/>
  <c r="G52" i="8"/>
  <c r="G73" i="8" s="1"/>
  <c r="F52" i="8"/>
  <c r="F73" i="8" s="1"/>
  <c r="E52" i="8"/>
  <c r="E73" i="8" s="1"/>
  <c r="D52" i="8"/>
  <c r="D73" i="8" s="1"/>
  <c r="C52" i="8"/>
  <c r="C73" i="8" s="1"/>
  <c r="OT51" i="8"/>
  <c r="OS51" i="8"/>
  <c r="OS72" i="8" s="1"/>
  <c r="NO51" i="8"/>
  <c r="NO72" i="8" s="1"/>
  <c r="NN51" i="8"/>
  <c r="NN72" i="8" s="1"/>
  <c r="NM51" i="8"/>
  <c r="NM72" i="8" s="1"/>
  <c r="NL51" i="8"/>
  <c r="NL72" i="8" s="1"/>
  <c r="NK51" i="8"/>
  <c r="NK72" i="8" s="1"/>
  <c r="NJ51" i="8"/>
  <c r="NJ72" i="8" s="1"/>
  <c r="NI51" i="8"/>
  <c r="NI72" i="8" s="1"/>
  <c r="NH51" i="8"/>
  <c r="NH72" i="8" s="1"/>
  <c r="NG51" i="8"/>
  <c r="NG72" i="8" s="1"/>
  <c r="NF51" i="8"/>
  <c r="NF72" i="8" s="1"/>
  <c r="NE51" i="8"/>
  <c r="NE72" i="8" s="1"/>
  <c r="ND51" i="8"/>
  <c r="ND72" i="8" s="1"/>
  <c r="NC51" i="8"/>
  <c r="NC72" i="8" s="1"/>
  <c r="NB51" i="8"/>
  <c r="NB72" i="8" s="1"/>
  <c r="NA51" i="8"/>
  <c r="MZ51" i="8"/>
  <c r="MZ72" i="8" s="1"/>
  <c r="MY51" i="8"/>
  <c r="MY72" i="8" s="1"/>
  <c r="MX51" i="8"/>
  <c r="MX72" i="8" s="1"/>
  <c r="MW51" i="8"/>
  <c r="MW72" i="8" s="1"/>
  <c r="MV51" i="8"/>
  <c r="MV72" i="8" s="1"/>
  <c r="MU51" i="8"/>
  <c r="MU72" i="8" s="1"/>
  <c r="MT51" i="8"/>
  <c r="MT72" i="8" s="1"/>
  <c r="MS51" i="8"/>
  <c r="MS72" i="8" s="1"/>
  <c r="MR51" i="8"/>
  <c r="MR72" i="8" s="1"/>
  <c r="MQ51" i="8"/>
  <c r="MQ72" i="8" s="1"/>
  <c r="MP51" i="8"/>
  <c r="MP72" i="8" s="1"/>
  <c r="MO51" i="8"/>
  <c r="MO72" i="8" s="1"/>
  <c r="MN51" i="8"/>
  <c r="MN72" i="8" s="1"/>
  <c r="MM51" i="8"/>
  <c r="MM72" i="8" s="1"/>
  <c r="ML51" i="8"/>
  <c r="ML72" i="8" s="1"/>
  <c r="MK51" i="8"/>
  <c r="MK72" i="8" s="1"/>
  <c r="MJ51" i="8"/>
  <c r="MJ72" i="8" s="1"/>
  <c r="MI51" i="8"/>
  <c r="MI72" i="8" s="1"/>
  <c r="MH51" i="8"/>
  <c r="MH72" i="8" s="1"/>
  <c r="MG51" i="8"/>
  <c r="MG72" i="8" s="1"/>
  <c r="MF51" i="8"/>
  <c r="MF72" i="8" s="1"/>
  <c r="ME51" i="8"/>
  <c r="ME72" i="8" s="1"/>
  <c r="MD51" i="8"/>
  <c r="MD72" i="8" s="1"/>
  <c r="MC51" i="8"/>
  <c r="MB51" i="8"/>
  <c r="MB72" i="8" s="1"/>
  <c r="MA51" i="8"/>
  <c r="MA72" i="8" s="1"/>
  <c r="LZ51" i="8"/>
  <c r="LZ72" i="8" s="1"/>
  <c r="LY51" i="8"/>
  <c r="LY72" i="8" s="1"/>
  <c r="LX51" i="8"/>
  <c r="LX72" i="8" s="1"/>
  <c r="LW51" i="8"/>
  <c r="LW72" i="8" s="1"/>
  <c r="LV51" i="8"/>
  <c r="LV72" i="8" s="1"/>
  <c r="LU51" i="8"/>
  <c r="LU72" i="8" s="1"/>
  <c r="LT51" i="8"/>
  <c r="LT72" i="8" s="1"/>
  <c r="LS51" i="8"/>
  <c r="LS72" i="8" s="1"/>
  <c r="LR51" i="8"/>
  <c r="LR72" i="8" s="1"/>
  <c r="LQ51" i="8"/>
  <c r="LQ72" i="8" s="1"/>
  <c r="LP51" i="8"/>
  <c r="LP72" i="8" s="1"/>
  <c r="LO51" i="8"/>
  <c r="LO72" i="8" s="1"/>
  <c r="LN51" i="8"/>
  <c r="LN72" i="8" s="1"/>
  <c r="LM51" i="8"/>
  <c r="LM72" i="8" s="1"/>
  <c r="LL51" i="8"/>
  <c r="LL72" i="8" s="1"/>
  <c r="LK51" i="8"/>
  <c r="LK72" i="8" s="1"/>
  <c r="LJ51" i="8"/>
  <c r="LJ72" i="8" s="1"/>
  <c r="LI51" i="8"/>
  <c r="LI72" i="8" s="1"/>
  <c r="LH51" i="8"/>
  <c r="LH72" i="8" s="1"/>
  <c r="LG51" i="8"/>
  <c r="LG72" i="8" s="1"/>
  <c r="LF51" i="8"/>
  <c r="LF72" i="8" s="1"/>
  <c r="LE51" i="8"/>
  <c r="LE72" i="8" s="1"/>
  <c r="LD51" i="8"/>
  <c r="LD72" i="8" s="1"/>
  <c r="LC51" i="8"/>
  <c r="LB51" i="8"/>
  <c r="LB72" i="8" s="1"/>
  <c r="LA51" i="8"/>
  <c r="LA72" i="8" s="1"/>
  <c r="KZ51" i="8"/>
  <c r="KZ72" i="8" s="1"/>
  <c r="KY51" i="8"/>
  <c r="KY72" i="8" s="1"/>
  <c r="KX51" i="8"/>
  <c r="KX72" i="8" s="1"/>
  <c r="KW51" i="8"/>
  <c r="KW72" i="8" s="1"/>
  <c r="KV51" i="8"/>
  <c r="KV72" i="8" s="1"/>
  <c r="KU51" i="8"/>
  <c r="KU72" i="8" s="1"/>
  <c r="KT51" i="8"/>
  <c r="KT72" i="8" s="1"/>
  <c r="KS51" i="8"/>
  <c r="KS72" i="8" s="1"/>
  <c r="KR51" i="8"/>
  <c r="KR72" i="8" s="1"/>
  <c r="KQ51" i="8"/>
  <c r="KQ72" i="8" s="1"/>
  <c r="KP51" i="8"/>
  <c r="KP72" i="8" s="1"/>
  <c r="KO51" i="8"/>
  <c r="KO72" i="8" s="1"/>
  <c r="KN51" i="8"/>
  <c r="KN72" i="8" s="1"/>
  <c r="KM51" i="8"/>
  <c r="KM72" i="8" s="1"/>
  <c r="KL51" i="8"/>
  <c r="KL72" i="8" s="1"/>
  <c r="KK51" i="8"/>
  <c r="KK72" i="8" s="1"/>
  <c r="KJ51" i="8"/>
  <c r="KJ72" i="8" s="1"/>
  <c r="KI51" i="8"/>
  <c r="KI72" i="8" s="1"/>
  <c r="KH51" i="8"/>
  <c r="KH72" i="8" s="1"/>
  <c r="KG51" i="8"/>
  <c r="KF51" i="8"/>
  <c r="KF72" i="8" s="1"/>
  <c r="KE51" i="8"/>
  <c r="KE72" i="8" s="1"/>
  <c r="KD51" i="8"/>
  <c r="KD72" i="8" s="1"/>
  <c r="KC51" i="8"/>
  <c r="KC72" i="8" s="1"/>
  <c r="KB51" i="8"/>
  <c r="KB72" i="8" s="1"/>
  <c r="KA51" i="8"/>
  <c r="KA72" i="8" s="1"/>
  <c r="JZ51" i="8"/>
  <c r="JZ72" i="8" s="1"/>
  <c r="JY51" i="8"/>
  <c r="JY72" i="8" s="1"/>
  <c r="JX51" i="8"/>
  <c r="JX72" i="8" s="1"/>
  <c r="JW51" i="8"/>
  <c r="JW72" i="8" s="1"/>
  <c r="JV51" i="8"/>
  <c r="JV72" i="8" s="1"/>
  <c r="JU51" i="8"/>
  <c r="JU72" i="8" s="1"/>
  <c r="JT51" i="8"/>
  <c r="JT72" i="8" s="1"/>
  <c r="JS51" i="8"/>
  <c r="JS72" i="8" s="1"/>
  <c r="JR51" i="8"/>
  <c r="JR72" i="8" s="1"/>
  <c r="JQ51" i="8"/>
  <c r="JP51" i="8"/>
  <c r="JP72" i="8" s="1"/>
  <c r="JO51" i="8"/>
  <c r="JO72" i="8" s="1"/>
  <c r="JN51" i="8"/>
  <c r="JN72" i="8" s="1"/>
  <c r="JM51" i="8"/>
  <c r="JM72" i="8" s="1"/>
  <c r="JL51" i="8"/>
  <c r="JL72" i="8" s="1"/>
  <c r="JK51" i="8"/>
  <c r="JK72" i="8" s="1"/>
  <c r="JJ51" i="8"/>
  <c r="JJ72" i="8" s="1"/>
  <c r="JI51" i="8"/>
  <c r="JI72" i="8" s="1"/>
  <c r="JH51" i="8"/>
  <c r="JH72" i="8" s="1"/>
  <c r="JG51" i="8"/>
  <c r="JG72" i="8" s="1"/>
  <c r="JF51" i="8"/>
  <c r="JF72" i="8" s="1"/>
  <c r="JE51" i="8"/>
  <c r="JE72" i="8" s="1"/>
  <c r="JD51" i="8"/>
  <c r="JD72" i="8" s="1"/>
  <c r="JC51" i="8"/>
  <c r="JC72" i="8" s="1"/>
  <c r="JB51" i="8"/>
  <c r="JB72" i="8" s="1"/>
  <c r="JA51" i="8"/>
  <c r="JA72" i="8" s="1"/>
  <c r="IZ51" i="8"/>
  <c r="IZ72" i="8" s="1"/>
  <c r="IY51" i="8"/>
  <c r="IY72" i="8" s="1"/>
  <c r="IX51" i="8"/>
  <c r="IX72" i="8" s="1"/>
  <c r="IW51" i="8"/>
  <c r="IW72" i="8" s="1"/>
  <c r="IV51" i="8"/>
  <c r="IV72" i="8" s="1"/>
  <c r="IU51" i="8"/>
  <c r="IU72" i="8" s="1"/>
  <c r="IT51" i="8"/>
  <c r="IT72" i="8" s="1"/>
  <c r="IS51" i="8"/>
  <c r="IS72" i="8" s="1"/>
  <c r="IR51" i="8"/>
  <c r="IR72" i="8" s="1"/>
  <c r="IQ51" i="8"/>
  <c r="IP51" i="8"/>
  <c r="IP72" i="8" s="1"/>
  <c r="IO51" i="8"/>
  <c r="IO72" i="8" s="1"/>
  <c r="IN51" i="8"/>
  <c r="IN72" i="8" s="1"/>
  <c r="IM51" i="8"/>
  <c r="IM72" i="8" s="1"/>
  <c r="IL51" i="8"/>
  <c r="IL72" i="8" s="1"/>
  <c r="IK51" i="8"/>
  <c r="IK72" i="8" s="1"/>
  <c r="IJ51" i="8"/>
  <c r="IJ72" i="8" s="1"/>
  <c r="II51" i="8"/>
  <c r="II72" i="8" s="1"/>
  <c r="IH51" i="8"/>
  <c r="IH72" i="8" s="1"/>
  <c r="IG51" i="8"/>
  <c r="IG72" i="8" s="1"/>
  <c r="IF51" i="8"/>
  <c r="IF72" i="8" s="1"/>
  <c r="IE51" i="8"/>
  <c r="IE72" i="8" s="1"/>
  <c r="ID51" i="8"/>
  <c r="ID72" i="8" s="1"/>
  <c r="IC51" i="8"/>
  <c r="IC72" i="8" s="1"/>
  <c r="IB51" i="8"/>
  <c r="IB72" i="8" s="1"/>
  <c r="IA51" i="8"/>
  <c r="IA72" i="8" s="1"/>
  <c r="HZ51" i="8"/>
  <c r="HZ72" i="8" s="1"/>
  <c r="HY51" i="8"/>
  <c r="HY72" i="8" s="1"/>
  <c r="HX51" i="8"/>
  <c r="HX72" i="8" s="1"/>
  <c r="HW51" i="8"/>
  <c r="HW72" i="8" s="1"/>
  <c r="HV51" i="8"/>
  <c r="HV72" i="8" s="1"/>
  <c r="HU51" i="8"/>
  <c r="HT51" i="8"/>
  <c r="HT72" i="8" s="1"/>
  <c r="HS51" i="8"/>
  <c r="HS72" i="8" s="1"/>
  <c r="HR51" i="8"/>
  <c r="HR72" i="8" s="1"/>
  <c r="HQ51" i="8"/>
  <c r="HQ72" i="8" s="1"/>
  <c r="HP51" i="8"/>
  <c r="HP72" i="8" s="1"/>
  <c r="HO51" i="8"/>
  <c r="HO72" i="8" s="1"/>
  <c r="HN51" i="8"/>
  <c r="HN72" i="8" s="1"/>
  <c r="HM51" i="8"/>
  <c r="HM72" i="8" s="1"/>
  <c r="HL51" i="8"/>
  <c r="HL72" i="8" s="1"/>
  <c r="HK51" i="8"/>
  <c r="HK72" i="8" s="1"/>
  <c r="HJ51" i="8"/>
  <c r="HJ72" i="8" s="1"/>
  <c r="HI51" i="8"/>
  <c r="HI72" i="8" s="1"/>
  <c r="HH51" i="8"/>
  <c r="HH72" i="8" s="1"/>
  <c r="HG51" i="8"/>
  <c r="HG72" i="8" s="1"/>
  <c r="HF51" i="8"/>
  <c r="HF72" i="8" s="1"/>
  <c r="HE51" i="8"/>
  <c r="HD51" i="8"/>
  <c r="HD72" i="8" s="1"/>
  <c r="HC51" i="8"/>
  <c r="HC72" i="8" s="1"/>
  <c r="HB51" i="8"/>
  <c r="HB72" i="8" s="1"/>
  <c r="HA51" i="8"/>
  <c r="HA72" i="8" s="1"/>
  <c r="GZ51" i="8"/>
  <c r="GZ72" i="8" s="1"/>
  <c r="GY51" i="8"/>
  <c r="GY72" i="8" s="1"/>
  <c r="GX51" i="8"/>
  <c r="GX72" i="8" s="1"/>
  <c r="GW51" i="8"/>
  <c r="GW72" i="8" s="1"/>
  <c r="GV51" i="8"/>
  <c r="GV72" i="8" s="1"/>
  <c r="GU51" i="8"/>
  <c r="GU72" i="8" s="1"/>
  <c r="GT51" i="8"/>
  <c r="GT72" i="8" s="1"/>
  <c r="GS51" i="8"/>
  <c r="GS72" i="8" s="1"/>
  <c r="GR51" i="8"/>
  <c r="GR72" i="8" s="1"/>
  <c r="GQ51" i="8"/>
  <c r="GQ72" i="8" s="1"/>
  <c r="GP51" i="8"/>
  <c r="GP72" i="8" s="1"/>
  <c r="GO51" i="8"/>
  <c r="GO72" i="8" s="1"/>
  <c r="GN51" i="8"/>
  <c r="GN72" i="8" s="1"/>
  <c r="GM51" i="8"/>
  <c r="GM72" i="8" s="1"/>
  <c r="GL51" i="8"/>
  <c r="GL72" i="8" s="1"/>
  <c r="GK51" i="8"/>
  <c r="GK72" i="8" s="1"/>
  <c r="GJ51" i="8"/>
  <c r="GJ72" i="8" s="1"/>
  <c r="GI51" i="8"/>
  <c r="GI72" i="8" s="1"/>
  <c r="GH51" i="8"/>
  <c r="GH72" i="8" s="1"/>
  <c r="GG51" i="8"/>
  <c r="GG72" i="8" s="1"/>
  <c r="GF51" i="8"/>
  <c r="GF72" i="8" s="1"/>
  <c r="GE51" i="8"/>
  <c r="GD51" i="8"/>
  <c r="GD72" i="8" s="1"/>
  <c r="GC51" i="8"/>
  <c r="GC72" i="8" s="1"/>
  <c r="GB51" i="8"/>
  <c r="GB72" i="8" s="1"/>
  <c r="GA51" i="8"/>
  <c r="GA72" i="8" s="1"/>
  <c r="FZ51" i="8"/>
  <c r="FZ72" i="8" s="1"/>
  <c r="FY51" i="8"/>
  <c r="FY72" i="8" s="1"/>
  <c r="FX51" i="8"/>
  <c r="FX72" i="8" s="1"/>
  <c r="FW51" i="8"/>
  <c r="FW72" i="8" s="1"/>
  <c r="FV51" i="8"/>
  <c r="FV72" i="8" s="1"/>
  <c r="FU51" i="8"/>
  <c r="FU72" i="8" s="1"/>
  <c r="FT51" i="8"/>
  <c r="FT72" i="8" s="1"/>
  <c r="FO51" i="8"/>
  <c r="FO72" i="8" s="1"/>
  <c r="FM51" i="8"/>
  <c r="FM72" i="8" s="1"/>
  <c r="FL51" i="8"/>
  <c r="FK51" i="8"/>
  <c r="FK72" i="8" s="1"/>
  <c r="FJ51" i="8"/>
  <c r="FJ72" i="8" s="1"/>
  <c r="FI51" i="8"/>
  <c r="FI72" i="8" s="1"/>
  <c r="FH51" i="8"/>
  <c r="FH72" i="8" s="1"/>
  <c r="FG51" i="8"/>
  <c r="FG72" i="8" s="1"/>
  <c r="FF51" i="8"/>
  <c r="FF72" i="8" s="1"/>
  <c r="FE51" i="8"/>
  <c r="FE72" i="8" s="1"/>
  <c r="FD51" i="8"/>
  <c r="FD72" i="8" s="1"/>
  <c r="FC51" i="8"/>
  <c r="FC72" i="8" s="1"/>
  <c r="FB51" i="8"/>
  <c r="FB72" i="8" s="1"/>
  <c r="FA51" i="8"/>
  <c r="FA72" i="8" s="1"/>
  <c r="EZ51" i="8"/>
  <c r="EZ72" i="8" s="1"/>
  <c r="EY51" i="8"/>
  <c r="EY72" i="8" s="1"/>
  <c r="EX51" i="8"/>
  <c r="EX72" i="8" s="1"/>
  <c r="EW51" i="8"/>
  <c r="EW72" i="8" s="1"/>
  <c r="EV51" i="8"/>
  <c r="EU51" i="8"/>
  <c r="EU72" i="8" s="1"/>
  <c r="ET51" i="8"/>
  <c r="ET72" i="8" s="1"/>
  <c r="ES51" i="8"/>
  <c r="ES72" i="8" s="1"/>
  <c r="ER51" i="8"/>
  <c r="ER72" i="8" s="1"/>
  <c r="EQ51" i="8"/>
  <c r="EQ72" i="8" s="1"/>
  <c r="EP51" i="8"/>
  <c r="EP72" i="8" s="1"/>
  <c r="EO51" i="8"/>
  <c r="EO72" i="8" s="1"/>
  <c r="EN51" i="8"/>
  <c r="EN72" i="8" s="1"/>
  <c r="EM51" i="8"/>
  <c r="EM72" i="8" s="1"/>
  <c r="EL51" i="8"/>
  <c r="EL72" i="8" s="1"/>
  <c r="EK51" i="8"/>
  <c r="EK72" i="8" s="1"/>
  <c r="EJ51" i="8"/>
  <c r="EJ72" i="8" s="1"/>
  <c r="EI51" i="8"/>
  <c r="EI72" i="8" s="1"/>
  <c r="EH51" i="8"/>
  <c r="EH72" i="8" s="1"/>
  <c r="EG51" i="8"/>
  <c r="EG72" i="8" s="1"/>
  <c r="EF51" i="8"/>
  <c r="EF72" i="8" s="1"/>
  <c r="EE51" i="8"/>
  <c r="EE72" i="8" s="1"/>
  <c r="ED51" i="8"/>
  <c r="ED72" i="8" s="1"/>
  <c r="EC51" i="8"/>
  <c r="EC72" i="8" s="1"/>
  <c r="EB51" i="8"/>
  <c r="EB72" i="8" s="1"/>
  <c r="EA51" i="8"/>
  <c r="EA72" i="8" s="1"/>
  <c r="DZ51" i="8"/>
  <c r="DZ72" i="8" s="1"/>
  <c r="DY51" i="8"/>
  <c r="DY72" i="8" s="1"/>
  <c r="DX51" i="8"/>
  <c r="DX72" i="8" s="1"/>
  <c r="DW51" i="8"/>
  <c r="DW72" i="8" s="1"/>
  <c r="DV51" i="8"/>
  <c r="DV72" i="8" s="1"/>
  <c r="DU51" i="8"/>
  <c r="DT51" i="8"/>
  <c r="DT72" i="8" s="1"/>
  <c r="DS51" i="8"/>
  <c r="DS72" i="8" s="1"/>
  <c r="DR51" i="8"/>
  <c r="DR72" i="8" s="1"/>
  <c r="DQ51" i="8"/>
  <c r="DQ72" i="8" s="1"/>
  <c r="DP51" i="8"/>
  <c r="DP72" i="8" s="1"/>
  <c r="DO51" i="8"/>
  <c r="DO72" i="8" s="1"/>
  <c r="DN51" i="8"/>
  <c r="DN72" i="8" s="1"/>
  <c r="DM51" i="8"/>
  <c r="DM72" i="8" s="1"/>
  <c r="DL51" i="8"/>
  <c r="DL72" i="8" s="1"/>
  <c r="DK51" i="8"/>
  <c r="DK72" i="8" s="1"/>
  <c r="DJ51" i="8"/>
  <c r="DJ72" i="8" s="1"/>
  <c r="DI51" i="8"/>
  <c r="DI72" i="8" s="1"/>
  <c r="DH51" i="8"/>
  <c r="DH72" i="8" s="1"/>
  <c r="DG51" i="8"/>
  <c r="DG72" i="8" s="1"/>
  <c r="DF51" i="8"/>
  <c r="DF72" i="8" s="1"/>
  <c r="DE51" i="8"/>
  <c r="DD51" i="8"/>
  <c r="DD72" i="8" s="1"/>
  <c r="DC51" i="8"/>
  <c r="DC72" i="8" s="1"/>
  <c r="DB51" i="8"/>
  <c r="DB72" i="8" s="1"/>
  <c r="DA51" i="8"/>
  <c r="DA72" i="8" s="1"/>
  <c r="CZ51" i="8"/>
  <c r="CY51" i="8"/>
  <c r="CY72" i="8" s="1"/>
  <c r="CX51" i="8"/>
  <c r="CX72" i="8" s="1"/>
  <c r="CW51" i="8"/>
  <c r="CW72" i="8" s="1"/>
  <c r="CV51" i="8"/>
  <c r="CV72" i="8" s="1"/>
  <c r="CU51" i="8"/>
  <c r="CU72" i="8" s="1"/>
  <c r="CT51" i="8"/>
  <c r="CT72" i="8" s="1"/>
  <c r="CS51" i="8"/>
  <c r="CS72" i="8" s="1"/>
  <c r="CR51" i="8"/>
  <c r="CR72" i="8" s="1"/>
  <c r="CQ51" i="8"/>
  <c r="CQ72" i="8" s="1"/>
  <c r="CP51" i="8"/>
  <c r="CP72" i="8" s="1"/>
  <c r="CO51" i="8"/>
  <c r="CO72" i="8" s="1"/>
  <c r="CN51" i="8"/>
  <c r="CN72" i="8" s="1"/>
  <c r="CM51" i="8"/>
  <c r="CM72" i="8" s="1"/>
  <c r="CL51" i="8"/>
  <c r="CL72" i="8" s="1"/>
  <c r="CK51" i="8"/>
  <c r="CK72" i="8" s="1"/>
  <c r="CJ51" i="8"/>
  <c r="CI51" i="8"/>
  <c r="CI72" i="8" s="1"/>
  <c r="CH51" i="8"/>
  <c r="CH72" i="8" s="1"/>
  <c r="CG51" i="8"/>
  <c r="CG72" i="8" s="1"/>
  <c r="CF51" i="8"/>
  <c r="CF72" i="8" s="1"/>
  <c r="CE51" i="8"/>
  <c r="CE72" i="8" s="1"/>
  <c r="CD51" i="8"/>
  <c r="CD72" i="8" s="1"/>
  <c r="CC51" i="8"/>
  <c r="CC72" i="8" s="1"/>
  <c r="CB51" i="8"/>
  <c r="CB72" i="8" s="1"/>
  <c r="CA51" i="8"/>
  <c r="CA72" i="8" s="1"/>
  <c r="BZ51" i="8"/>
  <c r="BZ72" i="8" s="1"/>
  <c r="BY51" i="8"/>
  <c r="BY72" i="8" s="1"/>
  <c r="BX51" i="8"/>
  <c r="BX72" i="8" s="1"/>
  <c r="BW51" i="8"/>
  <c r="BW72" i="8" s="1"/>
  <c r="BV51" i="8"/>
  <c r="BV72" i="8" s="1"/>
  <c r="BU51" i="8"/>
  <c r="BU72" i="8" s="1"/>
  <c r="BT51" i="8"/>
  <c r="BT72" i="8" s="1"/>
  <c r="BS51" i="8"/>
  <c r="BS72" i="8" s="1"/>
  <c r="BR51" i="8"/>
  <c r="BR72" i="8" s="1"/>
  <c r="BQ51" i="8"/>
  <c r="BQ72" i="8" s="1"/>
  <c r="BP51" i="8"/>
  <c r="BP72" i="8" s="1"/>
  <c r="BO51" i="8"/>
  <c r="BO72" i="8" s="1"/>
  <c r="BN51" i="8"/>
  <c r="BN72" i="8" s="1"/>
  <c r="BM51" i="8"/>
  <c r="BM72" i="8" s="1"/>
  <c r="BL51" i="8"/>
  <c r="BL72" i="8" s="1"/>
  <c r="BK51" i="8"/>
  <c r="BK72" i="8" s="1"/>
  <c r="BJ51" i="8"/>
  <c r="BJ72" i="8" s="1"/>
  <c r="BI51" i="8"/>
  <c r="BH51" i="8"/>
  <c r="BH72" i="8" s="1"/>
  <c r="BG51" i="8"/>
  <c r="BG72" i="8" s="1"/>
  <c r="BF51" i="8"/>
  <c r="BF72" i="8" s="1"/>
  <c r="BE51" i="8"/>
  <c r="BE72" i="8" s="1"/>
  <c r="BD51" i="8"/>
  <c r="BD72" i="8" s="1"/>
  <c r="BC51" i="8"/>
  <c r="BC72" i="8" s="1"/>
  <c r="BB51" i="8"/>
  <c r="BB72" i="8" s="1"/>
  <c r="BA51" i="8"/>
  <c r="BA72" i="8" s="1"/>
  <c r="AZ51" i="8"/>
  <c r="AZ72" i="8" s="1"/>
  <c r="AY51" i="8"/>
  <c r="AY72" i="8" s="1"/>
  <c r="AX51" i="8"/>
  <c r="AX72" i="8" s="1"/>
  <c r="AW51" i="8"/>
  <c r="AW72" i="8" s="1"/>
  <c r="AV51" i="8"/>
  <c r="AV72" i="8" s="1"/>
  <c r="AU51" i="8"/>
  <c r="AU72" i="8" s="1"/>
  <c r="AT51" i="8"/>
  <c r="AT72" i="8" s="1"/>
  <c r="AS51" i="8"/>
  <c r="AS72" i="8" s="1"/>
  <c r="AR51" i="8"/>
  <c r="AR72" i="8" s="1"/>
  <c r="AQ51" i="8"/>
  <c r="AQ72" i="8" s="1"/>
  <c r="AP51" i="8"/>
  <c r="AP72" i="8" s="1"/>
  <c r="AO51" i="8"/>
  <c r="AO72" i="8" s="1"/>
  <c r="AN51" i="8"/>
  <c r="AM51" i="8"/>
  <c r="AM72" i="8" s="1"/>
  <c r="AL51" i="8"/>
  <c r="AL72" i="8" s="1"/>
  <c r="AK51" i="8"/>
  <c r="AK72" i="8" s="1"/>
  <c r="AJ51" i="8"/>
  <c r="AJ72" i="8" s="1"/>
  <c r="AI51" i="8"/>
  <c r="AI72" i="8" s="1"/>
  <c r="AH51" i="8"/>
  <c r="AH72" i="8" s="1"/>
  <c r="AG51" i="8"/>
  <c r="AG72" i="8" s="1"/>
  <c r="AF51" i="8"/>
  <c r="AF72" i="8" s="1"/>
  <c r="AE51" i="8"/>
  <c r="AE72" i="8" s="1"/>
  <c r="AD51" i="8"/>
  <c r="AD72" i="8" s="1"/>
  <c r="AC51" i="8"/>
  <c r="AC72" i="8" s="1"/>
  <c r="AB51" i="8"/>
  <c r="AB72" i="8" s="1"/>
  <c r="AA51" i="8"/>
  <c r="AA72" i="8" s="1"/>
  <c r="Z51" i="8"/>
  <c r="Z72" i="8" s="1"/>
  <c r="Y51" i="8"/>
  <c r="Y72" i="8" s="1"/>
  <c r="X51" i="8"/>
  <c r="W51" i="8"/>
  <c r="W72" i="8" s="1"/>
  <c r="V51" i="8"/>
  <c r="V72" i="8" s="1"/>
  <c r="U51" i="8"/>
  <c r="U72" i="8" s="1"/>
  <c r="T51" i="8"/>
  <c r="T72" i="8" s="1"/>
  <c r="S51" i="8"/>
  <c r="S72" i="8" s="1"/>
  <c r="R51" i="8"/>
  <c r="R72" i="8" s="1"/>
  <c r="Q51" i="8"/>
  <c r="Q72" i="8" s="1"/>
  <c r="P51" i="8"/>
  <c r="P72" i="8" s="1"/>
  <c r="O51" i="8"/>
  <c r="O72" i="8" s="1"/>
  <c r="N51" i="8"/>
  <c r="N72" i="8" s="1"/>
  <c r="M51" i="8"/>
  <c r="M72" i="8" s="1"/>
  <c r="L51" i="8"/>
  <c r="L72" i="8" s="1"/>
  <c r="K51" i="8"/>
  <c r="K72" i="8" s="1"/>
  <c r="J51" i="8"/>
  <c r="J72" i="8" s="1"/>
  <c r="I51" i="8"/>
  <c r="I72" i="8" s="1"/>
  <c r="H51" i="8"/>
  <c r="H72" i="8" s="1"/>
  <c r="G51" i="8"/>
  <c r="G72" i="8" s="1"/>
  <c r="F51" i="8"/>
  <c r="F72" i="8" s="1"/>
  <c r="E51" i="8"/>
  <c r="E72" i="8" s="1"/>
  <c r="D51" i="8"/>
  <c r="D72" i="8" s="1"/>
  <c r="C51" i="8"/>
  <c r="C72" i="8" s="1"/>
  <c r="OT50" i="8"/>
  <c r="OT71" i="8" s="1"/>
  <c r="OS50" i="8"/>
  <c r="OS71" i="8" s="1"/>
  <c r="NO50" i="8"/>
  <c r="NO71" i="8" s="1"/>
  <c r="NN50" i="8"/>
  <c r="NN71" i="8" s="1"/>
  <c r="NM50" i="8"/>
  <c r="NM71" i="8" s="1"/>
  <c r="NL50" i="8"/>
  <c r="NK50" i="8"/>
  <c r="NK71" i="8" s="1"/>
  <c r="NJ50" i="8"/>
  <c r="NJ71" i="8" s="1"/>
  <c r="NI50" i="8"/>
  <c r="NI71" i="8" s="1"/>
  <c r="NH50" i="8"/>
  <c r="NH71" i="8" s="1"/>
  <c r="NG50" i="8"/>
  <c r="NG71" i="8" s="1"/>
  <c r="NF50" i="8"/>
  <c r="NF71" i="8" s="1"/>
  <c r="NE50" i="8"/>
  <c r="NE71" i="8" s="1"/>
  <c r="ND50" i="8"/>
  <c r="ND71" i="8" s="1"/>
  <c r="NC50" i="8"/>
  <c r="NC71" i="8" s="1"/>
  <c r="NB50" i="8"/>
  <c r="NB71" i="8" s="1"/>
  <c r="NA50" i="8"/>
  <c r="NA71" i="8" s="1"/>
  <c r="MZ50" i="8"/>
  <c r="MZ71" i="8" s="1"/>
  <c r="MY50" i="8"/>
  <c r="MY71" i="8" s="1"/>
  <c r="MX50" i="8"/>
  <c r="MX71" i="8" s="1"/>
  <c r="MW50" i="8"/>
  <c r="MW71" i="8" s="1"/>
  <c r="MV50" i="8"/>
  <c r="MV71" i="8" s="1"/>
  <c r="MU50" i="8"/>
  <c r="MU71" i="8" s="1"/>
  <c r="MT50" i="8"/>
  <c r="MT71" i="8" s="1"/>
  <c r="MS50" i="8"/>
  <c r="MS71" i="8" s="1"/>
  <c r="MR50" i="8"/>
  <c r="MR71" i="8" s="1"/>
  <c r="MQ50" i="8"/>
  <c r="MP50" i="8"/>
  <c r="MP71" i="8" s="1"/>
  <c r="MO50" i="8"/>
  <c r="MO71" i="8" s="1"/>
  <c r="MN50" i="8"/>
  <c r="MN71" i="8" s="1"/>
  <c r="MM50" i="8"/>
  <c r="MM71" i="8" s="1"/>
  <c r="ML50" i="8"/>
  <c r="ML71" i="8" s="1"/>
  <c r="MK50" i="8"/>
  <c r="MK71" i="8" s="1"/>
  <c r="MJ50" i="8"/>
  <c r="MJ71" i="8" s="1"/>
  <c r="MI50" i="8"/>
  <c r="MI71" i="8" s="1"/>
  <c r="MH50" i="8"/>
  <c r="MH71" i="8" s="1"/>
  <c r="MG50" i="8"/>
  <c r="MG71" i="8" s="1"/>
  <c r="MF50" i="8"/>
  <c r="MF71" i="8" s="1"/>
  <c r="ME50" i="8"/>
  <c r="ME71" i="8" s="1"/>
  <c r="MD50" i="8"/>
  <c r="MD71" i="8" s="1"/>
  <c r="MC50" i="8"/>
  <c r="MC71" i="8" s="1"/>
  <c r="MB50" i="8"/>
  <c r="MB71" i="8" s="1"/>
  <c r="MA50" i="8"/>
  <c r="LZ50" i="8"/>
  <c r="LZ71" i="8" s="1"/>
  <c r="LY50" i="8"/>
  <c r="LY71" i="8" s="1"/>
  <c r="LX50" i="8"/>
  <c r="LX71" i="8" s="1"/>
  <c r="LW50" i="8"/>
  <c r="LW71" i="8" s="1"/>
  <c r="LV50" i="8"/>
  <c r="LV71" i="8" s="1"/>
  <c r="LU50" i="8"/>
  <c r="LU71" i="8" s="1"/>
  <c r="LT50" i="8"/>
  <c r="LT71" i="8" s="1"/>
  <c r="LS50" i="8"/>
  <c r="LS71" i="8" s="1"/>
  <c r="LR50" i="8"/>
  <c r="LR71" i="8" s="1"/>
  <c r="LQ50" i="8"/>
  <c r="LQ71" i="8" s="1"/>
  <c r="LP50" i="8"/>
  <c r="LP71" i="8" s="1"/>
  <c r="LO50" i="8"/>
  <c r="LO71" i="8" s="1"/>
  <c r="LN50" i="8"/>
  <c r="LN71" i="8" s="1"/>
  <c r="LM50" i="8"/>
  <c r="LM71" i="8" s="1"/>
  <c r="LL50" i="8"/>
  <c r="LL71" i="8" s="1"/>
  <c r="LK50" i="8"/>
  <c r="LK71" i="8" s="1"/>
  <c r="LJ50" i="8"/>
  <c r="LJ71" i="8" s="1"/>
  <c r="LI50" i="8"/>
  <c r="LI71" i="8" s="1"/>
  <c r="LH50" i="8"/>
  <c r="LH71" i="8" s="1"/>
  <c r="LG50" i="8"/>
  <c r="LG71" i="8" s="1"/>
  <c r="LF50" i="8"/>
  <c r="LF71" i="8" s="1"/>
  <c r="LE50" i="8"/>
  <c r="LE71" i="8" s="1"/>
  <c r="LD50" i="8"/>
  <c r="LD71" i="8" s="1"/>
  <c r="LC50" i="8"/>
  <c r="LC71" i="8" s="1"/>
  <c r="LB50" i="8"/>
  <c r="LB71" i="8" s="1"/>
  <c r="LA50" i="8"/>
  <c r="LA71" i="8" s="1"/>
  <c r="KZ50" i="8"/>
  <c r="KY50" i="8"/>
  <c r="KY71" i="8" s="1"/>
  <c r="KX50" i="8"/>
  <c r="KX71" i="8" s="1"/>
  <c r="KW50" i="8"/>
  <c r="KW71" i="8" s="1"/>
  <c r="KV50" i="8"/>
  <c r="KV71" i="8" s="1"/>
  <c r="KU50" i="8"/>
  <c r="KU71" i="8" s="1"/>
  <c r="KT50" i="8"/>
  <c r="KT71" i="8" s="1"/>
  <c r="KS50" i="8"/>
  <c r="KS71" i="8" s="1"/>
  <c r="KR50" i="8"/>
  <c r="KR71" i="8" s="1"/>
  <c r="KQ50" i="8"/>
  <c r="KQ71" i="8" s="1"/>
  <c r="KP50" i="8"/>
  <c r="KP71" i="8" s="1"/>
  <c r="KO50" i="8"/>
  <c r="KO71" i="8" s="1"/>
  <c r="KN50" i="8"/>
  <c r="KN71" i="8" s="1"/>
  <c r="KM50" i="8"/>
  <c r="KM71" i="8" s="1"/>
  <c r="KL50" i="8"/>
  <c r="KL71" i="8" s="1"/>
  <c r="KK50" i="8"/>
  <c r="KK71" i="8" s="1"/>
  <c r="KJ50" i="8"/>
  <c r="KJ71" i="8" s="1"/>
  <c r="KI50" i="8"/>
  <c r="KI71" i="8" s="1"/>
  <c r="KH50" i="8"/>
  <c r="KH71" i="8" s="1"/>
  <c r="KG50" i="8"/>
  <c r="KG71" i="8" s="1"/>
  <c r="KF50" i="8"/>
  <c r="KF71" i="8" s="1"/>
  <c r="KE50" i="8"/>
  <c r="KD50" i="8"/>
  <c r="KD71" i="8" s="1"/>
  <c r="KC50" i="8"/>
  <c r="KC71" i="8" s="1"/>
  <c r="KB50" i="8"/>
  <c r="KB71" i="8" s="1"/>
  <c r="KA50" i="8"/>
  <c r="KA71" i="8" s="1"/>
  <c r="JZ50" i="8"/>
  <c r="JZ71" i="8" s="1"/>
  <c r="JY50" i="8"/>
  <c r="JY71" i="8" s="1"/>
  <c r="JX50" i="8"/>
  <c r="JX71" i="8" s="1"/>
  <c r="JW50" i="8"/>
  <c r="JW71" i="8" s="1"/>
  <c r="JV50" i="8"/>
  <c r="JV71" i="8" s="1"/>
  <c r="JU50" i="8"/>
  <c r="JU71" i="8" s="1"/>
  <c r="JT50" i="8"/>
  <c r="JT71" i="8" s="1"/>
  <c r="JS50" i="8"/>
  <c r="JS71" i="8" s="1"/>
  <c r="JR50" i="8"/>
  <c r="JR71" i="8" s="1"/>
  <c r="JQ50" i="8"/>
  <c r="JQ71" i="8" s="1"/>
  <c r="JP50" i="8"/>
  <c r="JP71" i="8" s="1"/>
  <c r="JO50" i="8"/>
  <c r="JN50" i="8"/>
  <c r="JN71" i="8" s="1"/>
  <c r="JM50" i="8"/>
  <c r="JM71" i="8" s="1"/>
  <c r="JL50" i="8"/>
  <c r="JL71" i="8" s="1"/>
  <c r="JK50" i="8"/>
  <c r="JK71" i="8" s="1"/>
  <c r="JJ50" i="8"/>
  <c r="JJ71" i="8" s="1"/>
  <c r="JI50" i="8"/>
  <c r="JI71" i="8" s="1"/>
  <c r="JH50" i="8"/>
  <c r="JH71" i="8" s="1"/>
  <c r="JG50" i="8"/>
  <c r="JG71" i="8" s="1"/>
  <c r="JF50" i="8"/>
  <c r="JF71" i="8" s="1"/>
  <c r="JE50" i="8"/>
  <c r="JE71" i="8" s="1"/>
  <c r="JD50" i="8"/>
  <c r="JD71" i="8" s="1"/>
  <c r="JC50" i="8"/>
  <c r="JC71" i="8" s="1"/>
  <c r="JB50" i="8"/>
  <c r="JB71" i="8" s="1"/>
  <c r="JA50" i="8"/>
  <c r="JA71" i="8" s="1"/>
  <c r="IZ50" i="8"/>
  <c r="IZ71" i="8" s="1"/>
  <c r="IY50" i="8"/>
  <c r="IY71" i="8" s="1"/>
  <c r="IX50" i="8"/>
  <c r="IX71" i="8" s="1"/>
  <c r="IW50" i="8"/>
  <c r="IW71" i="8" s="1"/>
  <c r="IV50" i="8"/>
  <c r="IV71" i="8" s="1"/>
  <c r="IU50" i="8"/>
  <c r="IU71" i="8" s="1"/>
  <c r="IT50" i="8"/>
  <c r="IT71" i="8" s="1"/>
  <c r="IS50" i="8"/>
  <c r="IS71" i="8" s="1"/>
  <c r="IR50" i="8"/>
  <c r="IR71" i="8" s="1"/>
  <c r="IQ50" i="8"/>
  <c r="IQ71" i="8" s="1"/>
  <c r="IP50" i="8"/>
  <c r="IP71" i="8" s="1"/>
  <c r="IO50" i="8"/>
  <c r="IO71" i="8" s="1"/>
  <c r="IN50" i="8"/>
  <c r="IM50" i="8"/>
  <c r="IM71" i="8" s="1"/>
  <c r="IL50" i="8"/>
  <c r="IL71" i="8" s="1"/>
  <c r="IK50" i="8"/>
  <c r="IK71" i="8" s="1"/>
  <c r="IJ50" i="8"/>
  <c r="IJ71" i="8" s="1"/>
  <c r="II50" i="8"/>
  <c r="II71" i="8" s="1"/>
  <c r="IH50" i="8"/>
  <c r="IH71" i="8" s="1"/>
  <c r="IG50" i="8"/>
  <c r="IG71" i="8" s="1"/>
  <c r="IF50" i="8"/>
  <c r="IF71" i="8" s="1"/>
  <c r="IE50" i="8"/>
  <c r="IE71" i="8" s="1"/>
  <c r="ID50" i="8"/>
  <c r="ID71" i="8" s="1"/>
  <c r="IC50" i="8"/>
  <c r="IC71" i="8" s="1"/>
  <c r="IB50" i="8"/>
  <c r="IB71" i="8" s="1"/>
  <c r="IA50" i="8"/>
  <c r="IA71" i="8" s="1"/>
  <c r="HZ50" i="8"/>
  <c r="HZ71" i="8" s="1"/>
  <c r="HY50" i="8"/>
  <c r="HY71" i="8" s="1"/>
  <c r="HX50" i="8"/>
  <c r="HX71" i="8" s="1"/>
  <c r="HW50" i="8"/>
  <c r="HW71" i="8" s="1"/>
  <c r="HV50" i="8"/>
  <c r="HV71" i="8" s="1"/>
  <c r="HU50" i="8"/>
  <c r="HU71" i="8" s="1"/>
  <c r="HT50" i="8"/>
  <c r="HT71" i="8" s="1"/>
  <c r="HS50" i="8"/>
  <c r="HR50" i="8"/>
  <c r="HR71" i="8" s="1"/>
  <c r="HQ50" i="8"/>
  <c r="HQ71" i="8" s="1"/>
  <c r="HP50" i="8"/>
  <c r="HP71" i="8" s="1"/>
  <c r="HO50" i="8"/>
  <c r="HO71" i="8" s="1"/>
  <c r="HN50" i="8"/>
  <c r="HN71" i="8" s="1"/>
  <c r="HM50" i="8"/>
  <c r="HM71" i="8" s="1"/>
  <c r="HL50" i="8"/>
  <c r="HL71" i="8" s="1"/>
  <c r="HK50" i="8"/>
  <c r="HK71" i="8" s="1"/>
  <c r="HJ50" i="8"/>
  <c r="HJ71" i="8" s="1"/>
  <c r="HI50" i="8"/>
  <c r="HI71" i="8" s="1"/>
  <c r="HH50" i="8"/>
  <c r="HH71" i="8" s="1"/>
  <c r="HG50" i="8"/>
  <c r="HG71" i="8" s="1"/>
  <c r="HF50" i="8"/>
  <c r="HF71" i="8" s="1"/>
  <c r="HE50" i="8"/>
  <c r="HE71" i="8" s="1"/>
  <c r="HD50" i="8"/>
  <c r="HD71" i="8" s="1"/>
  <c r="HC50" i="8"/>
  <c r="HB50" i="8"/>
  <c r="HB71" i="8" s="1"/>
  <c r="HA50" i="8"/>
  <c r="HA71" i="8" s="1"/>
  <c r="GZ50" i="8"/>
  <c r="GZ71" i="8" s="1"/>
  <c r="GY50" i="8"/>
  <c r="GY71" i="8" s="1"/>
  <c r="GX50" i="8"/>
  <c r="GX71" i="8" s="1"/>
  <c r="GW50" i="8"/>
  <c r="GW71" i="8" s="1"/>
  <c r="GV50" i="8"/>
  <c r="GV71" i="8" s="1"/>
  <c r="GU50" i="8"/>
  <c r="GU71" i="8" s="1"/>
  <c r="GT50" i="8"/>
  <c r="GT71" i="8" s="1"/>
  <c r="GS50" i="8"/>
  <c r="GS71" i="8" s="1"/>
  <c r="GR50" i="8"/>
  <c r="GR71" i="8" s="1"/>
  <c r="GQ50" i="8"/>
  <c r="GQ71" i="8" s="1"/>
  <c r="GP50" i="8"/>
  <c r="GP71" i="8" s="1"/>
  <c r="GO50" i="8"/>
  <c r="GO71" i="8" s="1"/>
  <c r="GN50" i="8"/>
  <c r="GN71" i="8" s="1"/>
  <c r="GM50" i="8"/>
  <c r="GM71" i="8" s="1"/>
  <c r="GL50" i="8"/>
  <c r="GL71" i="8" s="1"/>
  <c r="GK50" i="8"/>
  <c r="GK71" i="8" s="1"/>
  <c r="GJ50" i="8"/>
  <c r="GJ71" i="8" s="1"/>
  <c r="GI50" i="8"/>
  <c r="GI71" i="8" s="1"/>
  <c r="GH50" i="8"/>
  <c r="GH71" i="8" s="1"/>
  <c r="GG50" i="8"/>
  <c r="GG71" i="8" s="1"/>
  <c r="GF50" i="8"/>
  <c r="GF71" i="8" s="1"/>
  <c r="GE50" i="8"/>
  <c r="GE71" i="8" s="1"/>
  <c r="GD50" i="8"/>
  <c r="GD71" i="8" s="1"/>
  <c r="GC50" i="8"/>
  <c r="GC71" i="8" s="1"/>
  <c r="GB50" i="8"/>
  <c r="GA50" i="8"/>
  <c r="GA71" i="8" s="1"/>
  <c r="FZ50" i="8"/>
  <c r="FZ71" i="8" s="1"/>
  <c r="FY50" i="8"/>
  <c r="FY71" i="8" s="1"/>
  <c r="FX50" i="8"/>
  <c r="FX71" i="8" s="1"/>
  <c r="FW50" i="8"/>
  <c r="FW71" i="8" s="1"/>
  <c r="FV50" i="8"/>
  <c r="FV71" i="8" s="1"/>
  <c r="FU50" i="8"/>
  <c r="FU71" i="8" s="1"/>
  <c r="FT50" i="8"/>
  <c r="FT71" i="8" s="1"/>
  <c r="FO50" i="8"/>
  <c r="FO71" i="8" s="1"/>
  <c r="FM50" i="8"/>
  <c r="FM71" i="8" s="1"/>
  <c r="FL50" i="8"/>
  <c r="FL71" i="8" s="1"/>
  <c r="FK50" i="8"/>
  <c r="FK71" i="8" s="1"/>
  <c r="FJ50" i="8"/>
  <c r="FJ71" i="8" s="1"/>
  <c r="FI50" i="8"/>
  <c r="FH50" i="8"/>
  <c r="FH71" i="8" s="1"/>
  <c r="FG50" i="8"/>
  <c r="FG71" i="8" s="1"/>
  <c r="FF50" i="8"/>
  <c r="FF71" i="8" s="1"/>
  <c r="FE50" i="8"/>
  <c r="FE71" i="8" s="1"/>
  <c r="FD50" i="8"/>
  <c r="FD71" i="8" s="1"/>
  <c r="FC50" i="8"/>
  <c r="FC71" i="8" s="1"/>
  <c r="FB50" i="8"/>
  <c r="FB71" i="8" s="1"/>
  <c r="FA50" i="8"/>
  <c r="FA71" i="8" s="1"/>
  <c r="EZ50" i="8"/>
  <c r="EZ71" i="8" s="1"/>
  <c r="EY50" i="8"/>
  <c r="EY71" i="8" s="1"/>
  <c r="EX50" i="8"/>
  <c r="EX71" i="8" s="1"/>
  <c r="EW50" i="8"/>
  <c r="EW71" i="8" s="1"/>
  <c r="EV50" i="8"/>
  <c r="EV71" i="8" s="1"/>
  <c r="EU50" i="8"/>
  <c r="EU71" i="8" s="1"/>
  <c r="ET50" i="8"/>
  <c r="ET71" i="8" s="1"/>
  <c r="ES50" i="8"/>
  <c r="ES71" i="8" s="1"/>
  <c r="ER50" i="8"/>
  <c r="ER71" i="8" s="1"/>
  <c r="EQ50" i="8"/>
  <c r="EQ71" i="8" s="1"/>
  <c r="EP50" i="8"/>
  <c r="EP71" i="8" s="1"/>
  <c r="EO50" i="8"/>
  <c r="EO71" i="8" s="1"/>
  <c r="EN50" i="8"/>
  <c r="EN71" i="8" s="1"/>
  <c r="EM50" i="8"/>
  <c r="EM71" i="8" s="1"/>
  <c r="EL50" i="8"/>
  <c r="EL71" i="8" s="1"/>
  <c r="EK50" i="8"/>
  <c r="EK71" i="8" s="1"/>
  <c r="EJ50" i="8"/>
  <c r="EJ71" i="8" s="1"/>
  <c r="EI50" i="8"/>
  <c r="EI71" i="8" s="1"/>
  <c r="EH50" i="8"/>
  <c r="EH71" i="8" s="1"/>
  <c r="EG50" i="8"/>
  <c r="EG71" i="8" s="1"/>
  <c r="EF50" i="8"/>
  <c r="EF71" i="8" s="1"/>
  <c r="EE50" i="8"/>
  <c r="EE71" i="8" s="1"/>
  <c r="ED50" i="8"/>
  <c r="ED71" i="8" s="1"/>
  <c r="EC50" i="8"/>
  <c r="EC71" i="8" s="1"/>
  <c r="EB50" i="8"/>
  <c r="EB71" i="8" s="1"/>
  <c r="EA50" i="8"/>
  <c r="EA71" i="8" s="1"/>
  <c r="DZ50" i="8"/>
  <c r="DZ71" i="8" s="1"/>
  <c r="DY50" i="8"/>
  <c r="DY71" i="8" s="1"/>
  <c r="DX50" i="8"/>
  <c r="DX71" i="8" s="1"/>
  <c r="DW50" i="8"/>
  <c r="DW71" i="8" s="1"/>
  <c r="DV50" i="8"/>
  <c r="DV71" i="8" s="1"/>
  <c r="DU50" i="8"/>
  <c r="DU71" i="8" s="1"/>
  <c r="DT50" i="8"/>
  <c r="DT71" i="8" s="1"/>
  <c r="DS50" i="8"/>
  <c r="DS71" i="8" s="1"/>
  <c r="DR50" i="8"/>
  <c r="DQ50" i="8"/>
  <c r="DQ71" i="8" s="1"/>
  <c r="DP50" i="8"/>
  <c r="DP71" i="8" s="1"/>
  <c r="DO50" i="8"/>
  <c r="DO71" i="8" s="1"/>
  <c r="DN50" i="8"/>
  <c r="DN71" i="8" s="1"/>
  <c r="DM50" i="8"/>
  <c r="DM71" i="8" s="1"/>
  <c r="DL50" i="8"/>
  <c r="DL71" i="8" s="1"/>
  <c r="DK50" i="8"/>
  <c r="DK71" i="8" s="1"/>
  <c r="DJ50" i="8"/>
  <c r="DJ71" i="8" s="1"/>
  <c r="DI50" i="8"/>
  <c r="DI71" i="8" s="1"/>
  <c r="DH50" i="8"/>
  <c r="DH71" i="8" s="1"/>
  <c r="DG50" i="8"/>
  <c r="DG71" i="8" s="1"/>
  <c r="DF50" i="8"/>
  <c r="DF71" i="8" s="1"/>
  <c r="DE50" i="8"/>
  <c r="DE71" i="8" s="1"/>
  <c r="DD50" i="8"/>
  <c r="DD71" i="8" s="1"/>
  <c r="DC50" i="8"/>
  <c r="DC71" i="8" s="1"/>
  <c r="DB50" i="8"/>
  <c r="DB71" i="8" s="1"/>
  <c r="DA50" i="8"/>
  <c r="DA71" i="8" s="1"/>
  <c r="CZ50" i="8"/>
  <c r="CZ71" i="8" s="1"/>
  <c r="CY50" i="8"/>
  <c r="CY71" i="8" s="1"/>
  <c r="CX50" i="8"/>
  <c r="CX71" i="8" s="1"/>
  <c r="CW50" i="8"/>
  <c r="CV50" i="8"/>
  <c r="CV71" i="8" s="1"/>
  <c r="CU50" i="8"/>
  <c r="CU71" i="8" s="1"/>
  <c r="CT50" i="8"/>
  <c r="CT71" i="8" s="1"/>
  <c r="CS50" i="8"/>
  <c r="CS71" i="8" s="1"/>
  <c r="CR50" i="8"/>
  <c r="CR71" i="8" s="1"/>
  <c r="CQ50" i="8"/>
  <c r="CQ71" i="8" s="1"/>
  <c r="CP50" i="8"/>
  <c r="CP71" i="8" s="1"/>
  <c r="CO50" i="8"/>
  <c r="CO71" i="8" s="1"/>
  <c r="CN50" i="8"/>
  <c r="CN71" i="8" s="1"/>
  <c r="CM50" i="8"/>
  <c r="CM71" i="8" s="1"/>
  <c r="CL50" i="8"/>
  <c r="CL71" i="8" s="1"/>
  <c r="CK50" i="8"/>
  <c r="CK71" i="8" s="1"/>
  <c r="CJ50" i="8"/>
  <c r="CJ71" i="8" s="1"/>
  <c r="CI50" i="8"/>
  <c r="CI71" i="8" s="1"/>
  <c r="CH50" i="8"/>
  <c r="CH71" i="8" s="1"/>
  <c r="CG50" i="8"/>
  <c r="CG71" i="8" s="1"/>
  <c r="CF50" i="8"/>
  <c r="CF71" i="8" s="1"/>
  <c r="CE50" i="8"/>
  <c r="CE71" i="8" s="1"/>
  <c r="CD50" i="8"/>
  <c r="CD71" i="8" s="1"/>
  <c r="CC50" i="8"/>
  <c r="CC71" i="8" s="1"/>
  <c r="CB50" i="8"/>
  <c r="CB71" i="8" s="1"/>
  <c r="CA50" i="8"/>
  <c r="CA71" i="8" s="1"/>
  <c r="BZ50" i="8"/>
  <c r="BZ71" i="8" s="1"/>
  <c r="BY50" i="8"/>
  <c r="BY71" i="8" s="1"/>
  <c r="BX50" i="8"/>
  <c r="BX71" i="8" s="1"/>
  <c r="BW50" i="8"/>
  <c r="BW71" i="8" s="1"/>
  <c r="BV50" i="8"/>
  <c r="BV71" i="8" s="1"/>
  <c r="BU50" i="8"/>
  <c r="BU71" i="8" s="1"/>
  <c r="BT50" i="8"/>
  <c r="BT71" i="8" s="1"/>
  <c r="BS50" i="8"/>
  <c r="BS71" i="8" s="1"/>
  <c r="BR50" i="8"/>
  <c r="BR71" i="8" s="1"/>
  <c r="BQ50" i="8"/>
  <c r="BQ71" i="8" s="1"/>
  <c r="BP50" i="8"/>
  <c r="BP71" i="8" s="1"/>
  <c r="BO50" i="8"/>
  <c r="BO71" i="8" s="1"/>
  <c r="BN50" i="8"/>
  <c r="BN71" i="8" s="1"/>
  <c r="BM50" i="8"/>
  <c r="BM71" i="8" s="1"/>
  <c r="BL50" i="8"/>
  <c r="BL71" i="8" s="1"/>
  <c r="BK50" i="8"/>
  <c r="BK71" i="8" s="1"/>
  <c r="BJ50" i="8"/>
  <c r="BJ71" i="8" s="1"/>
  <c r="BI50" i="8"/>
  <c r="BI71" i="8" s="1"/>
  <c r="BH50" i="8"/>
  <c r="BH71" i="8" s="1"/>
  <c r="BG50" i="8"/>
  <c r="BG71" i="8" s="1"/>
  <c r="BF50" i="8"/>
  <c r="BE50" i="8"/>
  <c r="BE71" i="8" s="1"/>
  <c r="BD50" i="8"/>
  <c r="BD71" i="8" s="1"/>
  <c r="BC50" i="8"/>
  <c r="BC71" i="8" s="1"/>
  <c r="BB50" i="8"/>
  <c r="BB71" i="8" s="1"/>
  <c r="BA50" i="8"/>
  <c r="BA71" i="8" s="1"/>
  <c r="AZ50" i="8"/>
  <c r="AZ71" i="8" s="1"/>
  <c r="AY50" i="8"/>
  <c r="AY71" i="8" s="1"/>
  <c r="AX50" i="8"/>
  <c r="AX71" i="8" s="1"/>
  <c r="AW50" i="8"/>
  <c r="AW71" i="8" s="1"/>
  <c r="AV50" i="8"/>
  <c r="AV71" i="8" s="1"/>
  <c r="AU50" i="8"/>
  <c r="AU71" i="8" s="1"/>
  <c r="AT50" i="8"/>
  <c r="AT71" i="8" s="1"/>
  <c r="AS50" i="8"/>
  <c r="AS71" i="8" s="1"/>
  <c r="AR50" i="8"/>
  <c r="AR71" i="8" s="1"/>
  <c r="AQ50" i="8"/>
  <c r="AQ71" i="8" s="1"/>
  <c r="AP50" i="8"/>
  <c r="AP71" i="8" s="1"/>
  <c r="AO50" i="8"/>
  <c r="AO71" i="8" s="1"/>
  <c r="AN50" i="8"/>
  <c r="AN71" i="8" s="1"/>
  <c r="AM50" i="8"/>
  <c r="AM71" i="8" s="1"/>
  <c r="AL50" i="8"/>
  <c r="AL71" i="8" s="1"/>
  <c r="AK50" i="8"/>
  <c r="AK71" i="8" s="1"/>
  <c r="AJ50" i="8"/>
  <c r="AJ71" i="8" s="1"/>
  <c r="AI50" i="8"/>
  <c r="AI71" i="8" s="1"/>
  <c r="AH50" i="8"/>
  <c r="AH71" i="8" s="1"/>
  <c r="AG50" i="8"/>
  <c r="AG71" i="8" s="1"/>
  <c r="AF50" i="8"/>
  <c r="AF71" i="8" s="1"/>
  <c r="AE50" i="8"/>
  <c r="AE71" i="8" s="1"/>
  <c r="AD50" i="8"/>
  <c r="AD71" i="8" s="1"/>
  <c r="AC50" i="8"/>
  <c r="AC71" i="8" s="1"/>
  <c r="AB50" i="8"/>
  <c r="AB71" i="8" s="1"/>
  <c r="AA50" i="8"/>
  <c r="AA71" i="8" s="1"/>
  <c r="Z50" i="8"/>
  <c r="Z71" i="8" s="1"/>
  <c r="Y50" i="8"/>
  <c r="Y71" i="8" s="1"/>
  <c r="X50" i="8"/>
  <c r="X71" i="8" s="1"/>
  <c r="W50" i="8"/>
  <c r="W71" i="8" s="1"/>
  <c r="V50" i="8"/>
  <c r="V71" i="8" s="1"/>
  <c r="U50" i="8"/>
  <c r="U71" i="8" s="1"/>
  <c r="T50" i="8"/>
  <c r="T71" i="8" s="1"/>
  <c r="S50" i="8"/>
  <c r="S71" i="8" s="1"/>
  <c r="R50" i="8"/>
  <c r="R71" i="8" s="1"/>
  <c r="Q50" i="8"/>
  <c r="Q71" i="8" s="1"/>
  <c r="P50" i="8"/>
  <c r="P71" i="8" s="1"/>
  <c r="O50" i="8"/>
  <c r="O71" i="8" s="1"/>
  <c r="N50" i="8"/>
  <c r="N71" i="8" s="1"/>
  <c r="M50" i="8"/>
  <c r="M71" i="8" s="1"/>
  <c r="L50" i="8"/>
  <c r="L71" i="8" s="1"/>
  <c r="K50" i="8"/>
  <c r="K71" i="8" s="1"/>
  <c r="J50" i="8"/>
  <c r="J71" i="8" s="1"/>
  <c r="I50" i="8"/>
  <c r="I71" i="8" s="1"/>
  <c r="H50" i="8"/>
  <c r="H71" i="8" s="1"/>
  <c r="G50" i="8"/>
  <c r="G71" i="8" s="1"/>
  <c r="F50" i="8"/>
  <c r="F71" i="8" s="1"/>
  <c r="E50" i="8"/>
  <c r="E71" i="8" s="1"/>
  <c r="D50" i="8"/>
  <c r="D71" i="8" s="1"/>
  <c r="C50" i="8"/>
  <c r="C71" i="8" s="1"/>
  <c r="OT49" i="8"/>
  <c r="OT70" i="8" s="1"/>
  <c r="OS49" i="8"/>
  <c r="OS70" i="8" s="1"/>
  <c r="NO49" i="8"/>
  <c r="NO70" i="8" s="1"/>
  <c r="NN49" i="8"/>
  <c r="NN70" i="8" s="1"/>
  <c r="NM49" i="8"/>
  <c r="NM70" i="8" s="1"/>
  <c r="NL49" i="8"/>
  <c r="NL70" i="8" s="1"/>
  <c r="NK49" i="8"/>
  <c r="NK70" i="8" s="1"/>
  <c r="NJ49" i="8"/>
  <c r="NJ70" i="8" s="1"/>
  <c r="NI49" i="8"/>
  <c r="NH49" i="8"/>
  <c r="NH70" i="8" s="1"/>
  <c r="NG49" i="8"/>
  <c r="NG70" i="8" s="1"/>
  <c r="NF49" i="8"/>
  <c r="NF70" i="8" s="1"/>
  <c r="NE49" i="8"/>
  <c r="NE70" i="8" s="1"/>
  <c r="ND49" i="8"/>
  <c r="ND70" i="8" s="1"/>
  <c r="NC49" i="8"/>
  <c r="NC70" i="8" s="1"/>
  <c r="NB49" i="8"/>
  <c r="NB70" i="8" s="1"/>
  <c r="NA49" i="8"/>
  <c r="NA70" i="8" s="1"/>
  <c r="MZ49" i="8"/>
  <c r="MZ70" i="8" s="1"/>
  <c r="MY49" i="8"/>
  <c r="MY70" i="8" s="1"/>
  <c r="MX49" i="8"/>
  <c r="MX70" i="8" s="1"/>
  <c r="MW49" i="8"/>
  <c r="MW70" i="8" s="1"/>
  <c r="MV49" i="8"/>
  <c r="MV70" i="8" s="1"/>
  <c r="MU49" i="8"/>
  <c r="MU70" i="8" s="1"/>
  <c r="MT49" i="8"/>
  <c r="MT70" i="8" s="1"/>
  <c r="MS49" i="8"/>
  <c r="MS70" i="8" s="1"/>
  <c r="MR49" i="8"/>
  <c r="MR70" i="8" s="1"/>
  <c r="MQ49" i="8"/>
  <c r="MQ70" i="8" s="1"/>
  <c r="MP49" i="8"/>
  <c r="MP70" i="8" s="1"/>
  <c r="MO49" i="8"/>
  <c r="MO70" i="8" s="1"/>
  <c r="MN49" i="8"/>
  <c r="MN70" i="8" s="1"/>
  <c r="MM49" i="8"/>
  <c r="MM70" i="8" s="1"/>
  <c r="ML49" i="8"/>
  <c r="ML70" i="8" s="1"/>
  <c r="MK49" i="8"/>
  <c r="MK70" i="8" s="1"/>
  <c r="MJ49" i="8"/>
  <c r="MJ70" i="8" s="1"/>
  <c r="MI49" i="8"/>
  <c r="MI70" i="8" s="1"/>
  <c r="MH49" i="8"/>
  <c r="MH70" i="8" s="1"/>
  <c r="MG49" i="8"/>
  <c r="MG70" i="8" s="1"/>
  <c r="MF49" i="8"/>
  <c r="MF70" i="8" s="1"/>
  <c r="ME49" i="8"/>
  <c r="ME70" i="8" s="1"/>
  <c r="MD49" i="8"/>
  <c r="MD70" i="8" s="1"/>
  <c r="MC49" i="8"/>
  <c r="MC70" i="8" s="1"/>
  <c r="MB49" i="8"/>
  <c r="MB70" i="8" s="1"/>
  <c r="MA49" i="8"/>
  <c r="MA70" i="8" s="1"/>
  <c r="LZ49" i="8"/>
  <c r="LZ70" i="8" s="1"/>
  <c r="LY49" i="8"/>
  <c r="LY70" i="8" s="1"/>
  <c r="LX49" i="8"/>
  <c r="LX70" i="8" s="1"/>
  <c r="LW49" i="8"/>
  <c r="LW70" i="8" s="1"/>
  <c r="LV49" i="8"/>
  <c r="LV70" i="8" s="1"/>
  <c r="LU49" i="8"/>
  <c r="LU70" i="8" s="1"/>
  <c r="LT49" i="8"/>
  <c r="LT70" i="8" s="1"/>
  <c r="LS49" i="8"/>
  <c r="LR49" i="8"/>
  <c r="LR70" i="8" s="1"/>
  <c r="LQ49" i="8"/>
  <c r="LQ70" i="8" s="1"/>
  <c r="LP49" i="8"/>
  <c r="LP70" i="8" s="1"/>
  <c r="LO49" i="8"/>
  <c r="LO70" i="8" s="1"/>
  <c r="LN49" i="8"/>
  <c r="LN70" i="8" s="1"/>
  <c r="LM49" i="8"/>
  <c r="LM70" i="8" s="1"/>
  <c r="LL49" i="8"/>
  <c r="LL70" i="8" s="1"/>
  <c r="LK49" i="8"/>
  <c r="LK70" i="8" s="1"/>
  <c r="LJ49" i="8"/>
  <c r="LJ70" i="8" s="1"/>
  <c r="LI49" i="8"/>
  <c r="LI70" i="8" s="1"/>
  <c r="LH49" i="8"/>
  <c r="LH70" i="8" s="1"/>
  <c r="LG49" i="8"/>
  <c r="LG70" i="8" s="1"/>
  <c r="LF49" i="8"/>
  <c r="LF70" i="8" s="1"/>
  <c r="LE49" i="8"/>
  <c r="LE70" i="8" s="1"/>
  <c r="LD49" i="8"/>
  <c r="LD70" i="8" s="1"/>
  <c r="LC49" i="8"/>
  <c r="LC70" i="8" s="1"/>
  <c r="LB49" i="8"/>
  <c r="LB70" i="8" s="1"/>
  <c r="LA49" i="8"/>
  <c r="LA70" i="8" s="1"/>
  <c r="KZ49" i="8"/>
  <c r="KZ70" i="8" s="1"/>
  <c r="KY49" i="8"/>
  <c r="KY70" i="8" s="1"/>
  <c r="KX49" i="8"/>
  <c r="KX70" i="8" s="1"/>
  <c r="KW49" i="8"/>
  <c r="KV49" i="8"/>
  <c r="KV70" i="8" s="1"/>
  <c r="KU49" i="8"/>
  <c r="KU70" i="8" s="1"/>
  <c r="KT49" i="8"/>
  <c r="KT70" i="8" s="1"/>
  <c r="KS49" i="8"/>
  <c r="KS70" i="8" s="1"/>
  <c r="KR49" i="8"/>
  <c r="KR70" i="8" s="1"/>
  <c r="KQ49" i="8"/>
  <c r="KQ70" i="8" s="1"/>
  <c r="KP49" i="8"/>
  <c r="KP70" i="8" s="1"/>
  <c r="KO49" i="8"/>
  <c r="KO70" i="8" s="1"/>
  <c r="KN49" i="8"/>
  <c r="KN70" i="8" s="1"/>
  <c r="KM49" i="8"/>
  <c r="KM70" i="8" s="1"/>
  <c r="KL49" i="8"/>
  <c r="KL70" i="8" s="1"/>
  <c r="KK49" i="8"/>
  <c r="KK70" i="8" s="1"/>
  <c r="KJ49" i="8"/>
  <c r="KJ70" i="8" s="1"/>
  <c r="KI49" i="8"/>
  <c r="KI70" i="8" s="1"/>
  <c r="KH49" i="8"/>
  <c r="KH70" i="8" s="1"/>
  <c r="KG49" i="8"/>
  <c r="KG70" i="8" s="1"/>
  <c r="KF49" i="8"/>
  <c r="KF70" i="8" s="1"/>
  <c r="KE49" i="8"/>
  <c r="KE70" i="8" s="1"/>
  <c r="KD49" i="8"/>
  <c r="KD70" i="8" s="1"/>
  <c r="KC49" i="8"/>
  <c r="KC70" i="8" s="1"/>
  <c r="KB49" i="8"/>
  <c r="KB70" i="8" s="1"/>
  <c r="KA49" i="8"/>
  <c r="KA70" i="8" s="1"/>
  <c r="JZ49" i="8"/>
  <c r="JZ70" i="8" s="1"/>
  <c r="JY49" i="8"/>
  <c r="JY70" i="8" s="1"/>
  <c r="JX49" i="8"/>
  <c r="JX70" i="8" s="1"/>
  <c r="JW49" i="8"/>
  <c r="JW70" i="8" s="1"/>
  <c r="JV49" i="8"/>
  <c r="JV70" i="8" s="1"/>
  <c r="JU49" i="8"/>
  <c r="JU70" i="8" s="1"/>
  <c r="JT49" i="8"/>
  <c r="JT70" i="8" s="1"/>
  <c r="JS49" i="8"/>
  <c r="JS70" i="8" s="1"/>
  <c r="JR49" i="8"/>
  <c r="JR70" i="8" s="1"/>
  <c r="JQ49" i="8"/>
  <c r="JQ70" i="8" s="1"/>
  <c r="JP49" i="8"/>
  <c r="JP70" i="8" s="1"/>
  <c r="JO49" i="8"/>
  <c r="JO70" i="8" s="1"/>
  <c r="JN49" i="8"/>
  <c r="JN70" i="8" s="1"/>
  <c r="JM49" i="8"/>
  <c r="JM70" i="8" s="1"/>
  <c r="JL49" i="8"/>
  <c r="JL70" i="8" s="1"/>
  <c r="JK49" i="8"/>
  <c r="JK70" i="8" s="1"/>
  <c r="JJ49" i="8"/>
  <c r="JJ70" i="8" s="1"/>
  <c r="JI49" i="8"/>
  <c r="JI70" i="8" s="1"/>
  <c r="JH49" i="8"/>
  <c r="JH70" i="8" s="1"/>
  <c r="JG49" i="8"/>
  <c r="JG70" i="8" s="1"/>
  <c r="JF49" i="8"/>
  <c r="JF70" i="8" s="1"/>
  <c r="JE49" i="8"/>
  <c r="JE70" i="8" s="1"/>
  <c r="JD49" i="8"/>
  <c r="JD70" i="8" s="1"/>
  <c r="JC49" i="8"/>
  <c r="JC70" i="8" s="1"/>
  <c r="JB49" i="8"/>
  <c r="JB70" i="8" s="1"/>
  <c r="JA49" i="8"/>
  <c r="JA70" i="8" s="1"/>
  <c r="IZ49" i="8"/>
  <c r="IZ70" i="8" s="1"/>
  <c r="IY49" i="8"/>
  <c r="IY70" i="8" s="1"/>
  <c r="IX49" i="8"/>
  <c r="IX70" i="8" s="1"/>
  <c r="IW49" i="8"/>
  <c r="IW70" i="8" s="1"/>
  <c r="IV49" i="8"/>
  <c r="IV70" i="8" s="1"/>
  <c r="IU49" i="8"/>
  <c r="IU70" i="8" s="1"/>
  <c r="IT49" i="8"/>
  <c r="IT70" i="8" s="1"/>
  <c r="IS49" i="8"/>
  <c r="IS70" i="8" s="1"/>
  <c r="IR49" i="8"/>
  <c r="IR70" i="8" s="1"/>
  <c r="IQ49" i="8"/>
  <c r="IQ70" i="8" s="1"/>
  <c r="IP49" i="8"/>
  <c r="IP70" i="8" s="1"/>
  <c r="IO49" i="8"/>
  <c r="IO70" i="8" s="1"/>
  <c r="IN49" i="8"/>
  <c r="IN70" i="8" s="1"/>
  <c r="IM49" i="8"/>
  <c r="IM70" i="8" s="1"/>
  <c r="IL49" i="8"/>
  <c r="IL70" i="8" s="1"/>
  <c r="IK49" i="8"/>
  <c r="IK70" i="8" s="1"/>
  <c r="IJ49" i="8"/>
  <c r="IJ70" i="8" s="1"/>
  <c r="II49" i="8"/>
  <c r="II70" i="8" s="1"/>
  <c r="IH49" i="8"/>
  <c r="IH70" i="8" s="1"/>
  <c r="IG49" i="8"/>
  <c r="IG70" i="8" s="1"/>
  <c r="IF49" i="8"/>
  <c r="IF70" i="8" s="1"/>
  <c r="IE49" i="8"/>
  <c r="IE70" i="8" s="1"/>
  <c r="ID49" i="8"/>
  <c r="ID70" i="8" s="1"/>
  <c r="IC49" i="8"/>
  <c r="IC70" i="8" s="1"/>
  <c r="IB49" i="8"/>
  <c r="IB70" i="8" s="1"/>
  <c r="IA49" i="8"/>
  <c r="IA70" i="8" s="1"/>
  <c r="HZ49" i="8"/>
  <c r="HZ70" i="8" s="1"/>
  <c r="HY49" i="8"/>
  <c r="HY70" i="8" s="1"/>
  <c r="HX49" i="8"/>
  <c r="HX70" i="8" s="1"/>
  <c r="HW49" i="8"/>
  <c r="HW70" i="8" s="1"/>
  <c r="HV49" i="8"/>
  <c r="HV70" i="8" s="1"/>
  <c r="HU49" i="8"/>
  <c r="HU70" i="8" s="1"/>
  <c r="HT49" i="8"/>
  <c r="HT70" i="8" s="1"/>
  <c r="HS49" i="8"/>
  <c r="HS70" i="8" s="1"/>
  <c r="HR49" i="8"/>
  <c r="HR70" i="8" s="1"/>
  <c r="HQ49" i="8"/>
  <c r="HQ70" i="8" s="1"/>
  <c r="HP49" i="8"/>
  <c r="HP70" i="8" s="1"/>
  <c r="HO49" i="8"/>
  <c r="HO70" i="8" s="1"/>
  <c r="HN49" i="8"/>
  <c r="HN70" i="8" s="1"/>
  <c r="HM49" i="8"/>
  <c r="HM70" i="8" s="1"/>
  <c r="HL49" i="8"/>
  <c r="HL70" i="8" s="1"/>
  <c r="HK49" i="8"/>
  <c r="HK70" i="8" s="1"/>
  <c r="HJ49" i="8"/>
  <c r="HJ70" i="8" s="1"/>
  <c r="HI49" i="8"/>
  <c r="HI70" i="8" s="1"/>
  <c r="HH49" i="8"/>
  <c r="HH70" i="8" s="1"/>
  <c r="HG49" i="8"/>
  <c r="HG70" i="8" s="1"/>
  <c r="HF49" i="8"/>
  <c r="HF70" i="8" s="1"/>
  <c r="HE49" i="8"/>
  <c r="HE70" i="8" s="1"/>
  <c r="HD49" i="8"/>
  <c r="HD70" i="8" s="1"/>
  <c r="HC49" i="8"/>
  <c r="HC70" i="8" s="1"/>
  <c r="HB49" i="8"/>
  <c r="HB70" i="8" s="1"/>
  <c r="HA49" i="8"/>
  <c r="HA70" i="8" s="1"/>
  <c r="GZ49" i="8"/>
  <c r="GZ70" i="8" s="1"/>
  <c r="GY49" i="8"/>
  <c r="GY70" i="8" s="1"/>
  <c r="GX49" i="8"/>
  <c r="GX70" i="8" s="1"/>
  <c r="GW49" i="8"/>
  <c r="GW70" i="8" s="1"/>
  <c r="GV49" i="8"/>
  <c r="GV70" i="8" s="1"/>
  <c r="GU49" i="8"/>
  <c r="GU70" i="8" s="1"/>
  <c r="GT49" i="8"/>
  <c r="GT70" i="8" s="1"/>
  <c r="GS49" i="8"/>
  <c r="GS70" i="8" s="1"/>
  <c r="GR49" i="8"/>
  <c r="GR70" i="8" s="1"/>
  <c r="GQ49" i="8"/>
  <c r="GQ70" i="8" s="1"/>
  <c r="GP49" i="8"/>
  <c r="GP70" i="8" s="1"/>
  <c r="GO49" i="8"/>
  <c r="GO70" i="8" s="1"/>
  <c r="GN49" i="8"/>
  <c r="GN70" i="8" s="1"/>
  <c r="GM49" i="8"/>
  <c r="GM70" i="8" s="1"/>
  <c r="GL49" i="8"/>
  <c r="GL70" i="8" s="1"/>
  <c r="GK49" i="8"/>
  <c r="GK70" i="8" s="1"/>
  <c r="GJ49" i="8"/>
  <c r="GJ70" i="8" s="1"/>
  <c r="GI49" i="8"/>
  <c r="GI70" i="8" s="1"/>
  <c r="GH49" i="8"/>
  <c r="GH70" i="8" s="1"/>
  <c r="GG49" i="8"/>
  <c r="GG70" i="8" s="1"/>
  <c r="GF49" i="8"/>
  <c r="GF70" i="8" s="1"/>
  <c r="GE49" i="8"/>
  <c r="GE70" i="8" s="1"/>
  <c r="GD49" i="8"/>
  <c r="GD70" i="8" s="1"/>
  <c r="GC49" i="8"/>
  <c r="GC70" i="8" s="1"/>
  <c r="GB49" i="8"/>
  <c r="GB70" i="8" s="1"/>
  <c r="GA49" i="8"/>
  <c r="GA70" i="8" s="1"/>
  <c r="FZ49" i="8"/>
  <c r="FZ70" i="8" s="1"/>
  <c r="FY49" i="8"/>
  <c r="FX49" i="8"/>
  <c r="FX70" i="8" s="1"/>
  <c r="FW49" i="8"/>
  <c r="FW70" i="8" s="1"/>
  <c r="FV49" i="8"/>
  <c r="FV70" i="8" s="1"/>
  <c r="FU49" i="8"/>
  <c r="FU70" i="8" s="1"/>
  <c r="FT49" i="8"/>
  <c r="FT70" i="8" s="1"/>
  <c r="FO49" i="8"/>
  <c r="FO70" i="8" s="1"/>
  <c r="FM49" i="8"/>
  <c r="FM70" i="8" s="1"/>
  <c r="FL49" i="8"/>
  <c r="FL70" i="8" s="1"/>
  <c r="FK49" i="8"/>
  <c r="FK70" i="8" s="1"/>
  <c r="FJ49" i="8"/>
  <c r="FJ70" i="8" s="1"/>
  <c r="FI49" i="8"/>
  <c r="FI70" i="8" s="1"/>
  <c r="FH49" i="8"/>
  <c r="FH70" i="8" s="1"/>
  <c r="FG49" i="8"/>
  <c r="FG70" i="8" s="1"/>
  <c r="FF49" i="8"/>
  <c r="FF70" i="8" s="1"/>
  <c r="FE49" i="8"/>
  <c r="FE70" i="8" s="1"/>
  <c r="FD49" i="8"/>
  <c r="FD70" i="8" s="1"/>
  <c r="FC49" i="8"/>
  <c r="FC70" i="8" s="1"/>
  <c r="FB49" i="8"/>
  <c r="FB70" i="8" s="1"/>
  <c r="FA49" i="8"/>
  <c r="FA70" i="8" s="1"/>
  <c r="EZ49" i="8"/>
  <c r="EZ70" i="8" s="1"/>
  <c r="EY49" i="8"/>
  <c r="EY70" i="8" s="1"/>
  <c r="EX49" i="8"/>
  <c r="EX70" i="8" s="1"/>
  <c r="EW49" i="8"/>
  <c r="EW70" i="8" s="1"/>
  <c r="EV49" i="8"/>
  <c r="EV70" i="8" s="1"/>
  <c r="EU49" i="8"/>
  <c r="EU70" i="8" s="1"/>
  <c r="ET49" i="8"/>
  <c r="ET70" i="8" s="1"/>
  <c r="ES49" i="8"/>
  <c r="ES70" i="8" s="1"/>
  <c r="ER49" i="8"/>
  <c r="ER70" i="8" s="1"/>
  <c r="EQ49" i="8"/>
  <c r="EQ70" i="8" s="1"/>
  <c r="EP49" i="8"/>
  <c r="EP70" i="8" s="1"/>
  <c r="EO49" i="8"/>
  <c r="EO70" i="8" s="1"/>
  <c r="EN49" i="8"/>
  <c r="EN70" i="8" s="1"/>
  <c r="EM49" i="8"/>
  <c r="EM70" i="8" s="1"/>
  <c r="EL49" i="8"/>
  <c r="EL70" i="8" s="1"/>
  <c r="EK49" i="8"/>
  <c r="EK70" i="8" s="1"/>
  <c r="EJ49" i="8"/>
  <c r="EJ70" i="8" s="1"/>
  <c r="EI49" i="8"/>
  <c r="EI70" i="8" s="1"/>
  <c r="EH49" i="8"/>
  <c r="EH70" i="8" s="1"/>
  <c r="EG49" i="8"/>
  <c r="EG70" i="8" s="1"/>
  <c r="EF49" i="8"/>
  <c r="EF70" i="8" s="1"/>
  <c r="EE49" i="8"/>
  <c r="EE70" i="8" s="1"/>
  <c r="ED49" i="8"/>
  <c r="ED70" i="8" s="1"/>
  <c r="EC49" i="8"/>
  <c r="EC70" i="8" s="1"/>
  <c r="EB49" i="8"/>
  <c r="EB70" i="8" s="1"/>
  <c r="EA49" i="8"/>
  <c r="EA70" i="8" s="1"/>
  <c r="DZ49" i="8"/>
  <c r="DZ70" i="8" s="1"/>
  <c r="DY49" i="8"/>
  <c r="DY70" i="8" s="1"/>
  <c r="DX49" i="8"/>
  <c r="DX70" i="8" s="1"/>
  <c r="DW49" i="8"/>
  <c r="DW70" i="8" s="1"/>
  <c r="DV49" i="8"/>
  <c r="DV70" i="8" s="1"/>
  <c r="DU49" i="8"/>
  <c r="DU70" i="8" s="1"/>
  <c r="DT49" i="8"/>
  <c r="DT70" i="8" s="1"/>
  <c r="DS49" i="8"/>
  <c r="DS70" i="8" s="1"/>
  <c r="DR49" i="8"/>
  <c r="DR70" i="8" s="1"/>
  <c r="DQ49" i="8"/>
  <c r="DP49" i="8"/>
  <c r="DP70" i="8" s="1"/>
  <c r="DO49" i="8"/>
  <c r="DO70" i="8" s="1"/>
  <c r="DN49" i="8"/>
  <c r="DN70" i="8" s="1"/>
  <c r="DM49" i="8"/>
  <c r="DM70" i="8" s="1"/>
  <c r="DL49" i="8"/>
  <c r="DL70" i="8" s="1"/>
  <c r="DK49" i="8"/>
  <c r="DK70" i="8" s="1"/>
  <c r="DJ49" i="8"/>
  <c r="DJ70" i="8" s="1"/>
  <c r="DI49" i="8"/>
  <c r="DI70" i="8" s="1"/>
  <c r="DH49" i="8"/>
  <c r="DH70" i="8" s="1"/>
  <c r="DG49" i="8"/>
  <c r="DG70" i="8" s="1"/>
  <c r="DF49" i="8"/>
  <c r="DF70" i="8" s="1"/>
  <c r="DE49" i="8"/>
  <c r="DE70" i="8" s="1"/>
  <c r="DD49" i="8"/>
  <c r="DD70" i="8" s="1"/>
  <c r="DC49" i="8"/>
  <c r="DC70" i="8" s="1"/>
  <c r="DB49" i="8"/>
  <c r="DB70" i="8" s="1"/>
  <c r="DA49" i="8"/>
  <c r="CZ49" i="8"/>
  <c r="CZ70" i="8" s="1"/>
  <c r="CY49" i="8"/>
  <c r="CY70" i="8" s="1"/>
  <c r="CX49" i="8"/>
  <c r="CX70" i="8" s="1"/>
  <c r="CW49" i="8"/>
  <c r="CW70" i="8" s="1"/>
  <c r="CV49" i="8"/>
  <c r="CV70" i="8" s="1"/>
  <c r="CU49" i="8"/>
  <c r="CU70" i="8" s="1"/>
  <c r="CT49" i="8"/>
  <c r="CT70" i="8" s="1"/>
  <c r="CS49" i="8"/>
  <c r="CS70" i="8" s="1"/>
  <c r="CR49" i="8"/>
  <c r="CR70" i="8" s="1"/>
  <c r="CQ49" i="8"/>
  <c r="CQ70" i="8" s="1"/>
  <c r="CP49" i="8"/>
  <c r="CP70" i="8" s="1"/>
  <c r="CO49" i="8"/>
  <c r="CO70" i="8" s="1"/>
  <c r="CN49" i="8"/>
  <c r="CN70" i="8" s="1"/>
  <c r="CM49" i="8"/>
  <c r="CM70" i="8" s="1"/>
  <c r="CL49" i="8"/>
  <c r="CL70" i="8" s="1"/>
  <c r="CK49" i="8"/>
  <c r="CK70" i="8" s="1"/>
  <c r="CJ49" i="8"/>
  <c r="CJ70" i="8" s="1"/>
  <c r="CI49" i="8"/>
  <c r="CI70" i="8" s="1"/>
  <c r="CH49" i="8"/>
  <c r="CH70" i="8" s="1"/>
  <c r="CG49" i="8"/>
  <c r="CG70" i="8" s="1"/>
  <c r="CF49" i="8"/>
  <c r="CF70" i="8" s="1"/>
  <c r="CE49" i="8"/>
  <c r="CE70" i="8" s="1"/>
  <c r="CD49" i="8"/>
  <c r="CD70" i="8" s="1"/>
  <c r="CC49" i="8"/>
  <c r="CC70" i="8" s="1"/>
  <c r="CB49" i="8"/>
  <c r="CB70" i="8" s="1"/>
  <c r="CA49" i="8"/>
  <c r="CA70" i="8" s="1"/>
  <c r="BZ49" i="8"/>
  <c r="BZ70" i="8" s="1"/>
  <c r="BY49" i="8"/>
  <c r="BY70" i="8" s="1"/>
  <c r="BX49" i="8"/>
  <c r="BX70" i="8" s="1"/>
  <c r="BW49" i="8"/>
  <c r="BW70" i="8" s="1"/>
  <c r="BV49" i="8"/>
  <c r="BV70" i="8" s="1"/>
  <c r="BU49" i="8"/>
  <c r="BU70" i="8" s="1"/>
  <c r="BT49" i="8"/>
  <c r="BT70" i="8" s="1"/>
  <c r="BS49" i="8"/>
  <c r="BS70" i="8" s="1"/>
  <c r="BR49" i="8"/>
  <c r="BR70" i="8" s="1"/>
  <c r="BQ49" i="8"/>
  <c r="BQ70" i="8" s="1"/>
  <c r="BP49" i="8"/>
  <c r="BP70" i="8" s="1"/>
  <c r="BO49" i="8"/>
  <c r="BO70" i="8" s="1"/>
  <c r="BN49" i="8"/>
  <c r="BN70" i="8" s="1"/>
  <c r="BM49" i="8"/>
  <c r="BM70" i="8" s="1"/>
  <c r="BL49" i="8"/>
  <c r="BL70" i="8" s="1"/>
  <c r="BK49" i="8"/>
  <c r="BK70" i="8" s="1"/>
  <c r="BJ49" i="8"/>
  <c r="BJ70" i="8" s="1"/>
  <c r="BI49" i="8"/>
  <c r="BI70" i="8" s="1"/>
  <c r="BH49" i="8"/>
  <c r="BH70" i="8" s="1"/>
  <c r="BG49" i="8"/>
  <c r="BG70" i="8" s="1"/>
  <c r="BF49" i="8"/>
  <c r="BF70" i="8" s="1"/>
  <c r="BE49" i="8"/>
  <c r="BE70" i="8" s="1"/>
  <c r="BD49" i="8"/>
  <c r="BD70" i="8" s="1"/>
  <c r="BC49" i="8"/>
  <c r="BC70" i="8" s="1"/>
  <c r="BB49" i="8"/>
  <c r="BB70" i="8" s="1"/>
  <c r="BA49" i="8"/>
  <c r="BA70" i="8" s="1"/>
  <c r="AZ49" i="8"/>
  <c r="AZ70" i="8" s="1"/>
  <c r="AY49" i="8"/>
  <c r="AY70" i="8" s="1"/>
  <c r="AX49" i="8"/>
  <c r="AX70" i="8" s="1"/>
  <c r="AW49" i="8"/>
  <c r="AW70" i="8" s="1"/>
  <c r="AV49" i="8"/>
  <c r="AV70" i="8" s="1"/>
  <c r="AU49" i="8"/>
  <c r="AU70" i="8" s="1"/>
  <c r="AT49" i="8"/>
  <c r="AT70" i="8" s="1"/>
  <c r="AS49" i="8"/>
  <c r="AS70" i="8" s="1"/>
  <c r="AR49" i="8"/>
  <c r="AR70" i="8" s="1"/>
  <c r="AQ49" i="8"/>
  <c r="AQ70" i="8" s="1"/>
  <c r="AP49" i="8"/>
  <c r="AP70" i="8" s="1"/>
  <c r="AO49" i="8"/>
  <c r="AO70" i="8" s="1"/>
  <c r="AN49" i="8"/>
  <c r="AN70" i="8" s="1"/>
  <c r="AM49" i="8"/>
  <c r="AM70" i="8" s="1"/>
  <c r="AL49" i="8"/>
  <c r="AL70" i="8" s="1"/>
  <c r="AK49" i="8"/>
  <c r="AK70" i="8" s="1"/>
  <c r="AJ49" i="8"/>
  <c r="AJ70" i="8" s="1"/>
  <c r="AI49" i="8"/>
  <c r="AI70" i="8" s="1"/>
  <c r="AH49" i="8"/>
  <c r="AH70" i="8" s="1"/>
  <c r="AG49" i="8"/>
  <c r="AG70" i="8" s="1"/>
  <c r="AF49" i="8"/>
  <c r="AF70" i="8" s="1"/>
  <c r="AE49" i="8"/>
  <c r="AE70" i="8" s="1"/>
  <c r="AD49" i="8"/>
  <c r="AD70" i="8" s="1"/>
  <c r="AC49" i="8"/>
  <c r="AC70" i="8" s="1"/>
  <c r="AB49" i="8"/>
  <c r="AB70" i="8" s="1"/>
  <c r="AA49" i="8"/>
  <c r="AA70" i="8" s="1"/>
  <c r="Z49" i="8"/>
  <c r="Z70" i="8" s="1"/>
  <c r="Y49" i="8"/>
  <c r="Y70" i="8" s="1"/>
  <c r="X49" i="8"/>
  <c r="X70" i="8" s="1"/>
  <c r="W49" i="8"/>
  <c r="W70" i="8" s="1"/>
  <c r="V49" i="8"/>
  <c r="V70" i="8" s="1"/>
  <c r="U49" i="8"/>
  <c r="U70" i="8" s="1"/>
  <c r="T49" i="8"/>
  <c r="T70" i="8" s="1"/>
  <c r="S49" i="8"/>
  <c r="S70" i="8" s="1"/>
  <c r="R49" i="8"/>
  <c r="R70" i="8" s="1"/>
  <c r="Q49" i="8"/>
  <c r="Q70" i="8" s="1"/>
  <c r="P49" i="8"/>
  <c r="P70" i="8" s="1"/>
  <c r="O49" i="8"/>
  <c r="O70" i="8" s="1"/>
  <c r="N49" i="8"/>
  <c r="N70" i="8" s="1"/>
  <c r="M49" i="8"/>
  <c r="M70" i="8" s="1"/>
  <c r="L49" i="8"/>
  <c r="L70" i="8" s="1"/>
  <c r="K49" i="8"/>
  <c r="K70" i="8" s="1"/>
  <c r="J49" i="8"/>
  <c r="J70" i="8" s="1"/>
  <c r="I49" i="8"/>
  <c r="I70" i="8" s="1"/>
  <c r="H49" i="8"/>
  <c r="H70" i="8" s="1"/>
  <c r="G49" i="8"/>
  <c r="G70" i="8" s="1"/>
  <c r="F49" i="8"/>
  <c r="F70" i="8" s="1"/>
  <c r="E49" i="8"/>
  <c r="E70" i="8" s="1"/>
  <c r="D49" i="8"/>
  <c r="D70" i="8" s="1"/>
  <c r="C49" i="8"/>
  <c r="C70" i="8" s="1"/>
  <c r="OT48" i="8"/>
  <c r="OS48" i="8"/>
  <c r="OS69" i="8" s="1"/>
  <c r="NO48" i="8"/>
  <c r="NO69" i="8" s="1"/>
  <c r="NN48" i="8"/>
  <c r="NN69" i="8" s="1"/>
  <c r="NM48" i="8"/>
  <c r="NM69" i="8" s="1"/>
  <c r="NL48" i="8"/>
  <c r="NL69" i="8" s="1"/>
  <c r="NK48" i="8"/>
  <c r="NK69" i="8" s="1"/>
  <c r="NJ48" i="8"/>
  <c r="NJ69" i="8" s="1"/>
  <c r="NI48" i="8"/>
  <c r="NI69" i="8" s="1"/>
  <c r="NH48" i="8"/>
  <c r="NH69" i="8" s="1"/>
  <c r="NG48" i="8"/>
  <c r="NG69" i="8" s="1"/>
  <c r="NF48" i="8"/>
  <c r="NF69" i="8" s="1"/>
  <c r="NE48" i="8"/>
  <c r="NE69" i="8" s="1"/>
  <c r="ND48" i="8"/>
  <c r="ND69" i="8" s="1"/>
  <c r="NC48" i="8"/>
  <c r="NC69" i="8" s="1"/>
  <c r="NB48" i="8"/>
  <c r="NB69" i="8" s="1"/>
  <c r="NA48" i="8"/>
  <c r="NA69" i="8" s="1"/>
  <c r="MZ48" i="8"/>
  <c r="MZ69" i="8" s="1"/>
  <c r="MY48" i="8"/>
  <c r="MY69" i="8" s="1"/>
  <c r="MX48" i="8"/>
  <c r="MX69" i="8" s="1"/>
  <c r="MW48" i="8"/>
  <c r="MW69" i="8" s="1"/>
  <c r="MV48" i="8"/>
  <c r="MV69" i="8" s="1"/>
  <c r="MU48" i="8"/>
  <c r="MU69" i="8" s="1"/>
  <c r="MT48" i="8"/>
  <c r="MT69" i="8" s="1"/>
  <c r="MS48" i="8"/>
  <c r="MS69" i="8" s="1"/>
  <c r="MR48" i="8"/>
  <c r="MR69" i="8" s="1"/>
  <c r="MQ48" i="8"/>
  <c r="MQ69" i="8" s="1"/>
  <c r="MP48" i="8"/>
  <c r="MP69" i="8" s="1"/>
  <c r="MO48" i="8"/>
  <c r="MO69" i="8" s="1"/>
  <c r="MN48" i="8"/>
  <c r="MN69" i="8" s="1"/>
  <c r="MM48" i="8"/>
  <c r="MM69" i="8" s="1"/>
  <c r="ML48" i="8"/>
  <c r="ML69" i="8" s="1"/>
  <c r="MK48" i="8"/>
  <c r="MK69" i="8" s="1"/>
  <c r="MJ48" i="8"/>
  <c r="MJ69" i="8" s="1"/>
  <c r="MI48" i="8"/>
  <c r="MI69" i="8" s="1"/>
  <c r="MH48" i="8"/>
  <c r="MH69" i="8" s="1"/>
  <c r="MG48" i="8"/>
  <c r="MG69" i="8" s="1"/>
  <c r="MF48" i="8"/>
  <c r="MF69" i="8" s="1"/>
  <c r="ME48" i="8"/>
  <c r="ME69" i="8" s="1"/>
  <c r="MD48" i="8"/>
  <c r="MD69" i="8" s="1"/>
  <c r="MC48" i="8"/>
  <c r="MC69" i="8" s="1"/>
  <c r="MB48" i="8"/>
  <c r="MB69" i="8" s="1"/>
  <c r="MA48" i="8"/>
  <c r="MA69" i="8" s="1"/>
  <c r="LZ48" i="8"/>
  <c r="LZ69" i="8" s="1"/>
  <c r="LY48" i="8"/>
  <c r="LY69" i="8" s="1"/>
  <c r="LX48" i="8"/>
  <c r="LX69" i="8" s="1"/>
  <c r="LW48" i="8"/>
  <c r="LW69" i="8" s="1"/>
  <c r="LV48" i="8"/>
  <c r="LV69" i="8" s="1"/>
  <c r="LU48" i="8"/>
  <c r="LU69" i="8" s="1"/>
  <c r="LT48" i="8"/>
  <c r="LT69" i="8" s="1"/>
  <c r="LS48" i="8"/>
  <c r="LS69" i="8" s="1"/>
  <c r="LR48" i="8"/>
  <c r="LR69" i="8" s="1"/>
  <c r="LQ48" i="8"/>
  <c r="LQ69" i="8" s="1"/>
  <c r="LP48" i="8"/>
  <c r="LP69" i="8" s="1"/>
  <c r="LO48" i="8"/>
  <c r="LO69" i="8" s="1"/>
  <c r="LN48" i="8"/>
  <c r="LN69" i="8" s="1"/>
  <c r="LM48" i="8"/>
  <c r="LM69" i="8" s="1"/>
  <c r="LL48" i="8"/>
  <c r="LL69" i="8" s="1"/>
  <c r="LK48" i="8"/>
  <c r="LK69" i="8" s="1"/>
  <c r="LJ48" i="8"/>
  <c r="LJ69" i="8" s="1"/>
  <c r="LI48" i="8"/>
  <c r="LI69" i="8" s="1"/>
  <c r="LH48" i="8"/>
  <c r="LH69" i="8" s="1"/>
  <c r="LG48" i="8"/>
  <c r="LG69" i="8" s="1"/>
  <c r="LF48" i="8"/>
  <c r="LF69" i="8" s="1"/>
  <c r="LE48" i="8"/>
  <c r="LD48" i="8"/>
  <c r="LD69" i="8" s="1"/>
  <c r="LC48" i="8"/>
  <c r="LC69" i="8" s="1"/>
  <c r="LB48" i="8"/>
  <c r="LB69" i="8" s="1"/>
  <c r="LA48" i="8"/>
  <c r="LA69" i="8" s="1"/>
  <c r="KZ48" i="8"/>
  <c r="KZ69" i="8" s="1"/>
  <c r="KY48" i="8"/>
  <c r="KY69" i="8" s="1"/>
  <c r="KX48" i="8"/>
  <c r="KX69" i="8" s="1"/>
  <c r="KW48" i="8"/>
  <c r="KW69" i="8" s="1"/>
  <c r="KV48" i="8"/>
  <c r="KV69" i="8" s="1"/>
  <c r="KU48" i="8"/>
  <c r="KU69" i="8" s="1"/>
  <c r="KT48" i="8"/>
  <c r="KT69" i="8" s="1"/>
  <c r="KS48" i="8"/>
  <c r="KS69" i="8" s="1"/>
  <c r="KR48" i="8"/>
  <c r="KR69" i="8" s="1"/>
  <c r="KQ48" i="8"/>
  <c r="KQ69" i="8" s="1"/>
  <c r="KP48" i="8"/>
  <c r="KP69" i="8" s="1"/>
  <c r="KO48" i="8"/>
  <c r="KO69" i="8" s="1"/>
  <c r="KN48" i="8"/>
  <c r="KN69" i="8" s="1"/>
  <c r="KM48" i="8"/>
  <c r="KM69" i="8" s="1"/>
  <c r="KL48" i="8"/>
  <c r="KL69" i="8" s="1"/>
  <c r="KK48" i="8"/>
  <c r="KK69" i="8" s="1"/>
  <c r="KJ48" i="8"/>
  <c r="KJ69" i="8" s="1"/>
  <c r="KI48" i="8"/>
  <c r="KI69" i="8" s="1"/>
  <c r="KH48" i="8"/>
  <c r="KH69" i="8" s="1"/>
  <c r="KG48" i="8"/>
  <c r="KG69" i="8" s="1"/>
  <c r="KF48" i="8"/>
  <c r="KF69" i="8" s="1"/>
  <c r="KE48" i="8"/>
  <c r="KE69" i="8" s="1"/>
  <c r="KD48" i="8"/>
  <c r="KD69" i="8" s="1"/>
  <c r="KC48" i="8"/>
  <c r="KC69" i="8" s="1"/>
  <c r="KB48" i="8"/>
  <c r="KB69" i="8" s="1"/>
  <c r="KA48" i="8"/>
  <c r="KA69" i="8" s="1"/>
  <c r="JZ48" i="8"/>
  <c r="JZ69" i="8" s="1"/>
  <c r="JY48" i="8"/>
  <c r="JY69" i="8" s="1"/>
  <c r="JX48" i="8"/>
  <c r="JX69" i="8" s="1"/>
  <c r="JW48" i="8"/>
  <c r="JW69" i="8" s="1"/>
  <c r="JV48" i="8"/>
  <c r="JV69" i="8" s="1"/>
  <c r="JU48" i="8"/>
  <c r="JU69" i="8" s="1"/>
  <c r="JT48" i="8"/>
  <c r="JT69" i="8" s="1"/>
  <c r="JS48" i="8"/>
  <c r="JS69" i="8" s="1"/>
  <c r="JR48" i="8"/>
  <c r="JR69" i="8" s="1"/>
  <c r="JQ48" i="8"/>
  <c r="JQ69" i="8" s="1"/>
  <c r="JP48" i="8"/>
  <c r="JP69" i="8" s="1"/>
  <c r="JO48" i="8"/>
  <c r="JO69" i="8" s="1"/>
  <c r="JN48" i="8"/>
  <c r="JN69" i="8" s="1"/>
  <c r="JM48" i="8"/>
  <c r="JM69" i="8" s="1"/>
  <c r="JL48" i="8"/>
  <c r="JL69" i="8" s="1"/>
  <c r="JK48" i="8"/>
  <c r="JK69" i="8" s="1"/>
  <c r="JJ48" i="8"/>
  <c r="JJ69" i="8" s="1"/>
  <c r="JI48" i="8"/>
  <c r="JI69" i="8" s="1"/>
  <c r="JH48" i="8"/>
  <c r="JH69" i="8" s="1"/>
  <c r="JG48" i="8"/>
  <c r="JG69" i="8" s="1"/>
  <c r="JF48" i="8"/>
  <c r="JF69" i="8" s="1"/>
  <c r="JE48" i="8"/>
  <c r="JE69" i="8" s="1"/>
  <c r="JD48" i="8"/>
  <c r="JD69" i="8" s="1"/>
  <c r="JC48" i="8"/>
  <c r="JC69" i="8" s="1"/>
  <c r="JB48" i="8"/>
  <c r="JB69" i="8" s="1"/>
  <c r="JA48" i="8"/>
  <c r="JA69" i="8" s="1"/>
  <c r="IZ48" i="8"/>
  <c r="IZ69" i="8" s="1"/>
  <c r="IY48" i="8"/>
  <c r="IY69" i="8" s="1"/>
  <c r="IX48" i="8"/>
  <c r="IX69" i="8" s="1"/>
  <c r="IW48" i="8"/>
  <c r="IW69" i="8" s="1"/>
  <c r="IV48" i="8"/>
  <c r="IV69" i="8" s="1"/>
  <c r="IU48" i="8"/>
  <c r="IU69" i="8" s="1"/>
  <c r="IT48" i="8"/>
  <c r="IT69" i="8" s="1"/>
  <c r="IS48" i="8"/>
  <c r="IS69" i="8" s="1"/>
  <c r="IR48" i="8"/>
  <c r="IR69" i="8" s="1"/>
  <c r="IQ48" i="8"/>
  <c r="IQ69" i="8" s="1"/>
  <c r="IP48" i="8"/>
  <c r="IP69" i="8" s="1"/>
  <c r="IO48" i="8"/>
  <c r="IO69" i="8" s="1"/>
  <c r="IN48" i="8"/>
  <c r="IN69" i="8" s="1"/>
  <c r="IM48" i="8"/>
  <c r="IM69" i="8" s="1"/>
  <c r="IL48" i="8"/>
  <c r="IL69" i="8" s="1"/>
  <c r="IK48" i="8"/>
  <c r="IK69" i="8" s="1"/>
  <c r="IJ48" i="8"/>
  <c r="IJ69" i="8" s="1"/>
  <c r="II48" i="8"/>
  <c r="II69" i="8" s="1"/>
  <c r="IH48" i="8"/>
  <c r="IH69" i="8" s="1"/>
  <c r="IG48" i="8"/>
  <c r="IG69" i="8" s="1"/>
  <c r="IF48" i="8"/>
  <c r="IF69" i="8" s="1"/>
  <c r="IE48" i="8"/>
  <c r="IE69" i="8" s="1"/>
  <c r="ID48" i="8"/>
  <c r="ID69" i="8" s="1"/>
  <c r="IC48" i="8"/>
  <c r="IC69" i="8" s="1"/>
  <c r="IB48" i="8"/>
  <c r="IB69" i="8" s="1"/>
  <c r="IA48" i="8"/>
  <c r="IA69" i="8" s="1"/>
  <c r="HZ48" i="8"/>
  <c r="HZ69" i="8" s="1"/>
  <c r="HY48" i="8"/>
  <c r="HY69" i="8" s="1"/>
  <c r="HX48" i="8"/>
  <c r="HX69" i="8" s="1"/>
  <c r="HW48" i="8"/>
  <c r="HW69" i="8" s="1"/>
  <c r="HV48" i="8"/>
  <c r="HV69" i="8" s="1"/>
  <c r="HU48" i="8"/>
  <c r="HU69" i="8" s="1"/>
  <c r="HT48" i="8"/>
  <c r="HT69" i="8" s="1"/>
  <c r="HS48" i="8"/>
  <c r="HS69" i="8" s="1"/>
  <c r="HR48" i="8"/>
  <c r="HR69" i="8" s="1"/>
  <c r="HQ48" i="8"/>
  <c r="HQ69" i="8" s="1"/>
  <c r="HP48" i="8"/>
  <c r="HP69" i="8" s="1"/>
  <c r="HO48" i="8"/>
  <c r="HO69" i="8" s="1"/>
  <c r="HN48" i="8"/>
  <c r="HN69" i="8" s="1"/>
  <c r="HM48" i="8"/>
  <c r="HM69" i="8" s="1"/>
  <c r="HL48" i="8"/>
  <c r="HL69" i="8" s="1"/>
  <c r="HK48" i="8"/>
  <c r="HK69" i="8" s="1"/>
  <c r="HJ48" i="8"/>
  <c r="HJ69" i="8" s="1"/>
  <c r="HI48" i="8"/>
  <c r="HI69" i="8" s="1"/>
  <c r="HH48" i="8"/>
  <c r="HH69" i="8" s="1"/>
  <c r="HG48" i="8"/>
  <c r="HG69" i="8" s="1"/>
  <c r="HF48" i="8"/>
  <c r="HF69" i="8" s="1"/>
  <c r="HE48" i="8"/>
  <c r="HE69" i="8" s="1"/>
  <c r="HD48" i="8"/>
  <c r="HD69" i="8" s="1"/>
  <c r="HC48" i="8"/>
  <c r="HC69" i="8" s="1"/>
  <c r="HB48" i="8"/>
  <c r="HB69" i="8" s="1"/>
  <c r="HA48" i="8"/>
  <c r="HA69" i="8" s="1"/>
  <c r="GZ48" i="8"/>
  <c r="GZ69" i="8" s="1"/>
  <c r="GY48" i="8"/>
  <c r="GY69" i="8" s="1"/>
  <c r="GX48" i="8"/>
  <c r="GX69" i="8" s="1"/>
  <c r="GW48" i="8"/>
  <c r="GW69" i="8" s="1"/>
  <c r="GV48" i="8"/>
  <c r="GV69" i="8" s="1"/>
  <c r="GU48" i="8"/>
  <c r="GU69" i="8" s="1"/>
  <c r="GT48" i="8"/>
  <c r="GT69" i="8" s="1"/>
  <c r="GS48" i="8"/>
  <c r="GS69" i="8" s="1"/>
  <c r="GR48" i="8"/>
  <c r="GR69" i="8" s="1"/>
  <c r="GQ48" i="8"/>
  <c r="GQ69" i="8" s="1"/>
  <c r="GP48" i="8"/>
  <c r="GP69" i="8" s="1"/>
  <c r="GO48" i="8"/>
  <c r="GO69" i="8" s="1"/>
  <c r="GN48" i="8"/>
  <c r="GN69" i="8" s="1"/>
  <c r="GM48" i="8"/>
  <c r="GM69" i="8" s="1"/>
  <c r="GL48" i="8"/>
  <c r="GL69" i="8" s="1"/>
  <c r="GK48" i="8"/>
  <c r="GK69" i="8" s="1"/>
  <c r="GJ48" i="8"/>
  <c r="GJ69" i="8" s="1"/>
  <c r="GI48" i="8"/>
  <c r="GI69" i="8" s="1"/>
  <c r="GH48" i="8"/>
  <c r="GH69" i="8" s="1"/>
  <c r="GG48" i="8"/>
  <c r="GG69" i="8" s="1"/>
  <c r="GF48" i="8"/>
  <c r="GF69" i="8" s="1"/>
  <c r="GE48" i="8"/>
  <c r="GE69" i="8" s="1"/>
  <c r="GD48" i="8"/>
  <c r="GD69" i="8" s="1"/>
  <c r="GC48" i="8"/>
  <c r="GC69" i="8" s="1"/>
  <c r="GB48" i="8"/>
  <c r="GB69" i="8" s="1"/>
  <c r="GA48" i="8"/>
  <c r="GA69" i="8" s="1"/>
  <c r="FZ48" i="8"/>
  <c r="FZ69" i="8" s="1"/>
  <c r="FY48" i="8"/>
  <c r="FY69" i="8" s="1"/>
  <c r="FX48" i="8"/>
  <c r="FX69" i="8" s="1"/>
  <c r="FW48" i="8"/>
  <c r="FW69" i="8" s="1"/>
  <c r="FV48" i="8"/>
  <c r="FV69" i="8" s="1"/>
  <c r="FU48" i="8"/>
  <c r="FU69" i="8" s="1"/>
  <c r="FT48" i="8"/>
  <c r="FT69" i="8" s="1"/>
  <c r="FO48" i="8"/>
  <c r="FO69" i="8" s="1"/>
  <c r="FM48" i="8"/>
  <c r="FM69" i="8" s="1"/>
  <c r="FL48" i="8"/>
  <c r="FL69" i="8" s="1"/>
  <c r="FK48" i="8"/>
  <c r="FK69" i="8" s="1"/>
  <c r="FJ48" i="8"/>
  <c r="FJ69" i="8" s="1"/>
  <c r="FI48" i="8"/>
  <c r="FI69" i="8" s="1"/>
  <c r="FH48" i="8"/>
  <c r="FH69" i="8" s="1"/>
  <c r="FG48" i="8"/>
  <c r="FG69" i="8" s="1"/>
  <c r="FF48" i="8"/>
  <c r="FF69" i="8" s="1"/>
  <c r="FE48" i="8"/>
  <c r="FE69" i="8" s="1"/>
  <c r="FD48" i="8"/>
  <c r="FD69" i="8" s="1"/>
  <c r="FC48" i="8"/>
  <c r="FC69" i="8" s="1"/>
  <c r="FB48" i="8"/>
  <c r="FB69" i="8" s="1"/>
  <c r="FA48" i="8"/>
  <c r="FA69" i="8" s="1"/>
  <c r="EZ48" i="8"/>
  <c r="EZ69" i="8" s="1"/>
  <c r="EY48" i="8"/>
  <c r="EY69" i="8" s="1"/>
  <c r="EX48" i="8"/>
  <c r="EX69" i="8" s="1"/>
  <c r="EW48" i="8"/>
  <c r="EW69" i="8" s="1"/>
  <c r="EV48" i="8"/>
  <c r="EV69" i="8" s="1"/>
  <c r="EU48" i="8"/>
  <c r="EU69" i="8" s="1"/>
  <c r="ET48" i="8"/>
  <c r="ET69" i="8" s="1"/>
  <c r="ES48" i="8"/>
  <c r="ES69" i="8" s="1"/>
  <c r="ER48" i="8"/>
  <c r="ER69" i="8" s="1"/>
  <c r="EQ48" i="8"/>
  <c r="EQ69" i="8" s="1"/>
  <c r="EP48" i="8"/>
  <c r="EP69" i="8" s="1"/>
  <c r="EO48" i="8"/>
  <c r="EO69" i="8" s="1"/>
  <c r="EN48" i="8"/>
  <c r="EN69" i="8" s="1"/>
  <c r="EM48" i="8"/>
  <c r="EM69" i="8" s="1"/>
  <c r="EL48" i="8"/>
  <c r="EL69" i="8" s="1"/>
  <c r="EK48" i="8"/>
  <c r="EK69" i="8" s="1"/>
  <c r="EJ48" i="8"/>
  <c r="EJ69" i="8" s="1"/>
  <c r="EI48" i="8"/>
  <c r="EI69" i="8" s="1"/>
  <c r="EH48" i="8"/>
  <c r="EG48" i="8"/>
  <c r="EG69" i="8" s="1"/>
  <c r="EF48" i="8"/>
  <c r="EF69" i="8" s="1"/>
  <c r="EE48" i="8"/>
  <c r="EE69" i="8" s="1"/>
  <c r="ED48" i="8"/>
  <c r="ED69" i="8" s="1"/>
  <c r="EC48" i="8"/>
  <c r="EC69" i="8" s="1"/>
  <c r="EB48" i="8"/>
  <c r="EB69" i="8" s="1"/>
  <c r="EA48" i="8"/>
  <c r="EA69" i="8" s="1"/>
  <c r="DZ48" i="8"/>
  <c r="DZ69" i="8" s="1"/>
  <c r="DY48" i="8"/>
  <c r="DY69" i="8" s="1"/>
  <c r="DX48" i="8"/>
  <c r="DX69" i="8" s="1"/>
  <c r="DW48" i="8"/>
  <c r="DW69" i="8" s="1"/>
  <c r="DV48" i="8"/>
  <c r="DV69" i="8" s="1"/>
  <c r="DU48" i="8"/>
  <c r="DU69" i="8" s="1"/>
  <c r="DT48" i="8"/>
  <c r="DT69" i="8" s="1"/>
  <c r="DS48" i="8"/>
  <c r="DS69" i="8" s="1"/>
  <c r="DR48" i="8"/>
  <c r="DR69" i="8" s="1"/>
  <c r="DQ48" i="8"/>
  <c r="DQ69" i="8" s="1"/>
  <c r="DP48" i="8"/>
  <c r="DP69" i="8" s="1"/>
  <c r="DO48" i="8"/>
  <c r="DO69" i="8" s="1"/>
  <c r="DN48" i="8"/>
  <c r="DN69" i="8" s="1"/>
  <c r="DM48" i="8"/>
  <c r="DM69" i="8" s="1"/>
  <c r="DL48" i="8"/>
  <c r="DL69" i="8" s="1"/>
  <c r="DK48" i="8"/>
  <c r="DK69" i="8" s="1"/>
  <c r="DJ48" i="8"/>
  <c r="DJ69" i="8" s="1"/>
  <c r="DI48" i="8"/>
  <c r="DI69" i="8" s="1"/>
  <c r="DH48" i="8"/>
  <c r="DH69" i="8" s="1"/>
  <c r="DG48" i="8"/>
  <c r="DG69" i="8" s="1"/>
  <c r="DF48" i="8"/>
  <c r="DF69" i="8" s="1"/>
  <c r="DE48" i="8"/>
  <c r="DE69" i="8" s="1"/>
  <c r="DD48" i="8"/>
  <c r="DD69" i="8" s="1"/>
  <c r="DC48" i="8"/>
  <c r="DC69" i="8" s="1"/>
  <c r="DB48" i="8"/>
  <c r="DB69" i="8" s="1"/>
  <c r="DA48" i="8"/>
  <c r="DA69" i="8" s="1"/>
  <c r="CZ48" i="8"/>
  <c r="CZ69" i="8" s="1"/>
  <c r="CY48" i="8"/>
  <c r="CY69" i="8" s="1"/>
  <c r="CX48" i="8"/>
  <c r="CX69" i="8" s="1"/>
  <c r="CW48" i="8"/>
  <c r="CW69" i="8" s="1"/>
  <c r="CV48" i="8"/>
  <c r="CV69" i="8" s="1"/>
  <c r="CU48" i="8"/>
  <c r="CU69" i="8" s="1"/>
  <c r="CT48" i="8"/>
  <c r="CT69" i="8" s="1"/>
  <c r="CS48" i="8"/>
  <c r="CS69" i="8" s="1"/>
  <c r="CR48" i="8"/>
  <c r="CR69" i="8" s="1"/>
  <c r="CQ48" i="8"/>
  <c r="CQ69" i="8" s="1"/>
  <c r="CP48" i="8"/>
  <c r="CP69" i="8" s="1"/>
  <c r="CO48" i="8"/>
  <c r="CO69" i="8" s="1"/>
  <c r="CN48" i="8"/>
  <c r="CN69" i="8" s="1"/>
  <c r="CM48" i="8"/>
  <c r="CM69" i="8" s="1"/>
  <c r="CL48" i="8"/>
  <c r="CL69" i="8" s="1"/>
  <c r="CK48" i="8"/>
  <c r="CK69" i="8" s="1"/>
  <c r="CJ48" i="8"/>
  <c r="CJ69" i="8" s="1"/>
  <c r="CI48" i="8"/>
  <c r="CI69" i="8" s="1"/>
  <c r="CH48" i="8"/>
  <c r="CH69" i="8" s="1"/>
  <c r="CG48" i="8"/>
  <c r="CG69" i="8" s="1"/>
  <c r="CF48" i="8"/>
  <c r="CF69" i="8" s="1"/>
  <c r="CE48" i="8"/>
  <c r="CE69" i="8" s="1"/>
  <c r="CD48" i="8"/>
  <c r="CD69" i="8" s="1"/>
  <c r="CC48" i="8"/>
  <c r="CC69" i="8" s="1"/>
  <c r="CB48" i="8"/>
  <c r="CB69" i="8" s="1"/>
  <c r="CA48" i="8"/>
  <c r="CA69" i="8" s="1"/>
  <c r="BZ48" i="8"/>
  <c r="BZ69" i="8" s="1"/>
  <c r="BY48" i="8"/>
  <c r="BY69" i="8" s="1"/>
  <c r="BX48" i="8"/>
  <c r="BX69" i="8" s="1"/>
  <c r="BW48" i="8"/>
  <c r="BW69" i="8" s="1"/>
  <c r="BV48" i="8"/>
  <c r="BV69" i="8" s="1"/>
  <c r="BU48" i="8"/>
  <c r="BU69" i="8" s="1"/>
  <c r="BT48" i="8"/>
  <c r="BT69" i="8" s="1"/>
  <c r="BS48" i="8"/>
  <c r="BS69" i="8" s="1"/>
  <c r="BR48" i="8"/>
  <c r="BR69" i="8" s="1"/>
  <c r="BQ48" i="8"/>
  <c r="BQ69" i="8" s="1"/>
  <c r="BP48" i="8"/>
  <c r="BP69" i="8" s="1"/>
  <c r="BO48" i="8"/>
  <c r="BO69" i="8" s="1"/>
  <c r="BN48" i="8"/>
  <c r="BN69" i="8" s="1"/>
  <c r="BM48" i="8"/>
  <c r="BM69" i="8" s="1"/>
  <c r="BL48" i="8"/>
  <c r="BL69" i="8" s="1"/>
  <c r="BK48" i="8"/>
  <c r="BK69" i="8" s="1"/>
  <c r="BJ48" i="8"/>
  <c r="BJ69" i="8" s="1"/>
  <c r="BI48" i="8"/>
  <c r="BI69" i="8" s="1"/>
  <c r="BH48" i="8"/>
  <c r="BH69" i="8" s="1"/>
  <c r="BG48" i="8"/>
  <c r="BG69" i="8" s="1"/>
  <c r="BF48" i="8"/>
  <c r="BF69" i="8" s="1"/>
  <c r="BE48" i="8"/>
  <c r="BE69" i="8" s="1"/>
  <c r="BD48" i="8"/>
  <c r="BD69" i="8" s="1"/>
  <c r="BC48" i="8"/>
  <c r="BC69" i="8" s="1"/>
  <c r="BB48" i="8"/>
  <c r="BB69" i="8" s="1"/>
  <c r="BA48" i="8"/>
  <c r="BA69" i="8" s="1"/>
  <c r="AZ48" i="8"/>
  <c r="AZ69" i="8" s="1"/>
  <c r="AY48" i="8"/>
  <c r="AY69" i="8" s="1"/>
  <c r="AX48" i="8"/>
  <c r="AX69" i="8" s="1"/>
  <c r="AW48" i="8"/>
  <c r="AW69" i="8" s="1"/>
  <c r="AV48" i="8"/>
  <c r="AV69" i="8" s="1"/>
  <c r="AU48" i="8"/>
  <c r="AU69" i="8" s="1"/>
  <c r="AT48" i="8"/>
  <c r="AT69" i="8" s="1"/>
  <c r="AS48" i="8"/>
  <c r="AS69" i="8" s="1"/>
  <c r="AR48" i="8"/>
  <c r="AR69" i="8" s="1"/>
  <c r="AQ48" i="8"/>
  <c r="AQ69" i="8" s="1"/>
  <c r="AP48" i="8"/>
  <c r="AP69" i="8" s="1"/>
  <c r="AO48" i="8"/>
  <c r="AO69" i="8" s="1"/>
  <c r="AN48" i="8"/>
  <c r="AN69" i="8" s="1"/>
  <c r="AM48" i="8"/>
  <c r="AM69" i="8" s="1"/>
  <c r="AL48" i="8"/>
  <c r="AL69" i="8" s="1"/>
  <c r="AK48" i="8"/>
  <c r="AK69" i="8" s="1"/>
  <c r="AJ48" i="8"/>
  <c r="AJ69" i="8" s="1"/>
  <c r="AI48" i="8"/>
  <c r="AI69" i="8" s="1"/>
  <c r="AH48" i="8"/>
  <c r="AH69" i="8" s="1"/>
  <c r="AG48" i="8"/>
  <c r="AG69" i="8" s="1"/>
  <c r="AF48" i="8"/>
  <c r="AF69" i="8" s="1"/>
  <c r="AE48" i="8"/>
  <c r="AE69" i="8" s="1"/>
  <c r="AD48" i="8"/>
  <c r="AD69" i="8" s="1"/>
  <c r="AC48" i="8"/>
  <c r="AC69" i="8" s="1"/>
  <c r="AB48" i="8"/>
  <c r="AB69" i="8" s="1"/>
  <c r="AA48" i="8"/>
  <c r="AA69" i="8" s="1"/>
  <c r="Z48" i="8"/>
  <c r="Z69" i="8" s="1"/>
  <c r="Y48" i="8"/>
  <c r="Y69" i="8" s="1"/>
  <c r="X48" i="8"/>
  <c r="X69" i="8" s="1"/>
  <c r="W48" i="8"/>
  <c r="W69" i="8" s="1"/>
  <c r="V48" i="8"/>
  <c r="V69" i="8" s="1"/>
  <c r="U48" i="8"/>
  <c r="U69" i="8" s="1"/>
  <c r="T48" i="8"/>
  <c r="T69" i="8" s="1"/>
  <c r="S48" i="8"/>
  <c r="S69" i="8" s="1"/>
  <c r="R48" i="8"/>
  <c r="R69" i="8" s="1"/>
  <c r="Q48" i="8"/>
  <c r="Q69" i="8" s="1"/>
  <c r="P48" i="8"/>
  <c r="P69" i="8" s="1"/>
  <c r="O48" i="8"/>
  <c r="O69" i="8" s="1"/>
  <c r="N48" i="8"/>
  <c r="N69" i="8" s="1"/>
  <c r="M48" i="8"/>
  <c r="M69" i="8" s="1"/>
  <c r="L48" i="8"/>
  <c r="L69" i="8" s="1"/>
  <c r="K48" i="8"/>
  <c r="K69" i="8" s="1"/>
  <c r="J48" i="8"/>
  <c r="J69" i="8" s="1"/>
  <c r="I48" i="8"/>
  <c r="I69" i="8" s="1"/>
  <c r="H48" i="8"/>
  <c r="H69" i="8" s="1"/>
  <c r="G48" i="8"/>
  <c r="G69" i="8" s="1"/>
  <c r="F48" i="8"/>
  <c r="F69" i="8" s="1"/>
  <c r="E48" i="8"/>
  <c r="E69" i="8" s="1"/>
  <c r="D48" i="8"/>
  <c r="D69" i="8" s="1"/>
  <c r="C48" i="8"/>
  <c r="C69" i="8" s="1"/>
  <c r="OT47" i="8"/>
  <c r="OT68" i="8" s="1"/>
  <c r="OS47" i="8"/>
  <c r="OS68" i="8" s="1"/>
  <c r="NO47" i="8"/>
  <c r="NO68" i="8" s="1"/>
  <c r="NN47" i="8"/>
  <c r="NN68" i="8" s="1"/>
  <c r="NM47" i="8"/>
  <c r="NM68" i="8" s="1"/>
  <c r="NL47" i="8"/>
  <c r="NL68" i="8" s="1"/>
  <c r="NK47" i="8"/>
  <c r="NK68" i="8" s="1"/>
  <c r="NJ47" i="8"/>
  <c r="NI47" i="8"/>
  <c r="NI68" i="8" s="1"/>
  <c r="NH47" i="8"/>
  <c r="NH68" i="8" s="1"/>
  <c r="NG47" i="8"/>
  <c r="NG68" i="8" s="1"/>
  <c r="NF47" i="8"/>
  <c r="NF68" i="8" s="1"/>
  <c r="NE47" i="8"/>
  <c r="NE68" i="8" s="1"/>
  <c r="ND47" i="8"/>
  <c r="ND68" i="8" s="1"/>
  <c r="NC47" i="8"/>
  <c r="NC68" i="8" s="1"/>
  <c r="NB47" i="8"/>
  <c r="NB68" i="8" s="1"/>
  <c r="NA47" i="8"/>
  <c r="NA68" i="8" s="1"/>
  <c r="MZ47" i="8"/>
  <c r="MZ68" i="8" s="1"/>
  <c r="MY47" i="8"/>
  <c r="MY68" i="8" s="1"/>
  <c r="MX47" i="8"/>
  <c r="MX68" i="8" s="1"/>
  <c r="MW47" i="8"/>
  <c r="MW68" i="8" s="1"/>
  <c r="MV47" i="8"/>
  <c r="MV68" i="8" s="1"/>
  <c r="MU47" i="8"/>
  <c r="MU68" i="8" s="1"/>
  <c r="MT47" i="8"/>
  <c r="MT68" i="8" s="1"/>
  <c r="MS47" i="8"/>
  <c r="MS68" i="8" s="1"/>
  <c r="MR47" i="8"/>
  <c r="MR68" i="8" s="1"/>
  <c r="MQ47" i="8"/>
  <c r="MQ68" i="8" s="1"/>
  <c r="MP47" i="8"/>
  <c r="MP68" i="8" s="1"/>
  <c r="MO47" i="8"/>
  <c r="MO68" i="8" s="1"/>
  <c r="MN47" i="8"/>
  <c r="MN68" i="8" s="1"/>
  <c r="MM47" i="8"/>
  <c r="MM68" i="8" s="1"/>
  <c r="ML47" i="8"/>
  <c r="ML68" i="8" s="1"/>
  <c r="MK47" i="8"/>
  <c r="MK68" i="8" s="1"/>
  <c r="MJ47" i="8"/>
  <c r="MJ68" i="8" s="1"/>
  <c r="MI47" i="8"/>
  <c r="MI68" i="8" s="1"/>
  <c r="MH47" i="8"/>
  <c r="MH68" i="8" s="1"/>
  <c r="MG47" i="8"/>
  <c r="MG68" i="8" s="1"/>
  <c r="MF47" i="8"/>
  <c r="MF68" i="8" s="1"/>
  <c r="ME47" i="8"/>
  <c r="ME68" i="8" s="1"/>
  <c r="MD47" i="8"/>
  <c r="MD68" i="8" s="1"/>
  <c r="MC47" i="8"/>
  <c r="MC68" i="8" s="1"/>
  <c r="MB47" i="8"/>
  <c r="MB68" i="8" s="1"/>
  <c r="MA47" i="8"/>
  <c r="MA68" i="8" s="1"/>
  <c r="LZ47" i="8"/>
  <c r="LZ68" i="8" s="1"/>
  <c r="LY47" i="8"/>
  <c r="LY68" i="8" s="1"/>
  <c r="LX47" i="8"/>
  <c r="LX68" i="8" s="1"/>
  <c r="LW47" i="8"/>
  <c r="LW68" i="8" s="1"/>
  <c r="LV47" i="8"/>
  <c r="LV68" i="8" s="1"/>
  <c r="LU47" i="8"/>
  <c r="LU68" i="8" s="1"/>
  <c r="LT47" i="8"/>
  <c r="LT68" i="8" s="1"/>
  <c r="LS47" i="8"/>
  <c r="LS68" i="8" s="1"/>
  <c r="LR47" i="8"/>
  <c r="LR68" i="8" s="1"/>
  <c r="LQ47" i="8"/>
  <c r="LQ68" i="8" s="1"/>
  <c r="LP47" i="8"/>
  <c r="LP68" i="8" s="1"/>
  <c r="LO47" i="8"/>
  <c r="LO68" i="8" s="1"/>
  <c r="LN47" i="8"/>
  <c r="LN68" i="8" s="1"/>
  <c r="LM47" i="8"/>
  <c r="LL47" i="8"/>
  <c r="LL68" i="8" s="1"/>
  <c r="LK47" i="8"/>
  <c r="LK68" i="8" s="1"/>
  <c r="LJ47" i="8"/>
  <c r="LJ68" i="8" s="1"/>
  <c r="LI47" i="8"/>
  <c r="LI68" i="8" s="1"/>
  <c r="LH47" i="8"/>
  <c r="LH68" i="8" s="1"/>
  <c r="LG47" i="8"/>
  <c r="LG68" i="8" s="1"/>
  <c r="LF47" i="8"/>
  <c r="LF68" i="8" s="1"/>
  <c r="LE47" i="8"/>
  <c r="LE68" i="8" s="1"/>
  <c r="LD47" i="8"/>
  <c r="LD68" i="8" s="1"/>
  <c r="LC47" i="8"/>
  <c r="LC68" i="8" s="1"/>
  <c r="LB47" i="8"/>
  <c r="LB68" i="8" s="1"/>
  <c r="LA47" i="8"/>
  <c r="LA68" i="8" s="1"/>
  <c r="KZ47" i="8"/>
  <c r="KZ68" i="8" s="1"/>
  <c r="KY47" i="8"/>
  <c r="KY68" i="8" s="1"/>
  <c r="KX47" i="8"/>
  <c r="KX68" i="8" s="1"/>
  <c r="KW47" i="8"/>
  <c r="KW68" i="8" s="1"/>
  <c r="KV47" i="8"/>
  <c r="KV68" i="8" s="1"/>
  <c r="KU47" i="8"/>
  <c r="KU68" i="8" s="1"/>
  <c r="KT47" i="8"/>
  <c r="KT68" i="8" s="1"/>
  <c r="KS47" i="8"/>
  <c r="KS68" i="8" s="1"/>
  <c r="KR47" i="8"/>
  <c r="KR68" i="8" s="1"/>
  <c r="KQ47" i="8"/>
  <c r="KQ68" i="8" s="1"/>
  <c r="KP47" i="8"/>
  <c r="KP68" i="8" s="1"/>
  <c r="KO47" i="8"/>
  <c r="KO68" i="8" s="1"/>
  <c r="KN47" i="8"/>
  <c r="KN68" i="8" s="1"/>
  <c r="KM47" i="8"/>
  <c r="KM68" i="8" s="1"/>
  <c r="KL47" i="8"/>
  <c r="KL68" i="8" s="1"/>
  <c r="KK47" i="8"/>
  <c r="KK68" i="8" s="1"/>
  <c r="KJ47" i="8"/>
  <c r="KJ68" i="8" s="1"/>
  <c r="KI47" i="8"/>
  <c r="KI68" i="8" s="1"/>
  <c r="KH47" i="8"/>
  <c r="KH68" i="8" s="1"/>
  <c r="KG47" i="8"/>
  <c r="KG68" i="8" s="1"/>
  <c r="KF47" i="8"/>
  <c r="KF68" i="8" s="1"/>
  <c r="KE47" i="8"/>
  <c r="KE68" i="8" s="1"/>
  <c r="KD47" i="8"/>
  <c r="KD68" i="8" s="1"/>
  <c r="KC47" i="8"/>
  <c r="KC68" i="8" s="1"/>
  <c r="KB47" i="8"/>
  <c r="KB68" i="8" s="1"/>
  <c r="KA47" i="8"/>
  <c r="KA68" i="8" s="1"/>
  <c r="JZ47" i="8"/>
  <c r="JZ68" i="8" s="1"/>
  <c r="JY47" i="8"/>
  <c r="JY68" i="8" s="1"/>
  <c r="JX47" i="8"/>
  <c r="JX68" i="8" s="1"/>
  <c r="JW47" i="8"/>
  <c r="JW68" i="8" s="1"/>
  <c r="JV47" i="8"/>
  <c r="JV68" i="8" s="1"/>
  <c r="JU47" i="8"/>
  <c r="JU68" i="8" s="1"/>
  <c r="JT47" i="8"/>
  <c r="JT68" i="8" s="1"/>
  <c r="JS47" i="8"/>
  <c r="JS68" i="8" s="1"/>
  <c r="JR47" i="8"/>
  <c r="JR68" i="8" s="1"/>
  <c r="JQ47" i="8"/>
  <c r="JQ68" i="8" s="1"/>
  <c r="JP47" i="8"/>
  <c r="JP68" i="8" s="1"/>
  <c r="JO47" i="8"/>
  <c r="JO68" i="8" s="1"/>
  <c r="JN47" i="8"/>
  <c r="JN68" i="8" s="1"/>
  <c r="JM47" i="8"/>
  <c r="JM68" i="8" s="1"/>
  <c r="JL47" i="8"/>
  <c r="JL68" i="8" s="1"/>
  <c r="JK47" i="8"/>
  <c r="JK68" i="8" s="1"/>
  <c r="JJ47" i="8"/>
  <c r="JJ68" i="8" s="1"/>
  <c r="JI47" i="8"/>
  <c r="JI68" i="8" s="1"/>
  <c r="JH47" i="8"/>
  <c r="JH68" i="8" s="1"/>
  <c r="JG47" i="8"/>
  <c r="JG68" i="8" s="1"/>
  <c r="JF47" i="8"/>
  <c r="JF68" i="8" s="1"/>
  <c r="JE47" i="8"/>
  <c r="JE68" i="8" s="1"/>
  <c r="JD47" i="8"/>
  <c r="JD68" i="8" s="1"/>
  <c r="JC47" i="8"/>
  <c r="JC68" i="8" s="1"/>
  <c r="JB47" i="8"/>
  <c r="JB68" i="8" s="1"/>
  <c r="JA47" i="8"/>
  <c r="IZ47" i="8"/>
  <c r="IZ68" i="8" s="1"/>
  <c r="IY47" i="8"/>
  <c r="IY68" i="8" s="1"/>
  <c r="IX47" i="8"/>
  <c r="IX68" i="8" s="1"/>
  <c r="IW47" i="8"/>
  <c r="IW68" i="8" s="1"/>
  <c r="IV47" i="8"/>
  <c r="IV68" i="8" s="1"/>
  <c r="IU47" i="8"/>
  <c r="IU68" i="8" s="1"/>
  <c r="IT47" i="8"/>
  <c r="IT68" i="8" s="1"/>
  <c r="IS47" i="8"/>
  <c r="IS68" i="8" s="1"/>
  <c r="IR47" i="8"/>
  <c r="IR68" i="8" s="1"/>
  <c r="IQ47" i="8"/>
  <c r="IQ68" i="8" s="1"/>
  <c r="IP47" i="8"/>
  <c r="IP68" i="8" s="1"/>
  <c r="IO47" i="8"/>
  <c r="IO68" i="8" s="1"/>
  <c r="IN47" i="8"/>
  <c r="IN68" i="8" s="1"/>
  <c r="IM47" i="8"/>
  <c r="IM68" i="8" s="1"/>
  <c r="IL47" i="8"/>
  <c r="IL68" i="8" s="1"/>
  <c r="IK47" i="8"/>
  <c r="IK68" i="8" s="1"/>
  <c r="IJ47" i="8"/>
  <c r="IJ68" i="8" s="1"/>
  <c r="II47" i="8"/>
  <c r="II68" i="8" s="1"/>
  <c r="IH47" i="8"/>
  <c r="IH68" i="8" s="1"/>
  <c r="IG47" i="8"/>
  <c r="IG68" i="8" s="1"/>
  <c r="IF47" i="8"/>
  <c r="IF68" i="8" s="1"/>
  <c r="IE47" i="8"/>
  <c r="IE68" i="8" s="1"/>
  <c r="ID47" i="8"/>
  <c r="ID68" i="8" s="1"/>
  <c r="IC47" i="8"/>
  <c r="IC68" i="8" s="1"/>
  <c r="IB47" i="8"/>
  <c r="IB68" i="8" s="1"/>
  <c r="IA47" i="8"/>
  <c r="IA68" i="8" s="1"/>
  <c r="HZ47" i="8"/>
  <c r="HZ68" i="8" s="1"/>
  <c r="HY47" i="8"/>
  <c r="HY68" i="8" s="1"/>
  <c r="HX47" i="8"/>
  <c r="HX68" i="8" s="1"/>
  <c r="HW47" i="8"/>
  <c r="HW68" i="8" s="1"/>
  <c r="HV47" i="8"/>
  <c r="HV68" i="8" s="1"/>
  <c r="HU47" i="8"/>
  <c r="HU68" i="8" s="1"/>
  <c r="HT47" i="8"/>
  <c r="HT68" i="8" s="1"/>
  <c r="HS47" i="8"/>
  <c r="HS68" i="8" s="1"/>
  <c r="HR47" i="8"/>
  <c r="HR68" i="8" s="1"/>
  <c r="HQ47" i="8"/>
  <c r="HQ68" i="8" s="1"/>
  <c r="HP47" i="8"/>
  <c r="HP68" i="8" s="1"/>
  <c r="HO47" i="8"/>
  <c r="HO68" i="8" s="1"/>
  <c r="HN47" i="8"/>
  <c r="HN68" i="8" s="1"/>
  <c r="HM47" i="8"/>
  <c r="HM68" i="8" s="1"/>
  <c r="HL47" i="8"/>
  <c r="HL68" i="8" s="1"/>
  <c r="HK47" i="8"/>
  <c r="HK68" i="8" s="1"/>
  <c r="HJ47" i="8"/>
  <c r="HJ68" i="8" s="1"/>
  <c r="HI47" i="8"/>
  <c r="HI68" i="8" s="1"/>
  <c r="HH47" i="8"/>
  <c r="HH68" i="8" s="1"/>
  <c r="HG47" i="8"/>
  <c r="HG68" i="8" s="1"/>
  <c r="HF47" i="8"/>
  <c r="HF68" i="8" s="1"/>
  <c r="HE47" i="8"/>
  <c r="HE68" i="8" s="1"/>
  <c r="HD47" i="8"/>
  <c r="HD68" i="8" s="1"/>
  <c r="HC47" i="8"/>
  <c r="HC68" i="8" s="1"/>
  <c r="HB47" i="8"/>
  <c r="HB68" i="8" s="1"/>
  <c r="HA47" i="8"/>
  <c r="HA68" i="8" s="1"/>
  <c r="GZ47" i="8"/>
  <c r="GZ68" i="8" s="1"/>
  <c r="GY47" i="8"/>
  <c r="GY68" i="8" s="1"/>
  <c r="GX47" i="8"/>
  <c r="GX68" i="8" s="1"/>
  <c r="GW47" i="8"/>
  <c r="GW68" i="8" s="1"/>
  <c r="GV47" i="8"/>
  <c r="GV68" i="8" s="1"/>
  <c r="GU47" i="8"/>
  <c r="GU68" i="8" s="1"/>
  <c r="GT47" i="8"/>
  <c r="GT68" i="8" s="1"/>
  <c r="GS47" i="8"/>
  <c r="GS68" i="8" s="1"/>
  <c r="GR47" i="8"/>
  <c r="GR68" i="8" s="1"/>
  <c r="GQ47" i="8"/>
  <c r="GQ68" i="8" s="1"/>
  <c r="GP47" i="8"/>
  <c r="GP68" i="8" s="1"/>
  <c r="GO47" i="8"/>
  <c r="GO68" i="8" s="1"/>
  <c r="GN47" i="8"/>
  <c r="GN68" i="8" s="1"/>
  <c r="GM47" i="8"/>
  <c r="GM68" i="8" s="1"/>
  <c r="GL47" i="8"/>
  <c r="GL68" i="8" s="1"/>
  <c r="GK47" i="8"/>
  <c r="GK68" i="8" s="1"/>
  <c r="GJ47" i="8"/>
  <c r="GJ68" i="8" s="1"/>
  <c r="GI47" i="8"/>
  <c r="GI68" i="8" s="1"/>
  <c r="GH47" i="8"/>
  <c r="GH68" i="8" s="1"/>
  <c r="GG47" i="8"/>
  <c r="GG68" i="8" s="1"/>
  <c r="GF47" i="8"/>
  <c r="GF68" i="8" s="1"/>
  <c r="GE47" i="8"/>
  <c r="GE68" i="8" s="1"/>
  <c r="GD47" i="8"/>
  <c r="GD68" i="8" s="1"/>
  <c r="GC47" i="8"/>
  <c r="GC68" i="8" s="1"/>
  <c r="GB47" i="8"/>
  <c r="GB68" i="8" s="1"/>
  <c r="GA47" i="8"/>
  <c r="GA68" i="8" s="1"/>
  <c r="FZ47" i="8"/>
  <c r="FZ68" i="8" s="1"/>
  <c r="FY47" i="8"/>
  <c r="FY68" i="8" s="1"/>
  <c r="FX47" i="8"/>
  <c r="FX68" i="8" s="1"/>
  <c r="FW47" i="8"/>
  <c r="FW68" i="8" s="1"/>
  <c r="FV47" i="8"/>
  <c r="FV68" i="8" s="1"/>
  <c r="FU47" i="8"/>
  <c r="FU68" i="8" s="1"/>
  <c r="FT47" i="8"/>
  <c r="FT68" i="8" s="1"/>
  <c r="FO47" i="8"/>
  <c r="FO68" i="8" s="1"/>
  <c r="FM47" i="8"/>
  <c r="FM68" i="8" s="1"/>
  <c r="FL47" i="8"/>
  <c r="FL68" i="8" s="1"/>
  <c r="FK47" i="8"/>
  <c r="FK68" i="8" s="1"/>
  <c r="FJ47" i="8"/>
  <c r="FJ68" i="8" s="1"/>
  <c r="FI47" i="8"/>
  <c r="FI68" i="8" s="1"/>
  <c r="FH47" i="8"/>
  <c r="FH68" i="8" s="1"/>
  <c r="FG47" i="8"/>
  <c r="FG68" i="8" s="1"/>
  <c r="FF47" i="8"/>
  <c r="FF68" i="8" s="1"/>
  <c r="FE47" i="8"/>
  <c r="FE68" i="8" s="1"/>
  <c r="FD47" i="8"/>
  <c r="FD68" i="8" s="1"/>
  <c r="FC47" i="8"/>
  <c r="FC68" i="8" s="1"/>
  <c r="FB47" i="8"/>
  <c r="FB68" i="8" s="1"/>
  <c r="FA47" i="8"/>
  <c r="FA68" i="8" s="1"/>
  <c r="EZ47" i="8"/>
  <c r="EZ68" i="8" s="1"/>
  <c r="EY47" i="8"/>
  <c r="EY68" i="8" s="1"/>
  <c r="EX47" i="8"/>
  <c r="EW47" i="8"/>
  <c r="EW68" i="8" s="1"/>
  <c r="EV47" i="8"/>
  <c r="EV68" i="8" s="1"/>
  <c r="EU47" i="8"/>
  <c r="EU68" i="8" s="1"/>
  <c r="ET47" i="8"/>
  <c r="ET68" i="8" s="1"/>
  <c r="ES47" i="8"/>
  <c r="ES68" i="8" s="1"/>
  <c r="ER47" i="8"/>
  <c r="ER68" i="8" s="1"/>
  <c r="EQ47" i="8"/>
  <c r="EQ68" i="8" s="1"/>
  <c r="EP47" i="8"/>
  <c r="EO47" i="8"/>
  <c r="EO68" i="8" s="1"/>
  <c r="EN47" i="8"/>
  <c r="EN68" i="8" s="1"/>
  <c r="EM47" i="8"/>
  <c r="EM68" i="8" s="1"/>
  <c r="EL47" i="8"/>
  <c r="EL68" i="8" s="1"/>
  <c r="EK47" i="8"/>
  <c r="EK68" i="8" s="1"/>
  <c r="EJ47" i="8"/>
  <c r="EJ68" i="8" s="1"/>
  <c r="EI47" i="8"/>
  <c r="EI68" i="8" s="1"/>
  <c r="EH47" i="8"/>
  <c r="EH68" i="8" s="1"/>
  <c r="EG47" i="8"/>
  <c r="EG68" i="8" s="1"/>
  <c r="EF47" i="8"/>
  <c r="EF68" i="8" s="1"/>
  <c r="EE47" i="8"/>
  <c r="EE68" i="8" s="1"/>
  <c r="ED47" i="8"/>
  <c r="ED68" i="8" s="1"/>
  <c r="EC47" i="8"/>
  <c r="EC68" i="8" s="1"/>
  <c r="EB47" i="8"/>
  <c r="EB68" i="8" s="1"/>
  <c r="EA47" i="8"/>
  <c r="EA68" i="8" s="1"/>
  <c r="DZ47" i="8"/>
  <c r="DZ68" i="8" s="1"/>
  <c r="DY47" i="8"/>
  <c r="DY68" i="8" s="1"/>
  <c r="DX47" i="8"/>
  <c r="DX68" i="8" s="1"/>
  <c r="DW47" i="8"/>
  <c r="DW68" i="8" s="1"/>
  <c r="DV47" i="8"/>
  <c r="DV68" i="8" s="1"/>
  <c r="DU47" i="8"/>
  <c r="DU68" i="8" s="1"/>
  <c r="DT47" i="8"/>
  <c r="DT68" i="8" s="1"/>
  <c r="DS47" i="8"/>
  <c r="DS68" i="8" s="1"/>
  <c r="DR47" i="8"/>
  <c r="DR68" i="8" s="1"/>
  <c r="DQ47" i="8"/>
  <c r="DQ68" i="8" s="1"/>
  <c r="DP47" i="8"/>
  <c r="DP68" i="8" s="1"/>
  <c r="DO47" i="8"/>
  <c r="DO68" i="8" s="1"/>
  <c r="DN47" i="8"/>
  <c r="DN68" i="8" s="1"/>
  <c r="DM47" i="8"/>
  <c r="DM68" i="8" s="1"/>
  <c r="DL47" i="8"/>
  <c r="DL68" i="8" s="1"/>
  <c r="DK47" i="8"/>
  <c r="DK68" i="8" s="1"/>
  <c r="DJ47" i="8"/>
  <c r="DJ68" i="8" s="1"/>
  <c r="DI47" i="8"/>
  <c r="DI68" i="8" s="1"/>
  <c r="DH47" i="8"/>
  <c r="DH68" i="8" s="1"/>
  <c r="DG47" i="8"/>
  <c r="DG68" i="8" s="1"/>
  <c r="DF47" i="8"/>
  <c r="DF68" i="8" s="1"/>
  <c r="DE47" i="8"/>
  <c r="DE68" i="8" s="1"/>
  <c r="DD47" i="8"/>
  <c r="DD68" i="8" s="1"/>
  <c r="DC47" i="8"/>
  <c r="DC68" i="8" s="1"/>
  <c r="DB47" i="8"/>
  <c r="DB68" i="8" s="1"/>
  <c r="DA47" i="8"/>
  <c r="DA68" i="8" s="1"/>
  <c r="CZ47" i="8"/>
  <c r="CZ68" i="8" s="1"/>
  <c r="CY47" i="8"/>
  <c r="CY68" i="8" s="1"/>
  <c r="CX47" i="8"/>
  <c r="CX68" i="8" s="1"/>
  <c r="CW47" i="8"/>
  <c r="CW68" i="8" s="1"/>
  <c r="CV47" i="8"/>
  <c r="CV68" i="8" s="1"/>
  <c r="CU47" i="8"/>
  <c r="CU68" i="8" s="1"/>
  <c r="CT47" i="8"/>
  <c r="CT68" i="8" s="1"/>
  <c r="CS47" i="8"/>
  <c r="CS68" i="8" s="1"/>
  <c r="CR47" i="8"/>
  <c r="CR68" i="8" s="1"/>
  <c r="CQ47" i="8"/>
  <c r="CQ68" i="8" s="1"/>
  <c r="CP47" i="8"/>
  <c r="CP68" i="8" s="1"/>
  <c r="CO47" i="8"/>
  <c r="CO68" i="8" s="1"/>
  <c r="CN47" i="8"/>
  <c r="CN68" i="8" s="1"/>
  <c r="CM47" i="8"/>
  <c r="CM68" i="8" s="1"/>
  <c r="CL47" i="8"/>
  <c r="CK47" i="8"/>
  <c r="CK68" i="8" s="1"/>
  <c r="CJ47" i="8"/>
  <c r="CJ68" i="8" s="1"/>
  <c r="CI47" i="8"/>
  <c r="CI68" i="8" s="1"/>
  <c r="CH47" i="8"/>
  <c r="CH68" i="8" s="1"/>
  <c r="CG47" i="8"/>
  <c r="CG68" i="8" s="1"/>
  <c r="CF47" i="8"/>
  <c r="CF68" i="8" s="1"/>
  <c r="CE47" i="8"/>
  <c r="CE68" i="8" s="1"/>
  <c r="CD47" i="8"/>
  <c r="CC47" i="8"/>
  <c r="CC68" i="8" s="1"/>
  <c r="CB47" i="8"/>
  <c r="CB68" i="8" s="1"/>
  <c r="CA47" i="8"/>
  <c r="CA68" i="8" s="1"/>
  <c r="BZ47" i="8"/>
  <c r="BZ68" i="8" s="1"/>
  <c r="BY47" i="8"/>
  <c r="BY68" i="8" s="1"/>
  <c r="BX47" i="8"/>
  <c r="BX68" i="8" s="1"/>
  <c r="BW47" i="8"/>
  <c r="BW68" i="8" s="1"/>
  <c r="BV47" i="8"/>
  <c r="BV68" i="8" s="1"/>
  <c r="BU47" i="8"/>
  <c r="BU68" i="8" s="1"/>
  <c r="BT47" i="8"/>
  <c r="BT68" i="8" s="1"/>
  <c r="BS47" i="8"/>
  <c r="BS68" i="8" s="1"/>
  <c r="BR47" i="8"/>
  <c r="BR68" i="8" s="1"/>
  <c r="BQ47" i="8"/>
  <c r="BQ68" i="8" s="1"/>
  <c r="BP47" i="8"/>
  <c r="BP68" i="8" s="1"/>
  <c r="BO47" i="8"/>
  <c r="BO68" i="8" s="1"/>
  <c r="BN47" i="8"/>
  <c r="BN68" i="8" s="1"/>
  <c r="BM47" i="8"/>
  <c r="BM68" i="8" s="1"/>
  <c r="BL47" i="8"/>
  <c r="BL68" i="8" s="1"/>
  <c r="BK47" i="8"/>
  <c r="BK68" i="8" s="1"/>
  <c r="BJ47" i="8"/>
  <c r="BJ68" i="8" s="1"/>
  <c r="BI47" i="8"/>
  <c r="BI68" i="8" s="1"/>
  <c r="BH47" i="8"/>
  <c r="BH68" i="8" s="1"/>
  <c r="BG47" i="8"/>
  <c r="BG68" i="8" s="1"/>
  <c r="BF47" i="8"/>
  <c r="BF68" i="8" s="1"/>
  <c r="BE47" i="8"/>
  <c r="BE68" i="8" s="1"/>
  <c r="BD47" i="8"/>
  <c r="BD68" i="8" s="1"/>
  <c r="BC47" i="8"/>
  <c r="BC68" i="8" s="1"/>
  <c r="BB47" i="8"/>
  <c r="BB68" i="8" s="1"/>
  <c r="BA47" i="8"/>
  <c r="BA68" i="8" s="1"/>
  <c r="AZ47" i="8"/>
  <c r="AZ68" i="8" s="1"/>
  <c r="AY47" i="8"/>
  <c r="AY68" i="8" s="1"/>
  <c r="AX47" i="8"/>
  <c r="AX68" i="8" s="1"/>
  <c r="AW47" i="8"/>
  <c r="AW68" i="8" s="1"/>
  <c r="AV47" i="8"/>
  <c r="AV68" i="8" s="1"/>
  <c r="AU47" i="8"/>
  <c r="AU68" i="8" s="1"/>
  <c r="AT47" i="8"/>
  <c r="AT68" i="8" s="1"/>
  <c r="AS47" i="8"/>
  <c r="AS68" i="8" s="1"/>
  <c r="AR47" i="8"/>
  <c r="AR68" i="8" s="1"/>
  <c r="AQ47" i="8"/>
  <c r="AQ68" i="8" s="1"/>
  <c r="AP47" i="8"/>
  <c r="AP68" i="8" s="1"/>
  <c r="AO47" i="8"/>
  <c r="AO68" i="8" s="1"/>
  <c r="AN47" i="8"/>
  <c r="AN68" i="8" s="1"/>
  <c r="AM47" i="8"/>
  <c r="AM68" i="8" s="1"/>
  <c r="AL47" i="8"/>
  <c r="AL68" i="8" s="1"/>
  <c r="AK47" i="8"/>
  <c r="AK68" i="8" s="1"/>
  <c r="AJ47" i="8"/>
  <c r="AJ68" i="8" s="1"/>
  <c r="AI47" i="8"/>
  <c r="AI68" i="8" s="1"/>
  <c r="AH47" i="8"/>
  <c r="AH68" i="8" s="1"/>
  <c r="AG47" i="8"/>
  <c r="AG68" i="8" s="1"/>
  <c r="AF47" i="8"/>
  <c r="AF68" i="8" s="1"/>
  <c r="AE47" i="8"/>
  <c r="AE68" i="8" s="1"/>
  <c r="AD47" i="8"/>
  <c r="AD68" i="8" s="1"/>
  <c r="AC47" i="8"/>
  <c r="AC68" i="8" s="1"/>
  <c r="AB47" i="8"/>
  <c r="AB68" i="8" s="1"/>
  <c r="AA47" i="8"/>
  <c r="AA68" i="8" s="1"/>
  <c r="Z47" i="8"/>
  <c r="Y47" i="8"/>
  <c r="Y68" i="8" s="1"/>
  <c r="X47" i="8"/>
  <c r="X68" i="8" s="1"/>
  <c r="W47" i="8"/>
  <c r="W68" i="8" s="1"/>
  <c r="V47" i="8"/>
  <c r="V68" i="8" s="1"/>
  <c r="U47" i="8"/>
  <c r="U68" i="8" s="1"/>
  <c r="T47" i="8"/>
  <c r="T68" i="8" s="1"/>
  <c r="S47" i="8"/>
  <c r="S68" i="8" s="1"/>
  <c r="R47" i="8"/>
  <c r="Q47" i="8"/>
  <c r="Q68" i="8" s="1"/>
  <c r="P47" i="8"/>
  <c r="P68" i="8" s="1"/>
  <c r="O47" i="8"/>
  <c r="O68" i="8" s="1"/>
  <c r="N47" i="8"/>
  <c r="N68" i="8" s="1"/>
  <c r="M47" i="8"/>
  <c r="M68" i="8" s="1"/>
  <c r="L47" i="8"/>
  <c r="L68" i="8" s="1"/>
  <c r="K47" i="8"/>
  <c r="K68" i="8" s="1"/>
  <c r="J47" i="8"/>
  <c r="J68" i="8" s="1"/>
  <c r="I47" i="8"/>
  <c r="I68" i="8" s="1"/>
  <c r="H47" i="8"/>
  <c r="H68" i="8" s="1"/>
  <c r="G47" i="8"/>
  <c r="G68" i="8" s="1"/>
  <c r="F47" i="8"/>
  <c r="F68" i="8" s="1"/>
  <c r="E47" i="8"/>
  <c r="E68" i="8" s="1"/>
  <c r="D47" i="8"/>
  <c r="D68" i="8" s="1"/>
  <c r="C47" i="8"/>
  <c r="C68" i="8" s="1"/>
  <c r="OT46" i="8"/>
  <c r="OT67" i="8" s="1"/>
  <c r="OS46" i="8"/>
  <c r="OS67" i="8" s="1"/>
  <c r="NO46" i="8"/>
  <c r="NO67" i="8" s="1"/>
  <c r="NN46" i="8"/>
  <c r="NN67" i="8" s="1"/>
  <c r="NM46" i="8"/>
  <c r="NM67" i="8" s="1"/>
  <c r="NL46" i="8"/>
  <c r="NL67" i="8" s="1"/>
  <c r="NK46" i="8"/>
  <c r="NK67" i="8" s="1"/>
  <c r="NJ46" i="8"/>
  <c r="NI46" i="8"/>
  <c r="NI67" i="8" s="1"/>
  <c r="NH46" i="8"/>
  <c r="NH67" i="8" s="1"/>
  <c r="NG46" i="8"/>
  <c r="NG67" i="8" s="1"/>
  <c r="NF46" i="8"/>
  <c r="NF67" i="8" s="1"/>
  <c r="NE46" i="8"/>
  <c r="NE67" i="8" s="1"/>
  <c r="ND46" i="8"/>
  <c r="ND67" i="8" s="1"/>
  <c r="NC46" i="8"/>
  <c r="NC67" i="8" s="1"/>
  <c r="NB46" i="8"/>
  <c r="NB67" i="8" s="1"/>
  <c r="NA46" i="8"/>
  <c r="NA67" i="8" s="1"/>
  <c r="MZ46" i="8"/>
  <c r="MZ67" i="8" s="1"/>
  <c r="MY46" i="8"/>
  <c r="MY67" i="8" s="1"/>
  <c r="MX46" i="8"/>
  <c r="MX67" i="8" s="1"/>
  <c r="MW46" i="8"/>
  <c r="MW67" i="8" s="1"/>
  <c r="MV46" i="8"/>
  <c r="MV67" i="8" s="1"/>
  <c r="MU46" i="8"/>
  <c r="MU67" i="8" s="1"/>
  <c r="MT46" i="8"/>
  <c r="MT67" i="8" s="1"/>
  <c r="MS46" i="8"/>
  <c r="MS67" i="8" s="1"/>
  <c r="MR46" i="8"/>
  <c r="MR67" i="8" s="1"/>
  <c r="MQ46" i="8"/>
  <c r="MQ67" i="8" s="1"/>
  <c r="MP46" i="8"/>
  <c r="MP67" i="8" s="1"/>
  <c r="MO46" i="8"/>
  <c r="MO67" i="8" s="1"/>
  <c r="MN46" i="8"/>
  <c r="MN67" i="8" s="1"/>
  <c r="MM46" i="8"/>
  <c r="MM67" i="8" s="1"/>
  <c r="ML46" i="8"/>
  <c r="ML67" i="8" s="1"/>
  <c r="MK46" i="8"/>
  <c r="MK67" i="8" s="1"/>
  <c r="MJ46" i="8"/>
  <c r="MJ67" i="8" s="1"/>
  <c r="MI46" i="8"/>
  <c r="MI67" i="8" s="1"/>
  <c r="MH46" i="8"/>
  <c r="MH67" i="8" s="1"/>
  <c r="MG46" i="8"/>
  <c r="MG67" i="8" s="1"/>
  <c r="MF46" i="8"/>
  <c r="MF67" i="8" s="1"/>
  <c r="ME46" i="8"/>
  <c r="ME67" i="8" s="1"/>
  <c r="MD46" i="8"/>
  <c r="MD67" i="8" s="1"/>
  <c r="MC46" i="8"/>
  <c r="MB46" i="8"/>
  <c r="MB67" i="8" s="1"/>
  <c r="MA46" i="8"/>
  <c r="MA67" i="8" s="1"/>
  <c r="LZ46" i="8"/>
  <c r="LZ67" i="8" s="1"/>
  <c r="LY46" i="8"/>
  <c r="LY67" i="8" s="1"/>
  <c r="LX46" i="8"/>
  <c r="LX67" i="8" s="1"/>
  <c r="LW46" i="8"/>
  <c r="LW67" i="8" s="1"/>
  <c r="LV46" i="8"/>
  <c r="LV67" i="8" s="1"/>
  <c r="LU46" i="8"/>
  <c r="LT46" i="8"/>
  <c r="LT67" i="8" s="1"/>
  <c r="LS46" i="8"/>
  <c r="LS67" i="8" s="1"/>
  <c r="LR46" i="8"/>
  <c r="LR67" i="8" s="1"/>
  <c r="LQ46" i="8"/>
  <c r="LQ67" i="8" s="1"/>
  <c r="LP46" i="8"/>
  <c r="LP67" i="8" s="1"/>
  <c r="LO46" i="8"/>
  <c r="LO67" i="8" s="1"/>
  <c r="LN46" i="8"/>
  <c r="LN67" i="8" s="1"/>
  <c r="LM46" i="8"/>
  <c r="LM67" i="8" s="1"/>
  <c r="LL46" i="8"/>
  <c r="LL67" i="8" s="1"/>
  <c r="LK46" i="8"/>
  <c r="LK67" i="8" s="1"/>
  <c r="LJ46" i="8"/>
  <c r="LJ67" i="8" s="1"/>
  <c r="LI46" i="8"/>
  <c r="LI67" i="8" s="1"/>
  <c r="LH46" i="8"/>
  <c r="LH67" i="8" s="1"/>
  <c r="LG46" i="8"/>
  <c r="LG67" i="8" s="1"/>
  <c r="LF46" i="8"/>
  <c r="LF67" i="8" s="1"/>
  <c r="LE46" i="8"/>
  <c r="LE67" i="8" s="1"/>
  <c r="LD46" i="8"/>
  <c r="LD67" i="8" s="1"/>
  <c r="LC46" i="8"/>
  <c r="LC67" i="8" s="1"/>
  <c r="LB46" i="8"/>
  <c r="LB67" i="8" s="1"/>
  <c r="LA46" i="8"/>
  <c r="LA67" i="8" s="1"/>
  <c r="KZ46" i="8"/>
  <c r="KZ67" i="8" s="1"/>
  <c r="KY46" i="8"/>
  <c r="KY67" i="8" s="1"/>
  <c r="KX46" i="8"/>
  <c r="KX67" i="8" s="1"/>
  <c r="KW46" i="8"/>
  <c r="KW67" i="8" s="1"/>
  <c r="KV46" i="8"/>
  <c r="KV67" i="8" s="1"/>
  <c r="KU46" i="8"/>
  <c r="KU67" i="8" s="1"/>
  <c r="KT46" i="8"/>
  <c r="KT67" i="8" s="1"/>
  <c r="KS46" i="8"/>
  <c r="KS67" i="8" s="1"/>
  <c r="KR46" i="8"/>
  <c r="KR67" i="8" s="1"/>
  <c r="KQ46" i="8"/>
  <c r="KQ67" i="8" s="1"/>
  <c r="KP46" i="8"/>
  <c r="KP67" i="8" s="1"/>
  <c r="KO46" i="8"/>
  <c r="KO67" i="8" s="1"/>
  <c r="KN46" i="8"/>
  <c r="KN67" i="8" s="1"/>
  <c r="KM46" i="8"/>
  <c r="KM67" i="8" s="1"/>
  <c r="KL46" i="8"/>
  <c r="KL67" i="8" s="1"/>
  <c r="KK46" i="8"/>
  <c r="KK67" i="8" s="1"/>
  <c r="KJ46" i="8"/>
  <c r="KJ67" i="8" s="1"/>
  <c r="KI46" i="8"/>
  <c r="KI67" i="8" s="1"/>
  <c r="KH46" i="8"/>
  <c r="KH67" i="8" s="1"/>
  <c r="KG46" i="8"/>
  <c r="KG67" i="8" s="1"/>
  <c r="KF46" i="8"/>
  <c r="KF67" i="8" s="1"/>
  <c r="KE46" i="8"/>
  <c r="KE67" i="8" s="1"/>
  <c r="KD46" i="8"/>
  <c r="KD67" i="8" s="1"/>
  <c r="KC46" i="8"/>
  <c r="KC67" i="8" s="1"/>
  <c r="KB46" i="8"/>
  <c r="KB67" i="8" s="1"/>
  <c r="KA46" i="8"/>
  <c r="KA67" i="8" s="1"/>
  <c r="JZ46" i="8"/>
  <c r="JZ67" i="8" s="1"/>
  <c r="JY46" i="8"/>
  <c r="JY67" i="8" s="1"/>
  <c r="JX46" i="8"/>
  <c r="JX67" i="8" s="1"/>
  <c r="JW46" i="8"/>
  <c r="JW67" i="8" s="1"/>
  <c r="JV46" i="8"/>
  <c r="JV67" i="8" s="1"/>
  <c r="JU46" i="8"/>
  <c r="JU67" i="8" s="1"/>
  <c r="JT46" i="8"/>
  <c r="JT67" i="8" s="1"/>
  <c r="JS46" i="8"/>
  <c r="JS67" i="8" s="1"/>
  <c r="JR46" i="8"/>
  <c r="JR67" i="8" s="1"/>
  <c r="JQ46" i="8"/>
  <c r="JP46" i="8"/>
  <c r="JP67" i="8" s="1"/>
  <c r="JO46" i="8"/>
  <c r="JO67" i="8" s="1"/>
  <c r="JN46" i="8"/>
  <c r="JN67" i="8" s="1"/>
  <c r="JM46" i="8"/>
  <c r="JM67" i="8" s="1"/>
  <c r="JL46" i="8"/>
  <c r="JL67" i="8" s="1"/>
  <c r="JK46" i="8"/>
  <c r="JK67" i="8" s="1"/>
  <c r="JJ46" i="8"/>
  <c r="JJ67" i="8" s="1"/>
  <c r="JI46" i="8"/>
  <c r="JH46" i="8"/>
  <c r="JH67" i="8" s="1"/>
  <c r="JG46" i="8"/>
  <c r="JG67" i="8" s="1"/>
  <c r="JF46" i="8"/>
  <c r="JF67" i="8" s="1"/>
  <c r="JE46" i="8"/>
  <c r="JE67" i="8" s="1"/>
  <c r="JD46" i="8"/>
  <c r="JD67" i="8" s="1"/>
  <c r="JC46" i="8"/>
  <c r="JC67" i="8" s="1"/>
  <c r="JB46" i="8"/>
  <c r="JB67" i="8" s="1"/>
  <c r="JA46" i="8"/>
  <c r="JA67" i="8" s="1"/>
  <c r="IZ46" i="8"/>
  <c r="IZ67" i="8" s="1"/>
  <c r="IY46" i="8"/>
  <c r="IY67" i="8" s="1"/>
  <c r="IX46" i="8"/>
  <c r="IX67" i="8" s="1"/>
  <c r="IW46" i="8"/>
  <c r="IW67" i="8" s="1"/>
  <c r="IV46" i="8"/>
  <c r="IV67" i="8" s="1"/>
  <c r="IU46" i="8"/>
  <c r="IU67" i="8" s="1"/>
  <c r="IT46" i="8"/>
  <c r="IT67" i="8" s="1"/>
  <c r="IS46" i="8"/>
  <c r="IS67" i="8" s="1"/>
  <c r="IR46" i="8"/>
  <c r="IR67" i="8" s="1"/>
  <c r="IQ46" i="8"/>
  <c r="IQ67" i="8" s="1"/>
  <c r="IP46" i="8"/>
  <c r="IP67" i="8" s="1"/>
  <c r="IO46" i="8"/>
  <c r="IO67" i="8" s="1"/>
  <c r="IN46" i="8"/>
  <c r="IN67" i="8" s="1"/>
  <c r="IM46" i="8"/>
  <c r="IM67" i="8" s="1"/>
  <c r="IL46" i="8"/>
  <c r="IL67" i="8" s="1"/>
  <c r="IK46" i="8"/>
  <c r="IK67" i="8" s="1"/>
  <c r="IJ46" i="8"/>
  <c r="IJ67" i="8" s="1"/>
  <c r="II46" i="8"/>
  <c r="II67" i="8" s="1"/>
  <c r="IH46" i="8"/>
  <c r="IH67" i="8" s="1"/>
  <c r="IG46" i="8"/>
  <c r="IG67" i="8" s="1"/>
  <c r="IF46" i="8"/>
  <c r="IF67" i="8" s="1"/>
  <c r="IE46" i="8"/>
  <c r="IE67" i="8" s="1"/>
  <c r="ID46" i="8"/>
  <c r="ID67" i="8" s="1"/>
  <c r="IC46" i="8"/>
  <c r="IC67" i="8" s="1"/>
  <c r="IB46" i="8"/>
  <c r="IB67" i="8" s="1"/>
  <c r="IA46" i="8"/>
  <c r="IA67" i="8" s="1"/>
  <c r="HZ46" i="8"/>
  <c r="HZ67" i="8" s="1"/>
  <c r="HY46" i="8"/>
  <c r="HY67" i="8" s="1"/>
  <c r="HX46" i="8"/>
  <c r="HX67" i="8" s="1"/>
  <c r="HW46" i="8"/>
  <c r="HW67" i="8" s="1"/>
  <c r="HV46" i="8"/>
  <c r="HV67" i="8" s="1"/>
  <c r="HU46" i="8"/>
  <c r="HU67" i="8" s="1"/>
  <c r="HT46" i="8"/>
  <c r="HT67" i="8" s="1"/>
  <c r="HS46" i="8"/>
  <c r="HS67" i="8" s="1"/>
  <c r="HR46" i="8"/>
  <c r="HR67" i="8" s="1"/>
  <c r="HQ46" i="8"/>
  <c r="HQ67" i="8" s="1"/>
  <c r="HP46" i="8"/>
  <c r="HP67" i="8" s="1"/>
  <c r="HO46" i="8"/>
  <c r="HO67" i="8" s="1"/>
  <c r="HN46" i="8"/>
  <c r="HN67" i="8" s="1"/>
  <c r="HM46" i="8"/>
  <c r="HM67" i="8" s="1"/>
  <c r="HL46" i="8"/>
  <c r="HL67" i="8" s="1"/>
  <c r="HK46" i="8"/>
  <c r="HK67" i="8" s="1"/>
  <c r="HJ46" i="8"/>
  <c r="HJ67" i="8" s="1"/>
  <c r="HI46" i="8"/>
  <c r="HI67" i="8" s="1"/>
  <c r="HH46" i="8"/>
  <c r="HH67" i="8" s="1"/>
  <c r="HG46" i="8"/>
  <c r="HG67" i="8" s="1"/>
  <c r="HF46" i="8"/>
  <c r="HF67" i="8" s="1"/>
  <c r="HE46" i="8"/>
  <c r="HD46" i="8"/>
  <c r="HD67" i="8" s="1"/>
  <c r="HC46" i="8"/>
  <c r="HC67" i="8" s="1"/>
  <c r="HB46" i="8"/>
  <c r="HB67" i="8" s="1"/>
  <c r="HA46" i="8"/>
  <c r="HA67" i="8" s="1"/>
  <c r="GZ46" i="8"/>
  <c r="GZ67" i="8" s="1"/>
  <c r="GY46" i="8"/>
  <c r="GY67" i="8" s="1"/>
  <c r="GX46" i="8"/>
  <c r="GX67" i="8" s="1"/>
  <c r="GW46" i="8"/>
  <c r="GV46" i="8"/>
  <c r="GV67" i="8" s="1"/>
  <c r="GU46" i="8"/>
  <c r="GU67" i="8" s="1"/>
  <c r="GT46" i="8"/>
  <c r="GT67" i="8" s="1"/>
  <c r="GS46" i="8"/>
  <c r="GS67" i="8" s="1"/>
  <c r="GR46" i="8"/>
  <c r="GR67" i="8" s="1"/>
  <c r="GQ46" i="8"/>
  <c r="GQ67" i="8" s="1"/>
  <c r="GP46" i="8"/>
  <c r="GP67" i="8" s="1"/>
  <c r="GO46" i="8"/>
  <c r="GO67" i="8" s="1"/>
  <c r="GN46" i="8"/>
  <c r="GN67" i="8" s="1"/>
  <c r="GM46" i="8"/>
  <c r="GM67" i="8" s="1"/>
  <c r="GL46" i="8"/>
  <c r="GL67" i="8" s="1"/>
  <c r="GK46" i="8"/>
  <c r="GK67" i="8" s="1"/>
  <c r="GJ46" i="8"/>
  <c r="GJ67" i="8" s="1"/>
  <c r="GI46" i="8"/>
  <c r="GI67" i="8" s="1"/>
  <c r="GH46" i="8"/>
  <c r="GH67" i="8" s="1"/>
  <c r="GG46" i="8"/>
  <c r="GG67" i="8" s="1"/>
  <c r="GF46" i="8"/>
  <c r="GF67" i="8" s="1"/>
  <c r="GE46" i="8"/>
  <c r="GE67" i="8" s="1"/>
  <c r="GD46" i="8"/>
  <c r="GD67" i="8" s="1"/>
  <c r="GC46" i="8"/>
  <c r="GC67" i="8" s="1"/>
  <c r="GB46" i="8"/>
  <c r="GB67" i="8" s="1"/>
  <c r="GA46" i="8"/>
  <c r="GA67" i="8" s="1"/>
  <c r="FZ46" i="8"/>
  <c r="FZ67" i="8" s="1"/>
  <c r="FY46" i="8"/>
  <c r="FY67" i="8" s="1"/>
  <c r="FX46" i="8"/>
  <c r="FX67" i="8" s="1"/>
  <c r="FW46" i="8"/>
  <c r="FW67" i="8" s="1"/>
  <c r="FV46" i="8"/>
  <c r="FV67" i="8" s="1"/>
  <c r="FU46" i="8"/>
  <c r="FU67" i="8" s="1"/>
  <c r="FT46" i="8"/>
  <c r="FT67" i="8" s="1"/>
  <c r="FO46" i="8"/>
  <c r="FM46" i="8"/>
  <c r="FM67" i="8" s="1"/>
  <c r="FL46" i="8"/>
  <c r="FL67" i="8" s="1"/>
  <c r="FK46" i="8"/>
  <c r="FK67" i="8" s="1"/>
  <c r="FJ46" i="8"/>
  <c r="FJ67" i="8" s="1"/>
  <c r="FI46" i="8"/>
  <c r="FI67" i="8" s="1"/>
  <c r="FH46" i="8"/>
  <c r="FH67" i="8" s="1"/>
  <c r="FG46" i="8"/>
  <c r="FG67" i="8" s="1"/>
  <c r="FF46" i="8"/>
  <c r="FF67" i="8" s="1"/>
  <c r="FE46" i="8"/>
  <c r="FE67" i="8" s="1"/>
  <c r="FD46" i="8"/>
  <c r="FD67" i="8" s="1"/>
  <c r="FC46" i="8"/>
  <c r="FC67" i="8" s="1"/>
  <c r="FB46" i="8"/>
  <c r="FB67" i="8" s="1"/>
  <c r="FA46" i="8"/>
  <c r="FA67" i="8" s="1"/>
  <c r="EZ46" i="8"/>
  <c r="EZ67" i="8" s="1"/>
  <c r="EY46" i="8"/>
  <c r="EY67" i="8" s="1"/>
  <c r="EX46" i="8"/>
  <c r="EX67" i="8" s="1"/>
  <c r="EW46" i="8"/>
  <c r="EW67" i="8" s="1"/>
  <c r="EV46" i="8"/>
  <c r="EV67" i="8" s="1"/>
  <c r="EU46" i="8"/>
  <c r="EU67" i="8" s="1"/>
  <c r="ET46" i="8"/>
  <c r="ET67" i="8" s="1"/>
  <c r="ES46" i="8"/>
  <c r="ES67" i="8" s="1"/>
  <c r="ER46" i="8"/>
  <c r="ER67" i="8" s="1"/>
  <c r="EQ46" i="8"/>
  <c r="EQ67" i="8" s="1"/>
  <c r="EP46" i="8"/>
  <c r="EP67" i="8" s="1"/>
  <c r="EO46" i="8"/>
  <c r="EO67" i="8" s="1"/>
  <c r="EN46" i="8"/>
  <c r="EN67" i="8" s="1"/>
  <c r="EM46" i="8"/>
  <c r="EM67" i="8" s="1"/>
  <c r="EL46" i="8"/>
  <c r="EL67" i="8" s="1"/>
  <c r="EK46" i="8"/>
  <c r="EK67" i="8" s="1"/>
  <c r="EJ46" i="8"/>
  <c r="EJ67" i="8" s="1"/>
  <c r="EI46" i="8"/>
  <c r="EI67" i="8" s="1"/>
  <c r="EH46" i="8"/>
  <c r="EG46" i="8"/>
  <c r="EG67" i="8" s="1"/>
  <c r="EF46" i="8"/>
  <c r="EF67" i="8" s="1"/>
  <c r="EE46" i="8"/>
  <c r="EE67" i="8" s="1"/>
  <c r="ED46" i="8"/>
  <c r="ED67" i="8" s="1"/>
  <c r="EC46" i="8"/>
  <c r="EC67" i="8" s="1"/>
  <c r="EB46" i="8"/>
  <c r="EA46" i="8"/>
  <c r="EA67" i="8" s="1"/>
  <c r="DZ46" i="8"/>
  <c r="DZ67" i="8" s="1"/>
  <c r="DY46" i="8"/>
  <c r="DY67" i="8" s="1"/>
  <c r="DX46" i="8"/>
  <c r="DX67" i="8" s="1"/>
  <c r="DW46" i="8"/>
  <c r="DW67" i="8" s="1"/>
  <c r="DV46" i="8"/>
  <c r="DV67" i="8" s="1"/>
  <c r="DU46" i="8"/>
  <c r="DU67" i="8" s="1"/>
  <c r="DT46" i="8"/>
  <c r="DT67" i="8" s="1"/>
  <c r="DS46" i="8"/>
  <c r="DS67" i="8" s="1"/>
  <c r="DR46" i="8"/>
  <c r="DR67" i="8" s="1"/>
  <c r="DQ46" i="8"/>
  <c r="DQ67" i="8" s="1"/>
  <c r="DP46" i="8"/>
  <c r="DP67" i="8" s="1"/>
  <c r="DO46" i="8"/>
  <c r="DO67" i="8" s="1"/>
  <c r="DN46" i="8"/>
  <c r="DN67" i="8" s="1"/>
  <c r="DM46" i="8"/>
  <c r="DM67" i="8" s="1"/>
  <c r="DL46" i="8"/>
  <c r="DL67" i="8" s="1"/>
  <c r="DK46" i="8"/>
  <c r="DK67" i="8" s="1"/>
  <c r="DJ46" i="8"/>
  <c r="DJ67" i="8" s="1"/>
  <c r="DI46" i="8"/>
  <c r="DI67" i="8" s="1"/>
  <c r="DH46" i="8"/>
  <c r="DH67" i="8" s="1"/>
  <c r="DG46" i="8"/>
  <c r="DG67" i="8" s="1"/>
  <c r="DF46" i="8"/>
  <c r="DF67" i="8" s="1"/>
  <c r="DE46" i="8"/>
  <c r="DE67" i="8" s="1"/>
  <c r="DD46" i="8"/>
  <c r="DD67" i="8" s="1"/>
  <c r="DC46" i="8"/>
  <c r="DC67" i="8" s="1"/>
  <c r="DB46" i="8"/>
  <c r="DA46" i="8"/>
  <c r="DA67" i="8" s="1"/>
  <c r="CZ46" i="8"/>
  <c r="CZ67" i="8" s="1"/>
  <c r="CY46" i="8"/>
  <c r="CY67" i="8" s="1"/>
  <c r="CX46" i="8"/>
  <c r="CX67" i="8" s="1"/>
  <c r="CW46" i="8"/>
  <c r="CW67" i="8" s="1"/>
  <c r="CV46" i="8"/>
  <c r="CU46" i="8"/>
  <c r="CU67" i="8" s="1"/>
  <c r="CT46" i="8"/>
  <c r="CT67" i="8" s="1"/>
  <c r="CS46" i="8"/>
  <c r="CS67" i="8" s="1"/>
  <c r="CR46" i="8"/>
  <c r="CR67" i="8" s="1"/>
  <c r="CQ46" i="8"/>
  <c r="CQ67" i="8" s="1"/>
  <c r="CP46" i="8"/>
  <c r="CP67" i="8" s="1"/>
  <c r="CO46" i="8"/>
  <c r="CO67" i="8" s="1"/>
  <c r="CN46" i="8"/>
  <c r="CN67" i="8" s="1"/>
  <c r="CM46" i="8"/>
  <c r="CM67" i="8" s="1"/>
  <c r="CL46" i="8"/>
  <c r="CL67" i="8" s="1"/>
  <c r="CK46" i="8"/>
  <c r="CK67" i="8" s="1"/>
  <c r="CJ46" i="8"/>
  <c r="CJ67" i="8" s="1"/>
  <c r="CI46" i="8"/>
  <c r="CI67" i="8" s="1"/>
  <c r="CH46" i="8"/>
  <c r="CH67" i="8" s="1"/>
  <c r="CG46" i="8"/>
  <c r="CG67" i="8" s="1"/>
  <c r="CF46" i="8"/>
  <c r="CF67" i="8" s="1"/>
  <c r="CE46" i="8"/>
  <c r="CE67" i="8" s="1"/>
  <c r="CD46" i="8"/>
  <c r="CD67" i="8" s="1"/>
  <c r="CC46" i="8"/>
  <c r="CC67" i="8" s="1"/>
  <c r="CB46" i="8"/>
  <c r="CB67" i="8" s="1"/>
  <c r="CA46" i="8"/>
  <c r="CA67" i="8" s="1"/>
  <c r="BZ46" i="8"/>
  <c r="BZ67" i="8" s="1"/>
  <c r="BY46" i="8"/>
  <c r="BY67" i="8" s="1"/>
  <c r="BX46" i="8"/>
  <c r="BX67" i="8" s="1"/>
  <c r="BW46" i="8"/>
  <c r="BW67" i="8" s="1"/>
  <c r="BV46" i="8"/>
  <c r="BU46" i="8"/>
  <c r="BU67" i="8" s="1"/>
  <c r="BT46" i="8"/>
  <c r="BT67" i="8" s="1"/>
  <c r="BS46" i="8"/>
  <c r="BS67" i="8" s="1"/>
  <c r="BR46" i="8"/>
  <c r="BR67" i="8" s="1"/>
  <c r="BQ46" i="8"/>
  <c r="BQ67" i="8" s="1"/>
  <c r="BP46" i="8"/>
  <c r="BP67" i="8" s="1"/>
  <c r="BO46" i="8"/>
  <c r="BO67" i="8" s="1"/>
  <c r="BN46" i="8"/>
  <c r="BN67" i="8" s="1"/>
  <c r="BM46" i="8"/>
  <c r="BM67" i="8" s="1"/>
  <c r="BL46" i="8"/>
  <c r="BL67" i="8" s="1"/>
  <c r="BK46" i="8"/>
  <c r="BK67" i="8" s="1"/>
  <c r="BJ46" i="8"/>
  <c r="BJ67" i="8" s="1"/>
  <c r="BI46" i="8"/>
  <c r="BI67" i="8" s="1"/>
  <c r="BH46" i="8"/>
  <c r="BH67" i="8" s="1"/>
  <c r="BG46" i="8"/>
  <c r="BG67" i="8" s="1"/>
  <c r="BF46" i="8"/>
  <c r="BF67" i="8" s="1"/>
  <c r="BE46" i="8"/>
  <c r="BE67" i="8" s="1"/>
  <c r="BD46" i="8"/>
  <c r="BD67" i="8" s="1"/>
  <c r="BC46" i="8"/>
  <c r="BC67" i="8" s="1"/>
  <c r="BB46" i="8"/>
  <c r="BB67" i="8" s="1"/>
  <c r="BA46" i="8"/>
  <c r="BA67" i="8" s="1"/>
  <c r="AZ46" i="8"/>
  <c r="AZ67" i="8" s="1"/>
  <c r="AY46" i="8"/>
  <c r="AY67" i="8" s="1"/>
  <c r="AX46" i="8"/>
  <c r="AX67" i="8" s="1"/>
  <c r="AW46" i="8"/>
  <c r="AW67" i="8" s="1"/>
  <c r="AV46" i="8"/>
  <c r="AV67" i="8" s="1"/>
  <c r="AU46" i="8"/>
  <c r="AU67" i="8" s="1"/>
  <c r="AT46" i="8"/>
  <c r="AT67" i="8" s="1"/>
  <c r="AS46" i="8"/>
  <c r="AS67" i="8" s="1"/>
  <c r="AR46" i="8"/>
  <c r="AR67" i="8" s="1"/>
  <c r="AQ46" i="8"/>
  <c r="AQ67" i="8" s="1"/>
  <c r="AP46" i="8"/>
  <c r="AO46" i="8"/>
  <c r="AO67" i="8" s="1"/>
  <c r="AN46" i="8"/>
  <c r="AN67" i="8" s="1"/>
  <c r="AM46" i="8"/>
  <c r="AM67" i="8" s="1"/>
  <c r="AL46" i="8"/>
  <c r="AL67" i="8" s="1"/>
  <c r="AK46" i="8"/>
  <c r="AK67" i="8" s="1"/>
  <c r="AJ46" i="8"/>
  <c r="AJ67" i="8" s="1"/>
  <c r="AI46" i="8"/>
  <c r="AI67" i="8" s="1"/>
  <c r="AH46" i="8"/>
  <c r="AH67" i="8" s="1"/>
  <c r="AG46" i="8"/>
  <c r="AG67" i="8" s="1"/>
  <c r="AF46" i="8"/>
  <c r="AF67" i="8" s="1"/>
  <c r="AE46" i="8"/>
  <c r="AE67" i="8" s="1"/>
  <c r="AD46" i="8"/>
  <c r="AD67" i="8" s="1"/>
  <c r="AC46" i="8"/>
  <c r="AC67" i="8" s="1"/>
  <c r="AB46" i="8"/>
  <c r="AB67" i="8" s="1"/>
  <c r="AA46" i="8"/>
  <c r="AA67" i="8" s="1"/>
  <c r="Z46" i="8"/>
  <c r="Z67" i="8" s="1"/>
  <c r="Y46" i="8"/>
  <c r="Y67" i="8" s="1"/>
  <c r="X46" i="8"/>
  <c r="X67" i="8" s="1"/>
  <c r="W46" i="8"/>
  <c r="W67" i="8" s="1"/>
  <c r="V46" i="8"/>
  <c r="V67" i="8" s="1"/>
  <c r="U46" i="8"/>
  <c r="U67" i="8" s="1"/>
  <c r="T46" i="8"/>
  <c r="T67" i="8" s="1"/>
  <c r="S46" i="8"/>
  <c r="S67" i="8" s="1"/>
  <c r="R46" i="8"/>
  <c r="R67" i="8" s="1"/>
  <c r="Q46" i="8"/>
  <c r="Q67" i="8" s="1"/>
  <c r="P46" i="8"/>
  <c r="P67" i="8" s="1"/>
  <c r="O46" i="8"/>
  <c r="O67" i="8" s="1"/>
  <c r="N46" i="8"/>
  <c r="N67" i="8" s="1"/>
  <c r="M46" i="8"/>
  <c r="M67" i="8" s="1"/>
  <c r="L46" i="8"/>
  <c r="L67" i="8" s="1"/>
  <c r="K46" i="8"/>
  <c r="K67" i="8" s="1"/>
  <c r="J46" i="8"/>
  <c r="I46" i="8"/>
  <c r="I67" i="8" s="1"/>
  <c r="H46" i="8"/>
  <c r="H67" i="8" s="1"/>
  <c r="G46" i="8"/>
  <c r="G67" i="8" s="1"/>
  <c r="F46" i="8"/>
  <c r="F67" i="8" s="1"/>
  <c r="E46" i="8"/>
  <c r="E67" i="8" s="1"/>
  <c r="D46" i="8"/>
  <c r="C46" i="8"/>
  <c r="C67" i="8" s="1"/>
  <c r="OS45" i="8"/>
  <c r="OS66" i="8" s="1"/>
  <c r="NO45" i="8"/>
  <c r="NO66" i="8" s="1"/>
  <c r="NN45" i="8"/>
  <c r="NN66" i="8" s="1"/>
  <c r="NM45" i="8"/>
  <c r="NM66" i="8" s="1"/>
  <c r="NL45" i="8"/>
  <c r="NL66" i="8" s="1"/>
  <c r="NK45" i="8"/>
  <c r="NK66" i="8" s="1"/>
  <c r="NJ45" i="8"/>
  <c r="NI45" i="8"/>
  <c r="NI66" i="8" s="1"/>
  <c r="NH45" i="8"/>
  <c r="NH66" i="8" s="1"/>
  <c r="NG45" i="8"/>
  <c r="NG66" i="8" s="1"/>
  <c r="NF45" i="8"/>
  <c r="NF66" i="8" s="1"/>
  <c r="NE45" i="8"/>
  <c r="NE66" i="8" s="1"/>
  <c r="ND45" i="8"/>
  <c r="ND66" i="8" s="1"/>
  <c r="NC45" i="8"/>
  <c r="NC66" i="8" s="1"/>
  <c r="NB45" i="8"/>
  <c r="NB66" i="8" s="1"/>
  <c r="NA45" i="8"/>
  <c r="NA66" i="8" s="1"/>
  <c r="MZ45" i="8"/>
  <c r="MZ66" i="8" s="1"/>
  <c r="MY45" i="8"/>
  <c r="MY66" i="8" s="1"/>
  <c r="MX45" i="8"/>
  <c r="MX66" i="8" s="1"/>
  <c r="MW45" i="8"/>
  <c r="MW66" i="8" s="1"/>
  <c r="MV45" i="8"/>
  <c r="MV66" i="8" s="1"/>
  <c r="MU45" i="8"/>
  <c r="MU66" i="8" s="1"/>
  <c r="MT45" i="8"/>
  <c r="MT66" i="8" s="1"/>
  <c r="MS45" i="8"/>
  <c r="MR45" i="8"/>
  <c r="MR66" i="8" s="1"/>
  <c r="MQ45" i="8"/>
  <c r="MQ66" i="8" s="1"/>
  <c r="MP45" i="8"/>
  <c r="MP66" i="8" s="1"/>
  <c r="MO45" i="8"/>
  <c r="MO66" i="8" s="1"/>
  <c r="MN45" i="8"/>
  <c r="MN66" i="8" s="1"/>
  <c r="MM45" i="8"/>
  <c r="MM66" i="8" s="1"/>
  <c r="ML45" i="8"/>
  <c r="ML66" i="8" s="1"/>
  <c r="MK45" i="8"/>
  <c r="MK66" i="8" s="1"/>
  <c r="MJ45" i="8"/>
  <c r="MJ66" i="8" s="1"/>
  <c r="MI45" i="8"/>
  <c r="MI66" i="8" s="1"/>
  <c r="MH45" i="8"/>
  <c r="MH66" i="8" s="1"/>
  <c r="MG45" i="8"/>
  <c r="MG66" i="8" s="1"/>
  <c r="MF45" i="8"/>
  <c r="MF66" i="8" s="1"/>
  <c r="ME45" i="8"/>
  <c r="ME66" i="8" s="1"/>
  <c r="MD45" i="8"/>
  <c r="MD66" i="8" s="1"/>
  <c r="MC45" i="8"/>
  <c r="MC66" i="8" s="1"/>
  <c r="MB45" i="8"/>
  <c r="MB66" i="8" s="1"/>
  <c r="MA45" i="8"/>
  <c r="MA66" i="8" s="1"/>
  <c r="LZ45" i="8"/>
  <c r="LZ66" i="8" s="1"/>
  <c r="LY45" i="8"/>
  <c r="LY66" i="8" s="1"/>
  <c r="LX45" i="8"/>
  <c r="LX66" i="8" s="1"/>
  <c r="LW45" i="8"/>
  <c r="LW66" i="8" s="1"/>
  <c r="LV45" i="8"/>
  <c r="LV66" i="8" s="1"/>
  <c r="LU45" i="8"/>
  <c r="LU66" i="8" s="1"/>
  <c r="LT45" i="8"/>
  <c r="LT66" i="8" s="1"/>
  <c r="LS45" i="8"/>
  <c r="LS66" i="8" s="1"/>
  <c r="LR45" i="8"/>
  <c r="LR66" i="8" s="1"/>
  <c r="LQ45" i="8"/>
  <c r="LQ66" i="8" s="1"/>
  <c r="LP45" i="8"/>
  <c r="LP66" i="8" s="1"/>
  <c r="LO45" i="8"/>
  <c r="LO66" i="8" s="1"/>
  <c r="LN45" i="8"/>
  <c r="LN66" i="8" s="1"/>
  <c r="LM45" i="8"/>
  <c r="LL45" i="8"/>
  <c r="LL66" i="8" s="1"/>
  <c r="LK45" i="8"/>
  <c r="LK66" i="8" s="1"/>
  <c r="LJ45" i="8"/>
  <c r="LJ66" i="8" s="1"/>
  <c r="LI45" i="8"/>
  <c r="LI66" i="8" s="1"/>
  <c r="LH45" i="8"/>
  <c r="LH66" i="8" s="1"/>
  <c r="LG45" i="8"/>
  <c r="LG66" i="8" s="1"/>
  <c r="LF45" i="8"/>
  <c r="LF66" i="8" s="1"/>
  <c r="LE45" i="8"/>
  <c r="LE66" i="8" s="1"/>
  <c r="LD45" i="8"/>
  <c r="LD66" i="8" s="1"/>
  <c r="LC45" i="8"/>
  <c r="LC66" i="8" s="1"/>
  <c r="LB45" i="8"/>
  <c r="LB66" i="8" s="1"/>
  <c r="LA45" i="8"/>
  <c r="LA66" i="8" s="1"/>
  <c r="KZ45" i="8"/>
  <c r="KZ66" i="8" s="1"/>
  <c r="KY45" i="8"/>
  <c r="KY66" i="8" s="1"/>
  <c r="KX45" i="8"/>
  <c r="KX66" i="8" s="1"/>
  <c r="KW45" i="8"/>
  <c r="KW66" i="8" s="1"/>
  <c r="KV45" i="8"/>
  <c r="KV66" i="8" s="1"/>
  <c r="KU45" i="8"/>
  <c r="KU66" i="8" s="1"/>
  <c r="KT45" i="8"/>
  <c r="KT66" i="8" s="1"/>
  <c r="KS45" i="8"/>
  <c r="KS66" i="8" s="1"/>
  <c r="KR45" i="8"/>
  <c r="KR66" i="8" s="1"/>
  <c r="KQ45" i="8"/>
  <c r="KQ66" i="8" s="1"/>
  <c r="KP45" i="8"/>
  <c r="KP66" i="8" s="1"/>
  <c r="KO45" i="8"/>
  <c r="KO66" i="8" s="1"/>
  <c r="KN45" i="8"/>
  <c r="KN66" i="8" s="1"/>
  <c r="KM45" i="8"/>
  <c r="KM66" i="8" s="1"/>
  <c r="KL45" i="8"/>
  <c r="KL66" i="8" s="1"/>
  <c r="KK45" i="8"/>
  <c r="KK66" i="8" s="1"/>
  <c r="KJ45" i="8"/>
  <c r="KJ66" i="8" s="1"/>
  <c r="KI45" i="8"/>
  <c r="KI66" i="8" s="1"/>
  <c r="KH45" i="8"/>
  <c r="KH66" i="8" s="1"/>
  <c r="KG45" i="8"/>
  <c r="KF45" i="8"/>
  <c r="KF66" i="8" s="1"/>
  <c r="KE45" i="8"/>
  <c r="KE66" i="8" s="1"/>
  <c r="KD45" i="8"/>
  <c r="KD66" i="8" s="1"/>
  <c r="KC45" i="8"/>
  <c r="KC66" i="8" s="1"/>
  <c r="KB45" i="8"/>
  <c r="KB66" i="8" s="1"/>
  <c r="KA45" i="8"/>
  <c r="KA66" i="8" s="1"/>
  <c r="JZ45" i="8"/>
  <c r="JZ66" i="8" s="1"/>
  <c r="JY45" i="8"/>
  <c r="JY66" i="8" s="1"/>
  <c r="JX45" i="8"/>
  <c r="JX66" i="8" s="1"/>
  <c r="JW45" i="8"/>
  <c r="JW66" i="8" s="1"/>
  <c r="JV45" i="8"/>
  <c r="JV66" i="8" s="1"/>
  <c r="JU45" i="8"/>
  <c r="JU66" i="8" s="1"/>
  <c r="JT45" i="8"/>
  <c r="JT66" i="8" s="1"/>
  <c r="JS45" i="8"/>
  <c r="JS66" i="8" s="1"/>
  <c r="JR45" i="8"/>
  <c r="JR66" i="8" s="1"/>
  <c r="JQ45" i="8"/>
  <c r="JQ66" i="8" s="1"/>
  <c r="JP45" i="8"/>
  <c r="JP66" i="8" s="1"/>
  <c r="JO45" i="8"/>
  <c r="JO66" i="8" s="1"/>
  <c r="JN45" i="8"/>
  <c r="JN66" i="8" s="1"/>
  <c r="JM45" i="8"/>
  <c r="JM66" i="8" s="1"/>
  <c r="JL45" i="8"/>
  <c r="JL66" i="8" s="1"/>
  <c r="JJ45" i="8"/>
  <c r="JJ66" i="8" s="1"/>
  <c r="JI45" i="8"/>
  <c r="JI66" i="8" s="1"/>
  <c r="JH45" i="8"/>
  <c r="JH66" i="8" s="1"/>
  <c r="JG45" i="8"/>
  <c r="JG66" i="8" s="1"/>
  <c r="JF45" i="8"/>
  <c r="JF66" i="8" s="1"/>
  <c r="JE45" i="8"/>
  <c r="JE66" i="8" s="1"/>
  <c r="JD45" i="8"/>
  <c r="JD66" i="8" s="1"/>
  <c r="JC45" i="8"/>
  <c r="JC66" i="8" s="1"/>
  <c r="JB45" i="8"/>
  <c r="JB66" i="8" s="1"/>
  <c r="JA45" i="8"/>
  <c r="IZ45" i="8"/>
  <c r="IZ66" i="8" s="1"/>
  <c r="IY45" i="8"/>
  <c r="IY66" i="8" s="1"/>
  <c r="IX45" i="8"/>
  <c r="IX66" i="8" s="1"/>
  <c r="IW45" i="8"/>
  <c r="IW66" i="8" s="1"/>
  <c r="IV45" i="8"/>
  <c r="IV66" i="8" s="1"/>
  <c r="IU45" i="8"/>
  <c r="IU66" i="8" s="1"/>
  <c r="IT45" i="8"/>
  <c r="IT66" i="8" s="1"/>
  <c r="IS45" i="8"/>
  <c r="IS66" i="8" s="1"/>
  <c r="IR45" i="8"/>
  <c r="IR66" i="8" s="1"/>
  <c r="IQ45" i="8"/>
  <c r="IQ66" i="8" s="1"/>
  <c r="IP45" i="8"/>
  <c r="IP66" i="8" s="1"/>
  <c r="IO45" i="8"/>
  <c r="IO66" i="8" s="1"/>
  <c r="IN45" i="8"/>
  <c r="IN66" i="8" s="1"/>
  <c r="IM45" i="8"/>
  <c r="IM66" i="8" s="1"/>
  <c r="IL45" i="8"/>
  <c r="IL66" i="8" s="1"/>
  <c r="IK45" i="8"/>
  <c r="IK66" i="8" s="1"/>
  <c r="IJ45" i="8"/>
  <c r="IJ66" i="8" s="1"/>
  <c r="II45" i="8"/>
  <c r="II66" i="8" s="1"/>
  <c r="IH45" i="8"/>
  <c r="IH66" i="8" s="1"/>
  <c r="IG45" i="8"/>
  <c r="IG66" i="8" s="1"/>
  <c r="IF45" i="8"/>
  <c r="IF66" i="8" s="1"/>
  <c r="IE45" i="8"/>
  <c r="IE66" i="8" s="1"/>
  <c r="ID45" i="8"/>
  <c r="ID66" i="8" s="1"/>
  <c r="IC45" i="8"/>
  <c r="IC66" i="8" s="1"/>
  <c r="IB45" i="8"/>
  <c r="IB66" i="8" s="1"/>
  <c r="IA45" i="8"/>
  <c r="IA66" i="8" s="1"/>
  <c r="HZ45" i="8"/>
  <c r="HZ66" i="8" s="1"/>
  <c r="HY45" i="8"/>
  <c r="HY66" i="8" s="1"/>
  <c r="HX45" i="8"/>
  <c r="HX66" i="8" s="1"/>
  <c r="HW45" i="8"/>
  <c r="HW66" i="8" s="1"/>
  <c r="HV45" i="8"/>
  <c r="HV66" i="8" s="1"/>
  <c r="HU45" i="8"/>
  <c r="HT45" i="8"/>
  <c r="HT66" i="8" s="1"/>
  <c r="HS45" i="8"/>
  <c r="HS66" i="8" s="1"/>
  <c r="HR45" i="8"/>
  <c r="HR66" i="8" s="1"/>
  <c r="HQ45" i="8"/>
  <c r="HQ66" i="8" s="1"/>
  <c r="HP45" i="8"/>
  <c r="HP66" i="8" s="1"/>
  <c r="HO45" i="8"/>
  <c r="HO66" i="8" s="1"/>
  <c r="HN45" i="8"/>
  <c r="HN66" i="8" s="1"/>
  <c r="HM45" i="8"/>
  <c r="HM66" i="8" s="1"/>
  <c r="HL45" i="8"/>
  <c r="HL66" i="8" s="1"/>
  <c r="HK45" i="8"/>
  <c r="HK66" i="8" s="1"/>
  <c r="HJ45" i="8"/>
  <c r="HJ66" i="8" s="1"/>
  <c r="HI45" i="8"/>
  <c r="HI66" i="8" s="1"/>
  <c r="HH45" i="8"/>
  <c r="HH66" i="8" s="1"/>
  <c r="HG45" i="8"/>
  <c r="HG66" i="8" s="1"/>
  <c r="HF45" i="8"/>
  <c r="HF66" i="8" s="1"/>
  <c r="HE45" i="8"/>
  <c r="HE66" i="8" s="1"/>
  <c r="HD45" i="8"/>
  <c r="HD66" i="8" s="1"/>
  <c r="HC45" i="8"/>
  <c r="HC66" i="8" s="1"/>
  <c r="HB45" i="8"/>
  <c r="HB66" i="8" s="1"/>
  <c r="HA45" i="8"/>
  <c r="HA66" i="8" s="1"/>
  <c r="GZ45" i="8"/>
  <c r="GZ66" i="8" s="1"/>
  <c r="GY45" i="8"/>
  <c r="GY66" i="8" s="1"/>
  <c r="GX45" i="8"/>
  <c r="GX66" i="8" s="1"/>
  <c r="GW45" i="8"/>
  <c r="GW66" i="8" s="1"/>
  <c r="GV45" i="8"/>
  <c r="GV66" i="8" s="1"/>
  <c r="GU45" i="8"/>
  <c r="GU66" i="8" s="1"/>
  <c r="GT45" i="8"/>
  <c r="GT66" i="8" s="1"/>
  <c r="GS45" i="8"/>
  <c r="GS66" i="8" s="1"/>
  <c r="GR45" i="8"/>
  <c r="GR66" i="8" s="1"/>
  <c r="GQ45" i="8"/>
  <c r="GQ66" i="8" s="1"/>
  <c r="GP45" i="8"/>
  <c r="GP66" i="8" s="1"/>
  <c r="GO45" i="8"/>
  <c r="GN45" i="8"/>
  <c r="GN66" i="8" s="1"/>
  <c r="GM45" i="8"/>
  <c r="GM66" i="8" s="1"/>
  <c r="GL45" i="8"/>
  <c r="GL66" i="8" s="1"/>
  <c r="GK45" i="8"/>
  <c r="GK66" i="8" s="1"/>
  <c r="GJ45" i="8"/>
  <c r="GJ66" i="8" s="1"/>
  <c r="GI45" i="8"/>
  <c r="GI66" i="8" s="1"/>
  <c r="GH45" i="8"/>
  <c r="GH66" i="8" s="1"/>
  <c r="GG45" i="8"/>
  <c r="GG66" i="8" s="1"/>
  <c r="GF45" i="8"/>
  <c r="GF66" i="8" s="1"/>
  <c r="GE45" i="8"/>
  <c r="GE66" i="8" s="1"/>
  <c r="GD45" i="8"/>
  <c r="GD66" i="8" s="1"/>
  <c r="GC45" i="8"/>
  <c r="GC66" i="8" s="1"/>
  <c r="GB45" i="8"/>
  <c r="GB66" i="8" s="1"/>
  <c r="GA45" i="8"/>
  <c r="GA66" i="8" s="1"/>
  <c r="FZ45" i="8"/>
  <c r="FZ66" i="8" s="1"/>
  <c r="FY45" i="8"/>
  <c r="FY66" i="8" s="1"/>
  <c r="FX45" i="8"/>
  <c r="FX66" i="8" s="1"/>
  <c r="FW45" i="8"/>
  <c r="FW66" i="8" s="1"/>
  <c r="FV45" i="8"/>
  <c r="FV66" i="8" s="1"/>
  <c r="FU45" i="8"/>
  <c r="FU66" i="8" s="1"/>
  <c r="FT45" i="8"/>
  <c r="FT66" i="8" s="1"/>
  <c r="FO45" i="8"/>
  <c r="FO66" i="8" s="1"/>
  <c r="FM45" i="8"/>
  <c r="FM66" i="8" s="1"/>
  <c r="FL45" i="8"/>
  <c r="FL66" i="8" s="1"/>
  <c r="FK45" i="8"/>
  <c r="FK66" i="8" s="1"/>
  <c r="FJ45" i="8"/>
  <c r="FJ66" i="8" s="1"/>
  <c r="FI45" i="8"/>
  <c r="FI66" i="8" s="1"/>
  <c r="FH45" i="8"/>
  <c r="FG45" i="8"/>
  <c r="FG66" i="8" s="1"/>
  <c r="FF45" i="8"/>
  <c r="FF66" i="8" s="1"/>
  <c r="FE45" i="8"/>
  <c r="FE66" i="8" s="1"/>
  <c r="FD45" i="8"/>
  <c r="FD66" i="8" s="1"/>
  <c r="FC45" i="8"/>
  <c r="FC66" i="8" s="1"/>
  <c r="FB45" i="8"/>
  <c r="FB66" i="8" s="1"/>
  <c r="FA45" i="8"/>
  <c r="FA66" i="8" s="1"/>
  <c r="EZ45" i="8"/>
  <c r="EZ66" i="8" s="1"/>
  <c r="EY45" i="8"/>
  <c r="EY66" i="8" s="1"/>
  <c r="EX45" i="8"/>
  <c r="EX66" i="8" s="1"/>
  <c r="EW45" i="8"/>
  <c r="EW66" i="8" s="1"/>
  <c r="EV45" i="8"/>
  <c r="EV66" i="8" s="1"/>
  <c r="EU45" i="8"/>
  <c r="EU66" i="8" s="1"/>
  <c r="ET45" i="8"/>
  <c r="ET66" i="8" s="1"/>
  <c r="ES45" i="8"/>
  <c r="ES66" i="8" s="1"/>
  <c r="ER45" i="8"/>
  <c r="ER66" i="8" s="1"/>
  <c r="EQ45" i="8"/>
  <c r="EQ66" i="8" s="1"/>
  <c r="EP45" i="8"/>
  <c r="EP66" i="8" s="1"/>
  <c r="EO45" i="8"/>
  <c r="EO66" i="8" s="1"/>
  <c r="EN45" i="8"/>
  <c r="EN66" i="8" s="1"/>
  <c r="EM45" i="8"/>
  <c r="EM66" i="8" s="1"/>
  <c r="EL45" i="8"/>
  <c r="EL66" i="8" s="1"/>
  <c r="EK45" i="8"/>
  <c r="EK66" i="8" s="1"/>
  <c r="EJ45" i="8"/>
  <c r="EJ66" i="8" s="1"/>
  <c r="EI45" i="8"/>
  <c r="EI66" i="8" s="1"/>
  <c r="EH45" i="8"/>
  <c r="EH66" i="8" s="1"/>
  <c r="EG45" i="8"/>
  <c r="EG66" i="8" s="1"/>
  <c r="EF45" i="8"/>
  <c r="EF66" i="8" s="1"/>
  <c r="EE45" i="8"/>
  <c r="EE66" i="8" s="1"/>
  <c r="ED45" i="8"/>
  <c r="ED66" i="8" s="1"/>
  <c r="EC45" i="8"/>
  <c r="EC66" i="8" s="1"/>
  <c r="EB45" i="8"/>
  <c r="EA45" i="8"/>
  <c r="EA66" i="8" s="1"/>
  <c r="DZ45" i="8"/>
  <c r="DZ66" i="8" s="1"/>
  <c r="DY45" i="8"/>
  <c r="DY66" i="8" s="1"/>
  <c r="DX45" i="8"/>
  <c r="DX66" i="8" s="1"/>
  <c r="DW45" i="8"/>
  <c r="DW66" i="8" s="1"/>
  <c r="DV45" i="8"/>
  <c r="DV66" i="8" s="1"/>
  <c r="DU45" i="8"/>
  <c r="DU66" i="8" s="1"/>
  <c r="DT45" i="8"/>
  <c r="DT66" i="8" s="1"/>
  <c r="DS45" i="8"/>
  <c r="DS66" i="8" s="1"/>
  <c r="DR45" i="8"/>
  <c r="DR66" i="8" s="1"/>
  <c r="DQ45" i="8"/>
  <c r="DQ66" i="8" s="1"/>
  <c r="DP45" i="8"/>
  <c r="DP66" i="8" s="1"/>
  <c r="DO45" i="8"/>
  <c r="DO66" i="8" s="1"/>
  <c r="DN45" i="8"/>
  <c r="DN66" i="8" s="1"/>
  <c r="DM45" i="8"/>
  <c r="DM66" i="8" s="1"/>
  <c r="DL45" i="8"/>
  <c r="DL66" i="8" s="1"/>
  <c r="DK45" i="8"/>
  <c r="DK66" i="8" s="1"/>
  <c r="DJ45" i="8"/>
  <c r="DJ66" i="8" s="1"/>
  <c r="DI45" i="8"/>
  <c r="DI66" i="8" s="1"/>
  <c r="DH45" i="8"/>
  <c r="DH66" i="8" s="1"/>
  <c r="DG45" i="8"/>
  <c r="DG66" i="8" s="1"/>
  <c r="DF45" i="8"/>
  <c r="DF66" i="8" s="1"/>
  <c r="DE45" i="8"/>
  <c r="DE66" i="8" s="1"/>
  <c r="DD45" i="8"/>
  <c r="DD66" i="8" s="1"/>
  <c r="DC45" i="8"/>
  <c r="DC66" i="8" s="1"/>
  <c r="DB45" i="8"/>
  <c r="DB66" i="8" s="1"/>
  <c r="DA45" i="8"/>
  <c r="DA66" i="8" s="1"/>
  <c r="CZ45" i="8"/>
  <c r="CZ66" i="8" s="1"/>
  <c r="CY45" i="8"/>
  <c r="CY66" i="8" s="1"/>
  <c r="CX45" i="8"/>
  <c r="CX66" i="8" s="1"/>
  <c r="CW45" i="8"/>
  <c r="CW66" i="8" s="1"/>
  <c r="CV45" i="8"/>
  <c r="CU45" i="8"/>
  <c r="CU66" i="8" s="1"/>
  <c r="CT45" i="8"/>
  <c r="CT66" i="8" s="1"/>
  <c r="CS45" i="8"/>
  <c r="CS66" i="8" s="1"/>
  <c r="CR45" i="8"/>
  <c r="CR66" i="8" s="1"/>
  <c r="CQ45" i="8"/>
  <c r="CQ66" i="8" s="1"/>
  <c r="CP45" i="8"/>
  <c r="CP66" i="8" s="1"/>
  <c r="CO45" i="8"/>
  <c r="CO66" i="8" s="1"/>
  <c r="CN45" i="8"/>
  <c r="CN66" i="8" s="1"/>
  <c r="CM45" i="8"/>
  <c r="CM66" i="8" s="1"/>
  <c r="CL45" i="8"/>
  <c r="CL66" i="8" s="1"/>
  <c r="CK45" i="8"/>
  <c r="CK66" i="8" s="1"/>
  <c r="CJ45" i="8"/>
  <c r="CJ66" i="8" s="1"/>
  <c r="CI45" i="8"/>
  <c r="CI66" i="8" s="1"/>
  <c r="CH45" i="8"/>
  <c r="CH66" i="8" s="1"/>
  <c r="CG45" i="8"/>
  <c r="CG66" i="8" s="1"/>
  <c r="CF45" i="8"/>
  <c r="CF66" i="8" s="1"/>
  <c r="CE45" i="8"/>
  <c r="CE66" i="8" s="1"/>
  <c r="CD45" i="8"/>
  <c r="CD66" i="8" s="1"/>
  <c r="CC45" i="8"/>
  <c r="CC66" i="8" s="1"/>
  <c r="CB45" i="8"/>
  <c r="CB66" i="8" s="1"/>
  <c r="CA45" i="8"/>
  <c r="CA66" i="8" s="1"/>
  <c r="BZ45" i="8"/>
  <c r="BZ66" i="8" s="1"/>
  <c r="BY45" i="8"/>
  <c r="BY66" i="8" s="1"/>
  <c r="BX45" i="8"/>
  <c r="BX66" i="8" s="1"/>
  <c r="BW45" i="8"/>
  <c r="BW66" i="8" s="1"/>
  <c r="BV45" i="8"/>
  <c r="BV66" i="8" s="1"/>
  <c r="BU45" i="8"/>
  <c r="BU66" i="8" s="1"/>
  <c r="BT45" i="8"/>
  <c r="BT66" i="8" s="1"/>
  <c r="BS45" i="8"/>
  <c r="BS66" i="8" s="1"/>
  <c r="BR45" i="8"/>
  <c r="BR66" i="8" s="1"/>
  <c r="BQ45" i="8"/>
  <c r="BQ66" i="8" s="1"/>
  <c r="BP45" i="8"/>
  <c r="BO45" i="8"/>
  <c r="BO66" i="8" s="1"/>
  <c r="BN45" i="8"/>
  <c r="BN66" i="8" s="1"/>
  <c r="BM45" i="8"/>
  <c r="BM66" i="8" s="1"/>
  <c r="BL45" i="8"/>
  <c r="BL66" i="8" s="1"/>
  <c r="BK45" i="8"/>
  <c r="BK66" i="8" s="1"/>
  <c r="BJ45" i="8"/>
  <c r="BJ66" i="8" s="1"/>
  <c r="BI45" i="8"/>
  <c r="BI66" i="8" s="1"/>
  <c r="BH45" i="8"/>
  <c r="BH66" i="8" s="1"/>
  <c r="BG45" i="8"/>
  <c r="BG66" i="8" s="1"/>
  <c r="BF45" i="8"/>
  <c r="BF66" i="8" s="1"/>
  <c r="BE45" i="8"/>
  <c r="BE66" i="8" s="1"/>
  <c r="BD45" i="8"/>
  <c r="BD66" i="8" s="1"/>
  <c r="BC45" i="8"/>
  <c r="BC66" i="8" s="1"/>
  <c r="BB45" i="8"/>
  <c r="BB66" i="8" s="1"/>
  <c r="BA45" i="8"/>
  <c r="BA66" i="8" s="1"/>
  <c r="AZ45" i="8"/>
  <c r="AZ66" i="8" s="1"/>
  <c r="AY45" i="8"/>
  <c r="AY66" i="8" s="1"/>
  <c r="AX45" i="8"/>
  <c r="AX66" i="8" s="1"/>
  <c r="AW45" i="8"/>
  <c r="AW66" i="8" s="1"/>
  <c r="AV45" i="8"/>
  <c r="AV66" i="8" s="1"/>
  <c r="AU45" i="8"/>
  <c r="AU66" i="8" s="1"/>
  <c r="AT45" i="8"/>
  <c r="AT66" i="8" s="1"/>
  <c r="AS45" i="8"/>
  <c r="AS66" i="8" s="1"/>
  <c r="AR45" i="8"/>
  <c r="AR66" i="8" s="1"/>
  <c r="AQ45" i="8"/>
  <c r="AQ66" i="8" s="1"/>
  <c r="AP45" i="8"/>
  <c r="AP66" i="8" s="1"/>
  <c r="AO45" i="8"/>
  <c r="AO66" i="8" s="1"/>
  <c r="AN45" i="8"/>
  <c r="AN66" i="8" s="1"/>
  <c r="AM45" i="8"/>
  <c r="AM66" i="8" s="1"/>
  <c r="AL45" i="8"/>
  <c r="AL66" i="8" s="1"/>
  <c r="AK45" i="8"/>
  <c r="AK66" i="8" s="1"/>
  <c r="AJ45" i="8"/>
  <c r="AI45" i="8"/>
  <c r="AI66" i="8" s="1"/>
  <c r="AH45" i="8"/>
  <c r="AH66" i="8" s="1"/>
  <c r="AG45" i="8"/>
  <c r="AG66" i="8" s="1"/>
  <c r="AF45" i="8"/>
  <c r="AF66" i="8" s="1"/>
  <c r="AE45" i="8"/>
  <c r="AE66" i="8" s="1"/>
  <c r="AD45" i="8"/>
  <c r="AD66" i="8" s="1"/>
  <c r="AC45" i="8"/>
  <c r="AC66" i="8" s="1"/>
  <c r="AB45" i="8"/>
  <c r="AB66" i="8" s="1"/>
  <c r="AA45" i="8"/>
  <c r="AA66" i="8" s="1"/>
  <c r="Z45" i="8"/>
  <c r="Z66" i="8" s="1"/>
  <c r="Y45" i="8"/>
  <c r="Y66" i="8" s="1"/>
  <c r="X45" i="8"/>
  <c r="X66" i="8" s="1"/>
  <c r="W45" i="8"/>
  <c r="W66" i="8" s="1"/>
  <c r="V45" i="8"/>
  <c r="V66" i="8" s="1"/>
  <c r="U45" i="8"/>
  <c r="U66" i="8" s="1"/>
  <c r="T45" i="8"/>
  <c r="T66" i="8" s="1"/>
  <c r="S45" i="8"/>
  <c r="S66" i="8" s="1"/>
  <c r="R45" i="8"/>
  <c r="R66" i="8" s="1"/>
  <c r="Q45" i="8"/>
  <c r="Q66" i="8" s="1"/>
  <c r="P45" i="8"/>
  <c r="P66" i="8" s="1"/>
  <c r="O45" i="8"/>
  <c r="O66" i="8" s="1"/>
  <c r="N45" i="8"/>
  <c r="N66" i="8" s="1"/>
  <c r="M45" i="8"/>
  <c r="M66" i="8" s="1"/>
  <c r="L45" i="8"/>
  <c r="L66" i="8" s="1"/>
  <c r="K45" i="8"/>
  <c r="K66" i="8" s="1"/>
  <c r="J45" i="8"/>
  <c r="J66" i="8" s="1"/>
  <c r="I45" i="8"/>
  <c r="I66" i="8" s="1"/>
  <c r="H45" i="8"/>
  <c r="H66" i="8" s="1"/>
  <c r="G45" i="8"/>
  <c r="G66" i="8" s="1"/>
  <c r="F45" i="8"/>
  <c r="F66" i="8" s="1"/>
  <c r="E45" i="8"/>
  <c r="E66" i="8" s="1"/>
  <c r="D45" i="8"/>
  <c r="C45" i="8"/>
  <c r="C66" i="8" s="1"/>
  <c r="OT44" i="8"/>
  <c r="OT65" i="8" s="1"/>
  <c r="OS44" i="8"/>
  <c r="OS65" i="8" s="1"/>
  <c r="NO44" i="8"/>
  <c r="NO65" i="8" s="1"/>
  <c r="NN44" i="8"/>
  <c r="NN65" i="8" s="1"/>
  <c r="NM44" i="8"/>
  <c r="NM65" i="8" s="1"/>
  <c r="NL44" i="8"/>
  <c r="NL65" i="8" s="1"/>
  <c r="NK44" i="8"/>
  <c r="NK65" i="8" s="1"/>
  <c r="NJ44" i="8"/>
  <c r="NI44" i="8"/>
  <c r="NI65" i="8" s="1"/>
  <c r="NH44" i="8"/>
  <c r="NH65" i="8" s="1"/>
  <c r="NG44" i="8"/>
  <c r="NG65" i="8" s="1"/>
  <c r="NF44" i="8"/>
  <c r="NF65" i="8" s="1"/>
  <c r="NE44" i="8"/>
  <c r="NE65" i="8" s="1"/>
  <c r="ND44" i="8"/>
  <c r="ND65" i="8" s="1"/>
  <c r="NC44" i="8"/>
  <c r="NC65" i="8" s="1"/>
  <c r="NB44" i="8"/>
  <c r="NB65" i="8" s="1"/>
  <c r="NA44" i="8"/>
  <c r="NA65" i="8" s="1"/>
  <c r="MZ44" i="8"/>
  <c r="MZ65" i="8" s="1"/>
  <c r="MY44" i="8"/>
  <c r="MY65" i="8" s="1"/>
  <c r="MX44" i="8"/>
  <c r="MX65" i="8" s="1"/>
  <c r="MW44" i="8"/>
  <c r="MW65" i="8" s="1"/>
  <c r="MV44" i="8"/>
  <c r="MV65" i="8" s="1"/>
  <c r="MU44" i="8"/>
  <c r="MU65" i="8" s="1"/>
  <c r="MT44" i="8"/>
  <c r="MT65" i="8" s="1"/>
  <c r="MS44" i="8"/>
  <c r="MS65" i="8" s="1"/>
  <c r="MR44" i="8"/>
  <c r="MR65" i="8" s="1"/>
  <c r="MQ44" i="8"/>
  <c r="MQ65" i="8" s="1"/>
  <c r="MP44" i="8"/>
  <c r="MP65" i="8" s="1"/>
  <c r="MO44" i="8"/>
  <c r="MO65" i="8" s="1"/>
  <c r="MN44" i="8"/>
  <c r="MN65" i="8" s="1"/>
  <c r="MM44" i="8"/>
  <c r="ML44" i="8"/>
  <c r="ML65" i="8" s="1"/>
  <c r="MK44" i="8"/>
  <c r="MK65" i="8" s="1"/>
  <c r="MJ44" i="8"/>
  <c r="MJ65" i="8" s="1"/>
  <c r="MI44" i="8"/>
  <c r="MI65" i="8" s="1"/>
  <c r="MH44" i="8"/>
  <c r="MH65" i="8" s="1"/>
  <c r="MG44" i="8"/>
  <c r="MG65" i="8" s="1"/>
  <c r="MF44" i="8"/>
  <c r="MF65" i="8" s="1"/>
  <c r="ME44" i="8"/>
  <c r="ME65" i="8" s="1"/>
  <c r="MD44" i="8"/>
  <c r="MD65" i="8" s="1"/>
  <c r="MC44" i="8"/>
  <c r="MC65" i="8" s="1"/>
  <c r="MB44" i="8"/>
  <c r="MB65" i="8" s="1"/>
  <c r="MA44" i="8"/>
  <c r="MA65" i="8" s="1"/>
  <c r="LZ44" i="8"/>
  <c r="LZ65" i="8" s="1"/>
  <c r="LY44" i="8"/>
  <c r="LY65" i="8" s="1"/>
  <c r="LX44" i="8"/>
  <c r="LX65" i="8" s="1"/>
  <c r="LW44" i="8"/>
  <c r="LW65" i="8" s="1"/>
  <c r="LV44" i="8"/>
  <c r="LV65" i="8" s="1"/>
  <c r="LU44" i="8"/>
  <c r="LU65" i="8" s="1"/>
  <c r="LT44" i="8"/>
  <c r="LT65" i="8" s="1"/>
  <c r="LS44" i="8"/>
  <c r="LS65" i="8" s="1"/>
  <c r="LR44" i="8"/>
  <c r="LR65" i="8" s="1"/>
  <c r="LQ44" i="8"/>
  <c r="LQ65" i="8" s="1"/>
  <c r="LP44" i="8"/>
  <c r="LP65" i="8" s="1"/>
  <c r="LO44" i="8"/>
  <c r="LO65" i="8" s="1"/>
  <c r="LN44" i="8"/>
  <c r="LN65" i="8" s="1"/>
  <c r="LM44" i="8"/>
  <c r="LM65" i="8" s="1"/>
  <c r="LL44" i="8"/>
  <c r="LL65" i="8" s="1"/>
  <c r="LK44" i="8"/>
  <c r="LK65" i="8" s="1"/>
  <c r="LJ44" i="8"/>
  <c r="LJ65" i="8" s="1"/>
  <c r="LI44" i="8"/>
  <c r="LI65" i="8" s="1"/>
  <c r="LH44" i="8"/>
  <c r="LH65" i="8" s="1"/>
  <c r="LG44" i="8"/>
  <c r="LF44" i="8"/>
  <c r="LF65" i="8" s="1"/>
  <c r="LE44" i="8"/>
  <c r="LE65" i="8" s="1"/>
  <c r="LD44" i="8"/>
  <c r="LD65" i="8" s="1"/>
  <c r="LC44" i="8"/>
  <c r="LC65" i="8" s="1"/>
  <c r="LB44" i="8"/>
  <c r="LB65" i="8" s="1"/>
  <c r="LA44" i="8"/>
  <c r="LA65" i="8" s="1"/>
  <c r="KZ44" i="8"/>
  <c r="KZ65" i="8" s="1"/>
  <c r="KY44" i="8"/>
  <c r="KY65" i="8" s="1"/>
  <c r="KX44" i="8"/>
  <c r="KX65" i="8" s="1"/>
  <c r="KW44" i="8"/>
  <c r="KW65" i="8" s="1"/>
  <c r="KV44" i="8"/>
  <c r="KV65" i="8" s="1"/>
  <c r="KU44" i="8"/>
  <c r="KU65" i="8" s="1"/>
  <c r="KT44" i="8"/>
  <c r="KT65" i="8" s="1"/>
  <c r="KS44" i="8"/>
  <c r="KS65" i="8" s="1"/>
  <c r="KR44" i="8"/>
  <c r="KR65" i="8" s="1"/>
  <c r="KQ44" i="8"/>
  <c r="KQ65" i="8" s="1"/>
  <c r="KP44" i="8"/>
  <c r="KP65" i="8" s="1"/>
  <c r="KO44" i="8"/>
  <c r="KO65" i="8" s="1"/>
  <c r="KN44" i="8"/>
  <c r="KN65" i="8" s="1"/>
  <c r="KM44" i="8"/>
  <c r="KM65" i="8" s="1"/>
  <c r="KL44" i="8"/>
  <c r="KL65" i="8" s="1"/>
  <c r="KK44" i="8"/>
  <c r="KK65" i="8" s="1"/>
  <c r="KJ44" i="8"/>
  <c r="KJ65" i="8" s="1"/>
  <c r="KI44" i="8"/>
  <c r="KI65" i="8" s="1"/>
  <c r="KH44" i="8"/>
  <c r="KH65" i="8" s="1"/>
  <c r="KG44" i="8"/>
  <c r="KG65" i="8" s="1"/>
  <c r="KF44" i="8"/>
  <c r="KF65" i="8" s="1"/>
  <c r="KE44" i="8"/>
  <c r="KE65" i="8" s="1"/>
  <c r="KD44" i="8"/>
  <c r="KD65" i="8" s="1"/>
  <c r="KC44" i="8"/>
  <c r="KC65" i="8" s="1"/>
  <c r="KB44" i="8"/>
  <c r="KB65" i="8" s="1"/>
  <c r="KA44" i="8"/>
  <c r="JZ44" i="8"/>
  <c r="JZ65" i="8" s="1"/>
  <c r="JY44" i="8"/>
  <c r="JY65" i="8" s="1"/>
  <c r="JX44" i="8"/>
  <c r="JX65" i="8" s="1"/>
  <c r="JW44" i="8"/>
  <c r="JW65" i="8" s="1"/>
  <c r="JV44" i="8"/>
  <c r="JV65" i="8" s="1"/>
  <c r="JU44" i="8"/>
  <c r="JU65" i="8" s="1"/>
  <c r="JT44" i="8"/>
  <c r="JT65" i="8" s="1"/>
  <c r="JS44" i="8"/>
  <c r="JS65" i="8" s="1"/>
  <c r="JR44" i="8"/>
  <c r="JR65" i="8" s="1"/>
  <c r="JQ44" i="8"/>
  <c r="JQ65" i="8" s="1"/>
  <c r="JP44" i="8"/>
  <c r="JP65" i="8" s="1"/>
  <c r="JO44" i="8"/>
  <c r="JO65" i="8" s="1"/>
  <c r="JN44" i="8"/>
  <c r="JN65" i="8" s="1"/>
  <c r="JM44" i="8"/>
  <c r="JM65" i="8" s="1"/>
  <c r="JL44" i="8"/>
  <c r="JL65" i="8" s="1"/>
  <c r="JK44" i="8"/>
  <c r="JK65" i="8" s="1"/>
  <c r="JJ44" i="8"/>
  <c r="JJ65" i="8" s="1"/>
  <c r="JI44" i="8"/>
  <c r="JI65" i="8" s="1"/>
  <c r="JH44" i="8"/>
  <c r="JH65" i="8" s="1"/>
  <c r="JG44" i="8"/>
  <c r="JG65" i="8" s="1"/>
  <c r="JF44" i="8"/>
  <c r="JF65" i="8" s="1"/>
  <c r="JE44" i="8"/>
  <c r="JE65" i="8" s="1"/>
  <c r="JD44" i="8"/>
  <c r="JD65" i="8" s="1"/>
  <c r="JC44" i="8"/>
  <c r="JC65" i="8" s="1"/>
  <c r="JB44" i="8"/>
  <c r="JB65" i="8" s="1"/>
  <c r="JA44" i="8"/>
  <c r="JA65" i="8" s="1"/>
  <c r="IZ44" i="8"/>
  <c r="IZ65" i="8" s="1"/>
  <c r="IY44" i="8"/>
  <c r="IY65" i="8" s="1"/>
  <c r="IX44" i="8"/>
  <c r="IX65" i="8" s="1"/>
  <c r="IW44" i="8"/>
  <c r="IW65" i="8" s="1"/>
  <c r="IV44" i="8"/>
  <c r="IV65" i="8" s="1"/>
  <c r="IU44" i="8"/>
  <c r="IT44" i="8"/>
  <c r="IT65" i="8" s="1"/>
  <c r="IS44" i="8"/>
  <c r="IS65" i="8" s="1"/>
  <c r="IR44" i="8"/>
  <c r="IR65" i="8" s="1"/>
  <c r="IQ44" i="8"/>
  <c r="IQ65" i="8" s="1"/>
  <c r="IP44" i="8"/>
  <c r="IP65" i="8" s="1"/>
  <c r="IO44" i="8"/>
  <c r="IO65" i="8" s="1"/>
  <c r="IN44" i="8"/>
  <c r="IN65" i="8" s="1"/>
  <c r="IM44" i="8"/>
  <c r="IM65" i="8" s="1"/>
  <c r="IL44" i="8"/>
  <c r="IL65" i="8" s="1"/>
  <c r="IK44" i="8"/>
  <c r="IK65" i="8" s="1"/>
  <c r="IJ44" i="8"/>
  <c r="IJ65" i="8" s="1"/>
  <c r="II44" i="8"/>
  <c r="II65" i="8" s="1"/>
  <c r="IH44" i="8"/>
  <c r="IH65" i="8" s="1"/>
  <c r="IG44" i="8"/>
  <c r="IG65" i="8" s="1"/>
  <c r="IF44" i="8"/>
  <c r="IF65" i="8" s="1"/>
  <c r="IE44" i="8"/>
  <c r="IE65" i="8" s="1"/>
  <c r="ID44" i="8"/>
  <c r="ID65" i="8" s="1"/>
  <c r="IC44" i="8"/>
  <c r="IC65" i="8" s="1"/>
  <c r="IB44" i="8"/>
  <c r="IB65" i="8" s="1"/>
  <c r="IA44" i="8"/>
  <c r="IA65" i="8" s="1"/>
  <c r="HZ44" i="8"/>
  <c r="HZ65" i="8" s="1"/>
  <c r="HY44" i="8"/>
  <c r="HY65" i="8" s="1"/>
  <c r="HX44" i="8"/>
  <c r="HX65" i="8" s="1"/>
  <c r="HW44" i="8"/>
  <c r="HW65" i="8" s="1"/>
  <c r="HV44" i="8"/>
  <c r="HV65" i="8" s="1"/>
  <c r="HU44" i="8"/>
  <c r="HU65" i="8" s="1"/>
  <c r="HT44" i="8"/>
  <c r="HT65" i="8" s="1"/>
  <c r="HS44" i="8"/>
  <c r="HS65" i="8" s="1"/>
  <c r="HR44" i="8"/>
  <c r="HR65" i="8" s="1"/>
  <c r="HQ44" i="8"/>
  <c r="HQ65" i="8" s="1"/>
  <c r="HP44" i="8"/>
  <c r="HP65" i="8" s="1"/>
  <c r="HO44" i="8"/>
  <c r="HN44" i="8"/>
  <c r="HN65" i="8" s="1"/>
  <c r="HM44" i="8"/>
  <c r="HM65" i="8" s="1"/>
  <c r="HL44" i="8"/>
  <c r="HL65" i="8" s="1"/>
  <c r="HK44" i="8"/>
  <c r="HK65" i="8" s="1"/>
  <c r="HJ44" i="8"/>
  <c r="HJ65" i="8" s="1"/>
  <c r="HI44" i="8"/>
  <c r="HI65" i="8" s="1"/>
  <c r="HH44" i="8"/>
  <c r="HH65" i="8" s="1"/>
  <c r="HG44" i="8"/>
  <c r="HG65" i="8" s="1"/>
  <c r="HF44" i="8"/>
  <c r="HF65" i="8" s="1"/>
  <c r="HE44" i="8"/>
  <c r="HE65" i="8" s="1"/>
  <c r="HD44" i="8"/>
  <c r="HD65" i="8" s="1"/>
  <c r="HC44" i="8"/>
  <c r="HC65" i="8" s="1"/>
  <c r="HB44" i="8"/>
  <c r="HB65" i="8" s="1"/>
  <c r="HA44" i="8"/>
  <c r="HA65" i="8" s="1"/>
  <c r="GZ44" i="8"/>
  <c r="GZ65" i="8" s="1"/>
  <c r="GY44" i="8"/>
  <c r="GY65" i="8" s="1"/>
  <c r="GX44" i="8"/>
  <c r="GX65" i="8" s="1"/>
  <c r="GW44" i="8"/>
  <c r="GW65" i="8" s="1"/>
  <c r="GV44" i="8"/>
  <c r="GV65" i="8" s="1"/>
  <c r="GU44" i="8"/>
  <c r="GU65" i="8" s="1"/>
  <c r="GT44" i="8"/>
  <c r="GT65" i="8" s="1"/>
  <c r="GS44" i="8"/>
  <c r="GS65" i="8" s="1"/>
  <c r="GR44" i="8"/>
  <c r="GR65" i="8" s="1"/>
  <c r="GQ44" i="8"/>
  <c r="GQ65" i="8" s="1"/>
  <c r="GP44" i="8"/>
  <c r="GP65" i="8" s="1"/>
  <c r="GO44" i="8"/>
  <c r="GO65" i="8" s="1"/>
  <c r="GN44" i="8"/>
  <c r="GN65" i="8" s="1"/>
  <c r="GM44" i="8"/>
  <c r="GM65" i="8" s="1"/>
  <c r="GL44" i="8"/>
  <c r="GL65" i="8" s="1"/>
  <c r="GK44" i="8"/>
  <c r="GK65" i="8" s="1"/>
  <c r="GJ44" i="8"/>
  <c r="GJ65" i="8" s="1"/>
  <c r="GI44" i="8"/>
  <c r="GH44" i="8"/>
  <c r="GH65" i="8" s="1"/>
  <c r="GG44" i="8"/>
  <c r="GG65" i="8" s="1"/>
  <c r="GF44" i="8"/>
  <c r="GF65" i="8" s="1"/>
  <c r="GE44" i="8"/>
  <c r="GE65" i="8" s="1"/>
  <c r="GD44" i="8"/>
  <c r="GD65" i="8" s="1"/>
  <c r="GC44" i="8"/>
  <c r="GC65" i="8" s="1"/>
  <c r="GB44" i="8"/>
  <c r="GB65" i="8" s="1"/>
  <c r="GA44" i="8"/>
  <c r="GA65" i="8" s="1"/>
  <c r="FZ44" i="8"/>
  <c r="FZ65" i="8" s="1"/>
  <c r="FY44" i="8"/>
  <c r="FY65" i="8" s="1"/>
  <c r="FX44" i="8"/>
  <c r="FX65" i="8" s="1"/>
  <c r="FW44" i="8"/>
  <c r="FW65" i="8" s="1"/>
  <c r="FV44" i="8"/>
  <c r="FV65" i="8" s="1"/>
  <c r="FU44" i="8"/>
  <c r="FU65" i="8" s="1"/>
  <c r="FT44" i="8"/>
  <c r="FT65" i="8" s="1"/>
  <c r="FS44" i="8"/>
  <c r="FS65" i="8" s="1"/>
  <c r="FR44" i="8"/>
  <c r="FQ44" i="8"/>
  <c r="FQ65" i="8" s="1"/>
  <c r="FP44" i="8"/>
  <c r="FP65" i="8" s="1"/>
  <c r="FO44" i="8"/>
  <c r="FO65" i="8" s="1"/>
  <c r="FN44" i="8"/>
  <c r="FN65" i="8" s="1"/>
  <c r="FM44" i="8"/>
  <c r="FM65" i="8" s="1"/>
  <c r="FL44" i="8"/>
  <c r="FL65" i="8" s="1"/>
  <c r="FK44" i="8"/>
  <c r="FK65" i="8" s="1"/>
  <c r="FJ44" i="8"/>
  <c r="FJ65" i="8" s="1"/>
  <c r="FI44" i="8"/>
  <c r="FI65" i="8" s="1"/>
  <c r="FH44" i="8"/>
  <c r="FH65" i="8" s="1"/>
  <c r="FG44" i="8"/>
  <c r="FG65" i="8" s="1"/>
  <c r="FF44" i="8"/>
  <c r="FF65" i="8" s="1"/>
  <c r="FE44" i="8"/>
  <c r="FE65" i="8" s="1"/>
  <c r="FD44" i="8"/>
  <c r="FD65" i="8" s="1"/>
  <c r="FC44" i="8"/>
  <c r="FC65" i="8" s="1"/>
  <c r="FB44" i="8"/>
  <c r="FB65" i="8" s="1"/>
  <c r="FA44" i="8"/>
  <c r="FA65" i="8" s="1"/>
  <c r="EZ44" i="8"/>
  <c r="EZ65" i="8" s="1"/>
  <c r="EY44" i="8"/>
  <c r="EY65" i="8" s="1"/>
  <c r="EX44" i="8"/>
  <c r="EX65" i="8" s="1"/>
  <c r="EW44" i="8"/>
  <c r="EW65" i="8" s="1"/>
  <c r="EV44" i="8"/>
  <c r="EV65" i="8" s="1"/>
  <c r="EU44" i="8"/>
  <c r="EU65" i="8" s="1"/>
  <c r="ET44" i="8"/>
  <c r="ET65" i="8" s="1"/>
  <c r="ES44" i="8"/>
  <c r="ES65" i="8" s="1"/>
  <c r="ER44" i="8"/>
  <c r="ER65" i="8" s="1"/>
  <c r="EQ44" i="8"/>
  <c r="EQ65" i="8" s="1"/>
  <c r="EP44" i="8"/>
  <c r="EP65" i="8" s="1"/>
  <c r="EO44" i="8"/>
  <c r="EO65" i="8" s="1"/>
  <c r="EN44" i="8"/>
  <c r="EN65" i="8" s="1"/>
  <c r="EM44" i="8"/>
  <c r="EM65" i="8" s="1"/>
  <c r="EL44" i="8"/>
  <c r="EL65" i="8" s="1"/>
  <c r="EK44" i="8"/>
  <c r="EK65" i="8" s="1"/>
  <c r="EJ44" i="8"/>
  <c r="EJ65" i="8" s="1"/>
  <c r="EI44" i="8"/>
  <c r="EI65" i="8" s="1"/>
  <c r="EH44" i="8"/>
  <c r="EH65" i="8" s="1"/>
  <c r="EG44" i="8"/>
  <c r="EG65" i="8" s="1"/>
  <c r="EF44" i="8"/>
  <c r="EF65" i="8" s="1"/>
  <c r="EE44" i="8"/>
  <c r="EE65" i="8" s="1"/>
  <c r="ED44" i="8"/>
  <c r="ED65" i="8" s="1"/>
  <c r="EC44" i="8"/>
  <c r="EC65" i="8" s="1"/>
  <c r="EB44" i="8"/>
  <c r="EB65" i="8" s="1"/>
  <c r="EA44" i="8"/>
  <c r="EA65" i="8" s="1"/>
  <c r="DZ44" i="8"/>
  <c r="DZ65" i="8" s="1"/>
  <c r="DY44" i="8"/>
  <c r="DY65" i="8" s="1"/>
  <c r="DX44" i="8"/>
  <c r="DX65" i="8" s="1"/>
  <c r="DW44" i="8"/>
  <c r="DW65" i="8" s="1"/>
  <c r="DV44" i="8"/>
  <c r="DV65" i="8" s="1"/>
  <c r="DU44" i="8"/>
  <c r="DU65" i="8" s="1"/>
  <c r="DT44" i="8"/>
  <c r="DT65" i="8" s="1"/>
  <c r="DS44" i="8"/>
  <c r="DS65" i="8" s="1"/>
  <c r="DR44" i="8"/>
  <c r="DR65" i="8" s="1"/>
  <c r="DQ44" i="8"/>
  <c r="DQ65" i="8" s="1"/>
  <c r="DP44" i="8"/>
  <c r="DO44" i="8"/>
  <c r="DO65" i="8" s="1"/>
  <c r="DN44" i="8"/>
  <c r="DN65" i="8" s="1"/>
  <c r="DM44" i="8"/>
  <c r="DM65" i="8" s="1"/>
  <c r="DL44" i="8"/>
  <c r="DL65" i="8" s="1"/>
  <c r="DK44" i="8"/>
  <c r="DK65" i="8" s="1"/>
  <c r="DJ44" i="8"/>
  <c r="DJ65" i="8" s="1"/>
  <c r="DI44" i="8"/>
  <c r="DI65" i="8" s="1"/>
  <c r="DH44" i="8"/>
  <c r="DH65" i="8" s="1"/>
  <c r="DG44" i="8"/>
  <c r="DG65" i="8" s="1"/>
  <c r="DF44" i="8"/>
  <c r="DF65" i="8" s="1"/>
  <c r="DE44" i="8"/>
  <c r="DE65" i="8" s="1"/>
  <c r="DD44" i="8"/>
  <c r="DD65" i="8" s="1"/>
  <c r="DC44" i="8"/>
  <c r="DC65" i="8" s="1"/>
  <c r="DB44" i="8"/>
  <c r="DB65" i="8" s="1"/>
  <c r="DA44" i="8"/>
  <c r="DA65" i="8" s="1"/>
  <c r="CZ44" i="8"/>
  <c r="CZ65" i="8" s="1"/>
  <c r="CY44" i="8"/>
  <c r="CY65" i="8" s="1"/>
  <c r="CX44" i="8"/>
  <c r="CX65" i="8" s="1"/>
  <c r="CW44" i="8"/>
  <c r="CW65" i="8" s="1"/>
  <c r="CV44" i="8"/>
  <c r="CV65" i="8" s="1"/>
  <c r="CU44" i="8"/>
  <c r="CU65" i="8" s="1"/>
  <c r="CT44" i="8"/>
  <c r="CT65" i="8" s="1"/>
  <c r="CS44" i="8"/>
  <c r="CS65" i="8" s="1"/>
  <c r="CR44" i="8"/>
  <c r="CR65" i="8" s="1"/>
  <c r="CQ44" i="8"/>
  <c r="CQ65" i="8" s="1"/>
  <c r="CP44" i="8"/>
  <c r="CP65" i="8" s="1"/>
  <c r="CO44" i="8"/>
  <c r="CO65" i="8" s="1"/>
  <c r="CN44" i="8"/>
  <c r="CN65" i="8" s="1"/>
  <c r="CM44" i="8"/>
  <c r="CM65" i="8" s="1"/>
  <c r="CL44" i="8"/>
  <c r="CL65" i="8" s="1"/>
  <c r="CK44" i="8"/>
  <c r="CK65" i="8" s="1"/>
  <c r="CJ44" i="8"/>
  <c r="CJ65" i="8" s="1"/>
  <c r="CI44" i="8"/>
  <c r="CI65" i="8" s="1"/>
  <c r="CH44" i="8"/>
  <c r="CH65" i="8" s="1"/>
  <c r="CG44" i="8"/>
  <c r="CG65" i="8" s="1"/>
  <c r="CF44" i="8"/>
  <c r="CF65" i="8" s="1"/>
  <c r="CE44" i="8"/>
  <c r="CE65" i="8" s="1"/>
  <c r="CD44" i="8"/>
  <c r="CD65" i="8" s="1"/>
  <c r="CC44" i="8"/>
  <c r="CC65" i="8" s="1"/>
  <c r="CB44" i="8"/>
  <c r="CB65" i="8" s="1"/>
  <c r="CA44" i="8"/>
  <c r="CA65" i="8" s="1"/>
  <c r="BZ44" i="8"/>
  <c r="BZ65" i="8" s="1"/>
  <c r="BY44" i="8"/>
  <c r="BY65" i="8" s="1"/>
  <c r="BX44" i="8"/>
  <c r="BX65" i="8" s="1"/>
  <c r="BW44" i="8"/>
  <c r="BW65" i="8" s="1"/>
  <c r="BV44" i="8"/>
  <c r="BV65" i="8" s="1"/>
  <c r="BU44" i="8"/>
  <c r="BU65" i="8" s="1"/>
  <c r="BT44" i="8"/>
  <c r="BT65" i="8" s="1"/>
  <c r="BS44" i="8"/>
  <c r="BS65" i="8" s="1"/>
  <c r="BR44" i="8"/>
  <c r="BR65" i="8" s="1"/>
  <c r="BQ44" i="8"/>
  <c r="BQ65" i="8" s="1"/>
  <c r="BP44" i="8"/>
  <c r="BP65" i="8" s="1"/>
  <c r="BO44" i="8"/>
  <c r="BO65" i="8" s="1"/>
  <c r="BN44" i="8"/>
  <c r="BN65" i="8" s="1"/>
  <c r="BM44" i="8"/>
  <c r="BM65" i="8" s="1"/>
  <c r="BL44" i="8"/>
  <c r="BL65" i="8" s="1"/>
  <c r="BK44" i="8"/>
  <c r="BK65" i="8" s="1"/>
  <c r="BJ44" i="8"/>
  <c r="BJ65" i="8" s="1"/>
  <c r="BI44" i="8"/>
  <c r="BI65" i="8" s="1"/>
  <c r="BH44" i="8"/>
  <c r="BH65" i="8" s="1"/>
  <c r="BG44" i="8"/>
  <c r="BG65" i="8" s="1"/>
  <c r="BF44" i="8"/>
  <c r="BF65" i="8" s="1"/>
  <c r="BE44" i="8"/>
  <c r="BE65" i="8" s="1"/>
  <c r="BD44" i="8"/>
  <c r="BD65" i="8" s="1"/>
  <c r="BC44" i="8"/>
  <c r="BC65" i="8" s="1"/>
  <c r="BB44" i="8"/>
  <c r="BB65" i="8" s="1"/>
  <c r="BA44" i="8"/>
  <c r="BA65" i="8" s="1"/>
  <c r="AZ44" i="8"/>
  <c r="AZ65" i="8" s="1"/>
  <c r="AY44" i="8"/>
  <c r="AY65" i="8" s="1"/>
  <c r="AX44" i="8"/>
  <c r="AX65" i="8" s="1"/>
  <c r="AW44" i="8"/>
  <c r="AW65" i="8" s="1"/>
  <c r="AV44" i="8"/>
  <c r="AV65" i="8" s="1"/>
  <c r="AU44" i="8"/>
  <c r="AU65" i="8" s="1"/>
  <c r="AT44" i="8"/>
  <c r="AT65" i="8" s="1"/>
  <c r="AS44" i="8"/>
  <c r="AS65" i="8" s="1"/>
  <c r="AR44" i="8"/>
  <c r="AR65" i="8" s="1"/>
  <c r="AQ44" i="8"/>
  <c r="AQ65" i="8" s="1"/>
  <c r="AP44" i="8"/>
  <c r="AP65" i="8" s="1"/>
  <c r="AO44" i="8"/>
  <c r="AO65" i="8" s="1"/>
  <c r="AN44" i="8"/>
  <c r="AN65" i="8" s="1"/>
  <c r="AM44" i="8"/>
  <c r="AM65" i="8" s="1"/>
  <c r="AL44" i="8"/>
  <c r="AL65" i="8" s="1"/>
  <c r="AK44" i="8"/>
  <c r="AK65" i="8" s="1"/>
  <c r="AJ44" i="8"/>
  <c r="AJ65" i="8" s="1"/>
  <c r="AI44" i="8"/>
  <c r="AI65" i="8" s="1"/>
  <c r="AH44" i="8"/>
  <c r="AH65" i="8" s="1"/>
  <c r="AG44" i="8"/>
  <c r="AG65" i="8" s="1"/>
  <c r="AF44" i="8"/>
  <c r="AF65" i="8" s="1"/>
  <c r="AE44" i="8"/>
  <c r="AE65" i="8" s="1"/>
  <c r="AD44" i="8"/>
  <c r="AD65" i="8" s="1"/>
  <c r="AC44" i="8"/>
  <c r="AC65" i="8" s="1"/>
  <c r="AB44" i="8"/>
  <c r="AB65" i="8" s="1"/>
  <c r="AA44" i="8"/>
  <c r="AA65" i="8" s="1"/>
  <c r="Z44" i="8"/>
  <c r="Z65" i="8" s="1"/>
  <c r="Y44" i="8"/>
  <c r="Y65" i="8" s="1"/>
  <c r="X44" i="8"/>
  <c r="X65" i="8" s="1"/>
  <c r="W44" i="8"/>
  <c r="W65" i="8" s="1"/>
  <c r="V44" i="8"/>
  <c r="V65" i="8" s="1"/>
  <c r="U44" i="8"/>
  <c r="U65" i="8" s="1"/>
  <c r="T44" i="8"/>
  <c r="T65" i="8" s="1"/>
  <c r="S44" i="8"/>
  <c r="S65" i="8" s="1"/>
  <c r="R44" i="8"/>
  <c r="R65" i="8" s="1"/>
  <c r="Q44" i="8"/>
  <c r="Q65" i="8" s="1"/>
  <c r="P44" i="8"/>
  <c r="P65" i="8" s="1"/>
  <c r="O44" i="8"/>
  <c r="O65" i="8" s="1"/>
  <c r="N44" i="8"/>
  <c r="N65" i="8" s="1"/>
  <c r="M44" i="8"/>
  <c r="M65" i="8" s="1"/>
  <c r="L44" i="8"/>
  <c r="L65" i="8" s="1"/>
  <c r="K44" i="8"/>
  <c r="K65" i="8" s="1"/>
  <c r="J44" i="8"/>
  <c r="J65" i="8" s="1"/>
  <c r="I44" i="8"/>
  <c r="I65" i="8" s="1"/>
  <c r="H44" i="8"/>
  <c r="H65" i="8" s="1"/>
  <c r="G44" i="8"/>
  <c r="G65" i="8" s="1"/>
  <c r="F44" i="8"/>
  <c r="F65" i="8" s="1"/>
  <c r="E44" i="8"/>
  <c r="E65" i="8" s="1"/>
  <c r="D44" i="8"/>
  <c r="D65" i="8" s="1"/>
  <c r="C44" i="8"/>
  <c r="C65" i="8" s="1"/>
  <c r="OS24" i="8"/>
  <c r="OT45" i="8" s="1"/>
  <c r="OT66" i="8" s="1"/>
  <c r="NJ5" i="8"/>
  <c r="NJ68" i="8" s="1"/>
  <c r="NJ4" i="8"/>
  <c r="NJ3" i="8"/>
  <c r="NJ66" i="8" s="1"/>
  <c r="NJ2" i="8"/>
  <c r="NJ65" i="8" s="1"/>
  <c r="DP2" i="8"/>
  <c r="DP65" i="8" s="1"/>
  <c r="L20" i="6"/>
  <c r="M20" i="6" s="1"/>
  <c r="K20" i="6"/>
  <c r="L19" i="6"/>
  <c r="M19" i="6" s="1"/>
  <c r="K19" i="6"/>
  <c r="L18" i="6"/>
  <c r="M18" i="6" s="1"/>
  <c r="K18" i="6"/>
  <c r="M17" i="6"/>
  <c r="L17" i="6"/>
  <c r="K17" i="6"/>
  <c r="L16" i="6"/>
  <c r="M16" i="6" s="1"/>
  <c r="K16" i="6"/>
  <c r="L15" i="6"/>
  <c r="M15" i="6" s="1"/>
  <c r="K15" i="6"/>
  <c r="K14" i="6"/>
  <c r="L13" i="6"/>
  <c r="M13" i="6" s="1"/>
  <c r="K13" i="6"/>
  <c r="L12" i="6"/>
  <c r="M12" i="6" s="1"/>
  <c r="K12" i="6"/>
  <c r="M11" i="6"/>
  <c r="L11" i="6"/>
  <c r="K11" i="6"/>
  <c r="L10" i="6"/>
  <c r="M10" i="6" s="1"/>
  <c r="K10" i="6"/>
  <c r="M9" i="6"/>
  <c r="L9" i="6"/>
  <c r="K9" i="6"/>
  <c r="L8" i="6"/>
  <c r="M8" i="6" s="1"/>
  <c r="K8" i="6"/>
  <c r="L7" i="6"/>
  <c r="M7" i="6" s="1"/>
  <c r="K7" i="6"/>
  <c r="L6" i="6"/>
  <c r="M6" i="6" s="1"/>
  <c r="K6" i="6"/>
  <c r="L5" i="6"/>
  <c r="M5" i="6" s="1"/>
  <c r="K5" i="6"/>
  <c r="L4" i="6"/>
  <c r="M4" i="6" s="1"/>
  <c r="K4" i="6"/>
  <c r="L3" i="6"/>
  <c r="M3" i="6" s="1"/>
  <c r="K3" i="6"/>
  <c r="L2" i="6"/>
  <c r="M2" i="6" s="1"/>
  <c r="K2" i="6"/>
  <c r="D488" i="14"/>
  <c r="B488" i="14"/>
  <c r="D487" i="14"/>
  <c r="B487" i="14"/>
  <c r="B486" i="14"/>
  <c r="D486" i="14" s="1"/>
  <c r="B485" i="14"/>
  <c r="D485" i="14" s="1"/>
  <c r="D484" i="14"/>
  <c r="B484" i="14"/>
  <c r="D483" i="14"/>
  <c r="B483" i="14"/>
  <c r="B482" i="14"/>
  <c r="D482" i="14" s="1"/>
  <c r="D481" i="14"/>
  <c r="B481" i="14"/>
  <c r="D480" i="14"/>
  <c r="B480" i="14"/>
  <c r="D479" i="14"/>
  <c r="B479" i="14"/>
  <c r="B478" i="14"/>
  <c r="D478" i="14" s="1"/>
  <c r="B477" i="14"/>
  <c r="D477" i="14" s="1"/>
  <c r="D476" i="14"/>
  <c r="B476" i="14"/>
  <c r="D475" i="14"/>
  <c r="B475" i="14"/>
  <c r="B474" i="14"/>
  <c r="D474" i="14" s="1"/>
  <c r="B473" i="14"/>
  <c r="D473" i="14" s="1"/>
  <c r="D472" i="14"/>
  <c r="B472" i="14"/>
  <c r="D471" i="14"/>
  <c r="B471" i="14"/>
  <c r="B470" i="14"/>
  <c r="D470" i="14" s="1"/>
  <c r="D469" i="14"/>
  <c r="B469" i="14"/>
  <c r="D468" i="14"/>
  <c r="B468" i="14"/>
  <c r="D467" i="14"/>
  <c r="B467" i="14"/>
  <c r="B466" i="14"/>
  <c r="D466" i="14" s="1"/>
  <c r="D465" i="14"/>
  <c r="B465" i="14"/>
  <c r="D464" i="14"/>
  <c r="B464" i="14"/>
  <c r="D463" i="14"/>
  <c r="B463" i="14"/>
  <c r="B462" i="14"/>
  <c r="D462" i="14" s="1"/>
  <c r="D461" i="14"/>
  <c r="B461" i="14"/>
  <c r="D460" i="14"/>
  <c r="B460" i="14"/>
  <c r="D459" i="14"/>
  <c r="B459" i="14"/>
  <c r="B458" i="14"/>
  <c r="D458" i="14" s="1"/>
  <c r="D457" i="14"/>
  <c r="B457" i="14"/>
  <c r="D456" i="14"/>
  <c r="B456" i="14"/>
  <c r="D455" i="14"/>
  <c r="B455" i="14"/>
  <c r="B454" i="14"/>
  <c r="D454" i="14" s="1"/>
  <c r="B453" i="14"/>
  <c r="D453" i="14" s="1"/>
  <c r="D452" i="14"/>
  <c r="B452" i="14"/>
  <c r="D451" i="14"/>
  <c r="B451" i="14"/>
  <c r="B450" i="14"/>
  <c r="D450" i="14" s="1"/>
  <c r="D449" i="14"/>
  <c r="B449" i="14"/>
  <c r="D448" i="14"/>
  <c r="B448" i="14"/>
  <c r="D447" i="14"/>
  <c r="B447" i="14"/>
  <c r="B446" i="14"/>
  <c r="D446" i="14" s="1"/>
  <c r="B445" i="14"/>
  <c r="D445" i="14" s="1"/>
  <c r="D444" i="14"/>
  <c r="B444" i="14"/>
  <c r="D443" i="14"/>
  <c r="B443" i="14"/>
  <c r="B442" i="14"/>
  <c r="D442" i="14" s="1"/>
  <c r="B441" i="14"/>
  <c r="D441" i="14" s="1"/>
  <c r="D440" i="14"/>
  <c r="B440" i="14"/>
  <c r="D439" i="14"/>
  <c r="B439" i="14"/>
  <c r="B438" i="14"/>
  <c r="D438" i="14" s="1"/>
  <c r="D437" i="14"/>
  <c r="B437" i="14"/>
  <c r="D436" i="14"/>
  <c r="B436" i="14"/>
  <c r="D435" i="14"/>
  <c r="B435" i="14"/>
  <c r="B434" i="14"/>
  <c r="D434" i="14" s="1"/>
  <c r="D433" i="14"/>
  <c r="B433" i="14"/>
  <c r="D432" i="14"/>
  <c r="B432" i="14"/>
  <c r="D431" i="14"/>
  <c r="B431" i="14"/>
  <c r="B430" i="14"/>
  <c r="D430" i="14" s="1"/>
  <c r="D429" i="14"/>
  <c r="B429" i="14"/>
  <c r="D428" i="14"/>
  <c r="B428" i="14"/>
  <c r="D427" i="14"/>
  <c r="B427" i="14"/>
  <c r="B426" i="14"/>
  <c r="D426" i="14" s="1"/>
  <c r="D425" i="14"/>
  <c r="B425" i="14"/>
  <c r="D424" i="14"/>
  <c r="B424" i="14"/>
  <c r="D423" i="14"/>
  <c r="B423" i="14"/>
  <c r="B422" i="14"/>
  <c r="D422" i="14" s="1"/>
  <c r="B421" i="14"/>
  <c r="D421" i="14" s="1"/>
  <c r="D420" i="14"/>
  <c r="B420" i="14"/>
  <c r="D419" i="14"/>
  <c r="B419" i="14"/>
  <c r="B418" i="14"/>
  <c r="D418" i="14" s="1"/>
  <c r="D417" i="14"/>
  <c r="B417" i="14"/>
  <c r="D416" i="14"/>
  <c r="B416" i="14"/>
  <c r="D415" i="14"/>
  <c r="B415" i="14"/>
  <c r="B414" i="14"/>
  <c r="D414" i="14" s="1"/>
  <c r="B413" i="14"/>
  <c r="D413" i="14" s="1"/>
  <c r="D412" i="14"/>
  <c r="B412" i="14"/>
  <c r="D411" i="14"/>
  <c r="B411" i="14"/>
  <c r="B410" i="14"/>
  <c r="D410" i="14" s="1"/>
  <c r="B409" i="14"/>
  <c r="D409" i="14" s="1"/>
  <c r="D408" i="14"/>
  <c r="B408" i="14"/>
  <c r="D407" i="14"/>
  <c r="B407" i="14"/>
  <c r="B406" i="14"/>
  <c r="D406" i="14" s="1"/>
  <c r="D405" i="14"/>
  <c r="B405" i="14"/>
  <c r="D404" i="14"/>
  <c r="B404" i="14"/>
  <c r="D403" i="14"/>
  <c r="B403" i="14"/>
  <c r="B402" i="14"/>
  <c r="D402" i="14" s="1"/>
  <c r="D401" i="14"/>
  <c r="B401" i="14"/>
  <c r="D400" i="14"/>
  <c r="B400" i="14"/>
  <c r="D399" i="14"/>
  <c r="B399" i="14"/>
  <c r="B398" i="14"/>
  <c r="D398" i="14" s="1"/>
  <c r="D397" i="14"/>
  <c r="B397" i="14"/>
  <c r="D396" i="14"/>
  <c r="B396" i="14"/>
  <c r="D395" i="14"/>
  <c r="B395" i="14"/>
  <c r="B394" i="14"/>
  <c r="D394" i="14" s="1"/>
  <c r="D393" i="14"/>
  <c r="B393" i="14"/>
  <c r="D392" i="14"/>
  <c r="B392" i="14"/>
  <c r="D391" i="14"/>
  <c r="B391" i="14"/>
  <c r="B390" i="14"/>
  <c r="D390" i="14" s="1"/>
  <c r="B389" i="14"/>
  <c r="D389" i="14" s="1"/>
  <c r="D388" i="14"/>
  <c r="B388" i="14"/>
  <c r="D387" i="14"/>
  <c r="B387" i="14"/>
  <c r="B386" i="14"/>
  <c r="D386" i="14" s="1"/>
  <c r="D385" i="14"/>
  <c r="B385" i="14"/>
  <c r="D384" i="14"/>
  <c r="B384" i="14"/>
  <c r="D383" i="14"/>
  <c r="B383" i="14"/>
  <c r="B382" i="14"/>
  <c r="D382" i="14" s="1"/>
  <c r="B381" i="14"/>
  <c r="D381" i="14" s="1"/>
  <c r="D380" i="14"/>
  <c r="B380" i="14"/>
  <c r="D379" i="14"/>
  <c r="B379" i="14"/>
  <c r="B378" i="14"/>
  <c r="D378" i="14" s="1"/>
  <c r="B377" i="14"/>
  <c r="D377" i="14" s="1"/>
  <c r="D376" i="14"/>
  <c r="B376" i="14"/>
  <c r="D375" i="14"/>
  <c r="B375" i="14"/>
  <c r="B374" i="14"/>
  <c r="D374" i="14" s="1"/>
  <c r="D373" i="14"/>
  <c r="B373" i="14"/>
  <c r="D372" i="14"/>
  <c r="B372" i="14"/>
  <c r="D371" i="14"/>
  <c r="B371" i="14"/>
  <c r="B370" i="14"/>
  <c r="D370" i="14" s="1"/>
  <c r="D369" i="14"/>
  <c r="B369" i="14"/>
  <c r="D368" i="14"/>
  <c r="B368" i="14"/>
  <c r="D367" i="14"/>
  <c r="B367" i="14"/>
  <c r="B366" i="14"/>
  <c r="D366" i="14" s="1"/>
  <c r="D365" i="14"/>
  <c r="B365" i="14"/>
  <c r="D364" i="14"/>
  <c r="B364" i="14"/>
  <c r="D363" i="14"/>
  <c r="B363" i="14"/>
  <c r="B362" i="14"/>
  <c r="D362" i="14" s="1"/>
  <c r="D361" i="14"/>
  <c r="B361" i="14"/>
  <c r="D360" i="14"/>
  <c r="B360" i="14"/>
  <c r="D359" i="14"/>
  <c r="B359" i="14"/>
  <c r="B358" i="14"/>
  <c r="D358" i="14" s="1"/>
  <c r="B357" i="14"/>
  <c r="D357" i="14" s="1"/>
  <c r="D356" i="14"/>
  <c r="B356" i="14"/>
  <c r="D355" i="14"/>
  <c r="B355" i="14"/>
  <c r="B354" i="14"/>
  <c r="D354" i="14" s="1"/>
  <c r="D353" i="14"/>
  <c r="B353" i="14"/>
  <c r="D352" i="14"/>
  <c r="B352" i="14"/>
  <c r="D351" i="14"/>
  <c r="B351" i="14"/>
  <c r="B350" i="14"/>
  <c r="D350" i="14" s="1"/>
  <c r="B349" i="14"/>
  <c r="D349" i="14" s="1"/>
  <c r="D348" i="14"/>
  <c r="B348" i="14"/>
  <c r="D347" i="14"/>
  <c r="B347" i="14"/>
  <c r="B346" i="14"/>
  <c r="D346" i="14" s="1"/>
  <c r="B345" i="14"/>
  <c r="D345" i="14" s="1"/>
  <c r="D344" i="14"/>
  <c r="B344" i="14"/>
  <c r="D343" i="14"/>
  <c r="B343" i="14"/>
  <c r="B342" i="14"/>
  <c r="D342" i="14" s="1"/>
  <c r="D341" i="14"/>
  <c r="B341" i="14"/>
  <c r="D340" i="14"/>
  <c r="B340" i="14"/>
  <c r="D339" i="14"/>
  <c r="B339" i="14"/>
  <c r="B338" i="14"/>
  <c r="D338" i="14" s="1"/>
  <c r="D337" i="14"/>
  <c r="B337" i="14"/>
  <c r="D336" i="14"/>
  <c r="B336" i="14"/>
  <c r="D335" i="14"/>
  <c r="B335" i="14"/>
  <c r="B334" i="14"/>
  <c r="D334" i="14" s="1"/>
  <c r="D333" i="14"/>
  <c r="B333" i="14"/>
  <c r="D332" i="14"/>
  <c r="B332" i="14"/>
  <c r="D331" i="14"/>
  <c r="B331" i="14"/>
  <c r="B330" i="14"/>
  <c r="D330" i="14" s="1"/>
  <c r="D329" i="14"/>
  <c r="B329" i="14"/>
  <c r="D328" i="14"/>
  <c r="B328" i="14"/>
  <c r="D327" i="14"/>
  <c r="B327" i="14"/>
  <c r="B326" i="14"/>
  <c r="D326" i="14" s="1"/>
  <c r="B325" i="14"/>
  <c r="D325" i="14" s="1"/>
  <c r="D324" i="14"/>
  <c r="B324" i="14"/>
  <c r="D323" i="14"/>
  <c r="B323" i="14"/>
  <c r="B322" i="14"/>
  <c r="D322" i="14" s="1"/>
  <c r="D321" i="14"/>
  <c r="B321" i="14"/>
  <c r="D320" i="14"/>
  <c r="B320" i="14"/>
  <c r="D319" i="14"/>
  <c r="B319" i="14"/>
  <c r="B318" i="14"/>
  <c r="D318" i="14" s="1"/>
  <c r="B317" i="14"/>
  <c r="D317" i="14" s="1"/>
  <c r="D316" i="14"/>
  <c r="B316" i="14"/>
  <c r="D315" i="14"/>
  <c r="B315" i="14"/>
  <c r="B314" i="14"/>
  <c r="D314" i="14" s="1"/>
  <c r="B313" i="14"/>
  <c r="D313" i="14" s="1"/>
  <c r="D312" i="14"/>
  <c r="B312" i="14"/>
  <c r="D311" i="14"/>
  <c r="B311" i="14"/>
  <c r="B310" i="14"/>
  <c r="D310" i="14" s="1"/>
  <c r="D309" i="14"/>
  <c r="B309" i="14"/>
  <c r="D308" i="14"/>
  <c r="B308" i="14"/>
  <c r="D307" i="14"/>
  <c r="B307" i="14"/>
  <c r="B306" i="14"/>
  <c r="D306" i="14" s="1"/>
  <c r="D305" i="14"/>
  <c r="B305" i="14"/>
  <c r="D304" i="14"/>
  <c r="B304" i="14"/>
  <c r="D303" i="14"/>
  <c r="B303" i="14"/>
  <c r="B302" i="14"/>
  <c r="D302" i="14" s="1"/>
  <c r="D301" i="14"/>
  <c r="B301" i="14"/>
  <c r="D300" i="14"/>
  <c r="B300" i="14"/>
  <c r="D299" i="14"/>
  <c r="B299" i="14"/>
  <c r="B298" i="14"/>
  <c r="D298" i="14" s="1"/>
  <c r="D297" i="14"/>
  <c r="B297" i="14"/>
  <c r="D296" i="14"/>
  <c r="B296" i="14"/>
  <c r="D295" i="14"/>
  <c r="B295" i="14"/>
  <c r="B294" i="14"/>
  <c r="D294" i="14" s="1"/>
  <c r="B293" i="14"/>
  <c r="D293" i="14" s="1"/>
  <c r="D292" i="14"/>
  <c r="B292" i="14"/>
  <c r="D291" i="14"/>
  <c r="B291" i="14"/>
  <c r="B290" i="14"/>
  <c r="D290" i="14" s="1"/>
  <c r="D289" i="14"/>
  <c r="B289" i="14"/>
  <c r="D288" i="14"/>
  <c r="B288" i="14"/>
  <c r="D287" i="14"/>
  <c r="B287" i="14"/>
  <c r="B286" i="14"/>
  <c r="D286" i="14" s="1"/>
  <c r="B285" i="14"/>
  <c r="D285" i="14" s="1"/>
  <c r="D284" i="14"/>
  <c r="B284" i="14"/>
  <c r="D283" i="14"/>
  <c r="B283" i="14"/>
  <c r="B282" i="14"/>
  <c r="D282" i="14" s="1"/>
  <c r="B281" i="14"/>
  <c r="D281" i="14" s="1"/>
  <c r="D280" i="14"/>
  <c r="B280" i="14"/>
  <c r="D279" i="14"/>
  <c r="B279" i="14"/>
  <c r="B278" i="14"/>
  <c r="D278" i="14" s="1"/>
  <c r="D277" i="14"/>
  <c r="B277" i="14"/>
  <c r="D276" i="14"/>
  <c r="B276" i="14"/>
  <c r="D275" i="14"/>
  <c r="B275" i="14"/>
  <c r="B274" i="14"/>
  <c r="D274" i="14" s="1"/>
  <c r="D273" i="14"/>
  <c r="B273" i="14"/>
  <c r="D272" i="14"/>
  <c r="B272" i="14"/>
  <c r="B270" i="14"/>
  <c r="D270" i="14" s="1"/>
  <c r="B269" i="14"/>
  <c r="D269" i="14" s="1"/>
  <c r="D268" i="14"/>
  <c r="B268" i="14"/>
  <c r="D267" i="14"/>
  <c r="B267" i="14"/>
  <c r="B266" i="14"/>
  <c r="D266" i="14" s="1"/>
  <c r="D265" i="14"/>
  <c r="B265" i="14"/>
  <c r="D264" i="14"/>
  <c r="B264" i="14"/>
  <c r="D263" i="14"/>
  <c r="B263" i="14"/>
  <c r="B262" i="14"/>
  <c r="D262" i="14" s="1"/>
  <c r="B261" i="14"/>
  <c r="D261" i="14" s="1"/>
  <c r="D260" i="14"/>
  <c r="B260" i="14"/>
  <c r="D259" i="14"/>
  <c r="B259" i="14"/>
  <c r="B258" i="14"/>
  <c r="D258" i="14" s="1"/>
  <c r="B257" i="14"/>
  <c r="D257" i="14" s="1"/>
  <c r="D256" i="14"/>
  <c r="B256" i="14"/>
  <c r="D255" i="14"/>
  <c r="B255" i="14"/>
  <c r="B254" i="14"/>
  <c r="D254" i="14" s="1"/>
  <c r="D253" i="14"/>
  <c r="B253" i="14"/>
  <c r="D252" i="14"/>
  <c r="B252" i="14"/>
  <c r="D251" i="14"/>
  <c r="B251" i="14"/>
  <c r="B250" i="14"/>
  <c r="D250" i="14" s="1"/>
  <c r="D249" i="14"/>
  <c r="B249" i="14"/>
  <c r="D248" i="14"/>
  <c r="B248" i="14"/>
  <c r="D247" i="14"/>
  <c r="B247" i="14"/>
  <c r="B246" i="14"/>
  <c r="D246" i="14" s="1"/>
  <c r="D245" i="14"/>
  <c r="B245" i="14"/>
  <c r="D244" i="14"/>
  <c r="B244" i="14"/>
  <c r="D243" i="14"/>
  <c r="B243" i="14"/>
  <c r="B242" i="14"/>
  <c r="D242" i="14" s="1"/>
  <c r="D241" i="14"/>
  <c r="B241" i="14"/>
  <c r="D240" i="14"/>
  <c r="B240" i="14"/>
  <c r="D239" i="14"/>
  <c r="B239" i="14"/>
  <c r="B238" i="14"/>
  <c r="D238" i="14" s="1"/>
  <c r="B237" i="14"/>
  <c r="D237" i="14" s="1"/>
  <c r="D236" i="14"/>
  <c r="B236" i="14"/>
  <c r="D235" i="14"/>
  <c r="B235" i="14"/>
  <c r="B234" i="14"/>
  <c r="D234" i="14" s="1"/>
  <c r="D233" i="14"/>
  <c r="B233" i="14"/>
  <c r="D232" i="14"/>
  <c r="B232" i="14"/>
  <c r="D231" i="14"/>
  <c r="B231" i="14"/>
  <c r="B230" i="14"/>
  <c r="D230" i="14" s="1"/>
  <c r="B229" i="14"/>
  <c r="D229" i="14" s="1"/>
  <c r="D228" i="14"/>
  <c r="B228" i="14"/>
  <c r="B226" i="14"/>
  <c r="D226" i="14" s="1"/>
  <c r="D225" i="14"/>
  <c r="B225" i="14"/>
  <c r="D224" i="14"/>
  <c r="B224" i="14"/>
  <c r="D223" i="14"/>
  <c r="B223" i="14"/>
  <c r="B222" i="14"/>
  <c r="D222" i="14" s="1"/>
  <c r="D221" i="14"/>
  <c r="B221" i="14"/>
  <c r="D220" i="14"/>
  <c r="B220" i="14"/>
  <c r="D219" i="14"/>
  <c r="B219" i="14"/>
  <c r="B218" i="14"/>
  <c r="D218" i="14" s="1"/>
  <c r="D217" i="14"/>
  <c r="B217" i="14"/>
  <c r="D216" i="14"/>
  <c r="B216" i="14"/>
  <c r="D215" i="14"/>
  <c r="B215" i="14"/>
  <c r="B214" i="14"/>
  <c r="D214" i="14" s="1"/>
  <c r="B213" i="14"/>
  <c r="D213" i="14" s="1"/>
  <c r="D212" i="14"/>
  <c r="B212" i="14"/>
  <c r="D211" i="14"/>
  <c r="B211" i="14"/>
  <c r="B210" i="14"/>
  <c r="D210" i="14" s="1"/>
  <c r="D209" i="14"/>
  <c r="B209" i="14"/>
  <c r="D207" i="14"/>
  <c r="B207" i="14"/>
  <c r="B206" i="14"/>
  <c r="D206" i="14" s="1"/>
  <c r="D205" i="14"/>
  <c r="B205" i="14"/>
  <c r="D204" i="14"/>
  <c r="B204" i="14"/>
  <c r="D203" i="14"/>
  <c r="B203" i="14"/>
  <c r="B202" i="14"/>
  <c r="D202" i="14" s="1"/>
  <c r="D201" i="14"/>
  <c r="B201" i="14"/>
  <c r="D200" i="14"/>
  <c r="B200" i="14"/>
  <c r="D199" i="14"/>
  <c r="B199" i="14"/>
  <c r="B198" i="14"/>
  <c r="D198" i="14" s="1"/>
  <c r="D197" i="14"/>
  <c r="B197" i="14"/>
  <c r="D196" i="14"/>
  <c r="B196" i="14"/>
  <c r="D195" i="14"/>
  <c r="B195" i="14"/>
  <c r="B194" i="14"/>
  <c r="D194" i="14" s="1"/>
  <c r="D193" i="14"/>
  <c r="B193" i="14"/>
  <c r="D192" i="14"/>
  <c r="B192" i="14"/>
  <c r="D191" i="14"/>
  <c r="B191" i="14"/>
  <c r="B190" i="14"/>
  <c r="D190" i="14" s="1"/>
  <c r="B189" i="14"/>
  <c r="D189" i="14" s="1"/>
  <c r="D188" i="14"/>
  <c r="B188" i="14"/>
  <c r="D187" i="14"/>
  <c r="B187" i="14"/>
  <c r="B186" i="14"/>
  <c r="D186" i="14" s="1"/>
  <c r="D185" i="14"/>
  <c r="B185" i="14"/>
  <c r="D184" i="14"/>
  <c r="B184" i="14"/>
  <c r="D183" i="14"/>
  <c r="B183" i="14"/>
  <c r="B182" i="14"/>
  <c r="D182" i="14" s="1"/>
  <c r="B181" i="14"/>
  <c r="D181" i="14" s="1"/>
  <c r="D180" i="14"/>
  <c r="B180" i="14"/>
  <c r="D179" i="14"/>
  <c r="B179" i="14"/>
  <c r="B178" i="14"/>
  <c r="D178" i="14" s="1"/>
  <c r="B177" i="14"/>
  <c r="D177" i="14" s="1"/>
  <c r="D176" i="14"/>
  <c r="B176" i="14"/>
  <c r="D175" i="14"/>
  <c r="B175" i="14"/>
  <c r="B174" i="14"/>
  <c r="D174" i="14" s="1"/>
  <c r="D173" i="14"/>
  <c r="B173" i="14"/>
  <c r="D172" i="14"/>
  <c r="B172" i="14"/>
  <c r="D171" i="14"/>
  <c r="B171" i="14"/>
  <c r="B170" i="14"/>
  <c r="D170" i="14" s="1"/>
  <c r="D169" i="14"/>
  <c r="B169" i="14"/>
  <c r="D168" i="14"/>
  <c r="B168" i="14"/>
  <c r="D167" i="14"/>
  <c r="B167" i="14"/>
  <c r="B166" i="14"/>
  <c r="D166" i="14" s="1"/>
  <c r="D165" i="14"/>
  <c r="B165" i="14"/>
  <c r="D164" i="14"/>
  <c r="B164" i="14"/>
  <c r="D163" i="14"/>
  <c r="B163" i="14"/>
  <c r="B162" i="14"/>
  <c r="D162" i="14" s="1"/>
  <c r="D161" i="14"/>
  <c r="B161" i="14"/>
  <c r="D160" i="14"/>
  <c r="B160" i="14"/>
  <c r="D159" i="14"/>
  <c r="B159" i="14"/>
  <c r="B158" i="14"/>
  <c r="D158" i="14" s="1"/>
  <c r="B157" i="14"/>
  <c r="D157" i="14" s="1"/>
  <c r="D156" i="14"/>
  <c r="B156" i="14"/>
  <c r="D155" i="14"/>
  <c r="B155" i="14"/>
  <c r="B154" i="14"/>
  <c r="D154" i="14" s="1"/>
  <c r="D153" i="14"/>
  <c r="B153" i="14"/>
  <c r="D152" i="14"/>
  <c r="B152" i="14"/>
  <c r="D151" i="14"/>
  <c r="B151" i="14"/>
  <c r="B150" i="14"/>
  <c r="D150" i="14" s="1"/>
  <c r="D149" i="14"/>
  <c r="B149" i="14"/>
  <c r="D148" i="14"/>
  <c r="B148" i="14"/>
  <c r="D147" i="14"/>
  <c r="B147" i="14"/>
  <c r="B146" i="14"/>
  <c r="D146" i="14" s="1"/>
  <c r="D145" i="14"/>
  <c r="B145" i="14"/>
  <c r="D144" i="14"/>
  <c r="B144" i="14"/>
  <c r="D143" i="14"/>
  <c r="B143" i="14"/>
  <c r="B142" i="14"/>
  <c r="D142" i="14" s="1"/>
  <c r="D141" i="14"/>
  <c r="B141" i="14"/>
  <c r="D140" i="14"/>
  <c r="B140" i="14"/>
  <c r="D139" i="14"/>
  <c r="B139" i="14"/>
  <c r="B138" i="14"/>
  <c r="D138" i="14" s="1"/>
  <c r="D137" i="14"/>
  <c r="B137" i="14"/>
  <c r="D136" i="14"/>
  <c r="B136" i="14"/>
  <c r="D135" i="14"/>
  <c r="B135" i="14"/>
  <c r="B134" i="14"/>
  <c r="D134" i="14" s="1"/>
  <c r="D133" i="14"/>
  <c r="B133" i="14"/>
  <c r="D132" i="14"/>
  <c r="B132" i="14"/>
  <c r="D131" i="14"/>
  <c r="B131" i="14"/>
  <c r="B130" i="14"/>
  <c r="D130" i="14" s="1"/>
  <c r="D129" i="14"/>
  <c r="B129" i="14"/>
  <c r="D128" i="14"/>
  <c r="B128" i="14"/>
  <c r="D127" i="14"/>
  <c r="B127" i="14"/>
  <c r="B126" i="14"/>
  <c r="D126" i="14" s="1"/>
  <c r="D125" i="14"/>
  <c r="B125" i="14"/>
  <c r="D124" i="14"/>
  <c r="B124" i="14"/>
  <c r="D123" i="14"/>
  <c r="B123" i="14"/>
  <c r="B122" i="14"/>
  <c r="D122" i="14" s="1"/>
  <c r="D121" i="14"/>
  <c r="B121" i="14"/>
  <c r="D120" i="14"/>
  <c r="B120" i="14"/>
  <c r="D119" i="14"/>
  <c r="B119" i="14"/>
  <c r="B118" i="14"/>
  <c r="D118" i="14" s="1"/>
  <c r="D117" i="14"/>
  <c r="B117" i="14"/>
  <c r="D116" i="14"/>
  <c r="B116" i="14"/>
  <c r="D115" i="14"/>
  <c r="B115" i="14"/>
  <c r="B114" i="14"/>
  <c r="D114" i="14" s="1"/>
  <c r="D113" i="14"/>
  <c r="B113" i="14"/>
  <c r="D112" i="14"/>
  <c r="B112" i="14"/>
  <c r="D111" i="14"/>
  <c r="B111" i="14"/>
  <c r="B110" i="14"/>
  <c r="D110" i="14" s="1"/>
  <c r="D109" i="14"/>
  <c r="B109" i="14"/>
  <c r="D108" i="14"/>
  <c r="B108" i="14"/>
  <c r="D107" i="14"/>
  <c r="B107" i="14"/>
  <c r="B106" i="14"/>
  <c r="D106" i="14" s="1"/>
  <c r="D105" i="14"/>
  <c r="B105" i="14"/>
  <c r="D104" i="14"/>
  <c r="B104" i="14"/>
  <c r="D103" i="14"/>
  <c r="B103" i="14"/>
  <c r="B102" i="14"/>
  <c r="D102" i="14" s="1"/>
  <c r="D101" i="14"/>
  <c r="B101" i="14"/>
  <c r="D100" i="14"/>
  <c r="B100" i="14"/>
  <c r="D99" i="14"/>
  <c r="B99" i="14"/>
  <c r="B98" i="14"/>
  <c r="D98" i="14" s="1"/>
  <c r="D97" i="14"/>
  <c r="B97" i="14"/>
  <c r="D96" i="14"/>
  <c r="B96" i="14"/>
  <c r="D95" i="14"/>
  <c r="B95" i="14"/>
  <c r="B94" i="14"/>
  <c r="D94" i="14" s="1"/>
  <c r="D93" i="14"/>
  <c r="B93" i="14"/>
  <c r="D92" i="14"/>
  <c r="B92" i="14"/>
  <c r="D91" i="14"/>
  <c r="B91" i="14"/>
  <c r="B90" i="14"/>
  <c r="D90" i="14" s="1"/>
  <c r="D89" i="14"/>
  <c r="B89" i="14"/>
  <c r="D88" i="14"/>
  <c r="B88" i="14"/>
  <c r="D87" i="14"/>
  <c r="B87" i="14"/>
  <c r="B86" i="14"/>
  <c r="D86" i="14" s="1"/>
  <c r="D85" i="14"/>
  <c r="B85" i="14"/>
  <c r="D84" i="14"/>
  <c r="B84" i="14"/>
  <c r="D83" i="14"/>
  <c r="B83" i="14"/>
  <c r="B82" i="14"/>
  <c r="D82" i="14" s="1"/>
  <c r="D81" i="14"/>
  <c r="B81" i="14"/>
  <c r="D80" i="14"/>
  <c r="B80" i="14"/>
  <c r="D79" i="14"/>
  <c r="B79" i="14"/>
  <c r="B78" i="14"/>
  <c r="D78" i="14" s="1"/>
  <c r="D77" i="14"/>
  <c r="B77" i="14"/>
  <c r="D76" i="14"/>
  <c r="B76" i="14"/>
  <c r="D75" i="14"/>
  <c r="B75" i="14"/>
  <c r="B74" i="14"/>
  <c r="D74" i="14" s="1"/>
  <c r="D73" i="14"/>
  <c r="B73" i="14"/>
  <c r="D72" i="14"/>
  <c r="B72" i="14"/>
  <c r="D71" i="14"/>
  <c r="B71" i="14"/>
  <c r="B70" i="14"/>
  <c r="D70" i="14" s="1"/>
  <c r="D69" i="14"/>
  <c r="B69" i="14"/>
  <c r="D68" i="14"/>
  <c r="B68" i="14"/>
  <c r="D67" i="14"/>
  <c r="B67" i="14"/>
  <c r="B66" i="14"/>
  <c r="D66" i="14" s="1"/>
  <c r="D65" i="14"/>
  <c r="B65" i="14"/>
  <c r="D64" i="14"/>
  <c r="B64" i="14"/>
  <c r="D63" i="14"/>
  <c r="B63" i="14"/>
  <c r="B62" i="14"/>
  <c r="D62" i="14" s="1"/>
  <c r="D61" i="14"/>
  <c r="B61" i="14"/>
  <c r="D60" i="14"/>
  <c r="B60" i="14"/>
  <c r="D59" i="14"/>
  <c r="B59" i="14"/>
  <c r="B58" i="14"/>
  <c r="D58" i="14" s="1"/>
  <c r="D57" i="14"/>
  <c r="B57" i="14"/>
  <c r="D56" i="14"/>
  <c r="B56" i="14"/>
  <c r="D54" i="14"/>
  <c r="B54" i="14"/>
  <c r="B53" i="14"/>
  <c r="D53" i="14" s="1"/>
  <c r="D52" i="14"/>
  <c r="B52" i="14"/>
  <c r="D51" i="14"/>
  <c r="B51" i="14"/>
  <c r="D50" i="14"/>
  <c r="B50" i="14"/>
  <c r="B49" i="14"/>
  <c r="D49" i="14" s="1"/>
  <c r="B48" i="14"/>
  <c r="D48" i="14" s="1"/>
  <c r="D47" i="14"/>
  <c r="B47" i="14"/>
  <c r="D46" i="14"/>
  <c r="B46" i="14"/>
  <c r="B45" i="14"/>
  <c r="D45" i="14" s="1"/>
  <c r="B44" i="14"/>
  <c r="D44" i="14" s="1"/>
  <c r="D43" i="14"/>
  <c r="B43" i="14"/>
  <c r="D42" i="14"/>
  <c r="B42" i="14"/>
  <c r="D41" i="14"/>
  <c r="B41" i="14"/>
  <c r="B40" i="14"/>
  <c r="D40" i="14" s="1"/>
  <c r="D39" i="14"/>
  <c r="B39" i="14"/>
  <c r="D38" i="14"/>
  <c r="B38" i="14"/>
  <c r="D37" i="14"/>
  <c r="B37" i="14"/>
  <c r="B36" i="14"/>
  <c r="D36" i="14" s="1"/>
  <c r="D35" i="14"/>
  <c r="B35" i="14"/>
  <c r="B34" i="14"/>
  <c r="D34" i="14" s="1"/>
  <c r="D33" i="14"/>
  <c r="B33" i="14"/>
  <c r="B32" i="14"/>
  <c r="D32" i="14" s="1"/>
  <c r="D31" i="14"/>
  <c r="B31" i="14"/>
  <c r="D30" i="14"/>
  <c r="B30" i="14"/>
  <c r="D29" i="14"/>
  <c r="B29" i="14"/>
  <c r="B28" i="14"/>
  <c r="D28" i="14" s="1"/>
  <c r="D27" i="14"/>
  <c r="B27" i="14"/>
  <c r="B26" i="14"/>
  <c r="D26" i="14" s="1"/>
  <c r="B25" i="14"/>
  <c r="D25" i="14" s="1"/>
  <c r="B24" i="14"/>
  <c r="D24" i="14" s="1"/>
  <c r="D23" i="14"/>
  <c r="B23" i="14"/>
  <c r="B22" i="14"/>
  <c r="D22" i="14" s="1"/>
  <c r="D21" i="14"/>
  <c r="B21" i="14"/>
  <c r="B20" i="14"/>
  <c r="D20" i="14" s="1"/>
  <c r="D19" i="14"/>
  <c r="B19" i="14"/>
  <c r="D18" i="14"/>
  <c r="B18" i="14"/>
  <c r="B17" i="14"/>
  <c r="D17" i="14" s="1"/>
  <c r="B16" i="14"/>
  <c r="D16" i="14" s="1"/>
  <c r="D15" i="14"/>
  <c r="B15" i="14"/>
  <c r="D14" i="14"/>
  <c r="B14" i="14"/>
  <c r="B13" i="14"/>
  <c r="D13" i="14" s="1"/>
  <c r="B12" i="14"/>
  <c r="D12" i="14" s="1"/>
  <c r="D11" i="14"/>
  <c r="B11" i="14"/>
  <c r="D10" i="14"/>
  <c r="B10" i="14"/>
  <c r="D9" i="14"/>
  <c r="B9" i="14"/>
  <c r="B8" i="14"/>
  <c r="D8" i="14" s="1"/>
  <c r="D7" i="14"/>
  <c r="B7" i="14"/>
  <c r="D6" i="14"/>
  <c r="B6" i="14"/>
  <c r="D5" i="14"/>
  <c r="B5" i="14"/>
  <c r="B4" i="14"/>
  <c r="D4" i="14" s="1"/>
  <c r="D3" i="14"/>
  <c r="B3" i="14"/>
  <c r="B2" i="14"/>
  <c r="D2" i="14" s="1"/>
  <c r="AL1007" i="17"/>
  <c r="AK1007" i="17"/>
  <c r="AF1007" i="17"/>
  <c r="AE1007" i="17"/>
  <c r="AD1007" i="17"/>
  <c r="AC1007" i="17"/>
  <c r="AB1007" i="17"/>
  <c r="AA1007" i="17"/>
  <c r="Y1007" i="17"/>
  <c r="X1007" i="17"/>
  <c r="W1007" i="17"/>
  <c r="V1007" i="17"/>
  <c r="U1007" i="17"/>
  <c r="R1007" i="17"/>
  <c r="N1007" i="17"/>
  <c r="M1007" i="17"/>
  <c r="L1007" i="17"/>
  <c r="K1007" i="17"/>
  <c r="I1007" i="17"/>
  <c r="H1007" i="17"/>
  <c r="AK1006" i="17"/>
  <c r="AF1006" i="17"/>
  <c r="AE1006" i="17"/>
  <c r="AD1006" i="17"/>
  <c r="AC1006" i="17"/>
  <c r="AB1006" i="17"/>
  <c r="AA1006" i="17"/>
  <c r="Y1006" i="17"/>
  <c r="X1006" i="17"/>
  <c r="W1006" i="17"/>
  <c r="V1006" i="17"/>
  <c r="U1006" i="17"/>
  <c r="R1006" i="17"/>
  <c r="N1006" i="17"/>
  <c r="M1006" i="17"/>
  <c r="L1006" i="17"/>
  <c r="K1006" i="17"/>
  <c r="I1006" i="17"/>
  <c r="H1006" i="17"/>
  <c r="AK1005" i="17"/>
  <c r="AF1005" i="17"/>
  <c r="AE1005" i="17"/>
  <c r="AD1005" i="17"/>
  <c r="AC1005" i="17"/>
  <c r="AB1005" i="17"/>
  <c r="AA1005" i="17"/>
  <c r="Y1005" i="17"/>
  <c r="X1005" i="17"/>
  <c r="W1005" i="17"/>
  <c r="V1005" i="17"/>
  <c r="U1005" i="17"/>
  <c r="R1005" i="17"/>
  <c r="N1005" i="17"/>
  <c r="M1005" i="17"/>
  <c r="L1005" i="17"/>
  <c r="K1005" i="17"/>
  <c r="I1005" i="17"/>
  <c r="H1005" i="17"/>
  <c r="AK1004" i="17"/>
  <c r="AL1004" i="17" s="1"/>
  <c r="AF1004" i="17"/>
  <c r="AE1004" i="17"/>
  <c r="AD1004" i="17"/>
  <c r="AC1004" i="17"/>
  <c r="AB1004" i="17"/>
  <c r="AA1004" i="17"/>
  <c r="Y1004" i="17"/>
  <c r="X1004" i="17"/>
  <c r="W1004" i="17"/>
  <c r="V1004" i="17"/>
  <c r="U1004" i="17"/>
  <c r="R1004" i="17"/>
  <c r="N1004" i="17"/>
  <c r="M1004" i="17"/>
  <c r="L1004" i="17"/>
  <c r="K1004" i="17"/>
  <c r="I1004" i="17"/>
  <c r="H1004" i="17"/>
  <c r="AL1003" i="17"/>
  <c r="AK1003" i="17"/>
  <c r="AJ1003" i="17"/>
  <c r="AF1003" i="17"/>
  <c r="AE1003" i="17"/>
  <c r="AD1003" i="17"/>
  <c r="AC1003" i="17"/>
  <c r="AB1003" i="17"/>
  <c r="AA1003" i="17"/>
  <c r="Y1003" i="17"/>
  <c r="X1003" i="17"/>
  <c r="W1003" i="17"/>
  <c r="V1003" i="17"/>
  <c r="U1003" i="17"/>
  <c r="R1003" i="17"/>
  <c r="M1003" i="17"/>
  <c r="L1003" i="17"/>
  <c r="K1003" i="17"/>
  <c r="I1003" i="17"/>
  <c r="N1003" i="17" s="1"/>
  <c r="H1003" i="17"/>
  <c r="AK1002" i="17"/>
  <c r="AF1002" i="17"/>
  <c r="AE1002" i="17"/>
  <c r="AD1002" i="17"/>
  <c r="AC1002" i="17"/>
  <c r="AB1002" i="17"/>
  <c r="AA1002" i="17"/>
  <c r="Y1002" i="17"/>
  <c r="X1002" i="17"/>
  <c r="W1002" i="17"/>
  <c r="V1002" i="17"/>
  <c r="U1002" i="17"/>
  <c r="R1002" i="17"/>
  <c r="M1002" i="17"/>
  <c r="L1002" i="17"/>
  <c r="K1002" i="17"/>
  <c r="I1002" i="17"/>
  <c r="N1002" i="17" s="1"/>
  <c r="H1002" i="17"/>
  <c r="AK1001" i="17"/>
  <c r="AL1001" i="17" s="1"/>
  <c r="AJ1001" i="17"/>
  <c r="AF1001" i="17"/>
  <c r="AE1001" i="17"/>
  <c r="AD1001" i="17"/>
  <c r="AC1001" i="17"/>
  <c r="AB1001" i="17"/>
  <c r="AA1001" i="17"/>
  <c r="Y1001" i="17"/>
  <c r="X1001" i="17"/>
  <c r="W1001" i="17"/>
  <c r="V1001" i="17"/>
  <c r="U1001" i="17"/>
  <c r="R1001" i="17"/>
  <c r="M1001" i="17"/>
  <c r="L1001" i="17"/>
  <c r="K1001" i="17"/>
  <c r="I1001" i="17"/>
  <c r="N1001" i="17" s="1"/>
  <c r="H1001" i="17"/>
  <c r="AL1000" i="17"/>
  <c r="AK1000" i="17"/>
  <c r="AF1000" i="17"/>
  <c r="AE1000" i="17"/>
  <c r="AD1000" i="17"/>
  <c r="AC1000" i="17"/>
  <c r="AB1000" i="17"/>
  <c r="AA1000" i="17"/>
  <c r="Y1000" i="17"/>
  <c r="X1000" i="17"/>
  <c r="W1000" i="17"/>
  <c r="V1000" i="17"/>
  <c r="U1000" i="17"/>
  <c r="R1000" i="17"/>
  <c r="M1000" i="17"/>
  <c r="L1000" i="17"/>
  <c r="K1000" i="17"/>
  <c r="I1000" i="17"/>
  <c r="N1000" i="17" s="1"/>
  <c r="H1000" i="17"/>
  <c r="AL999" i="17"/>
  <c r="AK999" i="17"/>
  <c r="AF999" i="17"/>
  <c r="AE999" i="17"/>
  <c r="AD999" i="17"/>
  <c r="AC999" i="17"/>
  <c r="AB999" i="17"/>
  <c r="AA999" i="17"/>
  <c r="Y999" i="17"/>
  <c r="X999" i="17"/>
  <c r="W999" i="17"/>
  <c r="V999" i="17"/>
  <c r="U999" i="17"/>
  <c r="R999" i="17"/>
  <c r="N999" i="17"/>
  <c r="M999" i="17"/>
  <c r="L999" i="17"/>
  <c r="K999" i="17"/>
  <c r="I999" i="17"/>
  <c r="H999" i="17"/>
  <c r="AL998" i="17"/>
  <c r="AK998" i="17"/>
  <c r="AJ998" i="17" s="1"/>
  <c r="AF998" i="17"/>
  <c r="AE998" i="17"/>
  <c r="AD998" i="17"/>
  <c r="AC998" i="17"/>
  <c r="AB998" i="17"/>
  <c r="AA998" i="17"/>
  <c r="Y998" i="17"/>
  <c r="X998" i="17"/>
  <c r="W998" i="17"/>
  <c r="V998" i="17"/>
  <c r="U998" i="17"/>
  <c r="R998" i="17"/>
  <c r="N998" i="17"/>
  <c r="M998" i="17"/>
  <c r="L998" i="17"/>
  <c r="K998" i="17"/>
  <c r="I998" i="17"/>
  <c r="H998" i="17"/>
  <c r="AL997" i="17"/>
  <c r="AK997" i="17"/>
  <c r="AJ997" i="17"/>
  <c r="AF997" i="17"/>
  <c r="AE997" i="17"/>
  <c r="AD997" i="17"/>
  <c r="AC997" i="17"/>
  <c r="AB997" i="17"/>
  <c r="AA997" i="17"/>
  <c r="Y997" i="17"/>
  <c r="X997" i="17"/>
  <c r="W997" i="17"/>
  <c r="V997" i="17"/>
  <c r="U997" i="17"/>
  <c r="R997" i="17"/>
  <c r="N997" i="17"/>
  <c r="M997" i="17"/>
  <c r="L997" i="17"/>
  <c r="K997" i="17"/>
  <c r="I997" i="17"/>
  <c r="H997" i="17"/>
  <c r="AK996" i="17"/>
  <c r="AL996" i="17" s="1"/>
  <c r="AJ996" i="17"/>
  <c r="AF996" i="17"/>
  <c r="AE996" i="17"/>
  <c r="AD996" i="17"/>
  <c r="AC996" i="17"/>
  <c r="AB996" i="17"/>
  <c r="AA996" i="17"/>
  <c r="Y996" i="17"/>
  <c r="X996" i="17"/>
  <c r="W996" i="17"/>
  <c r="V996" i="17"/>
  <c r="U996" i="17"/>
  <c r="R996" i="17"/>
  <c r="N996" i="17"/>
  <c r="M996" i="17"/>
  <c r="L996" i="17"/>
  <c r="K996" i="17"/>
  <c r="I996" i="17"/>
  <c r="H996" i="17"/>
  <c r="AL995" i="17"/>
  <c r="AK995" i="17"/>
  <c r="AF995" i="17"/>
  <c r="AE995" i="17"/>
  <c r="AD995" i="17"/>
  <c r="AC995" i="17"/>
  <c r="AB995" i="17"/>
  <c r="AA995" i="17"/>
  <c r="Y995" i="17"/>
  <c r="X995" i="17"/>
  <c r="W995" i="17"/>
  <c r="V995" i="17"/>
  <c r="U995" i="17"/>
  <c r="R995" i="17"/>
  <c r="M995" i="17"/>
  <c r="L995" i="17"/>
  <c r="K995" i="17"/>
  <c r="I995" i="17"/>
  <c r="N995" i="17" s="1"/>
  <c r="H995" i="17"/>
  <c r="AK994" i="17"/>
  <c r="AF994" i="17"/>
  <c r="AE994" i="17"/>
  <c r="AD994" i="17"/>
  <c r="AC994" i="17"/>
  <c r="AB994" i="17"/>
  <c r="AA994" i="17"/>
  <c r="Y994" i="17"/>
  <c r="X994" i="17"/>
  <c r="W994" i="17"/>
  <c r="V994" i="17"/>
  <c r="U994" i="17"/>
  <c r="R994" i="17"/>
  <c r="M994" i="17"/>
  <c r="L994" i="17"/>
  <c r="K994" i="17"/>
  <c r="I994" i="17"/>
  <c r="N994" i="17" s="1"/>
  <c r="H994" i="17"/>
  <c r="AK993" i="17"/>
  <c r="AL993" i="17" s="1"/>
  <c r="AJ993" i="17"/>
  <c r="AF993" i="17"/>
  <c r="AE993" i="17"/>
  <c r="AD993" i="17"/>
  <c r="AC993" i="17"/>
  <c r="AB993" i="17"/>
  <c r="AA993" i="17"/>
  <c r="Y993" i="17"/>
  <c r="X993" i="17"/>
  <c r="W993" i="17"/>
  <c r="V993" i="17"/>
  <c r="U993" i="17"/>
  <c r="R993" i="17"/>
  <c r="M993" i="17"/>
  <c r="L993" i="17"/>
  <c r="K993" i="17"/>
  <c r="I993" i="17"/>
  <c r="N993" i="17" s="1"/>
  <c r="H993" i="17"/>
  <c r="AL992" i="17"/>
  <c r="AK992" i="17"/>
  <c r="AF992" i="17"/>
  <c r="AE992" i="17"/>
  <c r="AD992" i="17"/>
  <c r="AC992" i="17"/>
  <c r="AB992" i="17"/>
  <c r="AA992" i="17"/>
  <c r="Y992" i="17"/>
  <c r="X992" i="17"/>
  <c r="W992" i="17"/>
  <c r="V992" i="17"/>
  <c r="U992" i="17"/>
  <c r="R992" i="17"/>
  <c r="M992" i="17"/>
  <c r="L992" i="17"/>
  <c r="K992" i="17"/>
  <c r="I992" i="17"/>
  <c r="N992" i="17" s="1"/>
  <c r="H992" i="17"/>
  <c r="AL991" i="17"/>
  <c r="AK991" i="17"/>
  <c r="AF991" i="17"/>
  <c r="AE991" i="17"/>
  <c r="AD991" i="17"/>
  <c r="AC991" i="17"/>
  <c r="AB991" i="17"/>
  <c r="AA991" i="17"/>
  <c r="Y991" i="17"/>
  <c r="X991" i="17"/>
  <c r="W991" i="17"/>
  <c r="V991" i="17"/>
  <c r="U991" i="17"/>
  <c r="R991" i="17"/>
  <c r="N991" i="17"/>
  <c r="M991" i="17"/>
  <c r="L991" i="17"/>
  <c r="K991" i="17"/>
  <c r="I991" i="17"/>
  <c r="H991" i="17"/>
  <c r="AL990" i="17"/>
  <c r="AK990" i="17"/>
  <c r="AJ990" i="17" s="1"/>
  <c r="AF990" i="17"/>
  <c r="AE990" i="17"/>
  <c r="AD990" i="17"/>
  <c r="AC990" i="17"/>
  <c r="AB990" i="17"/>
  <c r="AA990" i="17"/>
  <c r="Y990" i="17"/>
  <c r="X990" i="17"/>
  <c r="W990" i="17"/>
  <c r="V990" i="17"/>
  <c r="U990" i="17"/>
  <c r="R990" i="17"/>
  <c r="N990" i="17"/>
  <c r="M990" i="17"/>
  <c r="L990" i="17"/>
  <c r="K990" i="17"/>
  <c r="I990" i="17"/>
  <c r="H990" i="17"/>
  <c r="AK989" i="17"/>
  <c r="AF989" i="17"/>
  <c r="AE989" i="17"/>
  <c r="AD989" i="17"/>
  <c r="AC989" i="17"/>
  <c r="AB989" i="17"/>
  <c r="AA989" i="17"/>
  <c r="Y989" i="17"/>
  <c r="X989" i="17"/>
  <c r="W989" i="17"/>
  <c r="V989" i="17"/>
  <c r="U989" i="17"/>
  <c r="R989" i="17"/>
  <c r="N989" i="17"/>
  <c r="M989" i="17"/>
  <c r="L989" i="17"/>
  <c r="K989" i="17"/>
  <c r="I989" i="17"/>
  <c r="H989" i="17"/>
  <c r="AK988" i="17"/>
  <c r="AL988" i="17" s="1"/>
  <c r="AJ988" i="17"/>
  <c r="AF988" i="17"/>
  <c r="AE988" i="17"/>
  <c r="AD988" i="17"/>
  <c r="AC988" i="17"/>
  <c r="AB988" i="17"/>
  <c r="AA988" i="17"/>
  <c r="Y988" i="17"/>
  <c r="X988" i="17"/>
  <c r="W988" i="17"/>
  <c r="V988" i="17"/>
  <c r="U988" i="17"/>
  <c r="R988" i="17"/>
  <c r="N988" i="17"/>
  <c r="M988" i="17"/>
  <c r="L988" i="17"/>
  <c r="K988" i="17"/>
  <c r="I988" i="17"/>
  <c r="H988" i="17"/>
  <c r="AL987" i="17"/>
  <c r="AK987" i="17"/>
  <c r="AF987" i="17"/>
  <c r="AE987" i="17"/>
  <c r="AD987" i="17"/>
  <c r="AC987" i="17"/>
  <c r="AB987" i="17"/>
  <c r="AA987" i="17"/>
  <c r="Y987" i="17"/>
  <c r="X987" i="17"/>
  <c r="W987" i="17"/>
  <c r="V987" i="17"/>
  <c r="U987" i="17"/>
  <c r="R987" i="17"/>
  <c r="M987" i="17"/>
  <c r="L987" i="17"/>
  <c r="K987" i="17"/>
  <c r="I987" i="17"/>
  <c r="N987" i="17" s="1"/>
  <c r="H987" i="17"/>
  <c r="AK986" i="17"/>
  <c r="AF986" i="17"/>
  <c r="AE986" i="17"/>
  <c r="AD986" i="17"/>
  <c r="AC986" i="17"/>
  <c r="AB986" i="17"/>
  <c r="AA986" i="17"/>
  <c r="Y986" i="17"/>
  <c r="X986" i="17"/>
  <c r="W986" i="17"/>
  <c r="V986" i="17"/>
  <c r="U986" i="17"/>
  <c r="R986" i="17"/>
  <c r="M986" i="17"/>
  <c r="L986" i="17"/>
  <c r="K986" i="17"/>
  <c r="I986" i="17"/>
  <c r="N986" i="17" s="1"/>
  <c r="H986" i="17"/>
  <c r="AK985" i="17"/>
  <c r="AL985" i="17" s="1"/>
  <c r="AJ985" i="17"/>
  <c r="AF985" i="17"/>
  <c r="AE985" i="17"/>
  <c r="AD985" i="17"/>
  <c r="AC985" i="17"/>
  <c r="AB985" i="17"/>
  <c r="AA985" i="17"/>
  <c r="Y985" i="17"/>
  <c r="X985" i="17"/>
  <c r="W985" i="17"/>
  <c r="V985" i="17"/>
  <c r="U985" i="17"/>
  <c r="R985" i="17"/>
  <c r="M985" i="17"/>
  <c r="L985" i="17"/>
  <c r="K985" i="17"/>
  <c r="I985" i="17"/>
  <c r="N985" i="17" s="1"/>
  <c r="H985" i="17"/>
  <c r="AL984" i="17"/>
  <c r="AK984" i="17"/>
  <c r="AF984" i="17"/>
  <c r="AE984" i="17"/>
  <c r="AD984" i="17"/>
  <c r="AC984" i="17"/>
  <c r="AB984" i="17"/>
  <c r="AA984" i="17"/>
  <c r="Y984" i="17"/>
  <c r="X984" i="17"/>
  <c r="W984" i="17"/>
  <c r="V984" i="17"/>
  <c r="U984" i="17"/>
  <c r="R984" i="17"/>
  <c r="M984" i="17"/>
  <c r="L984" i="17"/>
  <c r="K984" i="17"/>
  <c r="I984" i="17"/>
  <c r="N984" i="17" s="1"/>
  <c r="H984" i="17"/>
  <c r="AK983" i="17"/>
  <c r="AF983" i="17"/>
  <c r="AE983" i="17"/>
  <c r="AD983" i="17"/>
  <c r="AC983" i="17"/>
  <c r="AB983" i="17"/>
  <c r="AA983" i="17"/>
  <c r="Y983" i="17"/>
  <c r="X983" i="17"/>
  <c r="W983" i="17"/>
  <c r="V983" i="17"/>
  <c r="U983" i="17"/>
  <c r="R983" i="17"/>
  <c r="N983" i="17"/>
  <c r="M983" i="17"/>
  <c r="L983" i="17"/>
  <c r="K983" i="17"/>
  <c r="I983" i="17"/>
  <c r="H983" i="17"/>
  <c r="AL982" i="17"/>
  <c r="AK982" i="17"/>
  <c r="AJ982" i="17" s="1"/>
  <c r="AF982" i="17"/>
  <c r="AE982" i="17"/>
  <c r="AD982" i="17"/>
  <c r="AC982" i="17"/>
  <c r="AB982" i="17"/>
  <c r="AA982" i="17"/>
  <c r="Y982" i="17"/>
  <c r="X982" i="17"/>
  <c r="W982" i="17"/>
  <c r="V982" i="17"/>
  <c r="U982" i="17"/>
  <c r="R982" i="17"/>
  <c r="M982" i="17"/>
  <c r="L982" i="17"/>
  <c r="K982" i="17"/>
  <c r="I982" i="17"/>
  <c r="N982" i="17" s="1"/>
  <c r="H982" i="17"/>
  <c r="AL981" i="17"/>
  <c r="AK981" i="17"/>
  <c r="AF981" i="17"/>
  <c r="AE981" i="17"/>
  <c r="AD981" i="17"/>
  <c r="AC981" i="17"/>
  <c r="AB981" i="17"/>
  <c r="AA981" i="17"/>
  <c r="Y981" i="17"/>
  <c r="X981" i="17"/>
  <c r="W981" i="17"/>
  <c r="V981" i="17"/>
  <c r="U981" i="17"/>
  <c r="R981" i="17"/>
  <c r="N981" i="17"/>
  <c r="M981" i="17"/>
  <c r="L981" i="17"/>
  <c r="K981" i="17"/>
  <c r="I981" i="17"/>
  <c r="H981" i="17"/>
  <c r="AK980" i="17"/>
  <c r="AF980" i="17"/>
  <c r="AE980" i="17"/>
  <c r="AD980" i="17"/>
  <c r="AC980" i="17"/>
  <c r="AB980" i="17"/>
  <c r="AA980" i="17"/>
  <c r="Y980" i="17"/>
  <c r="X980" i="17"/>
  <c r="W980" i="17"/>
  <c r="V980" i="17"/>
  <c r="U980" i="17"/>
  <c r="R980" i="17"/>
  <c r="N980" i="17"/>
  <c r="M980" i="17"/>
  <c r="L980" i="17"/>
  <c r="K980" i="17"/>
  <c r="I980" i="17"/>
  <c r="H980" i="17"/>
  <c r="AL979" i="17"/>
  <c r="AK979" i="17"/>
  <c r="AF979" i="17"/>
  <c r="AE979" i="17"/>
  <c r="AD979" i="17"/>
  <c r="AC979" i="17"/>
  <c r="AB979" i="17"/>
  <c r="AA979" i="17"/>
  <c r="Y979" i="17"/>
  <c r="X979" i="17"/>
  <c r="W979" i="17"/>
  <c r="V979" i="17"/>
  <c r="U979" i="17"/>
  <c r="R979" i="17"/>
  <c r="S980" i="17" s="1"/>
  <c r="T980" i="17" s="1"/>
  <c r="M979" i="17"/>
  <c r="L979" i="17"/>
  <c r="K979" i="17"/>
  <c r="I979" i="17"/>
  <c r="N979" i="17" s="1"/>
  <c r="H979" i="17"/>
  <c r="AK978" i="17"/>
  <c r="AF978" i="17"/>
  <c r="AE978" i="17"/>
  <c r="AD978" i="17"/>
  <c r="AC978" i="17"/>
  <c r="AB978" i="17"/>
  <c r="AA978" i="17"/>
  <c r="Y978" i="17"/>
  <c r="X978" i="17"/>
  <c r="W978" i="17"/>
  <c r="V978" i="17"/>
  <c r="U978" i="17"/>
  <c r="R978" i="17"/>
  <c r="M978" i="17"/>
  <c r="L978" i="17"/>
  <c r="K978" i="17"/>
  <c r="I978" i="17"/>
  <c r="N978" i="17" s="1"/>
  <c r="H978" i="17"/>
  <c r="AK977" i="17"/>
  <c r="AL977" i="17" s="1"/>
  <c r="AJ977" i="17"/>
  <c r="AF977" i="17"/>
  <c r="AE977" i="17"/>
  <c r="AD977" i="17"/>
  <c r="AC977" i="17"/>
  <c r="AB977" i="17"/>
  <c r="AA977" i="17"/>
  <c r="Y977" i="17"/>
  <c r="X977" i="17"/>
  <c r="W977" i="17"/>
  <c r="V977" i="17"/>
  <c r="U977" i="17"/>
  <c r="R977" i="17"/>
  <c r="M977" i="17"/>
  <c r="L977" i="17"/>
  <c r="K977" i="17"/>
  <c r="I977" i="17"/>
  <c r="N977" i="17" s="1"/>
  <c r="H977" i="17"/>
  <c r="AL976" i="17"/>
  <c r="AK976" i="17"/>
  <c r="AF976" i="17"/>
  <c r="AE976" i="17"/>
  <c r="AD976" i="17"/>
  <c r="AC976" i="17"/>
  <c r="AB976" i="17"/>
  <c r="AA976" i="17"/>
  <c r="Y976" i="17"/>
  <c r="X976" i="17"/>
  <c r="W976" i="17"/>
  <c r="V976" i="17"/>
  <c r="U976" i="17"/>
  <c r="R976" i="17"/>
  <c r="M976" i="17"/>
  <c r="L976" i="17"/>
  <c r="K976" i="17"/>
  <c r="I976" i="17"/>
  <c r="N976" i="17" s="1"/>
  <c r="H976" i="17"/>
  <c r="AK975" i="17"/>
  <c r="AF975" i="17"/>
  <c r="AE975" i="17"/>
  <c r="AD975" i="17"/>
  <c r="AC975" i="17"/>
  <c r="AB975" i="17"/>
  <c r="AA975" i="17"/>
  <c r="Y975" i="17"/>
  <c r="X975" i="17"/>
  <c r="W975" i="17"/>
  <c r="V975" i="17"/>
  <c r="U975" i="17"/>
  <c r="R975" i="17"/>
  <c r="N975" i="17"/>
  <c r="M975" i="17"/>
  <c r="L975" i="17"/>
  <c r="K975" i="17"/>
  <c r="I975" i="17"/>
  <c r="H975" i="17"/>
  <c r="AL974" i="17"/>
  <c r="AK974" i="17"/>
  <c r="AF974" i="17"/>
  <c r="AE974" i="17"/>
  <c r="AD974" i="17"/>
  <c r="AC974" i="17"/>
  <c r="AB974" i="17"/>
  <c r="AA974" i="17"/>
  <c r="Y974" i="17"/>
  <c r="X974" i="17"/>
  <c r="W974" i="17"/>
  <c r="V974" i="17"/>
  <c r="U974" i="17"/>
  <c r="R974" i="17"/>
  <c r="M974" i="17"/>
  <c r="L974" i="17"/>
  <c r="K974" i="17"/>
  <c r="I974" i="17"/>
  <c r="N974" i="17" s="1"/>
  <c r="H974" i="17"/>
  <c r="AL973" i="17"/>
  <c r="AK973" i="17"/>
  <c r="AJ973" i="17" s="1"/>
  <c r="AF973" i="17"/>
  <c r="AE973" i="17"/>
  <c r="AD973" i="17"/>
  <c r="AC973" i="17"/>
  <c r="AB973" i="17"/>
  <c r="AA973" i="17"/>
  <c r="Y973" i="17"/>
  <c r="X973" i="17"/>
  <c r="W973" i="17"/>
  <c r="V973" i="17"/>
  <c r="U973" i="17"/>
  <c r="R973" i="17"/>
  <c r="N973" i="17"/>
  <c r="M973" i="17"/>
  <c r="L973" i="17"/>
  <c r="K973" i="17"/>
  <c r="I973" i="17"/>
  <c r="H973" i="17"/>
  <c r="AK972" i="17"/>
  <c r="AL972" i="17" s="1"/>
  <c r="AJ972" i="17"/>
  <c r="AF972" i="17"/>
  <c r="AE972" i="17"/>
  <c r="AD972" i="17"/>
  <c r="AC972" i="17"/>
  <c r="AB972" i="17"/>
  <c r="AA972" i="17"/>
  <c r="Y972" i="17"/>
  <c r="X972" i="17"/>
  <c r="W972" i="17"/>
  <c r="V972" i="17"/>
  <c r="U972" i="17"/>
  <c r="R972" i="17"/>
  <c r="N972" i="17"/>
  <c r="M972" i="17"/>
  <c r="L972" i="17"/>
  <c r="K972" i="17"/>
  <c r="I972" i="17"/>
  <c r="H972" i="17"/>
  <c r="AL971" i="17"/>
  <c r="AK971" i="17"/>
  <c r="AJ971" i="17"/>
  <c r="AF971" i="17"/>
  <c r="AE971" i="17"/>
  <c r="AD971" i="17"/>
  <c r="AC971" i="17"/>
  <c r="AB971" i="17"/>
  <c r="AA971" i="17"/>
  <c r="Y971" i="17"/>
  <c r="X971" i="17"/>
  <c r="W971" i="17"/>
  <c r="V971" i="17"/>
  <c r="U971" i="17"/>
  <c r="R971" i="17"/>
  <c r="M971" i="17"/>
  <c r="L971" i="17"/>
  <c r="K971" i="17"/>
  <c r="I971" i="17"/>
  <c r="N971" i="17" s="1"/>
  <c r="H971" i="17"/>
  <c r="AK970" i="17"/>
  <c r="AF970" i="17"/>
  <c r="AE970" i="17"/>
  <c r="AD970" i="17"/>
  <c r="AC970" i="17"/>
  <c r="AB970" i="17"/>
  <c r="AA970" i="17"/>
  <c r="Y970" i="17"/>
  <c r="X970" i="17"/>
  <c r="W970" i="17"/>
  <c r="V970" i="17"/>
  <c r="U970" i="17"/>
  <c r="R970" i="17"/>
  <c r="N970" i="17"/>
  <c r="M970" i="17"/>
  <c r="L970" i="17"/>
  <c r="K970" i="17"/>
  <c r="I970" i="17"/>
  <c r="H970" i="17"/>
  <c r="AK969" i="17"/>
  <c r="AL969" i="17" s="1"/>
  <c r="AJ969" i="17"/>
  <c r="AF969" i="17"/>
  <c r="AE969" i="17"/>
  <c r="AD969" i="17"/>
  <c r="AC969" i="17"/>
  <c r="AB969" i="17"/>
  <c r="AA969" i="17"/>
  <c r="Y969" i="17"/>
  <c r="X969" i="17"/>
  <c r="W969" i="17"/>
  <c r="V969" i="17"/>
  <c r="U969" i="17"/>
  <c r="R969" i="17"/>
  <c r="M969" i="17"/>
  <c r="L969" i="17"/>
  <c r="K969" i="17"/>
  <c r="I969" i="17"/>
  <c r="N969" i="17" s="1"/>
  <c r="H969" i="17"/>
  <c r="S969" i="17" s="1"/>
  <c r="T969" i="17" s="1"/>
  <c r="AL968" i="17"/>
  <c r="AK968" i="17"/>
  <c r="AF968" i="17"/>
  <c r="AE968" i="17"/>
  <c r="AD968" i="17"/>
  <c r="AC968" i="17"/>
  <c r="AB968" i="17"/>
  <c r="AA968" i="17"/>
  <c r="Y968" i="17"/>
  <c r="X968" i="17"/>
  <c r="W968" i="17"/>
  <c r="V968" i="17"/>
  <c r="U968" i="17"/>
  <c r="R968" i="17"/>
  <c r="M968" i="17"/>
  <c r="L968" i="17"/>
  <c r="K968" i="17"/>
  <c r="I968" i="17"/>
  <c r="N968" i="17" s="1"/>
  <c r="H968" i="17"/>
  <c r="AL967" i="17"/>
  <c r="AK967" i="17"/>
  <c r="AF967" i="17"/>
  <c r="AE967" i="17"/>
  <c r="AD967" i="17"/>
  <c r="AC967" i="17"/>
  <c r="AB967" i="17"/>
  <c r="AA967" i="17"/>
  <c r="Y967" i="17"/>
  <c r="X967" i="17"/>
  <c r="W967" i="17"/>
  <c r="V967" i="17"/>
  <c r="U967" i="17"/>
  <c r="R967" i="17"/>
  <c r="N967" i="17"/>
  <c r="M967" i="17"/>
  <c r="L967" i="17"/>
  <c r="K967" i="17"/>
  <c r="I967" i="17"/>
  <c r="H967" i="17"/>
  <c r="AK966" i="17"/>
  <c r="AL966" i="17" s="1"/>
  <c r="AJ966" i="17"/>
  <c r="AF966" i="17"/>
  <c r="AE966" i="17"/>
  <c r="AD966" i="17"/>
  <c r="AC966" i="17"/>
  <c r="AB966" i="17"/>
  <c r="AA966" i="17"/>
  <c r="Y966" i="17"/>
  <c r="X966" i="17"/>
  <c r="W966" i="17"/>
  <c r="V966" i="17"/>
  <c r="U966" i="17"/>
  <c r="R966" i="17"/>
  <c r="M966" i="17"/>
  <c r="L966" i="17"/>
  <c r="K966" i="17"/>
  <c r="I966" i="17"/>
  <c r="N966" i="17" s="1"/>
  <c r="H966" i="17"/>
  <c r="AL965" i="17"/>
  <c r="AK965" i="17"/>
  <c r="AF965" i="17"/>
  <c r="AE965" i="17"/>
  <c r="AD965" i="17"/>
  <c r="AC965" i="17"/>
  <c r="AB965" i="17"/>
  <c r="AA965" i="17"/>
  <c r="Y965" i="17"/>
  <c r="X965" i="17"/>
  <c r="W965" i="17"/>
  <c r="V965" i="17"/>
  <c r="U965" i="17"/>
  <c r="R965" i="17"/>
  <c r="N965" i="17"/>
  <c r="M965" i="17"/>
  <c r="L965" i="17"/>
  <c r="K965" i="17"/>
  <c r="I965" i="17"/>
  <c r="H965" i="17"/>
  <c r="AK964" i="17"/>
  <c r="AF964" i="17"/>
  <c r="AE964" i="17"/>
  <c r="AD964" i="17"/>
  <c r="AC964" i="17"/>
  <c r="AB964" i="17"/>
  <c r="AA964" i="17"/>
  <c r="Y964" i="17"/>
  <c r="X964" i="17"/>
  <c r="W964" i="17"/>
  <c r="V964" i="17"/>
  <c r="U964" i="17"/>
  <c r="R964" i="17"/>
  <c r="N964" i="17"/>
  <c r="M964" i="17"/>
  <c r="L964" i="17"/>
  <c r="K964" i="17"/>
  <c r="I964" i="17"/>
  <c r="H964" i="17"/>
  <c r="AL963" i="17"/>
  <c r="AK963" i="17"/>
  <c r="AJ963" i="17"/>
  <c r="AF963" i="17"/>
  <c r="AE963" i="17"/>
  <c r="AD963" i="17"/>
  <c r="AC963" i="17"/>
  <c r="AB963" i="17"/>
  <c r="AA963" i="17"/>
  <c r="Y963" i="17"/>
  <c r="X963" i="17"/>
  <c r="W963" i="17"/>
  <c r="V963" i="17"/>
  <c r="U963" i="17"/>
  <c r="R963" i="17"/>
  <c r="M963" i="17"/>
  <c r="L963" i="17"/>
  <c r="K963" i="17"/>
  <c r="I963" i="17"/>
  <c r="N963" i="17" s="1"/>
  <c r="H963" i="17"/>
  <c r="AK962" i="17"/>
  <c r="AF962" i="17"/>
  <c r="AE962" i="17"/>
  <c r="AD962" i="17"/>
  <c r="AC962" i="17"/>
  <c r="AB962" i="17"/>
  <c r="AA962" i="17"/>
  <c r="Y962" i="17"/>
  <c r="X962" i="17"/>
  <c r="W962" i="17"/>
  <c r="V962" i="17"/>
  <c r="U962" i="17"/>
  <c r="R962" i="17"/>
  <c r="N962" i="17"/>
  <c r="M962" i="17"/>
  <c r="L962" i="17"/>
  <c r="K962" i="17"/>
  <c r="I962" i="17"/>
  <c r="H962" i="17"/>
  <c r="AK961" i="17"/>
  <c r="AL961" i="17" s="1"/>
  <c r="AJ961" i="17"/>
  <c r="AF961" i="17"/>
  <c r="AE961" i="17"/>
  <c r="AD961" i="17"/>
  <c r="AC961" i="17"/>
  <c r="AB961" i="17"/>
  <c r="AA961" i="17"/>
  <c r="Y961" i="17"/>
  <c r="X961" i="17"/>
  <c r="W961" i="17"/>
  <c r="V961" i="17"/>
  <c r="U961" i="17"/>
  <c r="R961" i="17"/>
  <c r="M961" i="17"/>
  <c r="L961" i="17"/>
  <c r="K961" i="17"/>
  <c r="I961" i="17"/>
  <c r="N961" i="17" s="1"/>
  <c r="H961" i="17"/>
  <c r="AL960" i="17"/>
  <c r="AK960" i="17"/>
  <c r="AF960" i="17"/>
  <c r="AE960" i="17"/>
  <c r="AD960" i="17"/>
  <c r="AC960" i="17"/>
  <c r="AB960" i="17"/>
  <c r="AA960" i="17"/>
  <c r="Y960" i="17"/>
  <c r="X960" i="17"/>
  <c r="W960" i="17"/>
  <c r="V960" i="17"/>
  <c r="U960" i="17"/>
  <c r="R960" i="17"/>
  <c r="M960" i="17"/>
  <c r="L960" i="17"/>
  <c r="K960" i="17"/>
  <c r="I960" i="17"/>
  <c r="N960" i="17" s="1"/>
  <c r="H960" i="17"/>
  <c r="AK959" i="17"/>
  <c r="AF959" i="17"/>
  <c r="AE959" i="17"/>
  <c r="AD959" i="17"/>
  <c r="AC959" i="17"/>
  <c r="AB959" i="17"/>
  <c r="AA959" i="17"/>
  <c r="Y959" i="17"/>
  <c r="X959" i="17"/>
  <c r="W959" i="17"/>
  <c r="V959" i="17"/>
  <c r="U959" i="17"/>
  <c r="R959" i="17"/>
  <c r="N959" i="17"/>
  <c r="M959" i="17"/>
  <c r="L959" i="17"/>
  <c r="K959" i="17"/>
  <c r="I959" i="17"/>
  <c r="H959" i="17"/>
  <c r="D959" i="17"/>
  <c r="AL958" i="17"/>
  <c r="AK958" i="17"/>
  <c r="AF958" i="17"/>
  <c r="AE958" i="17"/>
  <c r="AD958" i="17"/>
  <c r="AC958" i="17"/>
  <c r="AB958" i="17"/>
  <c r="AA958" i="17"/>
  <c r="Y958" i="17"/>
  <c r="X958" i="17"/>
  <c r="W958" i="17"/>
  <c r="V958" i="17"/>
  <c r="U958" i="17"/>
  <c r="R958" i="17"/>
  <c r="N958" i="17"/>
  <c r="M958" i="17"/>
  <c r="L958" i="17"/>
  <c r="K958" i="17"/>
  <c r="I958" i="17"/>
  <c r="H958" i="17"/>
  <c r="D958" i="17"/>
  <c r="AK957" i="17"/>
  <c r="AF957" i="17"/>
  <c r="AE957" i="17"/>
  <c r="AD957" i="17"/>
  <c r="AC957" i="17"/>
  <c r="AB957" i="17"/>
  <c r="AA957" i="17"/>
  <c r="Y957" i="17"/>
  <c r="X957" i="17"/>
  <c r="W957" i="17"/>
  <c r="V957" i="17"/>
  <c r="U957" i="17"/>
  <c r="R957" i="17"/>
  <c r="N957" i="17"/>
  <c r="M957" i="17"/>
  <c r="L957" i="17"/>
  <c r="K957" i="17"/>
  <c r="I957" i="17"/>
  <c r="H957" i="17"/>
  <c r="D957" i="17"/>
  <c r="AK956" i="17"/>
  <c r="AJ956" i="17" s="1"/>
  <c r="AF956" i="17"/>
  <c r="AE956" i="17"/>
  <c r="AD956" i="17"/>
  <c r="AC956" i="17"/>
  <c r="AB956" i="17"/>
  <c r="AA956" i="17"/>
  <c r="Y956" i="17"/>
  <c r="X956" i="17"/>
  <c r="W956" i="17"/>
  <c r="V956" i="17"/>
  <c r="U956" i="17"/>
  <c r="R956" i="17"/>
  <c r="M956" i="17"/>
  <c r="L956" i="17"/>
  <c r="K956" i="17"/>
  <c r="I956" i="17"/>
  <c r="H956" i="17"/>
  <c r="D956" i="17"/>
  <c r="N956" i="17" s="1"/>
  <c r="AL955" i="17"/>
  <c r="AK955" i="17"/>
  <c r="AF955" i="17"/>
  <c r="AE955" i="17"/>
  <c r="AD955" i="17"/>
  <c r="AC955" i="17"/>
  <c r="AB955" i="17"/>
  <c r="AA955" i="17"/>
  <c r="Y955" i="17"/>
  <c r="X955" i="17"/>
  <c r="W955" i="17"/>
  <c r="V955" i="17"/>
  <c r="U955" i="17"/>
  <c r="R955" i="17"/>
  <c r="M955" i="17"/>
  <c r="L955" i="17"/>
  <c r="K955" i="17"/>
  <c r="I955" i="17"/>
  <c r="H955" i="17"/>
  <c r="D955" i="17"/>
  <c r="N955" i="17" s="1"/>
  <c r="AL954" i="17"/>
  <c r="AK954" i="17"/>
  <c r="AF954" i="17"/>
  <c r="AE954" i="17"/>
  <c r="AD954" i="17"/>
  <c r="AC954" i="17"/>
  <c r="AB954" i="17"/>
  <c r="AA954" i="17"/>
  <c r="Y954" i="17"/>
  <c r="X954" i="17"/>
  <c r="W954" i="17"/>
  <c r="V954" i="17"/>
  <c r="U954" i="17"/>
  <c r="R954" i="17"/>
  <c r="M954" i="17"/>
  <c r="L954" i="17"/>
  <c r="K954" i="17"/>
  <c r="I954" i="17"/>
  <c r="H954" i="17"/>
  <c r="D954" i="17"/>
  <c r="N954" i="17" s="1"/>
  <c r="AL953" i="17"/>
  <c r="AK953" i="17"/>
  <c r="AF953" i="17"/>
  <c r="AE953" i="17"/>
  <c r="AD953" i="17"/>
  <c r="AC953" i="17"/>
  <c r="AB953" i="17"/>
  <c r="AA953" i="17"/>
  <c r="Y953" i="17"/>
  <c r="X953" i="17"/>
  <c r="W953" i="17"/>
  <c r="V953" i="17"/>
  <c r="U953" i="17"/>
  <c r="R953" i="17"/>
  <c r="M953" i="17"/>
  <c r="L953" i="17"/>
  <c r="K953" i="17"/>
  <c r="I953" i="17"/>
  <c r="H953" i="17"/>
  <c r="D953" i="17"/>
  <c r="N953" i="17" s="1"/>
  <c r="AL952" i="17"/>
  <c r="AK952" i="17"/>
  <c r="AF952" i="17"/>
  <c r="AE952" i="17"/>
  <c r="AD952" i="17"/>
  <c r="AC952" i="17"/>
  <c r="AB952" i="17"/>
  <c r="AA952" i="17"/>
  <c r="Y952" i="17"/>
  <c r="X952" i="17"/>
  <c r="W952" i="17"/>
  <c r="V952" i="17"/>
  <c r="U952" i="17"/>
  <c r="R952" i="17"/>
  <c r="N952" i="17"/>
  <c r="M952" i="17"/>
  <c r="L952" i="17"/>
  <c r="K952" i="17"/>
  <c r="I952" i="17"/>
  <c r="H952" i="17"/>
  <c r="D952" i="17"/>
  <c r="AK951" i="17"/>
  <c r="AF951" i="17"/>
  <c r="AE951" i="17"/>
  <c r="AD951" i="17"/>
  <c r="AC951" i="17"/>
  <c r="AB951" i="17"/>
  <c r="AA951" i="17"/>
  <c r="Y951" i="17"/>
  <c r="X951" i="17"/>
  <c r="W951" i="17"/>
  <c r="V951" i="17"/>
  <c r="U951" i="17"/>
  <c r="R951" i="17"/>
  <c r="N951" i="17"/>
  <c r="M951" i="17"/>
  <c r="L951" i="17"/>
  <c r="K951" i="17"/>
  <c r="I951" i="17"/>
  <c r="H951" i="17"/>
  <c r="D951" i="17"/>
  <c r="AL950" i="17"/>
  <c r="AK950" i="17"/>
  <c r="AF950" i="17"/>
  <c r="AE950" i="17"/>
  <c r="AD950" i="17"/>
  <c r="AC950" i="17"/>
  <c r="AB950" i="17"/>
  <c r="AA950" i="17"/>
  <c r="Y950" i="17"/>
  <c r="X950" i="17"/>
  <c r="W950" i="17"/>
  <c r="V950" i="17"/>
  <c r="U950" i="17"/>
  <c r="R950" i="17"/>
  <c r="N950" i="17"/>
  <c r="M950" i="17"/>
  <c r="L950" i="17"/>
  <c r="K950" i="17"/>
  <c r="I950" i="17"/>
  <c r="H950" i="17"/>
  <c r="D950" i="17"/>
  <c r="AK949" i="17"/>
  <c r="AF949" i="17"/>
  <c r="AE949" i="17"/>
  <c r="AD949" i="17"/>
  <c r="AC949" i="17"/>
  <c r="AB949" i="17"/>
  <c r="AA949" i="17"/>
  <c r="Y949" i="17"/>
  <c r="X949" i="17"/>
  <c r="W949" i="17"/>
  <c r="V949" i="17"/>
  <c r="U949" i="17"/>
  <c r="R949" i="17"/>
  <c r="N949" i="17"/>
  <c r="M949" i="17"/>
  <c r="L949" i="17"/>
  <c r="K949" i="17"/>
  <c r="I949" i="17"/>
  <c r="H949" i="17"/>
  <c r="D949" i="17"/>
  <c r="AK948" i="17"/>
  <c r="AJ948" i="17" s="1"/>
  <c r="AF948" i="17"/>
  <c r="AE948" i="17"/>
  <c r="AD948" i="17"/>
  <c r="AC948" i="17"/>
  <c r="AB948" i="17"/>
  <c r="AA948" i="17"/>
  <c r="Y948" i="17"/>
  <c r="X948" i="17"/>
  <c r="W948" i="17"/>
  <c r="V948" i="17"/>
  <c r="U948" i="17"/>
  <c r="R948" i="17"/>
  <c r="M948" i="17"/>
  <c r="L948" i="17"/>
  <c r="K948" i="17"/>
  <c r="I948" i="17"/>
  <c r="H948" i="17"/>
  <c r="D948" i="17"/>
  <c r="N948" i="17" s="1"/>
  <c r="AL947" i="17"/>
  <c r="AK947" i="17"/>
  <c r="AF947" i="17"/>
  <c r="AE947" i="17"/>
  <c r="AD947" i="17"/>
  <c r="AC947" i="17"/>
  <c r="AB947" i="17"/>
  <c r="AA947" i="17"/>
  <c r="Y947" i="17"/>
  <c r="X947" i="17"/>
  <c r="W947" i="17"/>
  <c r="V947" i="17"/>
  <c r="U947" i="17"/>
  <c r="R947" i="17"/>
  <c r="M947" i="17"/>
  <c r="L947" i="17"/>
  <c r="K947" i="17"/>
  <c r="I947" i="17"/>
  <c r="H947" i="17"/>
  <c r="D947" i="17"/>
  <c r="N947" i="17" s="1"/>
  <c r="AL946" i="17"/>
  <c r="AK946" i="17"/>
  <c r="AF946" i="17"/>
  <c r="AE946" i="17"/>
  <c r="AD946" i="17"/>
  <c r="AC946" i="17"/>
  <c r="AB946" i="17"/>
  <c r="AA946" i="17"/>
  <c r="Y946" i="17"/>
  <c r="X946" i="17"/>
  <c r="W946" i="17"/>
  <c r="V946" i="17"/>
  <c r="U946" i="17"/>
  <c r="R946" i="17"/>
  <c r="M946" i="17"/>
  <c r="L946" i="17"/>
  <c r="K946" i="17"/>
  <c r="I946" i="17"/>
  <c r="H946" i="17"/>
  <c r="D946" i="17"/>
  <c r="N946" i="17" s="1"/>
  <c r="AL945" i="17"/>
  <c r="AK945" i="17"/>
  <c r="AF945" i="17"/>
  <c r="AE945" i="17"/>
  <c r="AD945" i="17"/>
  <c r="AC945" i="17"/>
  <c r="AB945" i="17"/>
  <c r="AA945" i="17"/>
  <c r="Y945" i="17"/>
  <c r="X945" i="17"/>
  <c r="W945" i="17"/>
  <c r="V945" i="17"/>
  <c r="U945" i="17"/>
  <c r="R945" i="17"/>
  <c r="S946" i="17" s="1"/>
  <c r="T946" i="17" s="1"/>
  <c r="M945" i="17"/>
  <c r="L945" i="17"/>
  <c r="K945" i="17"/>
  <c r="I945" i="17"/>
  <c r="H945" i="17"/>
  <c r="D945" i="17"/>
  <c r="N945" i="17" s="1"/>
  <c r="AL944" i="17"/>
  <c r="AK944" i="17"/>
  <c r="AF944" i="17"/>
  <c r="AE944" i="17"/>
  <c r="AD944" i="17"/>
  <c r="AC944" i="17"/>
  <c r="AB944" i="17"/>
  <c r="AA944" i="17"/>
  <c r="Y944" i="17"/>
  <c r="X944" i="17"/>
  <c r="W944" i="17"/>
  <c r="V944" i="17"/>
  <c r="U944" i="17"/>
  <c r="R944" i="17"/>
  <c r="N944" i="17"/>
  <c r="M944" i="17"/>
  <c r="L944" i="17"/>
  <c r="K944" i="17"/>
  <c r="I944" i="17"/>
  <c r="H944" i="17"/>
  <c r="D944" i="17"/>
  <c r="AK943" i="17"/>
  <c r="AF943" i="17"/>
  <c r="AE943" i="17"/>
  <c r="AD943" i="17"/>
  <c r="AC943" i="17"/>
  <c r="AB943" i="17"/>
  <c r="AA943" i="17"/>
  <c r="Y943" i="17"/>
  <c r="X943" i="17"/>
  <c r="W943" i="17"/>
  <c r="V943" i="17"/>
  <c r="U943" i="17"/>
  <c r="R943" i="17"/>
  <c r="N943" i="17"/>
  <c r="M943" i="17"/>
  <c r="L943" i="17"/>
  <c r="K943" i="17"/>
  <c r="I943" i="17"/>
  <c r="H943" i="17"/>
  <c r="D943" i="17"/>
  <c r="AL942" i="17"/>
  <c r="AK942" i="17"/>
  <c r="AF942" i="17"/>
  <c r="AE942" i="17"/>
  <c r="AD942" i="17"/>
  <c r="AC942" i="17"/>
  <c r="AB942" i="17"/>
  <c r="AA942" i="17"/>
  <c r="Y942" i="17"/>
  <c r="X942" i="17"/>
  <c r="W942" i="17"/>
  <c r="V942" i="17"/>
  <c r="U942" i="17"/>
  <c r="R942" i="17"/>
  <c r="N942" i="17"/>
  <c r="M942" i="17"/>
  <c r="L942" i="17"/>
  <c r="K942" i="17"/>
  <c r="I942" i="17"/>
  <c r="H942" i="17"/>
  <c r="D942" i="17"/>
  <c r="AK941" i="17"/>
  <c r="AF941" i="17"/>
  <c r="AE941" i="17"/>
  <c r="AD941" i="17"/>
  <c r="AC941" i="17"/>
  <c r="AB941" i="17"/>
  <c r="AA941" i="17"/>
  <c r="Y941" i="17"/>
  <c r="X941" i="17"/>
  <c r="W941" i="17"/>
  <c r="V941" i="17"/>
  <c r="U941" i="17"/>
  <c r="R941" i="17"/>
  <c r="N941" i="17"/>
  <c r="M941" i="17"/>
  <c r="L941" i="17"/>
  <c r="K941" i="17"/>
  <c r="I941" i="17"/>
  <c r="H941" i="17"/>
  <c r="S941" i="17" s="1"/>
  <c r="T941" i="17" s="1"/>
  <c r="D941" i="17"/>
  <c r="AK940" i="17"/>
  <c r="AJ940" i="17" s="1"/>
  <c r="AF940" i="17"/>
  <c r="AE940" i="17"/>
  <c r="AD940" i="17"/>
  <c r="AC940" i="17"/>
  <c r="AB940" i="17"/>
  <c r="AA940" i="17"/>
  <c r="Y940" i="17"/>
  <c r="X940" i="17"/>
  <c r="W940" i="17"/>
  <c r="V940" i="17"/>
  <c r="U940" i="17"/>
  <c r="R940" i="17"/>
  <c r="M940" i="17"/>
  <c r="L940" i="17"/>
  <c r="K940" i="17"/>
  <c r="I940" i="17"/>
  <c r="H940" i="17"/>
  <c r="D940" i="17"/>
  <c r="N940" i="17" s="1"/>
  <c r="AL939" i="17"/>
  <c r="AK939" i="17"/>
  <c r="AF939" i="17"/>
  <c r="AE939" i="17"/>
  <c r="AD939" i="17"/>
  <c r="AC939" i="17"/>
  <c r="AB939" i="17"/>
  <c r="AA939" i="17"/>
  <c r="Y939" i="17"/>
  <c r="X939" i="17"/>
  <c r="W939" i="17"/>
  <c r="V939" i="17"/>
  <c r="U939" i="17"/>
  <c r="R939" i="17"/>
  <c r="M939" i="17"/>
  <c r="L939" i="17"/>
  <c r="K939" i="17"/>
  <c r="I939" i="17"/>
  <c r="H939" i="17"/>
  <c r="S939" i="17" s="1"/>
  <c r="T939" i="17" s="1"/>
  <c r="D939" i="17"/>
  <c r="N939" i="17" s="1"/>
  <c r="AL938" i="17"/>
  <c r="AK938" i="17"/>
  <c r="AF938" i="17"/>
  <c r="AE938" i="17"/>
  <c r="AD938" i="17"/>
  <c r="AC938" i="17"/>
  <c r="AB938" i="17"/>
  <c r="AA938" i="17"/>
  <c r="Y938" i="17"/>
  <c r="X938" i="17"/>
  <c r="W938" i="17"/>
  <c r="V938" i="17"/>
  <c r="U938" i="17"/>
  <c r="R938" i="17"/>
  <c r="M938" i="17"/>
  <c r="L938" i="17"/>
  <c r="K938" i="17"/>
  <c r="I938" i="17"/>
  <c r="H938" i="17"/>
  <c r="D938" i="17"/>
  <c r="N938" i="17" s="1"/>
  <c r="AL937" i="17"/>
  <c r="AK937" i="17"/>
  <c r="AF937" i="17"/>
  <c r="AE937" i="17"/>
  <c r="AD937" i="17"/>
  <c r="AC937" i="17"/>
  <c r="AB937" i="17"/>
  <c r="AA937" i="17"/>
  <c r="Y937" i="17"/>
  <c r="X937" i="17"/>
  <c r="W937" i="17"/>
  <c r="V937" i="17"/>
  <c r="U937" i="17"/>
  <c r="R937" i="17"/>
  <c r="M937" i="17"/>
  <c r="L937" i="17"/>
  <c r="K937" i="17"/>
  <c r="I937" i="17"/>
  <c r="H937" i="17"/>
  <c r="D937" i="17"/>
  <c r="N937" i="17" s="1"/>
  <c r="AL936" i="17"/>
  <c r="AK936" i="17"/>
  <c r="AF936" i="17"/>
  <c r="AE936" i="17"/>
  <c r="AD936" i="17"/>
  <c r="AC936" i="17"/>
  <c r="AB936" i="17"/>
  <c r="AA936" i="17"/>
  <c r="Y936" i="17"/>
  <c r="X936" i="17"/>
  <c r="W936" i="17"/>
  <c r="V936" i="17"/>
  <c r="U936" i="17"/>
  <c r="R936" i="17"/>
  <c r="M936" i="17"/>
  <c r="L936" i="17"/>
  <c r="K936" i="17"/>
  <c r="I936" i="17"/>
  <c r="H936" i="17"/>
  <c r="D936" i="17"/>
  <c r="N936" i="17" s="1"/>
  <c r="AK935" i="17"/>
  <c r="AF935" i="17"/>
  <c r="AE935" i="17"/>
  <c r="AD935" i="17"/>
  <c r="AC935" i="17"/>
  <c r="AB935" i="17"/>
  <c r="AA935" i="17"/>
  <c r="Y935" i="17"/>
  <c r="X935" i="17"/>
  <c r="W935" i="17"/>
  <c r="V935" i="17"/>
  <c r="U935" i="17"/>
  <c r="R935" i="17"/>
  <c r="N935" i="17"/>
  <c r="M935" i="17"/>
  <c r="L935" i="17"/>
  <c r="K935" i="17"/>
  <c r="I935" i="17"/>
  <c r="H935" i="17"/>
  <c r="D935" i="17"/>
  <c r="AL934" i="17"/>
  <c r="AK934" i="17"/>
  <c r="AF934" i="17"/>
  <c r="AE934" i="17"/>
  <c r="AD934" i="17"/>
  <c r="AC934" i="17"/>
  <c r="AB934" i="17"/>
  <c r="AA934" i="17"/>
  <c r="Y934" i="17"/>
  <c r="X934" i="17"/>
  <c r="W934" i="17"/>
  <c r="V934" i="17"/>
  <c r="U934" i="17"/>
  <c r="R934" i="17"/>
  <c r="N934" i="17"/>
  <c r="M934" i="17"/>
  <c r="L934" i="17"/>
  <c r="K934" i="17"/>
  <c r="I934" i="17"/>
  <c r="H934" i="17"/>
  <c r="D934" i="17"/>
  <c r="AK933" i="17"/>
  <c r="AF933" i="17"/>
  <c r="AE933" i="17"/>
  <c r="AD933" i="17"/>
  <c r="AC933" i="17"/>
  <c r="AB933" i="17"/>
  <c r="AA933" i="17"/>
  <c r="Y933" i="17"/>
  <c r="X933" i="17"/>
  <c r="W933" i="17"/>
  <c r="V933" i="17"/>
  <c r="U933" i="17"/>
  <c r="R933" i="17"/>
  <c r="N933" i="17"/>
  <c r="M933" i="17"/>
  <c r="L933" i="17"/>
  <c r="K933" i="17"/>
  <c r="I933" i="17"/>
  <c r="H933" i="17"/>
  <c r="D933" i="17"/>
  <c r="AK932" i="17"/>
  <c r="AJ932" i="17" s="1"/>
  <c r="AF932" i="17"/>
  <c r="AE932" i="17"/>
  <c r="AD932" i="17"/>
  <c r="AC932" i="17"/>
  <c r="AB932" i="17"/>
  <c r="AA932" i="17"/>
  <c r="Y932" i="17"/>
  <c r="X932" i="17"/>
  <c r="W932" i="17"/>
  <c r="V932" i="17"/>
  <c r="U932" i="17"/>
  <c r="R932" i="17"/>
  <c r="M932" i="17"/>
  <c r="L932" i="17"/>
  <c r="K932" i="17"/>
  <c r="I932" i="17"/>
  <c r="H932" i="17"/>
  <c r="D932" i="17"/>
  <c r="N932" i="17" s="1"/>
  <c r="AL931" i="17"/>
  <c r="AK931" i="17"/>
  <c r="AF931" i="17"/>
  <c r="AE931" i="17"/>
  <c r="AD931" i="17"/>
  <c r="AC931" i="17"/>
  <c r="AB931" i="17"/>
  <c r="AA931" i="17"/>
  <c r="Y931" i="17"/>
  <c r="X931" i="17"/>
  <c r="W931" i="17"/>
  <c r="V931" i="17"/>
  <c r="U931" i="17"/>
  <c r="R931" i="17"/>
  <c r="M931" i="17"/>
  <c r="L931" i="17"/>
  <c r="K931" i="17"/>
  <c r="I931" i="17"/>
  <c r="H931" i="17"/>
  <c r="D931" i="17"/>
  <c r="N931" i="17" s="1"/>
  <c r="AL930" i="17"/>
  <c r="AK930" i="17"/>
  <c r="AF930" i="17"/>
  <c r="AE930" i="17"/>
  <c r="AD930" i="17"/>
  <c r="AC930" i="17"/>
  <c r="AB930" i="17"/>
  <c r="AA930" i="17"/>
  <c r="Y930" i="17"/>
  <c r="X930" i="17"/>
  <c r="W930" i="17"/>
  <c r="V930" i="17"/>
  <c r="U930" i="17"/>
  <c r="R930" i="17"/>
  <c r="M930" i="17"/>
  <c r="L930" i="17"/>
  <c r="K930" i="17"/>
  <c r="I930" i="17"/>
  <c r="H930" i="17"/>
  <c r="D930" i="17"/>
  <c r="N930" i="17" s="1"/>
  <c r="AL929" i="17"/>
  <c r="AK929" i="17"/>
  <c r="AF929" i="17"/>
  <c r="AE929" i="17"/>
  <c r="AD929" i="17"/>
  <c r="AC929" i="17"/>
  <c r="AB929" i="17"/>
  <c r="AA929" i="17"/>
  <c r="Y929" i="17"/>
  <c r="X929" i="17"/>
  <c r="W929" i="17"/>
  <c r="V929" i="17"/>
  <c r="U929" i="17"/>
  <c r="R929" i="17"/>
  <c r="M929" i="17"/>
  <c r="L929" i="17"/>
  <c r="K929" i="17"/>
  <c r="I929" i="17"/>
  <c r="H929" i="17"/>
  <c r="D929" i="17"/>
  <c r="N929" i="17" s="1"/>
  <c r="AL928" i="17"/>
  <c r="AK928" i="17"/>
  <c r="AF928" i="17"/>
  <c r="AE928" i="17"/>
  <c r="AD928" i="17"/>
  <c r="AC928" i="17"/>
  <c r="AB928" i="17"/>
  <c r="AA928" i="17"/>
  <c r="Y928" i="17"/>
  <c r="X928" i="17"/>
  <c r="W928" i="17"/>
  <c r="V928" i="17"/>
  <c r="U928" i="17"/>
  <c r="R928" i="17"/>
  <c r="N928" i="17"/>
  <c r="M928" i="17"/>
  <c r="L928" i="17"/>
  <c r="K928" i="17"/>
  <c r="I928" i="17"/>
  <c r="H928" i="17"/>
  <c r="D928" i="17"/>
  <c r="AK927" i="17"/>
  <c r="AF927" i="17"/>
  <c r="AE927" i="17"/>
  <c r="AD927" i="17"/>
  <c r="AC927" i="17"/>
  <c r="AB927" i="17"/>
  <c r="AA927" i="17"/>
  <c r="Y927" i="17"/>
  <c r="X927" i="17"/>
  <c r="W927" i="17"/>
  <c r="V927" i="17"/>
  <c r="U927" i="17"/>
  <c r="R927" i="17"/>
  <c r="N927" i="17"/>
  <c r="M927" i="17"/>
  <c r="L927" i="17"/>
  <c r="K927" i="17"/>
  <c r="I927" i="17"/>
  <c r="H927" i="17"/>
  <c r="D927" i="17"/>
  <c r="AL926" i="17"/>
  <c r="AK926" i="17"/>
  <c r="AF926" i="17"/>
  <c r="AE926" i="17"/>
  <c r="AD926" i="17"/>
  <c r="AC926" i="17"/>
  <c r="AB926" i="17"/>
  <c r="AA926" i="17"/>
  <c r="Y926" i="17"/>
  <c r="X926" i="17"/>
  <c r="W926" i="17"/>
  <c r="V926" i="17"/>
  <c r="U926" i="17"/>
  <c r="R926" i="17"/>
  <c r="N926" i="17"/>
  <c r="M926" i="17"/>
  <c r="L926" i="17"/>
  <c r="K926" i="17"/>
  <c r="I926" i="17"/>
  <c r="H926" i="17"/>
  <c r="D926" i="17"/>
  <c r="AK925" i="17"/>
  <c r="AF925" i="17"/>
  <c r="AE925" i="17"/>
  <c r="AD925" i="17"/>
  <c r="AC925" i="17"/>
  <c r="AB925" i="17"/>
  <c r="AA925" i="17"/>
  <c r="Y925" i="17"/>
  <c r="X925" i="17"/>
  <c r="W925" i="17"/>
  <c r="V925" i="17"/>
  <c r="U925" i="17"/>
  <c r="R925" i="17"/>
  <c r="N925" i="17"/>
  <c r="M925" i="17"/>
  <c r="L925" i="17"/>
  <c r="K925" i="17"/>
  <c r="I925" i="17"/>
  <c r="H925" i="17"/>
  <c r="D925" i="17"/>
  <c r="AK924" i="17"/>
  <c r="AJ924" i="17" s="1"/>
  <c r="AF924" i="17"/>
  <c r="AE924" i="17"/>
  <c r="AD924" i="17"/>
  <c r="AC924" i="17"/>
  <c r="AB924" i="17"/>
  <c r="AA924" i="17"/>
  <c r="Y924" i="17"/>
  <c r="X924" i="17"/>
  <c r="W924" i="17"/>
  <c r="V924" i="17"/>
  <c r="U924" i="17"/>
  <c r="R924" i="17"/>
  <c r="M924" i="17"/>
  <c r="L924" i="17"/>
  <c r="K924" i="17"/>
  <c r="I924" i="17"/>
  <c r="H924" i="17"/>
  <c r="D924" i="17"/>
  <c r="N924" i="17" s="1"/>
  <c r="AL923" i="17"/>
  <c r="AK923" i="17"/>
  <c r="AF923" i="17"/>
  <c r="AE923" i="17"/>
  <c r="AD923" i="17"/>
  <c r="AC923" i="17"/>
  <c r="AB923" i="17"/>
  <c r="AA923" i="17"/>
  <c r="Y923" i="17"/>
  <c r="X923" i="17"/>
  <c r="W923" i="17"/>
  <c r="V923" i="17"/>
  <c r="U923" i="17"/>
  <c r="R923" i="17"/>
  <c r="M923" i="17"/>
  <c r="L923" i="17"/>
  <c r="K923" i="17"/>
  <c r="I923" i="17"/>
  <c r="H923" i="17"/>
  <c r="S923" i="17" s="1"/>
  <c r="T923" i="17" s="1"/>
  <c r="D923" i="17"/>
  <c r="N923" i="17" s="1"/>
  <c r="AL922" i="17"/>
  <c r="AK922" i="17"/>
  <c r="AF922" i="17"/>
  <c r="AE922" i="17"/>
  <c r="AD922" i="17"/>
  <c r="AC922" i="17"/>
  <c r="AB922" i="17"/>
  <c r="AA922" i="17"/>
  <c r="Y922" i="17"/>
  <c r="X922" i="17"/>
  <c r="W922" i="17"/>
  <c r="V922" i="17"/>
  <c r="U922" i="17"/>
  <c r="R922" i="17"/>
  <c r="M922" i="17"/>
  <c r="L922" i="17"/>
  <c r="K922" i="17"/>
  <c r="I922" i="17"/>
  <c r="H922" i="17"/>
  <c r="D922" i="17"/>
  <c r="N922" i="17" s="1"/>
  <c r="AL921" i="17"/>
  <c r="AK921" i="17"/>
  <c r="AF921" i="17"/>
  <c r="AE921" i="17"/>
  <c r="AD921" i="17"/>
  <c r="AC921" i="17"/>
  <c r="AB921" i="17"/>
  <c r="AA921" i="17"/>
  <c r="Y921" i="17"/>
  <c r="X921" i="17"/>
  <c r="W921" i="17"/>
  <c r="V921" i="17"/>
  <c r="U921" i="17"/>
  <c r="R921" i="17"/>
  <c r="M921" i="17"/>
  <c r="L921" i="17"/>
  <c r="K921" i="17"/>
  <c r="I921" i="17"/>
  <c r="H921" i="17"/>
  <c r="D921" i="17"/>
  <c r="N921" i="17" s="1"/>
  <c r="AL920" i="17"/>
  <c r="AK920" i="17"/>
  <c r="AF920" i="17"/>
  <c r="AE920" i="17"/>
  <c r="AD920" i="17"/>
  <c r="AC920" i="17"/>
  <c r="AB920" i="17"/>
  <c r="AA920" i="17"/>
  <c r="Y920" i="17"/>
  <c r="X920" i="17"/>
  <c r="W920" i="17"/>
  <c r="V920" i="17"/>
  <c r="U920" i="17"/>
  <c r="R920" i="17"/>
  <c r="N920" i="17"/>
  <c r="M920" i="17"/>
  <c r="L920" i="17"/>
  <c r="K920" i="17"/>
  <c r="I920" i="17"/>
  <c r="H920" i="17"/>
  <c r="D920" i="17"/>
  <c r="AK919" i="17"/>
  <c r="AF919" i="17"/>
  <c r="AE919" i="17"/>
  <c r="AD919" i="17"/>
  <c r="AC919" i="17"/>
  <c r="AB919" i="17"/>
  <c r="AA919" i="17"/>
  <c r="Y919" i="17"/>
  <c r="X919" i="17"/>
  <c r="W919" i="17"/>
  <c r="V919" i="17"/>
  <c r="U919" i="17"/>
  <c r="R919" i="17"/>
  <c r="N919" i="17"/>
  <c r="M919" i="17"/>
  <c r="L919" i="17"/>
  <c r="K919" i="17"/>
  <c r="I919" i="17"/>
  <c r="H919" i="17"/>
  <c r="D919" i="17"/>
  <c r="AL918" i="17"/>
  <c r="AK918" i="17"/>
  <c r="AF918" i="17"/>
  <c r="AE918" i="17"/>
  <c r="AD918" i="17"/>
  <c r="AC918" i="17"/>
  <c r="AB918" i="17"/>
  <c r="AA918" i="17"/>
  <c r="Y918" i="17"/>
  <c r="X918" i="17"/>
  <c r="W918" i="17"/>
  <c r="V918" i="17"/>
  <c r="U918" i="17"/>
  <c r="R918" i="17"/>
  <c r="N918" i="17"/>
  <c r="M918" i="17"/>
  <c r="L918" i="17"/>
  <c r="K918" i="17"/>
  <c r="I918" i="17"/>
  <c r="H918" i="17"/>
  <c r="D918" i="17"/>
  <c r="AK917" i="17"/>
  <c r="AF917" i="17"/>
  <c r="AE917" i="17"/>
  <c r="AD917" i="17"/>
  <c r="AC917" i="17"/>
  <c r="AB917" i="17"/>
  <c r="AA917" i="17"/>
  <c r="Y917" i="17"/>
  <c r="X917" i="17"/>
  <c r="W917" i="17"/>
  <c r="V917" i="17"/>
  <c r="U917" i="17"/>
  <c r="R917" i="17"/>
  <c r="N917" i="17"/>
  <c r="M917" i="17"/>
  <c r="L917" i="17"/>
  <c r="K917" i="17"/>
  <c r="I917" i="17"/>
  <c r="H917" i="17"/>
  <c r="D917" i="17"/>
  <c r="AK916" i="17"/>
  <c r="AJ916" i="17" s="1"/>
  <c r="AF916" i="17"/>
  <c r="AE916" i="17"/>
  <c r="AD916" i="17"/>
  <c r="AC916" i="17"/>
  <c r="AB916" i="17"/>
  <c r="AA916" i="17"/>
  <c r="Y916" i="17"/>
  <c r="X916" i="17"/>
  <c r="W916" i="17"/>
  <c r="V916" i="17"/>
  <c r="U916" i="17"/>
  <c r="R916" i="17"/>
  <c r="M916" i="17"/>
  <c r="L916" i="17"/>
  <c r="K916" i="17"/>
  <c r="I916" i="17"/>
  <c r="H916" i="17"/>
  <c r="D916" i="17"/>
  <c r="N916" i="17" s="1"/>
  <c r="AL915" i="17"/>
  <c r="AK915" i="17"/>
  <c r="AF915" i="17"/>
  <c r="AE915" i="17"/>
  <c r="AD915" i="17"/>
  <c r="AC915" i="17"/>
  <c r="AB915" i="17"/>
  <c r="AA915" i="17"/>
  <c r="Y915" i="17"/>
  <c r="X915" i="17"/>
  <c r="W915" i="17"/>
  <c r="V915" i="17"/>
  <c r="U915" i="17"/>
  <c r="R915" i="17"/>
  <c r="M915" i="17"/>
  <c r="L915" i="17"/>
  <c r="K915" i="17"/>
  <c r="I915" i="17"/>
  <c r="H915" i="17"/>
  <c r="D915" i="17"/>
  <c r="N915" i="17" s="1"/>
  <c r="AL914" i="17"/>
  <c r="AK914" i="17"/>
  <c r="AF914" i="17"/>
  <c r="AE914" i="17"/>
  <c r="AD914" i="17"/>
  <c r="AC914" i="17"/>
  <c r="AB914" i="17"/>
  <c r="AA914" i="17"/>
  <c r="Y914" i="17"/>
  <c r="X914" i="17"/>
  <c r="W914" i="17"/>
  <c r="V914" i="17"/>
  <c r="U914" i="17"/>
  <c r="R914" i="17"/>
  <c r="M914" i="17"/>
  <c r="L914" i="17"/>
  <c r="K914" i="17"/>
  <c r="I914" i="17"/>
  <c r="H914" i="17"/>
  <c r="D914" i="17"/>
  <c r="N914" i="17" s="1"/>
  <c r="AL913" i="17"/>
  <c r="AK913" i="17"/>
  <c r="AF913" i="17"/>
  <c r="AE913" i="17"/>
  <c r="AD913" i="17"/>
  <c r="AC913" i="17"/>
  <c r="AB913" i="17"/>
  <c r="AA913" i="17"/>
  <c r="Y913" i="17"/>
  <c r="X913" i="17"/>
  <c r="W913" i="17"/>
  <c r="V913" i="17"/>
  <c r="U913" i="17"/>
  <c r="R913" i="17"/>
  <c r="M913" i="17"/>
  <c r="L913" i="17"/>
  <c r="K913" i="17"/>
  <c r="I913" i="17"/>
  <c r="H913" i="17"/>
  <c r="D913" i="17"/>
  <c r="N913" i="17" s="1"/>
  <c r="AL912" i="17"/>
  <c r="AK912" i="17"/>
  <c r="AF912" i="17"/>
  <c r="AE912" i="17"/>
  <c r="AD912" i="17"/>
  <c r="AC912" i="17"/>
  <c r="AB912" i="17"/>
  <c r="AA912" i="17"/>
  <c r="Y912" i="17"/>
  <c r="X912" i="17"/>
  <c r="W912" i="17"/>
  <c r="V912" i="17"/>
  <c r="U912" i="17"/>
  <c r="R912" i="17"/>
  <c r="M912" i="17"/>
  <c r="L912" i="17"/>
  <c r="K912" i="17"/>
  <c r="I912" i="17"/>
  <c r="H912" i="17"/>
  <c r="D912" i="17"/>
  <c r="N912" i="17" s="1"/>
  <c r="AK911" i="17"/>
  <c r="AF911" i="17"/>
  <c r="AE911" i="17"/>
  <c r="AD911" i="17"/>
  <c r="AC911" i="17"/>
  <c r="AB911" i="17"/>
  <c r="AA911" i="17"/>
  <c r="Y911" i="17"/>
  <c r="X911" i="17"/>
  <c r="W911" i="17"/>
  <c r="V911" i="17"/>
  <c r="U911" i="17"/>
  <c r="R911" i="17"/>
  <c r="N911" i="17"/>
  <c r="M911" i="17"/>
  <c r="L911" i="17"/>
  <c r="K911" i="17"/>
  <c r="I911" i="17"/>
  <c r="H911" i="17"/>
  <c r="D911" i="17"/>
  <c r="AL910" i="17"/>
  <c r="AK910" i="17"/>
  <c r="AF910" i="17"/>
  <c r="AE910" i="17"/>
  <c r="AD910" i="17"/>
  <c r="AC910" i="17"/>
  <c r="AB910" i="17"/>
  <c r="AA910" i="17"/>
  <c r="Y910" i="17"/>
  <c r="X910" i="17"/>
  <c r="W910" i="17"/>
  <c r="V910" i="17"/>
  <c r="U910" i="17"/>
  <c r="R910" i="17"/>
  <c r="N910" i="17"/>
  <c r="M910" i="17"/>
  <c r="L910" i="17"/>
  <c r="K910" i="17"/>
  <c r="I910" i="17"/>
  <c r="H910" i="17"/>
  <c r="D910" i="17"/>
  <c r="AK909" i="17"/>
  <c r="AF909" i="17"/>
  <c r="AE909" i="17"/>
  <c r="AD909" i="17"/>
  <c r="AC909" i="17"/>
  <c r="AB909" i="17"/>
  <c r="AA909" i="17"/>
  <c r="Y909" i="17"/>
  <c r="X909" i="17"/>
  <c r="W909" i="17"/>
  <c r="V909" i="17"/>
  <c r="U909" i="17"/>
  <c r="R909" i="17"/>
  <c r="N909" i="17"/>
  <c r="M909" i="17"/>
  <c r="L909" i="17"/>
  <c r="K909" i="17"/>
  <c r="I909" i="17"/>
  <c r="H909" i="17"/>
  <c r="D909" i="17"/>
  <c r="AK908" i="17"/>
  <c r="AJ908" i="17" s="1"/>
  <c r="AF908" i="17"/>
  <c r="AE908" i="17"/>
  <c r="AD908" i="17"/>
  <c r="AC908" i="17"/>
  <c r="AB908" i="17"/>
  <c r="AA908" i="17"/>
  <c r="Y908" i="17"/>
  <c r="X908" i="17"/>
  <c r="W908" i="17"/>
  <c r="V908" i="17"/>
  <c r="U908" i="17"/>
  <c r="R908" i="17"/>
  <c r="M908" i="17"/>
  <c r="L908" i="17"/>
  <c r="K908" i="17"/>
  <c r="I908" i="17"/>
  <c r="H908" i="17"/>
  <c r="D908" i="17"/>
  <c r="N908" i="17" s="1"/>
  <c r="AL907" i="17"/>
  <c r="AK907" i="17"/>
  <c r="AF907" i="17"/>
  <c r="AE907" i="17"/>
  <c r="AD907" i="17"/>
  <c r="AC907" i="17"/>
  <c r="AB907" i="17"/>
  <c r="AA907" i="17"/>
  <c r="Y907" i="17"/>
  <c r="X907" i="17"/>
  <c r="W907" i="17"/>
  <c r="V907" i="17"/>
  <c r="U907" i="17"/>
  <c r="R907" i="17"/>
  <c r="M907" i="17"/>
  <c r="L907" i="17"/>
  <c r="K907" i="17"/>
  <c r="I907" i="17"/>
  <c r="H907" i="17"/>
  <c r="D907" i="17"/>
  <c r="N907" i="17" s="1"/>
  <c r="AL906" i="17"/>
  <c r="AK906" i="17"/>
  <c r="AF906" i="17"/>
  <c r="AE906" i="17"/>
  <c r="AD906" i="17"/>
  <c r="AC906" i="17"/>
  <c r="AB906" i="17"/>
  <c r="AA906" i="17"/>
  <c r="Y906" i="17"/>
  <c r="X906" i="17"/>
  <c r="W906" i="17"/>
  <c r="V906" i="17"/>
  <c r="U906" i="17"/>
  <c r="R906" i="17"/>
  <c r="M906" i="17"/>
  <c r="L906" i="17"/>
  <c r="K906" i="17"/>
  <c r="I906" i="17"/>
  <c r="H906" i="17"/>
  <c r="D906" i="17"/>
  <c r="N906" i="17" s="1"/>
  <c r="AL905" i="17"/>
  <c r="AK905" i="17"/>
  <c r="AF905" i="17"/>
  <c r="AE905" i="17"/>
  <c r="AD905" i="17"/>
  <c r="AC905" i="17"/>
  <c r="AB905" i="17"/>
  <c r="AA905" i="17"/>
  <c r="Y905" i="17"/>
  <c r="X905" i="17"/>
  <c r="W905" i="17"/>
  <c r="V905" i="17"/>
  <c r="U905" i="17"/>
  <c r="R905" i="17"/>
  <c r="M905" i="17"/>
  <c r="L905" i="17"/>
  <c r="K905" i="17"/>
  <c r="I905" i="17"/>
  <c r="H905" i="17"/>
  <c r="D905" i="17"/>
  <c r="N905" i="17" s="1"/>
  <c r="AL904" i="17"/>
  <c r="AK904" i="17"/>
  <c r="AF904" i="17"/>
  <c r="AE904" i="17"/>
  <c r="AD904" i="17"/>
  <c r="AC904" i="17"/>
  <c r="AB904" i="17"/>
  <c r="AA904" i="17"/>
  <c r="Y904" i="17"/>
  <c r="X904" i="17"/>
  <c r="W904" i="17"/>
  <c r="V904" i="17"/>
  <c r="U904" i="17"/>
  <c r="R904" i="17"/>
  <c r="M904" i="17"/>
  <c r="L904" i="17"/>
  <c r="K904" i="17"/>
  <c r="I904" i="17"/>
  <c r="H904" i="17"/>
  <c r="D904" i="17"/>
  <c r="N904" i="17" s="1"/>
  <c r="AK903" i="17"/>
  <c r="AF903" i="17"/>
  <c r="AE903" i="17"/>
  <c r="AD903" i="17"/>
  <c r="AC903" i="17"/>
  <c r="AB903" i="17"/>
  <c r="AA903" i="17"/>
  <c r="Y903" i="17"/>
  <c r="X903" i="17"/>
  <c r="W903" i="17"/>
  <c r="V903" i="17"/>
  <c r="U903" i="17"/>
  <c r="R903" i="17"/>
  <c r="N903" i="17"/>
  <c r="M903" i="17"/>
  <c r="L903" i="17"/>
  <c r="K903" i="17"/>
  <c r="I903" i="17"/>
  <c r="H903" i="17"/>
  <c r="D903" i="17"/>
  <c r="AL902" i="17"/>
  <c r="AK902" i="17"/>
  <c r="AF902" i="17"/>
  <c r="AE902" i="17"/>
  <c r="AD902" i="17"/>
  <c r="AC902" i="17"/>
  <c r="AB902" i="17"/>
  <c r="AA902" i="17"/>
  <c r="Y902" i="17"/>
  <c r="X902" i="17"/>
  <c r="W902" i="17"/>
  <c r="V902" i="17"/>
  <c r="U902" i="17"/>
  <c r="R902" i="17"/>
  <c r="N902" i="17"/>
  <c r="M902" i="17"/>
  <c r="L902" i="17"/>
  <c r="K902" i="17"/>
  <c r="I902" i="17"/>
  <c r="H902" i="17"/>
  <c r="D902" i="17"/>
  <c r="AK901" i="17"/>
  <c r="AF901" i="17"/>
  <c r="AE901" i="17"/>
  <c r="AD901" i="17"/>
  <c r="AC901" i="17"/>
  <c r="AB901" i="17"/>
  <c r="AA901" i="17"/>
  <c r="Y901" i="17"/>
  <c r="X901" i="17"/>
  <c r="W901" i="17"/>
  <c r="V901" i="17"/>
  <c r="U901" i="17"/>
  <c r="R901" i="17"/>
  <c r="N901" i="17"/>
  <c r="M901" i="17"/>
  <c r="L901" i="17"/>
  <c r="K901" i="17"/>
  <c r="I901" i="17"/>
  <c r="H901" i="17"/>
  <c r="D901" i="17"/>
  <c r="AK900" i="17"/>
  <c r="AJ900" i="17" s="1"/>
  <c r="AF900" i="17"/>
  <c r="AE900" i="17"/>
  <c r="AD900" i="17"/>
  <c r="AC900" i="17"/>
  <c r="AB900" i="17"/>
  <c r="AA900" i="17"/>
  <c r="Y900" i="17"/>
  <c r="X900" i="17"/>
  <c r="W900" i="17"/>
  <c r="V900" i="17"/>
  <c r="U900" i="17"/>
  <c r="R900" i="17"/>
  <c r="M900" i="17"/>
  <c r="L900" i="17"/>
  <c r="K900" i="17"/>
  <c r="I900" i="17"/>
  <c r="H900" i="17"/>
  <c r="D900" i="17"/>
  <c r="N900" i="17" s="1"/>
  <c r="AL899" i="17"/>
  <c r="AK899" i="17"/>
  <c r="AF899" i="17"/>
  <c r="AE899" i="17"/>
  <c r="AD899" i="17"/>
  <c r="AC899" i="17"/>
  <c r="AB899" i="17"/>
  <c r="AA899" i="17"/>
  <c r="Y899" i="17"/>
  <c r="X899" i="17"/>
  <c r="W899" i="17"/>
  <c r="V899" i="17"/>
  <c r="U899" i="17"/>
  <c r="R899" i="17"/>
  <c r="M899" i="17"/>
  <c r="L899" i="17"/>
  <c r="K899" i="17"/>
  <c r="I899" i="17"/>
  <c r="H899" i="17"/>
  <c r="D899" i="17"/>
  <c r="N899" i="17" s="1"/>
  <c r="AL898" i="17"/>
  <c r="AK898" i="17"/>
  <c r="AF898" i="17"/>
  <c r="AE898" i="17"/>
  <c r="AD898" i="17"/>
  <c r="AC898" i="17"/>
  <c r="AB898" i="17"/>
  <c r="AA898" i="17"/>
  <c r="Y898" i="17"/>
  <c r="X898" i="17"/>
  <c r="W898" i="17"/>
  <c r="V898" i="17"/>
  <c r="U898" i="17"/>
  <c r="S898" i="17"/>
  <c r="T898" i="17" s="1"/>
  <c r="R898" i="17"/>
  <c r="M898" i="17"/>
  <c r="L898" i="17"/>
  <c r="K898" i="17"/>
  <c r="I898" i="17"/>
  <c r="H898" i="17"/>
  <c r="D898" i="17"/>
  <c r="N898" i="17" s="1"/>
  <c r="AL897" i="17"/>
  <c r="AK897" i="17"/>
  <c r="AF897" i="17"/>
  <c r="AE897" i="17"/>
  <c r="AD897" i="17"/>
  <c r="AC897" i="17"/>
  <c r="AB897" i="17"/>
  <c r="AA897" i="17"/>
  <c r="Y897" i="17"/>
  <c r="X897" i="17"/>
  <c r="W897" i="17"/>
  <c r="V897" i="17"/>
  <c r="U897" i="17"/>
  <c r="R897" i="17"/>
  <c r="M897" i="17"/>
  <c r="L897" i="17"/>
  <c r="K897" i="17"/>
  <c r="I897" i="17"/>
  <c r="H897" i="17"/>
  <c r="D897" i="17"/>
  <c r="N897" i="17" s="1"/>
  <c r="AL896" i="17"/>
  <c r="AK896" i="17"/>
  <c r="AF896" i="17"/>
  <c r="AE896" i="17"/>
  <c r="AD896" i="17"/>
  <c r="AC896" i="17"/>
  <c r="AB896" i="17"/>
  <c r="AA896" i="17"/>
  <c r="Y896" i="17"/>
  <c r="X896" i="17"/>
  <c r="W896" i="17"/>
  <c r="V896" i="17"/>
  <c r="U896" i="17"/>
  <c r="R896" i="17"/>
  <c r="M896" i="17"/>
  <c r="L896" i="17"/>
  <c r="K896" i="17"/>
  <c r="I896" i="17"/>
  <c r="H896" i="17"/>
  <c r="D896" i="17"/>
  <c r="N896" i="17" s="1"/>
  <c r="AK895" i="17"/>
  <c r="AF895" i="17"/>
  <c r="AE895" i="17"/>
  <c r="AD895" i="17"/>
  <c r="AC895" i="17"/>
  <c r="AB895" i="17"/>
  <c r="AA895" i="17"/>
  <c r="Y895" i="17"/>
  <c r="X895" i="17"/>
  <c r="W895" i="17"/>
  <c r="V895" i="17"/>
  <c r="U895" i="17"/>
  <c r="R895" i="17"/>
  <c r="N895" i="17"/>
  <c r="M895" i="17"/>
  <c r="L895" i="17"/>
  <c r="K895" i="17"/>
  <c r="I895" i="17"/>
  <c r="H895" i="17"/>
  <c r="D895" i="17"/>
  <c r="AL894" i="17"/>
  <c r="AK894" i="17"/>
  <c r="AF894" i="17"/>
  <c r="AE894" i="17"/>
  <c r="AD894" i="17"/>
  <c r="AC894" i="17"/>
  <c r="AB894" i="17"/>
  <c r="AA894" i="17"/>
  <c r="Y894" i="17"/>
  <c r="X894" i="17"/>
  <c r="W894" i="17"/>
  <c r="V894" i="17"/>
  <c r="U894" i="17"/>
  <c r="R894" i="17"/>
  <c r="N894" i="17"/>
  <c r="M894" i="17"/>
  <c r="L894" i="17"/>
  <c r="K894" i="17"/>
  <c r="I894" i="17"/>
  <c r="H894" i="17"/>
  <c r="S894" i="17" s="1"/>
  <c r="T894" i="17" s="1"/>
  <c r="D894" i="17"/>
  <c r="AK893" i="17"/>
  <c r="AF893" i="17"/>
  <c r="AE893" i="17"/>
  <c r="AD893" i="17"/>
  <c r="AC893" i="17"/>
  <c r="AB893" i="17"/>
  <c r="AA893" i="17"/>
  <c r="Y893" i="17"/>
  <c r="X893" i="17"/>
  <c r="W893" i="17"/>
  <c r="V893" i="17"/>
  <c r="U893" i="17"/>
  <c r="R893" i="17"/>
  <c r="N893" i="17"/>
  <c r="M893" i="17"/>
  <c r="L893" i="17"/>
  <c r="K893" i="17"/>
  <c r="I893" i="17"/>
  <c r="H893" i="17"/>
  <c r="D893" i="17"/>
  <c r="AK892" i="17"/>
  <c r="AJ892" i="17" s="1"/>
  <c r="AF892" i="17"/>
  <c r="AE892" i="17"/>
  <c r="AD892" i="17"/>
  <c r="AC892" i="17"/>
  <c r="AB892" i="17"/>
  <c r="AA892" i="17"/>
  <c r="Y892" i="17"/>
  <c r="X892" i="17"/>
  <c r="W892" i="17"/>
  <c r="V892" i="17"/>
  <c r="U892" i="17"/>
  <c r="R892" i="17"/>
  <c r="M892" i="17"/>
  <c r="L892" i="17"/>
  <c r="K892" i="17"/>
  <c r="I892" i="17"/>
  <c r="H892" i="17"/>
  <c r="D892" i="17"/>
  <c r="N892" i="17" s="1"/>
  <c r="AL891" i="17"/>
  <c r="AK891" i="17"/>
  <c r="AF891" i="17"/>
  <c r="AE891" i="17"/>
  <c r="AD891" i="17"/>
  <c r="AC891" i="17"/>
  <c r="AB891" i="17"/>
  <c r="AA891" i="17"/>
  <c r="Y891" i="17"/>
  <c r="X891" i="17"/>
  <c r="W891" i="17"/>
  <c r="V891" i="17"/>
  <c r="U891" i="17"/>
  <c r="R891" i="17"/>
  <c r="M891" i="17"/>
  <c r="L891" i="17"/>
  <c r="K891" i="17"/>
  <c r="I891" i="17"/>
  <c r="H891" i="17"/>
  <c r="D891" i="17"/>
  <c r="N891" i="17" s="1"/>
  <c r="AL890" i="17"/>
  <c r="AK890" i="17"/>
  <c r="AF890" i="17"/>
  <c r="AE890" i="17"/>
  <c r="AD890" i="17"/>
  <c r="AC890" i="17"/>
  <c r="AB890" i="17"/>
  <c r="AA890" i="17"/>
  <c r="Y890" i="17"/>
  <c r="X890" i="17"/>
  <c r="W890" i="17"/>
  <c r="V890" i="17"/>
  <c r="U890" i="17"/>
  <c r="R890" i="17"/>
  <c r="M890" i="17"/>
  <c r="L890" i="17"/>
  <c r="K890" i="17"/>
  <c r="I890" i="17"/>
  <c r="H890" i="17"/>
  <c r="D890" i="17"/>
  <c r="N890" i="17" s="1"/>
  <c r="AL889" i="17"/>
  <c r="AK889" i="17"/>
  <c r="AF889" i="17"/>
  <c r="AE889" i="17"/>
  <c r="AD889" i="17"/>
  <c r="AC889" i="17"/>
  <c r="AB889" i="17"/>
  <c r="AA889" i="17"/>
  <c r="Y889" i="17"/>
  <c r="X889" i="17"/>
  <c r="W889" i="17"/>
  <c r="V889" i="17"/>
  <c r="U889" i="17"/>
  <c r="R889" i="17"/>
  <c r="M889" i="17"/>
  <c r="L889" i="17"/>
  <c r="K889" i="17"/>
  <c r="I889" i="17"/>
  <c r="H889" i="17"/>
  <c r="D889" i="17"/>
  <c r="N889" i="17" s="1"/>
  <c r="AL888" i="17"/>
  <c r="AK888" i="17"/>
  <c r="AF888" i="17"/>
  <c r="AE888" i="17"/>
  <c r="AD888" i="17"/>
  <c r="AC888" i="17"/>
  <c r="AB888" i="17"/>
  <c r="AA888" i="17"/>
  <c r="Y888" i="17"/>
  <c r="X888" i="17"/>
  <c r="W888" i="17"/>
  <c r="V888" i="17"/>
  <c r="U888" i="17"/>
  <c r="R888" i="17"/>
  <c r="N888" i="17"/>
  <c r="M888" i="17"/>
  <c r="L888" i="17"/>
  <c r="K888" i="17"/>
  <c r="I888" i="17"/>
  <c r="H888" i="17"/>
  <c r="D888" i="17"/>
  <c r="AK887" i="17"/>
  <c r="AF887" i="17"/>
  <c r="AE887" i="17"/>
  <c r="AD887" i="17"/>
  <c r="AC887" i="17"/>
  <c r="AB887" i="17"/>
  <c r="AA887" i="17"/>
  <c r="Y887" i="17"/>
  <c r="X887" i="17"/>
  <c r="W887" i="17"/>
  <c r="V887" i="17"/>
  <c r="U887" i="17"/>
  <c r="R887" i="17"/>
  <c r="N887" i="17"/>
  <c r="M887" i="17"/>
  <c r="L887" i="17"/>
  <c r="K887" i="17"/>
  <c r="I887" i="17"/>
  <c r="H887" i="17"/>
  <c r="D887" i="17"/>
  <c r="AL886" i="17"/>
  <c r="AK886" i="17"/>
  <c r="AF886" i="17"/>
  <c r="AE886" i="17"/>
  <c r="AD886" i="17"/>
  <c r="AC886" i="17"/>
  <c r="AB886" i="17"/>
  <c r="AA886" i="17"/>
  <c r="Y886" i="17"/>
  <c r="X886" i="17"/>
  <c r="W886" i="17"/>
  <c r="V886" i="17"/>
  <c r="U886" i="17"/>
  <c r="R886" i="17"/>
  <c r="N886" i="17"/>
  <c r="M886" i="17"/>
  <c r="L886" i="17"/>
  <c r="K886" i="17"/>
  <c r="I886" i="17"/>
  <c r="H886" i="17"/>
  <c r="D886" i="17"/>
  <c r="AK885" i="17"/>
  <c r="AF885" i="17"/>
  <c r="AE885" i="17"/>
  <c r="AD885" i="17"/>
  <c r="AC885" i="17"/>
  <c r="AB885" i="17"/>
  <c r="AA885" i="17"/>
  <c r="Z885" i="17"/>
  <c r="Y885" i="17"/>
  <c r="X885" i="17"/>
  <c r="W885" i="17"/>
  <c r="V885" i="17"/>
  <c r="U885" i="17"/>
  <c r="R885" i="17"/>
  <c r="M885" i="17"/>
  <c r="L885" i="17"/>
  <c r="K885" i="17"/>
  <c r="I885" i="17"/>
  <c r="H885" i="17"/>
  <c r="D885" i="17"/>
  <c r="AL884" i="17"/>
  <c r="AK884" i="17"/>
  <c r="AJ884" i="17"/>
  <c r="AF884" i="17"/>
  <c r="AE884" i="17"/>
  <c r="AD884" i="17"/>
  <c r="AC884" i="17"/>
  <c r="AB884" i="17"/>
  <c r="AA884" i="17"/>
  <c r="Y884" i="17"/>
  <c r="X884" i="17"/>
  <c r="W884" i="17"/>
  <c r="V884" i="17"/>
  <c r="U884" i="17"/>
  <c r="R884" i="17"/>
  <c r="M884" i="17"/>
  <c r="L884" i="17"/>
  <c r="K884" i="17"/>
  <c r="I884" i="17"/>
  <c r="H884" i="17"/>
  <c r="D884" i="17"/>
  <c r="AL883" i="17"/>
  <c r="AK883" i="17"/>
  <c r="AJ883" i="17"/>
  <c r="AF883" i="17"/>
  <c r="AE883" i="17"/>
  <c r="AD883" i="17"/>
  <c r="AC883" i="17"/>
  <c r="AB883" i="17"/>
  <c r="AA883" i="17"/>
  <c r="Y883" i="17"/>
  <c r="X883" i="17"/>
  <c r="W883" i="17"/>
  <c r="V883" i="17"/>
  <c r="U883" i="17"/>
  <c r="R883" i="17"/>
  <c r="M883" i="17"/>
  <c r="L883" i="17"/>
  <c r="K883" i="17"/>
  <c r="I883" i="17"/>
  <c r="H883" i="17"/>
  <c r="D883" i="17"/>
  <c r="AL882" i="17"/>
  <c r="AK882" i="17"/>
  <c r="AJ882" i="17"/>
  <c r="AF882" i="17"/>
  <c r="AE882" i="17"/>
  <c r="AD882" i="17"/>
  <c r="AC882" i="17"/>
  <c r="AB882" i="17"/>
  <c r="AA882" i="17"/>
  <c r="Y882" i="17"/>
  <c r="X882" i="17"/>
  <c r="W882" i="17"/>
  <c r="V882" i="17"/>
  <c r="U882" i="17"/>
  <c r="R882" i="17"/>
  <c r="M882" i="17"/>
  <c r="L882" i="17"/>
  <c r="K882" i="17"/>
  <c r="I882" i="17"/>
  <c r="H882" i="17"/>
  <c r="D882" i="17"/>
  <c r="AL881" i="17"/>
  <c r="AK881" i="17"/>
  <c r="AJ881" i="17"/>
  <c r="AF881" i="17"/>
  <c r="AE881" i="17"/>
  <c r="AD881" i="17"/>
  <c r="AC881" i="17"/>
  <c r="AB881" i="17"/>
  <c r="AA881" i="17"/>
  <c r="Y881" i="17"/>
  <c r="X881" i="17"/>
  <c r="W881" i="17"/>
  <c r="V881" i="17"/>
  <c r="U881" i="17"/>
  <c r="R881" i="17"/>
  <c r="M881" i="17"/>
  <c r="L881" i="17"/>
  <c r="K881" i="17"/>
  <c r="I881" i="17"/>
  <c r="H881" i="17"/>
  <c r="S881" i="17" s="1"/>
  <c r="T881" i="17" s="1"/>
  <c r="D881" i="17"/>
  <c r="N881" i="17" s="1"/>
  <c r="AL880" i="17"/>
  <c r="AK880" i="17"/>
  <c r="AJ880" i="17"/>
  <c r="AF880" i="17"/>
  <c r="AE880" i="17"/>
  <c r="AD880" i="17"/>
  <c r="AC880" i="17"/>
  <c r="AB880" i="17"/>
  <c r="AA880" i="17"/>
  <c r="Y880" i="17"/>
  <c r="X880" i="17"/>
  <c r="W880" i="17"/>
  <c r="V880" i="17"/>
  <c r="U880" i="17"/>
  <c r="R880" i="17"/>
  <c r="M880" i="17"/>
  <c r="L880" i="17"/>
  <c r="K880" i="17"/>
  <c r="I880" i="17"/>
  <c r="H880" i="17"/>
  <c r="D880" i="17"/>
  <c r="N880" i="17" s="1"/>
  <c r="AL879" i="17"/>
  <c r="AK879" i="17"/>
  <c r="AJ879" i="17"/>
  <c r="AF879" i="17"/>
  <c r="AE879" i="17"/>
  <c r="AD879" i="17"/>
  <c r="AC879" i="17"/>
  <c r="AB879" i="17"/>
  <c r="AA879" i="17"/>
  <c r="Y879" i="17"/>
  <c r="X879" i="17"/>
  <c r="W879" i="17"/>
  <c r="V879" i="17"/>
  <c r="U879" i="17"/>
  <c r="R879" i="17"/>
  <c r="M879" i="17"/>
  <c r="L879" i="17"/>
  <c r="K879" i="17"/>
  <c r="I879" i="17"/>
  <c r="H879" i="17"/>
  <c r="D879" i="17"/>
  <c r="N879" i="17" s="1"/>
  <c r="AL878" i="17"/>
  <c r="AK878" i="17"/>
  <c r="AJ878" i="17"/>
  <c r="AF878" i="17"/>
  <c r="AE878" i="17"/>
  <c r="AD878" i="17"/>
  <c r="AC878" i="17"/>
  <c r="AB878" i="17"/>
  <c r="AA878" i="17"/>
  <c r="Y878" i="17"/>
  <c r="X878" i="17"/>
  <c r="W878" i="17"/>
  <c r="V878" i="17"/>
  <c r="U878" i="17"/>
  <c r="R878" i="17"/>
  <c r="M878" i="17"/>
  <c r="L878" i="17"/>
  <c r="K878" i="17"/>
  <c r="I878" i="17"/>
  <c r="H878" i="17"/>
  <c r="D878" i="17"/>
  <c r="AL877" i="17"/>
  <c r="AK877" i="17"/>
  <c r="AJ877" i="17"/>
  <c r="AF877" i="17"/>
  <c r="AE877" i="17"/>
  <c r="AD877" i="17"/>
  <c r="AC877" i="17"/>
  <c r="AB877" i="17"/>
  <c r="AA877" i="17"/>
  <c r="Y877" i="17"/>
  <c r="X877" i="17"/>
  <c r="W877" i="17"/>
  <c r="V877" i="17"/>
  <c r="U877" i="17"/>
  <c r="R877" i="17"/>
  <c r="M877" i="17"/>
  <c r="L877" i="17"/>
  <c r="K877" i="17"/>
  <c r="I877" i="17"/>
  <c r="H877" i="17"/>
  <c r="D877" i="17"/>
  <c r="AL876" i="17"/>
  <c r="AK876" i="17"/>
  <c r="AJ876" i="17"/>
  <c r="AF876" i="17"/>
  <c r="AE876" i="17"/>
  <c r="AD876" i="17"/>
  <c r="AC876" i="17"/>
  <c r="AB876" i="17"/>
  <c r="AA876" i="17"/>
  <c r="Y876" i="17"/>
  <c r="X876" i="17"/>
  <c r="W876" i="17"/>
  <c r="V876" i="17"/>
  <c r="U876" i="17"/>
  <c r="R876" i="17"/>
  <c r="M876" i="17"/>
  <c r="L876" i="17"/>
  <c r="K876" i="17"/>
  <c r="I876" i="17"/>
  <c r="H876" i="17"/>
  <c r="D876" i="17"/>
  <c r="AL875" i="17"/>
  <c r="AK875" i="17"/>
  <c r="AJ875" i="17"/>
  <c r="AF875" i="17"/>
  <c r="AE875" i="17"/>
  <c r="AD875" i="17"/>
  <c r="AC875" i="17"/>
  <c r="AB875" i="17"/>
  <c r="AA875" i="17"/>
  <c r="Y875" i="17"/>
  <c r="X875" i="17"/>
  <c r="W875" i="17"/>
  <c r="V875" i="17"/>
  <c r="U875" i="17"/>
  <c r="R875" i="17"/>
  <c r="M875" i="17"/>
  <c r="L875" i="17"/>
  <c r="K875" i="17"/>
  <c r="I875" i="17"/>
  <c r="H875" i="17"/>
  <c r="D875" i="17"/>
  <c r="AL874" i="17"/>
  <c r="AK874" i="17"/>
  <c r="AJ874" i="17"/>
  <c r="AF874" i="17"/>
  <c r="AE874" i="17"/>
  <c r="AD874" i="17"/>
  <c r="AC874" i="17"/>
  <c r="AB874" i="17"/>
  <c r="AA874" i="17"/>
  <c r="Y874" i="17"/>
  <c r="X874" i="17"/>
  <c r="W874" i="17"/>
  <c r="V874" i="17"/>
  <c r="U874" i="17"/>
  <c r="R874" i="17"/>
  <c r="M874" i="17"/>
  <c r="L874" i="17"/>
  <c r="K874" i="17"/>
  <c r="I874" i="17"/>
  <c r="H874" i="17"/>
  <c r="D874" i="17"/>
  <c r="N874" i="17" s="1"/>
  <c r="AL873" i="17"/>
  <c r="AK873" i="17"/>
  <c r="AJ873" i="17"/>
  <c r="AF873" i="17"/>
  <c r="AE873" i="17"/>
  <c r="AD873" i="17"/>
  <c r="AC873" i="17"/>
  <c r="AB873" i="17"/>
  <c r="AA873" i="17"/>
  <c r="Y873" i="17"/>
  <c r="X873" i="17"/>
  <c r="W873" i="17"/>
  <c r="V873" i="17"/>
  <c r="U873" i="17"/>
  <c r="R873" i="17"/>
  <c r="M873" i="17"/>
  <c r="L873" i="17"/>
  <c r="K873" i="17"/>
  <c r="I873" i="17"/>
  <c r="H873" i="17"/>
  <c r="D873" i="17"/>
  <c r="N873" i="17" s="1"/>
  <c r="AL872" i="17"/>
  <c r="AK872" i="17"/>
  <c r="AJ872" i="17"/>
  <c r="AF872" i="17"/>
  <c r="AE872" i="17"/>
  <c r="AD872" i="17"/>
  <c r="AC872" i="17"/>
  <c r="AB872" i="17"/>
  <c r="AA872" i="17"/>
  <c r="Y872" i="17"/>
  <c r="X872" i="17"/>
  <c r="W872" i="17"/>
  <c r="V872" i="17"/>
  <c r="U872" i="17"/>
  <c r="R872" i="17"/>
  <c r="M872" i="17"/>
  <c r="L872" i="17"/>
  <c r="K872" i="17"/>
  <c r="I872" i="17"/>
  <c r="H872" i="17"/>
  <c r="D872" i="17"/>
  <c r="N872" i="17" s="1"/>
  <c r="AL871" i="17"/>
  <c r="AK871" i="17"/>
  <c r="AJ871" i="17"/>
  <c r="AF871" i="17"/>
  <c r="AE871" i="17"/>
  <c r="AD871" i="17"/>
  <c r="AC871" i="17"/>
  <c r="AB871" i="17"/>
  <c r="AA871" i="17"/>
  <c r="Y871" i="17"/>
  <c r="X871" i="17"/>
  <c r="W871" i="17"/>
  <c r="V871" i="17"/>
  <c r="U871" i="17"/>
  <c r="R871" i="17"/>
  <c r="M871" i="17"/>
  <c r="L871" i="17"/>
  <c r="K871" i="17"/>
  <c r="I871" i="17"/>
  <c r="H871" i="17"/>
  <c r="D871" i="17"/>
  <c r="N871" i="17" s="1"/>
  <c r="AL870" i="17"/>
  <c r="AK870" i="17"/>
  <c r="AJ870" i="17"/>
  <c r="AF870" i="17"/>
  <c r="AE870" i="17"/>
  <c r="AD870" i="17"/>
  <c r="AC870" i="17"/>
  <c r="AB870" i="17"/>
  <c r="AA870" i="17"/>
  <c r="Y870" i="17"/>
  <c r="X870" i="17"/>
  <c r="W870" i="17"/>
  <c r="V870" i="17"/>
  <c r="U870" i="17"/>
  <c r="R870" i="17"/>
  <c r="M870" i="17"/>
  <c r="L870" i="17"/>
  <c r="K870" i="17"/>
  <c r="I870" i="17"/>
  <c r="H870" i="17"/>
  <c r="D870" i="17"/>
  <c r="AL869" i="17"/>
  <c r="AK869" i="17"/>
  <c r="AJ869" i="17"/>
  <c r="AF869" i="17"/>
  <c r="AE869" i="17"/>
  <c r="AD869" i="17"/>
  <c r="AC869" i="17"/>
  <c r="AB869" i="17"/>
  <c r="AA869" i="17"/>
  <c r="Y869" i="17"/>
  <c r="X869" i="17"/>
  <c r="W869" i="17"/>
  <c r="V869" i="17"/>
  <c r="U869" i="17"/>
  <c r="R869" i="17"/>
  <c r="M869" i="17"/>
  <c r="L869" i="17"/>
  <c r="K869" i="17"/>
  <c r="I869" i="17"/>
  <c r="H869" i="17"/>
  <c r="D869" i="17"/>
  <c r="AL868" i="17"/>
  <c r="AK868" i="17"/>
  <c r="AJ868" i="17"/>
  <c r="AF868" i="17"/>
  <c r="AE868" i="17"/>
  <c r="AD868" i="17"/>
  <c r="AC868" i="17"/>
  <c r="AB868" i="17"/>
  <c r="AA868" i="17"/>
  <c r="Y868" i="17"/>
  <c r="X868" i="17"/>
  <c r="W868" i="17"/>
  <c r="V868" i="17"/>
  <c r="U868" i="17"/>
  <c r="R868" i="17"/>
  <c r="M868" i="17"/>
  <c r="L868" i="17"/>
  <c r="K868" i="17"/>
  <c r="I868" i="17"/>
  <c r="H868" i="17"/>
  <c r="D868" i="17"/>
  <c r="AL867" i="17"/>
  <c r="AK867" i="17"/>
  <c r="AJ867" i="17"/>
  <c r="AF867" i="17"/>
  <c r="AE867" i="17"/>
  <c r="AD867" i="17"/>
  <c r="AC867" i="17"/>
  <c r="AB867" i="17"/>
  <c r="AA867" i="17"/>
  <c r="Y867" i="17"/>
  <c r="X867" i="17"/>
  <c r="W867" i="17"/>
  <c r="V867" i="17"/>
  <c r="U867" i="17"/>
  <c r="R867" i="17"/>
  <c r="M867" i="17"/>
  <c r="L867" i="17"/>
  <c r="K867" i="17"/>
  <c r="I867" i="17"/>
  <c r="H867" i="17"/>
  <c r="D867" i="17"/>
  <c r="AL866" i="17"/>
  <c r="AK866" i="17"/>
  <c r="AJ866" i="17"/>
  <c r="AF866" i="17"/>
  <c r="AE866" i="17"/>
  <c r="AD866" i="17"/>
  <c r="AC866" i="17"/>
  <c r="AB866" i="17"/>
  <c r="AA866" i="17"/>
  <c r="Y866" i="17"/>
  <c r="X866" i="17"/>
  <c r="W866" i="17"/>
  <c r="V866" i="17"/>
  <c r="U866" i="17"/>
  <c r="R866" i="17"/>
  <c r="M866" i="17"/>
  <c r="L866" i="17"/>
  <c r="K866" i="17"/>
  <c r="I866" i="17"/>
  <c r="H866" i="17"/>
  <c r="D866" i="17"/>
  <c r="AL865" i="17"/>
  <c r="AK865" i="17"/>
  <c r="AJ865" i="17"/>
  <c r="AF865" i="17"/>
  <c r="AE865" i="17"/>
  <c r="AD865" i="17"/>
  <c r="AC865" i="17"/>
  <c r="AB865" i="17"/>
  <c r="AA865" i="17"/>
  <c r="Y865" i="17"/>
  <c r="X865" i="17"/>
  <c r="W865" i="17"/>
  <c r="V865" i="17"/>
  <c r="U865" i="17"/>
  <c r="R865" i="17"/>
  <c r="M865" i="17"/>
  <c r="L865" i="17"/>
  <c r="K865" i="17"/>
  <c r="I865" i="17"/>
  <c r="H865" i="17"/>
  <c r="D865" i="17"/>
  <c r="N865" i="17" s="1"/>
  <c r="AL864" i="17"/>
  <c r="AK864" i="17"/>
  <c r="AJ864" i="17"/>
  <c r="AF864" i="17"/>
  <c r="AE864" i="17"/>
  <c r="AD864" i="17"/>
  <c r="AC864" i="17"/>
  <c r="AB864" i="17"/>
  <c r="AA864" i="17"/>
  <c r="Y864" i="17"/>
  <c r="X864" i="17"/>
  <c r="W864" i="17"/>
  <c r="V864" i="17"/>
  <c r="U864" i="17"/>
  <c r="R864" i="17"/>
  <c r="M864" i="17"/>
  <c r="L864" i="17"/>
  <c r="K864" i="17"/>
  <c r="I864" i="17"/>
  <c r="H864" i="17"/>
  <c r="D864" i="17"/>
  <c r="N864" i="17" s="1"/>
  <c r="AL863" i="17"/>
  <c r="AK863" i="17"/>
  <c r="AJ863" i="17"/>
  <c r="AF863" i="17"/>
  <c r="AE863" i="17"/>
  <c r="AD863" i="17"/>
  <c r="AC863" i="17"/>
  <c r="AB863" i="17"/>
  <c r="AA863" i="17"/>
  <c r="Y863" i="17"/>
  <c r="X863" i="17"/>
  <c r="W863" i="17"/>
  <c r="V863" i="17"/>
  <c r="U863" i="17"/>
  <c r="R863" i="17"/>
  <c r="M863" i="17"/>
  <c r="L863" i="17"/>
  <c r="K863" i="17"/>
  <c r="I863" i="17"/>
  <c r="H863" i="17"/>
  <c r="D863" i="17"/>
  <c r="N863" i="17" s="1"/>
  <c r="AL862" i="17"/>
  <c r="AK862" i="17"/>
  <c r="AJ862" i="17"/>
  <c r="AF862" i="17"/>
  <c r="AE862" i="17"/>
  <c r="AD862" i="17"/>
  <c r="AC862" i="17"/>
  <c r="AB862" i="17"/>
  <c r="AA862" i="17"/>
  <c r="Y862" i="17"/>
  <c r="X862" i="17"/>
  <c r="W862" i="17"/>
  <c r="V862" i="17"/>
  <c r="U862" i="17"/>
  <c r="R862" i="17"/>
  <c r="S863" i="17" s="1"/>
  <c r="T863" i="17" s="1"/>
  <c r="M862" i="17"/>
  <c r="L862" i="17"/>
  <c r="K862" i="17"/>
  <c r="I862" i="17"/>
  <c r="H862" i="17"/>
  <c r="D862" i="17"/>
  <c r="AL861" i="17"/>
  <c r="AK861" i="17"/>
  <c r="AJ861" i="17"/>
  <c r="AF861" i="17"/>
  <c r="AE861" i="17"/>
  <c r="AD861" i="17"/>
  <c r="AC861" i="17"/>
  <c r="AB861" i="17"/>
  <c r="AA861" i="17"/>
  <c r="Y861" i="17"/>
  <c r="X861" i="17"/>
  <c r="W861" i="17"/>
  <c r="V861" i="17"/>
  <c r="U861" i="17"/>
  <c r="R861" i="17"/>
  <c r="M861" i="17"/>
  <c r="L861" i="17"/>
  <c r="K861" i="17"/>
  <c r="I861" i="17"/>
  <c r="H861" i="17"/>
  <c r="D861" i="17"/>
  <c r="AL860" i="17"/>
  <c r="AK860" i="17"/>
  <c r="AJ860" i="17"/>
  <c r="AF860" i="17"/>
  <c r="AE860" i="17"/>
  <c r="AD860" i="17"/>
  <c r="AC860" i="17"/>
  <c r="AB860" i="17"/>
  <c r="AA860" i="17"/>
  <c r="Y860" i="17"/>
  <c r="X860" i="17"/>
  <c r="W860" i="17"/>
  <c r="V860" i="17"/>
  <c r="U860" i="17"/>
  <c r="R860" i="17"/>
  <c r="M860" i="17"/>
  <c r="L860" i="17"/>
  <c r="K860" i="17"/>
  <c r="I860" i="17"/>
  <c r="H860" i="17"/>
  <c r="D860" i="17"/>
  <c r="AL859" i="17"/>
  <c r="AK859" i="17"/>
  <c r="AJ859" i="17"/>
  <c r="AF859" i="17"/>
  <c r="AE859" i="17"/>
  <c r="AD859" i="17"/>
  <c r="AC859" i="17"/>
  <c r="AB859" i="17"/>
  <c r="AA859" i="17"/>
  <c r="Y859" i="17"/>
  <c r="X859" i="17"/>
  <c r="W859" i="17"/>
  <c r="V859" i="17"/>
  <c r="U859" i="17"/>
  <c r="R859" i="17"/>
  <c r="M859" i="17"/>
  <c r="L859" i="17"/>
  <c r="K859" i="17"/>
  <c r="I859" i="17"/>
  <c r="H859" i="17"/>
  <c r="D859" i="17"/>
  <c r="AL858" i="17"/>
  <c r="AK858" i="17"/>
  <c r="AJ858" i="17"/>
  <c r="AF858" i="17"/>
  <c r="AE858" i="17"/>
  <c r="AD858" i="17"/>
  <c r="AC858" i="17"/>
  <c r="AB858" i="17"/>
  <c r="AA858" i="17"/>
  <c r="Y858" i="17"/>
  <c r="X858" i="17"/>
  <c r="W858" i="17"/>
  <c r="V858" i="17"/>
  <c r="U858" i="17"/>
  <c r="R858" i="17"/>
  <c r="M858" i="17"/>
  <c r="L858" i="17"/>
  <c r="K858" i="17"/>
  <c r="I858" i="17"/>
  <c r="H858" i="17"/>
  <c r="D858" i="17"/>
  <c r="N858" i="17" s="1"/>
  <c r="AL857" i="17"/>
  <c r="AK857" i="17"/>
  <c r="AJ857" i="17"/>
  <c r="AF857" i="17"/>
  <c r="AE857" i="17"/>
  <c r="AD857" i="17"/>
  <c r="AC857" i="17"/>
  <c r="AB857" i="17"/>
  <c r="AA857" i="17"/>
  <c r="Y857" i="17"/>
  <c r="X857" i="17"/>
  <c r="W857" i="17"/>
  <c r="V857" i="17"/>
  <c r="U857" i="17"/>
  <c r="R857" i="17"/>
  <c r="M857" i="17"/>
  <c r="L857" i="17"/>
  <c r="K857" i="17"/>
  <c r="I857" i="17"/>
  <c r="H857" i="17"/>
  <c r="D857" i="17"/>
  <c r="N857" i="17" s="1"/>
  <c r="AL856" i="17"/>
  <c r="AK856" i="17"/>
  <c r="AJ856" i="17"/>
  <c r="AF856" i="17"/>
  <c r="AE856" i="17"/>
  <c r="AD856" i="17"/>
  <c r="AC856" i="17"/>
  <c r="AB856" i="17"/>
  <c r="AA856" i="17"/>
  <c r="Y856" i="17"/>
  <c r="X856" i="17"/>
  <c r="W856" i="17"/>
  <c r="V856" i="17"/>
  <c r="U856" i="17"/>
  <c r="R856" i="17"/>
  <c r="M856" i="17"/>
  <c r="L856" i="17"/>
  <c r="K856" i="17"/>
  <c r="I856" i="17"/>
  <c r="H856" i="17"/>
  <c r="D856" i="17"/>
  <c r="N856" i="17" s="1"/>
  <c r="AL855" i="17"/>
  <c r="AK855" i="17"/>
  <c r="AJ855" i="17"/>
  <c r="AF855" i="17"/>
  <c r="AE855" i="17"/>
  <c r="AD855" i="17"/>
  <c r="AC855" i="17"/>
  <c r="AB855" i="17"/>
  <c r="AA855" i="17"/>
  <c r="Y855" i="17"/>
  <c r="X855" i="17"/>
  <c r="W855" i="17"/>
  <c r="V855" i="17"/>
  <c r="U855" i="17"/>
  <c r="R855" i="17"/>
  <c r="M855" i="17"/>
  <c r="L855" i="17"/>
  <c r="K855" i="17"/>
  <c r="I855" i="17"/>
  <c r="H855" i="17"/>
  <c r="D855" i="17"/>
  <c r="N855" i="17" s="1"/>
  <c r="AL854" i="17"/>
  <c r="AK854" i="17"/>
  <c r="AJ854" i="17"/>
  <c r="AF854" i="17"/>
  <c r="AE854" i="17"/>
  <c r="AD854" i="17"/>
  <c r="AC854" i="17"/>
  <c r="AB854" i="17"/>
  <c r="AA854" i="17"/>
  <c r="Y854" i="17"/>
  <c r="X854" i="17"/>
  <c r="W854" i="17"/>
  <c r="V854" i="17"/>
  <c r="U854" i="17"/>
  <c r="R854" i="17"/>
  <c r="M854" i="17"/>
  <c r="L854" i="17"/>
  <c r="K854" i="17"/>
  <c r="I854" i="17"/>
  <c r="H854" i="17"/>
  <c r="D854" i="17"/>
  <c r="AL853" i="17"/>
  <c r="AK853" i="17"/>
  <c r="AJ853" i="17"/>
  <c r="AF853" i="17"/>
  <c r="AE853" i="17"/>
  <c r="AD853" i="17"/>
  <c r="AC853" i="17"/>
  <c r="AB853" i="17"/>
  <c r="AA853" i="17"/>
  <c r="Y853" i="17"/>
  <c r="X853" i="17"/>
  <c r="W853" i="17"/>
  <c r="V853" i="17"/>
  <c r="U853" i="17"/>
  <c r="R853" i="17"/>
  <c r="M853" i="17"/>
  <c r="L853" i="17"/>
  <c r="K853" i="17"/>
  <c r="I853" i="17"/>
  <c r="H853" i="17"/>
  <c r="D853" i="17"/>
  <c r="AL852" i="17"/>
  <c r="AK852" i="17"/>
  <c r="AJ852" i="17"/>
  <c r="AF852" i="17"/>
  <c r="AE852" i="17"/>
  <c r="AD852" i="17"/>
  <c r="AC852" i="17"/>
  <c r="AB852" i="17"/>
  <c r="AA852" i="17"/>
  <c r="Y852" i="17"/>
  <c r="X852" i="17"/>
  <c r="W852" i="17"/>
  <c r="V852" i="17"/>
  <c r="U852" i="17"/>
  <c r="R852" i="17"/>
  <c r="M852" i="17"/>
  <c r="L852" i="17"/>
  <c r="K852" i="17"/>
  <c r="I852" i="17"/>
  <c r="H852" i="17"/>
  <c r="S852" i="17" s="1"/>
  <c r="T852" i="17" s="1"/>
  <c r="D852" i="17"/>
  <c r="AL851" i="17"/>
  <c r="AK851" i="17"/>
  <c r="AJ851" i="17"/>
  <c r="AF851" i="17"/>
  <c r="AE851" i="17"/>
  <c r="AD851" i="17"/>
  <c r="AC851" i="17"/>
  <c r="AB851" i="17"/>
  <c r="AA851" i="17"/>
  <c r="Y851" i="17"/>
  <c r="X851" i="17"/>
  <c r="W851" i="17"/>
  <c r="V851" i="17"/>
  <c r="U851" i="17"/>
  <c r="R851" i="17"/>
  <c r="M851" i="17"/>
  <c r="L851" i="17"/>
  <c r="K851" i="17"/>
  <c r="I851" i="17"/>
  <c r="H851" i="17"/>
  <c r="D851" i="17"/>
  <c r="AL850" i="17"/>
  <c r="AK850" i="17"/>
  <c r="AJ850" i="17"/>
  <c r="AF850" i="17"/>
  <c r="AE850" i="17"/>
  <c r="AD850" i="17"/>
  <c r="AC850" i="17"/>
  <c r="AB850" i="17"/>
  <c r="AA850" i="17"/>
  <c r="Y850" i="17"/>
  <c r="X850" i="17"/>
  <c r="W850" i="17"/>
  <c r="V850" i="17"/>
  <c r="U850" i="17"/>
  <c r="R850" i="17"/>
  <c r="M850" i="17"/>
  <c r="L850" i="17"/>
  <c r="K850" i="17"/>
  <c r="I850" i="17"/>
  <c r="H850" i="17"/>
  <c r="D850" i="17"/>
  <c r="AL849" i="17"/>
  <c r="AK849" i="17"/>
  <c r="AJ849" i="17"/>
  <c r="AF849" i="17"/>
  <c r="AE849" i="17"/>
  <c r="AD849" i="17"/>
  <c r="AC849" i="17"/>
  <c r="AB849" i="17"/>
  <c r="AA849" i="17"/>
  <c r="Y849" i="17"/>
  <c r="X849" i="17"/>
  <c r="W849" i="17"/>
  <c r="V849" i="17"/>
  <c r="U849" i="17"/>
  <c r="R849" i="17"/>
  <c r="M849" i="17"/>
  <c r="L849" i="17"/>
  <c r="K849" i="17"/>
  <c r="I849" i="17"/>
  <c r="H849" i="17"/>
  <c r="D849" i="17"/>
  <c r="N849" i="17" s="1"/>
  <c r="AL848" i="17"/>
  <c r="AK848" i="17"/>
  <c r="AJ848" i="17"/>
  <c r="AF848" i="17"/>
  <c r="AE848" i="17"/>
  <c r="AD848" i="17"/>
  <c r="AC848" i="17"/>
  <c r="AB848" i="17"/>
  <c r="AA848" i="17"/>
  <c r="Y848" i="17"/>
  <c r="X848" i="17"/>
  <c r="W848" i="17"/>
  <c r="V848" i="17"/>
  <c r="U848" i="17"/>
  <c r="R848" i="17"/>
  <c r="S848" i="17" s="1"/>
  <c r="T848" i="17" s="1"/>
  <c r="M848" i="17"/>
  <c r="L848" i="17"/>
  <c r="K848" i="17"/>
  <c r="I848" i="17"/>
  <c r="H848" i="17"/>
  <c r="D848" i="17"/>
  <c r="N848" i="17" s="1"/>
  <c r="AL847" i="17"/>
  <c r="AK847" i="17"/>
  <c r="AJ847" i="17"/>
  <c r="AF847" i="17"/>
  <c r="AE847" i="17"/>
  <c r="AD847" i="17"/>
  <c r="AC847" i="17"/>
  <c r="AB847" i="17"/>
  <c r="AA847" i="17"/>
  <c r="Y847" i="17"/>
  <c r="X847" i="17"/>
  <c r="W847" i="17"/>
  <c r="V847" i="17"/>
  <c r="U847" i="17"/>
  <c r="R847" i="17"/>
  <c r="M847" i="17"/>
  <c r="L847" i="17"/>
  <c r="K847" i="17"/>
  <c r="I847" i="17"/>
  <c r="H847" i="17"/>
  <c r="D847" i="17"/>
  <c r="N847" i="17" s="1"/>
  <c r="AL846" i="17"/>
  <c r="AK846" i="17"/>
  <c r="AJ846" i="17"/>
  <c r="AF846" i="17"/>
  <c r="AE846" i="17"/>
  <c r="AD846" i="17"/>
  <c r="AC846" i="17"/>
  <c r="AB846" i="17"/>
  <c r="AA846" i="17"/>
  <c r="Y846" i="17"/>
  <c r="X846" i="17"/>
  <c r="W846" i="17"/>
  <c r="V846" i="17"/>
  <c r="U846" i="17"/>
  <c r="R846" i="17"/>
  <c r="M846" i="17"/>
  <c r="L846" i="17"/>
  <c r="K846" i="17"/>
  <c r="I846" i="17"/>
  <c r="H846" i="17"/>
  <c r="D846" i="17"/>
  <c r="AL845" i="17"/>
  <c r="AK845" i="17"/>
  <c r="AJ845" i="17"/>
  <c r="AF845" i="17"/>
  <c r="AE845" i="17"/>
  <c r="AD845" i="17"/>
  <c r="AC845" i="17"/>
  <c r="AB845" i="17"/>
  <c r="AA845" i="17"/>
  <c r="Y845" i="17"/>
  <c r="X845" i="17"/>
  <c r="W845" i="17"/>
  <c r="V845" i="17"/>
  <c r="U845" i="17"/>
  <c r="R845" i="17"/>
  <c r="M845" i="17"/>
  <c r="L845" i="17"/>
  <c r="K845" i="17"/>
  <c r="I845" i="17"/>
  <c r="H845" i="17"/>
  <c r="D845" i="17"/>
  <c r="AL844" i="17"/>
  <c r="AK844" i="17"/>
  <c r="AJ844" i="17"/>
  <c r="AF844" i="17"/>
  <c r="AE844" i="17"/>
  <c r="AD844" i="17"/>
  <c r="AC844" i="17"/>
  <c r="AB844" i="17"/>
  <c r="AA844" i="17"/>
  <c r="Y844" i="17"/>
  <c r="X844" i="17"/>
  <c r="W844" i="17"/>
  <c r="V844" i="17"/>
  <c r="U844" i="17"/>
  <c r="R844" i="17"/>
  <c r="M844" i="17"/>
  <c r="L844" i="17"/>
  <c r="K844" i="17"/>
  <c r="I844" i="17"/>
  <c r="H844" i="17"/>
  <c r="D844" i="17"/>
  <c r="AL843" i="17"/>
  <c r="AK843" i="17"/>
  <c r="AJ843" i="17"/>
  <c r="AF843" i="17"/>
  <c r="AE843" i="17"/>
  <c r="AD843" i="17"/>
  <c r="AC843" i="17"/>
  <c r="AB843" i="17"/>
  <c r="AA843" i="17"/>
  <c r="Y843" i="17"/>
  <c r="X843" i="17"/>
  <c r="W843" i="17"/>
  <c r="V843" i="17"/>
  <c r="U843" i="17"/>
  <c r="R843" i="17"/>
  <c r="M843" i="17"/>
  <c r="L843" i="17"/>
  <c r="K843" i="17"/>
  <c r="I843" i="17"/>
  <c r="H843" i="17"/>
  <c r="D843" i="17"/>
  <c r="AL842" i="17"/>
  <c r="AK842" i="17"/>
  <c r="AF842" i="17"/>
  <c r="AE842" i="17"/>
  <c r="AD842" i="17"/>
  <c r="AC842" i="17"/>
  <c r="AB842" i="17"/>
  <c r="AA842" i="17"/>
  <c r="Y842" i="17"/>
  <c r="X842" i="17"/>
  <c r="W842" i="17"/>
  <c r="V842" i="17"/>
  <c r="U842" i="17"/>
  <c r="R842" i="17"/>
  <c r="M842" i="17"/>
  <c r="L842" i="17"/>
  <c r="K842" i="17"/>
  <c r="I842" i="17"/>
  <c r="H842" i="17"/>
  <c r="D842" i="17"/>
  <c r="N842" i="17" s="1"/>
  <c r="AL841" i="17"/>
  <c r="AG841" i="17"/>
  <c r="AK841" i="17" s="1"/>
  <c r="AF841" i="17"/>
  <c r="AE841" i="17"/>
  <c r="AD841" i="17"/>
  <c r="AC841" i="17"/>
  <c r="AB841" i="17"/>
  <c r="AA841" i="17"/>
  <c r="Y841" i="17"/>
  <c r="X841" i="17"/>
  <c r="W841" i="17"/>
  <c r="V841" i="17"/>
  <c r="U841" i="17"/>
  <c r="R841" i="17"/>
  <c r="M841" i="17"/>
  <c r="L841" i="17"/>
  <c r="K841" i="17"/>
  <c r="I841" i="17"/>
  <c r="H841" i="17"/>
  <c r="D841" i="17"/>
  <c r="N841" i="17" s="1"/>
  <c r="AK840" i="17"/>
  <c r="AL840" i="17" s="1"/>
  <c r="AJ840" i="17"/>
  <c r="AF840" i="17"/>
  <c r="AE840" i="17"/>
  <c r="AD840" i="17"/>
  <c r="AC840" i="17"/>
  <c r="AB840" i="17"/>
  <c r="AA840" i="17"/>
  <c r="Y840" i="17"/>
  <c r="X840" i="17"/>
  <c r="W840" i="17"/>
  <c r="V840" i="17"/>
  <c r="U840" i="17"/>
  <c r="R840" i="17"/>
  <c r="M840" i="17"/>
  <c r="L840" i="17"/>
  <c r="K840" i="17"/>
  <c r="I840" i="17"/>
  <c r="H840" i="17"/>
  <c r="D840" i="17"/>
  <c r="AK839" i="17"/>
  <c r="AL839" i="17" s="1"/>
  <c r="AJ839" i="17"/>
  <c r="AF839" i="17"/>
  <c r="AE839" i="17"/>
  <c r="AD839" i="17"/>
  <c r="AC839" i="17"/>
  <c r="AB839" i="17"/>
  <c r="AA839" i="17"/>
  <c r="Y839" i="17"/>
  <c r="X839" i="17"/>
  <c r="W839" i="17"/>
  <c r="V839" i="17"/>
  <c r="U839" i="17"/>
  <c r="R839" i="17"/>
  <c r="M839" i="17"/>
  <c r="L839" i="17"/>
  <c r="K839" i="17"/>
  <c r="I839" i="17"/>
  <c r="H839" i="17"/>
  <c r="D839" i="17"/>
  <c r="AK838" i="17"/>
  <c r="AL838" i="17" s="1"/>
  <c r="AJ838" i="17"/>
  <c r="AF838" i="17"/>
  <c r="AE838" i="17"/>
  <c r="AD838" i="17"/>
  <c r="AC838" i="17"/>
  <c r="AB838" i="17"/>
  <c r="AA838" i="17"/>
  <c r="Y838" i="17"/>
  <c r="X838" i="17"/>
  <c r="W838" i="17"/>
  <c r="V838" i="17"/>
  <c r="U838" i="17"/>
  <c r="R838" i="17"/>
  <c r="M838" i="17"/>
  <c r="L838" i="17"/>
  <c r="K838" i="17"/>
  <c r="I838" i="17"/>
  <c r="H838" i="17"/>
  <c r="D838" i="17"/>
  <c r="N838" i="17" s="1"/>
  <c r="AK837" i="17"/>
  <c r="AL837" i="17" s="1"/>
  <c r="AJ837" i="17"/>
  <c r="AF837" i="17"/>
  <c r="AE837" i="17"/>
  <c r="AD837" i="17"/>
  <c r="AC837" i="17"/>
  <c r="AB837" i="17"/>
  <c r="AA837" i="17"/>
  <c r="Y837" i="17"/>
  <c r="X837" i="17"/>
  <c r="W837" i="17"/>
  <c r="V837" i="17"/>
  <c r="U837" i="17"/>
  <c r="R837" i="17"/>
  <c r="M837" i="17"/>
  <c r="L837" i="17"/>
  <c r="K837" i="17"/>
  <c r="I837" i="17"/>
  <c r="H837" i="17"/>
  <c r="D837" i="17"/>
  <c r="N837" i="17" s="1"/>
  <c r="AK836" i="17"/>
  <c r="AL836" i="17" s="1"/>
  <c r="AJ836" i="17"/>
  <c r="AF836" i="17"/>
  <c r="AE836" i="17"/>
  <c r="AD836" i="17"/>
  <c r="AC836" i="17"/>
  <c r="AB836" i="17"/>
  <c r="AA836" i="17"/>
  <c r="Y836" i="17"/>
  <c r="X836" i="17"/>
  <c r="W836" i="17"/>
  <c r="V836" i="17"/>
  <c r="U836" i="17"/>
  <c r="R836" i="17"/>
  <c r="M836" i="17"/>
  <c r="L836" i="17"/>
  <c r="K836" i="17"/>
  <c r="I836" i="17"/>
  <c r="H836" i="17"/>
  <c r="D836" i="17"/>
  <c r="AK835" i="17"/>
  <c r="AL835" i="17" s="1"/>
  <c r="AJ835" i="17"/>
  <c r="AF835" i="17"/>
  <c r="AE835" i="17"/>
  <c r="AD835" i="17"/>
  <c r="AC835" i="17"/>
  <c r="AB835" i="17"/>
  <c r="AA835" i="17"/>
  <c r="Y835" i="17"/>
  <c r="X835" i="17"/>
  <c r="W835" i="17"/>
  <c r="V835" i="17"/>
  <c r="U835" i="17"/>
  <c r="R835" i="17"/>
  <c r="M835" i="17"/>
  <c r="L835" i="17"/>
  <c r="K835" i="17"/>
  <c r="I835" i="17"/>
  <c r="H835" i="17"/>
  <c r="D835" i="17"/>
  <c r="AK834" i="17"/>
  <c r="AL834" i="17" s="1"/>
  <c r="AJ834" i="17"/>
  <c r="AF834" i="17"/>
  <c r="AE834" i="17"/>
  <c r="AD834" i="17"/>
  <c r="AC834" i="17"/>
  <c r="AB834" i="17"/>
  <c r="AA834" i="17"/>
  <c r="Y834" i="17"/>
  <c r="X834" i="17"/>
  <c r="W834" i="17"/>
  <c r="V834" i="17"/>
  <c r="U834" i="17"/>
  <c r="R834" i="17"/>
  <c r="M834" i="17"/>
  <c r="L834" i="17"/>
  <c r="K834" i="17"/>
  <c r="I834" i="17"/>
  <c r="H834" i="17"/>
  <c r="D834" i="17"/>
  <c r="N834" i="17" s="1"/>
  <c r="AK833" i="17"/>
  <c r="AL833" i="17" s="1"/>
  <c r="AJ833" i="17"/>
  <c r="AF833" i="17"/>
  <c r="AE833" i="17"/>
  <c r="AD833" i="17"/>
  <c r="AC833" i="17"/>
  <c r="AB833" i="17"/>
  <c r="AA833" i="17"/>
  <c r="Y833" i="17"/>
  <c r="X833" i="17"/>
  <c r="W833" i="17"/>
  <c r="V833" i="17"/>
  <c r="U833" i="17"/>
  <c r="S833" i="17"/>
  <c r="T833" i="17" s="1"/>
  <c r="R833" i="17"/>
  <c r="M833" i="17"/>
  <c r="L833" i="17"/>
  <c r="K833" i="17"/>
  <c r="I833" i="17"/>
  <c r="H833" i="17"/>
  <c r="D833" i="17"/>
  <c r="N833" i="17" s="1"/>
  <c r="AK832" i="17"/>
  <c r="AL832" i="17" s="1"/>
  <c r="AJ832" i="17"/>
  <c r="AF832" i="17"/>
  <c r="AE832" i="17"/>
  <c r="AD832" i="17"/>
  <c r="AC832" i="17"/>
  <c r="AB832" i="17"/>
  <c r="AA832" i="17"/>
  <c r="Y832" i="17"/>
  <c r="X832" i="17"/>
  <c r="W832" i="17"/>
  <c r="V832" i="17"/>
  <c r="U832" i="17"/>
  <c r="R832" i="17"/>
  <c r="M832" i="17"/>
  <c r="L832" i="17"/>
  <c r="K832" i="17"/>
  <c r="I832" i="17"/>
  <c r="H832" i="17"/>
  <c r="D832" i="17"/>
  <c r="AK831" i="17"/>
  <c r="AL831" i="17" s="1"/>
  <c r="AJ831" i="17"/>
  <c r="AF831" i="17"/>
  <c r="AE831" i="17"/>
  <c r="AD831" i="17"/>
  <c r="AC831" i="17"/>
  <c r="AB831" i="17"/>
  <c r="AA831" i="17"/>
  <c r="Y831" i="17"/>
  <c r="X831" i="17"/>
  <c r="W831" i="17"/>
  <c r="V831" i="17"/>
  <c r="U831" i="17"/>
  <c r="R831" i="17"/>
  <c r="M831" i="17"/>
  <c r="L831" i="17"/>
  <c r="K831" i="17"/>
  <c r="I831" i="17"/>
  <c r="H831" i="17"/>
  <c r="D831" i="17"/>
  <c r="AK830" i="17"/>
  <c r="AL830" i="17" s="1"/>
  <c r="AJ830" i="17"/>
  <c r="AF830" i="17"/>
  <c r="AE830" i="17"/>
  <c r="AD830" i="17"/>
  <c r="AC830" i="17"/>
  <c r="AB830" i="17"/>
  <c r="AA830" i="17"/>
  <c r="Y830" i="17"/>
  <c r="X830" i="17"/>
  <c r="W830" i="17"/>
  <c r="V830" i="17"/>
  <c r="U830" i="17"/>
  <c r="R830" i="17"/>
  <c r="M830" i="17"/>
  <c r="L830" i="17"/>
  <c r="K830" i="17"/>
  <c r="I830" i="17"/>
  <c r="H830" i="17"/>
  <c r="D830" i="17"/>
  <c r="N830" i="17" s="1"/>
  <c r="AK829" i="17"/>
  <c r="AL829" i="17" s="1"/>
  <c r="AJ829" i="17"/>
  <c r="AF829" i="17"/>
  <c r="AE829" i="17"/>
  <c r="AD829" i="17"/>
  <c r="AC829" i="17"/>
  <c r="AB829" i="17"/>
  <c r="AA829" i="17"/>
  <c r="Y829" i="17"/>
  <c r="X829" i="17"/>
  <c r="W829" i="17"/>
  <c r="V829" i="17"/>
  <c r="U829" i="17"/>
  <c r="R829" i="17"/>
  <c r="M829" i="17"/>
  <c r="L829" i="17"/>
  <c r="K829" i="17"/>
  <c r="I829" i="17"/>
  <c r="H829" i="17"/>
  <c r="D829" i="17"/>
  <c r="N829" i="17" s="1"/>
  <c r="AK828" i="17"/>
  <c r="AL828" i="17" s="1"/>
  <c r="AJ828" i="17"/>
  <c r="AF828" i="17"/>
  <c r="AE828" i="17"/>
  <c r="AD828" i="17"/>
  <c r="AC828" i="17"/>
  <c r="AB828" i="17"/>
  <c r="AA828" i="17"/>
  <c r="Y828" i="17"/>
  <c r="X828" i="17"/>
  <c r="W828" i="17"/>
  <c r="V828" i="17"/>
  <c r="U828" i="17"/>
  <c r="R828" i="17"/>
  <c r="M828" i="17"/>
  <c r="L828" i="17"/>
  <c r="K828" i="17"/>
  <c r="I828" i="17"/>
  <c r="H828" i="17"/>
  <c r="D828" i="17"/>
  <c r="AK827" i="17"/>
  <c r="AL827" i="17" s="1"/>
  <c r="AJ827" i="17"/>
  <c r="AF827" i="17"/>
  <c r="AE827" i="17"/>
  <c r="AD827" i="17"/>
  <c r="AC827" i="17"/>
  <c r="AB827" i="17"/>
  <c r="AA827" i="17"/>
  <c r="Y827" i="17"/>
  <c r="X827" i="17"/>
  <c r="W827" i="17"/>
  <c r="V827" i="17"/>
  <c r="U827" i="17"/>
  <c r="R827" i="17"/>
  <c r="M827" i="17"/>
  <c r="L827" i="17"/>
  <c r="K827" i="17"/>
  <c r="I827" i="17"/>
  <c r="H827" i="17"/>
  <c r="D827" i="17"/>
  <c r="AK826" i="17"/>
  <c r="AL826" i="17" s="1"/>
  <c r="AJ826" i="17"/>
  <c r="AF826" i="17"/>
  <c r="AE826" i="17"/>
  <c r="AD826" i="17"/>
  <c r="AC826" i="17"/>
  <c r="AB826" i="17"/>
  <c r="AA826" i="17"/>
  <c r="Y826" i="17"/>
  <c r="X826" i="17"/>
  <c r="W826" i="17"/>
  <c r="V826" i="17"/>
  <c r="U826" i="17"/>
  <c r="S826" i="17"/>
  <c r="T826" i="17" s="1"/>
  <c r="R826" i="17"/>
  <c r="M826" i="17"/>
  <c r="L826" i="17"/>
  <c r="K826" i="17"/>
  <c r="I826" i="17"/>
  <c r="H826" i="17"/>
  <c r="D826" i="17"/>
  <c r="N826" i="17" s="1"/>
  <c r="AK825" i="17"/>
  <c r="AL825" i="17" s="1"/>
  <c r="AJ825" i="17"/>
  <c r="AF825" i="17"/>
  <c r="AE825" i="17"/>
  <c r="AD825" i="17"/>
  <c r="AC825" i="17"/>
  <c r="AB825" i="17"/>
  <c r="AA825" i="17"/>
  <c r="Y825" i="17"/>
  <c r="X825" i="17"/>
  <c r="W825" i="17"/>
  <c r="V825" i="17"/>
  <c r="U825" i="17"/>
  <c r="R825" i="17"/>
  <c r="M825" i="17"/>
  <c r="L825" i="17"/>
  <c r="K825" i="17"/>
  <c r="I825" i="17"/>
  <c r="H825" i="17"/>
  <c r="D825" i="17"/>
  <c r="N825" i="17" s="1"/>
  <c r="AK824" i="17"/>
  <c r="AL824" i="17" s="1"/>
  <c r="AJ824" i="17"/>
  <c r="AF824" i="17"/>
  <c r="AE824" i="17"/>
  <c r="AD824" i="17"/>
  <c r="AC824" i="17"/>
  <c r="AB824" i="17"/>
  <c r="AA824" i="17"/>
  <c r="Y824" i="17"/>
  <c r="X824" i="17"/>
  <c r="W824" i="17"/>
  <c r="V824" i="17"/>
  <c r="U824" i="17"/>
  <c r="R824" i="17"/>
  <c r="M824" i="17"/>
  <c r="L824" i="17"/>
  <c r="K824" i="17"/>
  <c r="I824" i="17"/>
  <c r="H824" i="17"/>
  <c r="D824" i="17"/>
  <c r="AK823" i="17"/>
  <c r="AL823" i="17" s="1"/>
  <c r="AJ823" i="17"/>
  <c r="AF823" i="17"/>
  <c r="AE823" i="17"/>
  <c r="AD823" i="17"/>
  <c r="AC823" i="17"/>
  <c r="AB823" i="17"/>
  <c r="AA823" i="17"/>
  <c r="Y823" i="17"/>
  <c r="X823" i="17"/>
  <c r="W823" i="17"/>
  <c r="V823" i="17"/>
  <c r="U823" i="17"/>
  <c r="R823" i="17"/>
  <c r="M823" i="17"/>
  <c r="L823" i="17"/>
  <c r="K823" i="17"/>
  <c r="I823" i="17"/>
  <c r="H823" i="17"/>
  <c r="D823" i="17"/>
  <c r="AK822" i="17"/>
  <c r="AL822" i="17" s="1"/>
  <c r="AJ822" i="17"/>
  <c r="AF822" i="17"/>
  <c r="AE822" i="17"/>
  <c r="AD822" i="17"/>
  <c r="AC822" i="17"/>
  <c r="AB822" i="17"/>
  <c r="AA822" i="17"/>
  <c r="Y822" i="17"/>
  <c r="X822" i="17"/>
  <c r="W822" i="17"/>
  <c r="V822" i="17"/>
  <c r="U822" i="17"/>
  <c r="R822" i="17"/>
  <c r="M822" i="17"/>
  <c r="L822" i="17"/>
  <c r="K822" i="17"/>
  <c r="I822" i="17"/>
  <c r="H822" i="17"/>
  <c r="D822" i="17"/>
  <c r="N822" i="17" s="1"/>
  <c r="AK821" i="17"/>
  <c r="AL821" i="17" s="1"/>
  <c r="AJ821" i="17"/>
  <c r="AF821" i="17"/>
  <c r="AE821" i="17"/>
  <c r="AD821" i="17"/>
  <c r="AC821" i="17"/>
  <c r="AB821" i="17"/>
  <c r="AA821" i="17"/>
  <c r="Y821" i="17"/>
  <c r="X821" i="17"/>
  <c r="W821" i="17"/>
  <c r="V821" i="17"/>
  <c r="U821" i="17"/>
  <c r="R821" i="17"/>
  <c r="M821" i="17"/>
  <c r="L821" i="17"/>
  <c r="K821" i="17"/>
  <c r="I821" i="17"/>
  <c r="H821" i="17"/>
  <c r="D821" i="17"/>
  <c r="N821" i="17" s="1"/>
  <c r="AK820" i="17"/>
  <c r="AL820" i="17" s="1"/>
  <c r="AJ820" i="17"/>
  <c r="AF820" i="17"/>
  <c r="AE820" i="17"/>
  <c r="AD820" i="17"/>
  <c r="AC820" i="17"/>
  <c r="AB820" i="17"/>
  <c r="AA820" i="17"/>
  <c r="Y820" i="17"/>
  <c r="X820" i="17"/>
  <c r="W820" i="17"/>
  <c r="V820" i="17"/>
  <c r="U820" i="17"/>
  <c r="R820" i="17"/>
  <c r="M820" i="17"/>
  <c r="L820" i="17"/>
  <c r="K820" i="17"/>
  <c r="I820" i="17"/>
  <c r="H820" i="17"/>
  <c r="D820" i="17"/>
  <c r="AK819" i="17"/>
  <c r="AL819" i="17" s="1"/>
  <c r="AJ819" i="17"/>
  <c r="AF819" i="17"/>
  <c r="AE819" i="17"/>
  <c r="AD819" i="17"/>
  <c r="AC819" i="17"/>
  <c r="AB819" i="17"/>
  <c r="AA819" i="17"/>
  <c r="Y819" i="17"/>
  <c r="X819" i="17"/>
  <c r="W819" i="17"/>
  <c r="V819" i="17"/>
  <c r="U819" i="17"/>
  <c r="R819" i="17"/>
  <c r="M819" i="17"/>
  <c r="L819" i="17"/>
  <c r="K819" i="17"/>
  <c r="I819" i="17"/>
  <c r="H819" i="17"/>
  <c r="D819" i="17"/>
  <c r="AK818" i="17"/>
  <c r="AL818" i="17" s="1"/>
  <c r="AJ818" i="17"/>
  <c r="AF818" i="17"/>
  <c r="AE818" i="17"/>
  <c r="AD818" i="17"/>
  <c r="AC818" i="17"/>
  <c r="AB818" i="17"/>
  <c r="AA818" i="17"/>
  <c r="Y818" i="17"/>
  <c r="X818" i="17"/>
  <c r="W818" i="17"/>
  <c r="V818" i="17"/>
  <c r="U818" i="17"/>
  <c r="R818" i="17"/>
  <c r="M818" i="17"/>
  <c r="L818" i="17"/>
  <c r="K818" i="17"/>
  <c r="I818" i="17"/>
  <c r="H818" i="17"/>
  <c r="D818" i="17"/>
  <c r="N818" i="17" s="1"/>
  <c r="AK817" i="17"/>
  <c r="AL817" i="17" s="1"/>
  <c r="AJ817" i="17"/>
  <c r="AF817" i="17"/>
  <c r="AE817" i="17"/>
  <c r="AD817" i="17"/>
  <c r="AC817" i="17"/>
  <c r="AB817" i="17"/>
  <c r="AA817" i="17"/>
  <c r="Y817" i="17"/>
  <c r="X817" i="17"/>
  <c r="W817" i="17"/>
  <c r="V817" i="17"/>
  <c r="U817" i="17"/>
  <c r="R817" i="17"/>
  <c r="M817" i="17"/>
  <c r="L817" i="17"/>
  <c r="K817" i="17"/>
  <c r="I817" i="17"/>
  <c r="H817" i="17"/>
  <c r="D817" i="17"/>
  <c r="N817" i="17" s="1"/>
  <c r="AK816" i="17"/>
  <c r="AL816" i="17" s="1"/>
  <c r="AJ816" i="17"/>
  <c r="AF816" i="17"/>
  <c r="AE816" i="17"/>
  <c r="AD816" i="17"/>
  <c r="AC816" i="17"/>
  <c r="AB816" i="17"/>
  <c r="AA816" i="17"/>
  <c r="Y816" i="17"/>
  <c r="X816" i="17"/>
  <c r="W816" i="17"/>
  <c r="V816" i="17"/>
  <c r="U816" i="17"/>
  <c r="R816" i="17"/>
  <c r="M816" i="17"/>
  <c r="L816" i="17"/>
  <c r="K816" i="17"/>
  <c r="I816" i="17"/>
  <c r="H816" i="17"/>
  <c r="D816" i="17"/>
  <c r="AK815" i="17"/>
  <c r="AL815" i="17" s="1"/>
  <c r="AJ815" i="17"/>
  <c r="AF815" i="17"/>
  <c r="AE815" i="17"/>
  <c r="AD815" i="17"/>
  <c r="AC815" i="17"/>
  <c r="AB815" i="17"/>
  <c r="AA815" i="17"/>
  <c r="Y815" i="17"/>
  <c r="X815" i="17"/>
  <c r="W815" i="17"/>
  <c r="V815" i="17"/>
  <c r="U815" i="17"/>
  <c r="R815" i="17"/>
  <c r="M815" i="17"/>
  <c r="L815" i="17"/>
  <c r="K815" i="17"/>
  <c r="I815" i="17"/>
  <c r="H815" i="17"/>
  <c r="D815" i="17"/>
  <c r="AK814" i="17"/>
  <c r="AL814" i="17" s="1"/>
  <c r="AJ814" i="17"/>
  <c r="AF814" i="17"/>
  <c r="AE814" i="17"/>
  <c r="AD814" i="17"/>
  <c r="AC814" i="17"/>
  <c r="AB814" i="17"/>
  <c r="AA814" i="17"/>
  <c r="Y814" i="17"/>
  <c r="X814" i="17"/>
  <c r="W814" i="17"/>
  <c r="V814" i="17"/>
  <c r="U814" i="17"/>
  <c r="R814" i="17"/>
  <c r="M814" i="17"/>
  <c r="L814" i="17"/>
  <c r="K814" i="17"/>
  <c r="I814" i="17"/>
  <c r="H814" i="17"/>
  <c r="D814" i="17"/>
  <c r="N814" i="17" s="1"/>
  <c r="AK813" i="17"/>
  <c r="AL813" i="17" s="1"/>
  <c r="AJ813" i="17"/>
  <c r="AF813" i="17"/>
  <c r="AE813" i="17"/>
  <c r="AD813" i="17"/>
  <c r="AC813" i="17"/>
  <c r="AB813" i="17"/>
  <c r="AA813" i="17"/>
  <c r="Y813" i="17"/>
  <c r="X813" i="17"/>
  <c r="W813" i="17"/>
  <c r="V813" i="17"/>
  <c r="U813" i="17"/>
  <c r="R813" i="17"/>
  <c r="M813" i="17"/>
  <c r="L813" i="17"/>
  <c r="K813" i="17"/>
  <c r="I813" i="17"/>
  <c r="H813" i="17"/>
  <c r="D813" i="17"/>
  <c r="N813" i="17" s="1"/>
  <c r="AK812" i="17"/>
  <c r="AL812" i="17" s="1"/>
  <c r="AJ812" i="17"/>
  <c r="AF812" i="17"/>
  <c r="AE812" i="17"/>
  <c r="AD812" i="17"/>
  <c r="AC812" i="17"/>
  <c r="AB812" i="17"/>
  <c r="AA812" i="17"/>
  <c r="Y812" i="17"/>
  <c r="X812" i="17"/>
  <c r="W812" i="17"/>
  <c r="V812" i="17"/>
  <c r="U812" i="17"/>
  <c r="R812" i="17"/>
  <c r="M812" i="17"/>
  <c r="L812" i="17"/>
  <c r="K812" i="17"/>
  <c r="I812" i="17"/>
  <c r="H812" i="17"/>
  <c r="D812" i="17"/>
  <c r="AK811" i="17"/>
  <c r="AL811" i="17" s="1"/>
  <c r="AJ811" i="17"/>
  <c r="AF811" i="17"/>
  <c r="AE811" i="17"/>
  <c r="AD811" i="17"/>
  <c r="AC811" i="17"/>
  <c r="AB811" i="17"/>
  <c r="AA811" i="17"/>
  <c r="Y811" i="17"/>
  <c r="X811" i="17"/>
  <c r="W811" i="17"/>
  <c r="V811" i="17"/>
  <c r="U811" i="17"/>
  <c r="R811" i="17"/>
  <c r="M811" i="17"/>
  <c r="L811" i="17"/>
  <c r="K811" i="17"/>
  <c r="I811" i="17"/>
  <c r="H811" i="17"/>
  <c r="D811" i="17"/>
  <c r="AK810" i="17"/>
  <c r="AL810" i="17" s="1"/>
  <c r="AJ810" i="17"/>
  <c r="AF810" i="17"/>
  <c r="AE810" i="17"/>
  <c r="AD810" i="17"/>
  <c r="AC810" i="17"/>
  <c r="AB810" i="17"/>
  <c r="AA810" i="17"/>
  <c r="Y810" i="17"/>
  <c r="X810" i="17"/>
  <c r="W810" i="17"/>
  <c r="V810" i="17"/>
  <c r="U810" i="17"/>
  <c r="S810" i="17"/>
  <c r="T810" i="17" s="1"/>
  <c r="R810" i="17"/>
  <c r="M810" i="17"/>
  <c r="L810" i="17"/>
  <c r="K810" i="17"/>
  <c r="I810" i="17"/>
  <c r="H810" i="17"/>
  <c r="D810" i="17"/>
  <c r="N810" i="17" s="1"/>
  <c r="AK809" i="17"/>
  <c r="AL809" i="17" s="1"/>
  <c r="AJ809" i="17"/>
  <c r="AF809" i="17"/>
  <c r="AE809" i="17"/>
  <c r="AD809" i="17"/>
  <c r="AC809" i="17"/>
  <c r="AB809" i="17"/>
  <c r="AA809" i="17"/>
  <c r="Y809" i="17"/>
  <c r="X809" i="17"/>
  <c r="W809" i="17"/>
  <c r="V809" i="17"/>
  <c r="U809" i="17"/>
  <c r="R809" i="17"/>
  <c r="M809" i="17"/>
  <c r="L809" i="17"/>
  <c r="K809" i="17"/>
  <c r="I809" i="17"/>
  <c r="H809" i="17"/>
  <c r="D809" i="17"/>
  <c r="N809" i="17" s="1"/>
  <c r="AK808" i="17"/>
  <c r="AL808" i="17" s="1"/>
  <c r="AJ808" i="17"/>
  <c r="AF808" i="17"/>
  <c r="AE808" i="17"/>
  <c r="AD808" i="17"/>
  <c r="AC808" i="17"/>
  <c r="AB808" i="17"/>
  <c r="AA808" i="17"/>
  <c r="Y808" i="17"/>
  <c r="X808" i="17"/>
  <c r="W808" i="17"/>
  <c r="V808" i="17"/>
  <c r="U808" i="17"/>
  <c r="R808" i="17"/>
  <c r="M808" i="17"/>
  <c r="L808" i="17"/>
  <c r="K808" i="17"/>
  <c r="I808" i="17"/>
  <c r="H808" i="17"/>
  <c r="D808" i="17"/>
  <c r="AK807" i="17"/>
  <c r="AL807" i="17" s="1"/>
  <c r="AJ807" i="17"/>
  <c r="AF807" i="17"/>
  <c r="AE807" i="17"/>
  <c r="AD807" i="17"/>
  <c r="AC807" i="17"/>
  <c r="AB807" i="17"/>
  <c r="AA807" i="17"/>
  <c r="Y807" i="17"/>
  <c r="X807" i="17"/>
  <c r="W807" i="17"/>
  <c r="V807" i="17"/>
  <c r="U807" i="17"/>
  <c r="R807" i="17"/>
  <c r="M807" i="17"/>
  <c r="L807" i="17"/>
  <c r="K807" i="17"/>
  <c r="I807" i="17"/>
  <c r="H807" i="17"/>
  <c r="D807" i="17"/>
  <c r="AK806" i="17"/>
  <c r="AL806" i="17" s="1"/>
  <c r="AJ806" i="17"/>
  <c r="AF806" i="17"/>
  <c r="AE806" i="17"/>
  <c r="AD806" i="17"/>
  <c r="AC806" i="17"/>
  <c r="AB806" i="17"/>
  <c r="AA806" i="17"/>
  <c r="Y806" i="17"/>
  <c r="X806" i="17"/>
  <c r="W806" i="17"/>
  <c r="V806" i="17"/>
  <c r="U806" i="17"/>
  <c r="R806" i="17"/>
  <c r="M806" i="17"/>
  <c r="L806" i="17"/>
  <c r="K806" i="17"/>
  <c r="I806" i="17"/>
  <c r="H806" i="17"/>
  <c r="S806" i="17" s="1"/>
  <c r="T806" i="17" s="1"/>
  <c r="D806" i="17"/>
  <c r="N806" i="17" s="1"/>
  <c r="AK805" i="17"/>
  <c r="AL805" i="17" s="1"/>
  <c r="AJ805" i="17"/>
  <c r="AF805" i="17"/>
  <c r="AE805" i="17"/>
  <c r="AD805" i="17"/>
  <c r="AC805" i="17"/>
  <c r="AB805" i="17"/>
  <c r="AA805" i="17"/>
  <c r="Y805" i="17"/>
  <c r="X805" i="17"/>
  <c r="W805" i="17"/>
  <c r="V805" i="17"/>
  <c r="U805" i="17"/>
  <c r="R805" i="17"/>
  <c r="M805" i="17"/>
  <c r="L805" i="17"/>
  <c r="K805" i="17"/>
  <c r="I805" i="17"/>
  <c r="H805" i="17"/>
  <c r="D805" i="17"/>
  <c r="N805" i="17" s="1"/>
  <c r="AK804" i="17"/>
  <c r="AL804" i="17" s="1"/>
  <c r="AJ804" i="17"/>
  <c r="AF804" i="17"/>
  <c r="AE804" i="17"/>
  <c r="AD804" i="17"/>
  <c r="AC804" i="17"/>
  <c r="AB804" i="17"/>
  <c r="AA804" i="17"/>
  <c r="Y804" i="17"/>
  <c r="X804" i="17"/>
  <c r="W804" i="17"/>
  <c r="V804" i="17"/>
  <c r="U804" i="17"/>
  <c r="R804" i="17"/>
  <c r="M804" i="17"/>
  <c r="L804" i="17"/>
  <c r="K804" i="17"/>
  <c r="I804" i="17"/>
  <c r="H804" i="17"/>
  <c r="D804" i="17"/>
  <c r="AK803" i="17"/>
  <c r="AL803" i="17" s="1"/>
  <c r="AJ803" i="17"/>
  <c r="AF803" i="17"/>
  <c r="AE803" i="17"/>
  <c r="AD803" i="17"/>
  <c r="AC803" i="17"/>
  <c r="AB803" i="17"/>
  <c r="AA803" i="17"/>
  <c r="Y803" i="17"/>
  <c r="X803" i="17"/>
  <c r="W803" i="17"/>
  <c r="V803" i="17"/>
  <c r="U803" i="17"/>
  <c r="R803" i="17"/>
  <c r="M803" i="17"/>
  <c r="L803" i="17"/>
  <c r="K803" i="17"/>
  <c r="I803" i="17"/>
  <c r="H803" i="17"/>
  <c r="D803" i="17"/>
  <c r="AK802" i="17"/>
  <c r="AL802" i="17" s="1"/>
  <c r="AJ802" i="17"/>
  <c r="AF802" i="17"/>
  <c r="AE802" i="17"/>
  <c r="AD802" i="17"/>
  <c r="AC802" i="17"/>
  <c r="AB802" i="17"/>
  <c r="AA802" i="17"/>
  <c r="Y802" i="17"/>
  <c r="X802" i="17"/>
  <c r="W802" i="17"/>
  <c r="V802" i="17"/>
  <c r="U802" i="17"/>
  <c r="R802" i="17"/>
  <c r="M802" i="17"/>
  <c r="L802" i="17"/>
  <c r="K802" i="17"/>
  <c r="I802" i="17"/>
  <c r="H802" i="17"/>
  <c r="D802" i="17"/>
  <c r="N802" i="17" s="1"/>
  <c r="AK801" i="17"/>
  <c r="AL801" i="17" s="1"/>
  <c r="AJ801" i="17"/>
  <c r="AF801" i="17"/>
  <c r="AE801" i="17"/>
  <c r="AD801" i="17"/>
  <c r="AC801" i="17"/>
  <c r="AB801" i="17"/>
  <c r="AA801" i="17"/>
  <c r="Y801" i="17"/>
  <c r="X801" i="17"/>
  <c r="W801" i="17"/>
  <c r="V801" i="17"/>
  <c r="U801" i="17"/>
  <c r="R801" i="17"/>
  <c r="M801" i="17"/>
  <c r="L801" i="17"/>
  <c r="K801" i="17"/>
  <c r="I801" i="17"/>
  <c r="H801" i="17"/>
  <c r="D801" i="17"/>
  <c r="N801" i="17" s="1"/>
  <c r="AK800" i="17"/>
  <c r="AL800" i="17" s="1"/>
  <c r="AJ800" i="17"/>
  <c r="AF800" i="17"/>
  <c r="AE800" i="17"/>
  <c r="AD800" i="17"/>
  <c r="AC800" i="17"/>
  <c r="AB800" i="17"/>
  <c r="AA800" i="17"/>
  <c r="Y800" i="17"/>
  <c r="X800" i="17"/>
  <c r="W800" i="17"/>
  <c r="V800" i="17"/>
  <c r="U800" i="17"/>
  <c r="R800" i="17"/>
  <c r="M800" i="17"/>
  <c r="L800" i="17"/>
  <c r="K800" i="17"/>
  <c r="I800" i="17"/>
  <c r="H800" i="17"/>
  <c r="D800" i="17"/>
  <c r="AK799" i="17"/>
  <c r="AL799" i="17" s="1"/>
  <c r="AJ799" i="17"/>
  <c r="AF799" i="17"/>
  <c r="AE799" i="17"/>
  <c r="AD799" i="17"/>
  <c r="AC799" i="17"/>
  <c r="AB799" i="17"/>
  <c r="AA799" i="17"/>
  <c r="Y799" i="17"/>
  <c r="X799" i="17"/>
  <c r="W799" i="17"/>
  <c r="V799" i="17"/>
  <c r="U799" i="17"/>
  <c r="R799" i="17"/>
  <c r="M799" i="17"/>
  <c r="L799" i="17"/>
  <c r="K799" i="17"/>
  <c r="I799" i="17"/>
  <c r="H799" i="17"/>
  <c r="D799" i="17"/>
  <c r="AK798" i="17"/>
  <c r="AL798" i="17" s="1"/>
  <c r="AJ798" i="17"/>
  <c r="AF798" i="17"/>
  <c r="AE798" i="17"/>
  <c r="AD798" i="17"/>
  <c r="AC798" i="17"/>
  <c r="AB798" i="17"/>
  <c r="AA798" i="17"/>
  <c r="Y798" i="17"/>
  <c r="X798" i="17"/>
  <c r="W798" i="17"/>
  <c r="V798" i="17"/>
  <c r="U798" i="17"/>
  <c r="R798" i="17"/>
  <c r="M798" i="17"/>
  <c r="L798" i="17"/>
  <c r="K798" i="17"/>
  <c r="I798" i="17"/>
  <c r="H798" i="17"/>
  <c r="D798" i="17"/>
  <c r="N798" i="17" s="1"/>
  <c r="AK797" i="17"/>
  <c r="AL797" i="17" s="1"/>
  <c r="AJ797" i="17"/>
  <c r="AF797" i="17"/>
  <c r="AE797" i="17"/>
  <c r="AD797" i="17"/>
  <c r="AC797" i="17"/>
  <c r="AB797" i="17"/>
  <c r="AA797" i="17"/>
  <c r="Y797" i="17"/>
  <c r="X797" i="17"/>
  <c r="W797" i="17"/>
  <c r="V797" i="17"/>
  <c r="U797" i="17"/>
  <c r="R797" i="17"/>
  <c r="M797" i="17"/>
  <c r="L797" i="17"/>
  <c r="K797" i="17"/>
  <c r="I797" i="17"/>
  <c r="H797" i="17"/>
  <c r="D797" i="17"/>
  <c r="N797" i="17" s="1"/>
  <c r="AK796" i="17"/>
  <c r="AL796" i="17" s="1"/>
  <c r="AJ796" i="17"/>
  <c r="AF796" i="17"/>
  <c r="AE796" i="17"/>
  <c r="AD796" i="17"/>
  <c r="AC796" i="17"/>
  <c r="AB796" i="17"/>
  <c r="AA796" i="17"/>
  <c r="Y796" i="17"/>
  <c r="X796" i="17"/>
  <c r="W796" i="17"/>
  <c r="V796" i="17"/>
  <c r="U796" i="17"/>
  <c r="R796" i="17"/>
  <c r="M796" i="17"/>
  <c r="L796" i="17"/>
  <c r="K796" i="17"/>
  <c r="I796" i="17"/>
  <c r="H796" i="17"/>
  <c r="D796" i="17"/>
  <c r="AK795" i="17"/>
  <c r="AL795" i="17" s="1"/>
  <c r="AJ795" i="17"/>
  <c r="AF795" i="17"/>
  <c r="AE795" i="17"/>
  <c r="AD795" i="17"/>
  <c r="AC795" i="17"/>
  <c r="AB795" i="17"/>
  <c r="AA795" i="17"/>
  <c r="Y795" i="17"/>
  <c r="X795" i="17"/>
  <c r="W795" i="17"/>
  <c r="V795" i="17"/>
  <c r="U795" i="17"/>
  <c r="R795" i="17"/>
  <c r="M795" i="17"/>
  <c r="L795" i="17"/>
  <c r="K795" i="17"/>
  <c r="I795" i="17"/>
  <c r="H795" i="17"/>
  <c r="D795" i="17"/>
  <c r="AK794" i="17"/>
  <c r="AL794" i="17" s="1"/>
  <c r="AJ794" i="17"/>
  <c r="AF794" i="17"/>
  <c r="AE794" i="17"/>
  <c r="AD794" i="17"/>
  <c r="AC794" i="17"/>
  <c r="AB794" i="17"/>
  <c r="AA794" i="17"/>
  <c r="Y794" i="17"/>
  <c r="X794" i="17"/>
  <c r="W794" i="17"/>
  <c r="V794" i="17"/>
  <c r="U794" i="17"/>
  <c r="R794" i="17"/>
  <c r="M794" i="17"/>
  <c r="L794" i="17"/>
  <c r="K794" i="17"/>
  <c r="I794" i="17"/>
  <c r="H794" i="17"/>
  <c r="D794" i="17"/>
  <c r="N794" i="17" s="1"/>
  <c r="AK793" i="17"/>
  <c r="AL793" i="17" s="1"/>
  <c r="AJ793" i="17"/>
  <c r="AF793" i="17"/>
  <c r="AE793" i="17"/>
  <c r="AD793" i="17"/>
  <c r="AC793" i="17"/>
  <c r="AB793" i="17"/>
  <c r="AA793" i="17"/>
  <c r="Y793" i="17"/>
  <c r="X793" i="17"/>
  <c r="W793" i="17"/>
  <c r="V793" i="17"/>
  <c r="U793" i="17"/>
  <c r="R793" i="17"/>
  <c r="M793" i="17"/>
  <c r="L793" i="17"/>
  <c r="K793" i="17"/>
  <c r="I793" i="17"/>
  <c r="H793" i="17"/>
  <c r="D793" i="17"/>
  <c r="N793" i="17" s="1"/>
  <c r="AK792" i="17"/>
  <c r="AL792" i="17" s="1"/>
  <c r="AJ792" i="17"/>
  <c r="AF792" i="17"/>
  <c r="AE792" i="17"/>
  <c r="AD792" i="17"/>
  <c r="AC792" i="17"/>
  <c r="AB792" i="17"/>
  <c r="AA792" i="17"/>
  <c r="Y792" i="17"/>
  <c r="X792" i="17"/>
  <c r="W792" i="17"/>
  <c r="V792" i="17"/>
  <c r="U792" i="17"/>
  <c r="R792" i="17"/>
  <c r="M792" i="17"/>
  <c r="L792" i="17"/>
  <c r="K792" i="17"/>
  <c r="I792" i="17"/>
  <c r="H792" i="17"/>
  <c r="D792" i="17"/>
  <c r="AK791" i="17"/>
  <c r="AL791" i="17" s="1"/>
  <c r="AJ791" i="17"/>
  <c r="AF791" i="17"/>
  <c r="AE791" i="17"/>
  <c r="AD791" i="17"/>
  <c r="AC791" i="17"/>
  <c r="AB791" i="17"/>
  <c r="AA791" i="17"/>
  <c r="Y791" i="17"/>
  <c r="X791" i="17"/>
  <c r="W791" i="17"/>
  <c r="V791" i="17"/>
  <c r="U791" i="17"/>
  <c r="R791" i="17"/>
  <c r="M791" i="17"/>
  <c r="L791" i="17"/>
  <c r="K791" i="17"/>
  <c r="I791" i="17"/>
  <c r="H791" i="17"/>
  <c r="D791" i="17"/>
  <c r="AK790" i="17"/>
  <c r="AL790" i="17" s="1"/>
  <c r="AJ790" i="17"/>
  <c r="AF790" i="17"/>
  <c r="AE790" i="17"/>
  <c r="AD790" i="17"/>
  <c r="AC790" i="17"/>
  <c r="AB790" i="17"/>
  <c r="AA790" i="17"/>
  <c r="Y790" i="17"/>
  <c r="X790" i="17"/>
  <c r="W790" i="17"/>
  <c r="V790" i="17"/>
  <c r="U790" i="17"/>
  <c r="R790" i="17"/>
  <c r="M790" i="17"/>
  <c r="L790" i="17"/>
  <c r="K790" i="17"/>
  <c r="I790" i="17"/>
  <c r="H790" i="17"/>
  <c r="D790" i="17"/>
  <c r="N790" i="17" s="1"/>
  <c r="AK789" i="17"/>
  <c r="AL789" i="17" s="1"/>
  <c r="AJ789" i="17"/>
  <c r="AF789" i="17"/>
  <c r="AE789" i="17"/>
  <c r="AD789" i="17"/>
  <c r="AC789" i="17"/>
  <c r="AB789" i="17"/>
  <c r="AA789" i="17"/>
  <c r="Y789" i="17"/>
  <c r="X789" i="17"/>
  <c r="W789" i="17"/>
  <c r="V789" i="17"/>
  <c r="U789" i="17"/>
  <c r="R789" i="17"/>
  <c r="M789" i="17"/>
  <c r="L789" i="17"/>
  <c r="K789" i="17"/>
  <c r="I789" i="17"/>
  <c r="H789" i="17"/>
  <c r="D789" i="17"/>
  <c r="N789" i="17" s="1"/>
  <c r="AK788" i="17"/>
  <c r="AL788" i="17" s="1"/>
  <c r="AJ788" i="17"/>
  <c r="AF788" i="17"/>
  <c r="AE788" i="17"/>
  <c r="AD788" i="17"/>
  <c r="AC788" i="17"/>
  <c r="AB788" i="17"/>
  <c r="AA788" i="17"/>
  <c r="Y788" i="17"/>
  <c r="X788" i="17"/>
  <c r="W788" i="17"/>
  <c r="V788" i="17"/>
  <c r="U788" i="17"/>
  <c r="R788" i="17"/>
  <c r="M788" i="17"/>
  <c r="L788" i="17"/>
  <c r="K788" i="17"/>
  <c r="I788" i="17"/>
  <c r="H788" i="17"/>
  <c r="D788" i="17"/>
  <c r="AK787" i="17"/>
  <c r="AL787" i="17" s="1"/>
  <c r="AJ787" i="17"/>
  <c r="AF787" i="17"/>
  <c r="AE787" i="17"/>
  <c r="AD787" i="17"/>
  <c r="AC787" i="17"/>
  <c r="AB787" i="17"/>
  <c r="AA787" i="17"/>
  <c r="Y787" i="17"/>
  <c r="X787" i="17"/>
  <c r="W787" i="17"/>
  <c r="V787" i="17"/>
  <c r="U787" i="17"/>
  <c r="R787" i="17"/>
  <c r="M787" i="17"/>
  <c r="L787" i="17"/>
  <c r="K787" i="17"/>
  <c r="I787" i="17"/>
  <c r="H787" i="17"/>
  <c r="D787" i="17"/>
  <c r="AK786" i="17"/>
  <c r="AL786" i="17" s="1"/>
  <c r="AJ786" i="17"/>
  <c r="AF786" i="17"/>
  <c r="AE786" i="17"/>
  <c r="AD786" i="17"/>
  <c r="AC786" i="17"/>
  <c r="AB786" i="17"/>
  <c r="AA786" i="17"/>
  <c r="Y786" i="17"/>
  <c r="X786" i="17"/>
  <c r="W786" i="17"/>
  <c r="V786" i="17"/>
  <c r="U786" i="17"/>
  <c r="R786" i="17"/>
  <c r="M786" i="17"/>
  <c r="L786" i="17"/>
  <c r="K786" i="17"/>
  <c r="I786" i="17"/>
  <c r="H786" i="17"/>
  <c r="D786" i="17"/>
  <c r="N786" i="17" s="1"/>
  <c r="AK785" i="17"/>
  <c r="AL785" i="17" s="1"/>
  <c r="AJ785" i="17"/>
  <c r="AF785" i="17"/>
  <c r="AE785" i="17"/>
  <c r="AD785" i="17"/>
  <c r="AC785" i="17"/>
  <c r="AB785" i="17"/>
  <c r="AA785" i="17"/>
  <c r="Y785" i="17"/>
  <c r="X785" i="17"/>
  <c r="W785" i="17"/>
  <c r="V785" i="17"/>
  <c r="U785" i="17"/>
  <c r="R785" i="17"/>
  <c r="M785" i="17"/>
  <c r="L785" i="17"/>
  <c r="K785" i="17"/>
  <c r="I785" i="17"/>
  <c r="H785" i="17"/>
  <c r="D785" i="17"/>
  <c r="N785" i="17" s="1"/>
  <c r="AK784" i="17"/>
  <c r="AL784" i="17" s="1"/>
  <c r="AJ784" i="17"/>
  <c r="AF784" i="17"/>
  <c r="AE784" i="17"/>
  <c r="AD784" i="17"/>
  <c r="AC784" i="17"/>
  <c r="AB784" i="17"/>
  <c r="AA784" i="17"/>
  <c r="Y784" i="17"/>
  <c r="X784" i="17"/>
  <c r="W784" i="17"/>
  <c r="V784" i="17"/>
  <c r="U784" i="17"/>
  <c r="R784" i="17"/>
  <c r="M784" i="17"/>
  <c r="L784" i="17"/>
  <c r="K784" i="17"/>
  <c r="I784" i="17"/>
  <c r="H784" i="17"/>
  <c r="D784" i="17"/>
  <c r="AK783" i="17"/>
  <c r="AL783" i="17" s="1"/>
  <c r="AJ783" i="17"/>
  <c r="AF783" i="17"/>
  <c r="AE783" i="17"/>
  <c r="AD783" i="17"/>
  <c r="AC783" i="17"/>
  <c r="AB783" i="17"/>
  <c r="AA783" i="17"/>
  <c r="Y783" i="17"/>
  <c r="X783" i="17"/>
  <c r="W783" i="17"/>
  <c r="V783" i="17"/>
  <c r="U783" i="17"/>
  <c r="R783" i="17"/>
  <c r="M783" i="17"/>
  <c r="L783" i="17"/>
  <c r="K783" i="17"/>
  <c r="I783" i="17"/>
  <c r="H783" i="17"/>
  <c r="D783" i="17"/>
  <c r="AK782" i="17"/>
  <c r="AL782" i="17" s="1"/>
  <c r="AJ782" i="17"/>
  <c r="AF782" i="17"/>
  <c r="AE782" i="17"/>
  <c r="AD782" i="17"/>
  <c r="AC782" i="17"/>
  <c r="AB782" i="17"/>
  <c r="AA782" i="17"/>
  <c r="Y782" i="17"/>
  <c r="X782" i="17"/>
  <c r="W782" i="17"/>
  <c r="V782" i="17"/>
  <c r="U782" i="17"/>
  <c r="R782" i="17"/>
  <c r="M782" i="17"/>
  <c r="L782" i="17"/>
  <c r="K782" i="17"/>
  <c r="I782" i="17"/>
  <c r="H782" i="17"/>
  <c r="D782" i="17"/>
  <c r="N782" i="17" s="1"/>
  <c r="AK781" i="17"/>
  <c r="AL781" i="17" s="1"/>
  <c r="AJ781" i="17"/>
  <c r="AF781" i="17"/>
  <c r="AE781" i="17"/>
  <c r="AD781" i="17"/>
  <c r="AC781" i="17"/>
  <c r="AB781" i="17"/>
  <c r="AA781" i="17"/>
  <c r="Y781" i="17"/>
  <c r="X781" i="17"/>
  <c r="W781" i="17"/>
  <c r="V781" i="17"/>
  <c r="U781" i="17"/>
  <c r="R781" i="17"/>
  <c r="M781" i="17"/>
  <c r="L781" i="17"/>
  <c r="K781" i="17"/>
  <c r="I781" i="17"/>
  <c r="H781" i="17"/>
  <c r="D781" i="17"/>
  <c r="N781" i="17" s="1"/>
  <c r="AK780" i="17"/>
  <c r="AL780" i="17" s="1"/>
  <c r="AJ780" i="17"/>
  <c r="AF780" i="17"/>
  <c r="AE780" i="17"/>
  <c r="AD780" i="17"/>
  <c r="AC780" i="17"/>
  <c r="AB780" i="17"/>
  <c r="AA780" i="17"/>
  <c r="Y780" i="17"/>
  <c r="X780" i="17"/>
  <c r="W780" i="17"/>
  <c r="V780" i="17"/>
  <c r="U780" i="17"/>
  <c r="R780" i="17"/>
  <c r="M780" i="17"/>
  <c r="L780" i="17"/>
  <c r="K780" i="17"/>
  <c r="I780" i="17"/>
  <c r="H780" i="17"/>
  <c r="D780" i="17"/>
  <c r="AK779" i="17"/>
  <c r="AL779" i="17" s="1"/>
  <c r="AJ779" i="17"/>
  <c r="AF779" i="17"/>
  <c r="AE779" i="17"/>
  <c r="AD779" i="17"/>
  <c r="AC779" i="17"/>
  <c r="AB779" i="17"/>
  <c r="AA779" i="17"/>
  <c r="Y779" i="17"/>
  <c r="X779" i="17"/>
  <c r="W779" i="17"/>
  <c r="V779" i="17"/>
  <c r="U779" i="17"/>
  <c r="R779" i="17"/>
  <c r="M779" i="17"/>
  <c r="L779" i="17"/>
  <c r="K779" i="17"/>
  <c r="I779" i="17"/>
  <c r="H779" i="17"/>
  <c r="D779" i="17"/>
  <c r="AK778" i="17"/>
  <c r="AL778" i="17" s="1"/>
  <c r="AJ778" i="17"/>
  <c r="AF778" i="17"/>
  <c r="AE778" i="17"/>
  <c r="AD778" i="17"/>
  <c r="AC778" i="17"/>
  <c r="AB778" i="17"/>
  <c r="AA778" i="17"/>
  <c r="Y778" i="17"/>
  <c r="X778" i="17"/>
  <c r="W778" i="17"/>
  <c r="V778" i="17"/>
  <c r="U778" i="17"/>
  <c r="R778" i="17"/>
  <c r="M778" i="17"/>
  <c r="L778" i="17"/>
  <c r="K778" i="17"/>
  <c r="I778" i="17"/>
  <c r="H778" i="17"/>
  <c r="D778" i="17"/>
  <c r="N778" i="17" s="1"/>
  <c r="AK777" i="17"/>
  <c r="AL777" i="17" s="1"/>
  <c r="AJ777" i="17"/>
  <c r="AF777" i="17"/>
  <c r="AE777" i="17"/>
  <c r="AD777" i="17"/>
  <c r="AC777" i="17"/>
  <c r="AB777" i="17"/>
  <c r="AA777" i="17"/>
  <c r="Y777" i="17"/>
  <c r="X777" i="17"/>
  <c r="W777" i="17"/>
  <c r="V777" i="17"/>
  <c r="U777" i="17"/>
  <c r="R777" i="17"/>
  <c r="M777" i="17"/>
  <c r="L777" i="17"/>
  <c r="K777" i="17"/>
  <c r="I777" i="17"/>
  <c r="H777" i="17"/>
  <c r="D777" i="17"/>
  <c r="N777" i="17" s="1"/>
  <c r="AK776" i="17"/>
  <c r="AL776" i="17" s="1"/>
  <c r="AJ776" i="17"/>
  <c r="AF776" i="17"/>
  <c r="AE776" i="17"/>
  <c r="AD776" i="17"/>
  <c r="AC776" i="17"/>
  <c r="AB776" i="17"/>
  <c r="AA776" i="17"/>
  <c r="Y776" i="17"/>
  <c r="X776" i="17"/>
  <c r="W776" i="17"/>
  <c r="V776" i="17"/>
  <c r="U776" i="17"/>
  <c r="R776" i="17"/>
  <c r="M776" i="17"/>
  <c r="L776" i="17"/>
  <c r="K776" i="17"/>
  <c r="I776" i="17"/>
  <c r="H776" i="17"/>
  <c r="D776" i="17"/>
  <c r="AK775" i="17"/>
  <c r="AL775" i="17" s="1"/>
  <c r="AJ775" i="17"/>
  <c r="AF775" i="17"/>
  <c r="AE775" i="17"/>
  <c r="AD775" i="17"/>
  <c r="AC775" i="17"/>
  <c r="AB775" i="17"/>
  <c r="AA775" i="17"/>
  <c r="Y775" i="17"/>
  <c r="X775" i="17"/>
  <c r="W775" i="17"/>
  <c r="V775" i="17"/>
  <c r="U775" i="17"/>
  <c r="R775" i="17"/>
  <c r="M775" i="17"/>
  <c r="L775" i="17"/>
  <c r="K775" i="17"/>
  <c r="I775" i="17"/>
  <c r="H775" i="17"/>
  <c r="D775" i="17"/>
  <c r="AK774" i="17"/>
  <c r="AL774" i="17" s="1"/>
  <c r="AJ774" i="17"/>
  <c r="AF774" i="17"/>
  <c r="AE774" i="17"/>
  <c r="AD774" i="17"/>
  <c r="AC774" i="17"/>
  <c r="AB774" i="17"/>
  <c r="AA774" i="17"/>
  <c r="Y774" i="17"/>
  <c r="X774" i="17"/>
  <c r="W774" i="17"/>
  <c r="V774" i="17"/>
  <c r="U774" i="17"/>
  <c r="R774" i="17"/>
  <c r="M774" i="17"/>
  <c r="L774" i="17"/>
  <c r="K774" i="17"/>
  <c r="I774" i="17"/>
  <c r="H774" i="17"/>
  <c r="S774" i="17" s="1"/>
  <c r="T774" i="17" s="1"/>
  <c r="D774" i="17"/>
  <c r="N774" i="17" s="1"/>
  <c r="AK773" i="17"/>
  <c r="AL773" i="17" s="1"/>
  <c r="AJ773" i="17"/>
  <c r="AF773" i="17"/>
  <c r="AE773" i="17"/>
  <c r="AD773" i="17"/>
  <c r="AC773" i="17"/>
  <c r="AB773" i="17"/>
  <c r="AA773" i="17"/>
  <c r="Y773" i="17"/>
  <c r="X773" i="17"/>
  <c r="W773" i="17"/>
  <c r="V773" i="17"/>
  <c r="U773" i="17"/>
  <c r="R773" i="17"/>
  <c r="M773" i="17"/>
  <c r="L773" i="17"/>
  <c r="K773" i="17"/>
  <c r="I773" i="17"/>
  <c r="H773" i="17"/>
  <c r="D773" i="17"/>
  <c r="N773" i="17" s="1"/>
  <c r="AK772" i="17"/>
  <c r="AL772" i="17" s="1"/>
  <c r="AJ772" i="17"/>
  <c r="AF772" i="17"/>
  <c r="AE772" i="17"/>
  <c r="AD772" i="17"/>
  <c r="AC772" i="17"/>
  <c r="AB772" i="17"/>
  <c r="AA772" i="17"/>
  <c r="Y772" i="17"/>
  <c r="X772" i="17"/>
  <c r="W772" i="17"/>
  <c r="V772" i="17"/>
  <c r="U772" i="17"/>
  <c r="R772" i="17"/>
  <c r="M772" i="17"/>
  <c r="L772" i="17"/>
  <c r="K772" i="17"/>
  <c r="I772" i="17"/>
  <c r="H772" i="17"/>
  <c r="S772" i="17" s="1"/>
  <c r="T772" i="17" s="1"/>
  <c r="D772" i="17"/>
  <c r="AK771" i="17"/>
  <c r="AL771" i="17" s="1"/>
  <c r="AJ771" i="17"/>
  <c r="AF771" i="17"/>
  <c r="AE771" i="17"/>
  <c r="AD771" i="17"/>
  <c r="AC771" i="17"/>
  <c r="AB771" i="17"/>
  <c r="AA771" i="17"/>
  <c r="Y771" i="17"/>
  <c r="X771" i="17"/>
  <c r="W771" i="17"/>
  <c r="V771" i="17"/>
  <c r="U771" i="17"/>
  <c r="R771" i="17"/>
  <c r="M771" i="17"/>
  <c r="L771" i="17"/>
  <c r="K771" i="17"/>
  <c r="I771" i="17"/>
  <c r="H771" i="17"/>
  <c r="D771" i="17"/>
  <c r="AK770" i="17"/>
  <c r="AL770" i="17" s="1"/>
  <c r="AJ770" i="17"/>
  <c r="AF770" i="17"/>
  <c r="AE770" i="17"/>
  <c r="AD770" i="17"/>
  <c r="AC770" i="17"/>
  <c r="AB770" i="17"/>
  <c r="AA770" i="17"/>
  <c r="Y770" i="17"/>
  <c r="X770" i="17"/>
  <c r="W770" i="17"/>
  <c r="V770" i="17"/>
  <c r="U770" i="17"/>
  <c r="R770" i="17"/>
  <c r="M770" i="17"/>
  <c r="L770" i="17"/>
  <c r="K770" i="17"/>
  <c r="I770" i="17"/>
  <c r="H770" i="17"/>
  <c r="S770" i="17" s="1"/>
  <c r="T770" i="17" s="1"/>
  <c r="D770" i="17"/>
  <c r="N770" i="17" s="1"/>
  <c r="AK769" i="17"/>
  <c r="AL769" i="17" s="1"/>
  <c r="AJ769" i="17"/>
  <c r="AF769" i="17"/>
  <c r="AE769" i="17"/>
  <c r="AD769" i="17"/>
  <c r="AC769" i="17"/>
  <c r="AB769" i="17"/>
  <c r="AA769" i="17"/>
  <c r="Y769" i="17"/>
  <c r="X769" i="17"/>
  <c r="W769" i="17"/>
  <c r="V769" i="17"/>
  <c r="U769" i="17"/>
  <c r="R769" i="17"/>
  <c r="M769" i="17"/>
  <c r="L769" i="17"/>
  <c r="K769" i="17"/>
  <c r="I769" i="17"/>
  <c r="H769" i="17"/>
  <c r="D769" i="17"/>
  <c r="N769" i="17" s="1"/>
  <c r="AK768" i="17"/>
  <c r="AL768" i="17" s="1"/>
  <c r="AJ768" i="17"/>
  <c r="AF768" i="17"/>
  <c r="AE768" i="17"/>
  <c r="AD768" i="17"/>
  <c r="AC768" i="17"/>
  <c r="AB768" i="17"/>
  <c r="AA768" i="17"/>
  <c r="Y768" i="17"/>
  <c r="X768" i="17"/>
  <c r="W768" i="17"/>
  <c r="V768" i="17"/>
  <c r="U768" i="17"/>
  <c r="R768" i="17"/>
  <c r="M768" i="17"/>
  <c r="L768" i="17"/>
  <c r="K768" i="17"/>
  <c r="I768" i="17"/>
  <c r="H768" i="17"/>
  <c r="D768" i="17"/>
  <c r="AK767" i="17"/>
  <c r="AL767" i="17" s="1"/>
  <c r="AJ767" i="17"/>
  <c r="AF767" i="17"/>
  <c r="AE767" i="17"/>
  <c r="AD767" i="17"/>
  <c r="AC767" i="17"/>
  <c r="AB767" i="17"/>
  <c r="AA767" i="17"/>
  <c r="Y767" i="17"/>
  <c r="X767" i="17"/>
  <c r="W767" i="17"/>
  <c r="V767" i="17"/>
  <c r="U767" i="17"/>
  <c r="R767" i="17"/>
  <c r="M767" i="17"/>
  <c r="L767" i="17"/>
  <c r="K767" i="17"/>
  <c r="I767" i="17"/>
  <c r="H767" i="17"/>
  <c r="D767" i="17"/>
  <c r="AK766" i="17"/>
  <c r="AL766" i="17" s="1"/>
  <c r="AJ766" i="17"/>
  <c r="AF766" i="17"/>
  <c r="AE766" i="17"/>
  <c r="AD766" i="17"/>
  <c r="AC766" i="17"/>
  <c r="AB766" i="17"/>
  <c r="AA766" i="17"/>
  <c r="Y766" i="17"/>
  <c r="X766" i="17"/>
  <c r="W766" i="17"/>
  <c r="V766" i="17"/>
  <c r="U766" i="17"/>
  <c r="R766" i="17"/>
  <c r="M766" i="17"/>
  <c r="L766" i="17"/>
  <c r="K766" i="17"/>
  <c r="I766" i="17"/>
  <c r="H766" i="17"/>
  <c r="D766" i="17"/>
  <c r="N766" i="17" s="1"/>
  <c r="AK765" i="17"/>
  <c r="AL765" i="17" s="1"/>
  <c r="AJ765" i="17"/>
  <c r="AF765" i="17"/>
  <c r="AE765" i="17"/>
  <c r="AD765" i="17"/>
  <c r="AC765" i="17"/>
  <c r="AB765" i="17"/>
  <c r="AA765" i="17"/>
  <c r="Y765" i="17"/>
  <c r="X765" i="17"/>
  <c r="W765" i="17"/>
  <c r="V765" i="17"/>
  <c r="U765" i="17"/>
  <c r="R765" i="17"/>
  <c r="M765" i="17"/>
  <c r="L765" i="17"/>
  <c r="K765" i="17"/>
  <c r="I765" i="17"/>
  <c r="H765" i="17"/>
  <c r="D765" i="17"/>
  <c r="N765" i="17" s="1"/>
  <c r="AK764" i="17"/>
  <c r="AL764" i="17" s="1"/>
  <c r="AJ764" i="17"/>
  <c r="AF764" i="17"/>
  <c r="AE764" i="17"/>
  <c r="AD764" i="17"/>
  <c r="AC764" i="17"/>
  <c r="AB764" i="17"/>
  <c r="AA764" i="17"/>
  <c r="Y764" i="17"/>
  <c r="X764" i="17"/>
  <c r="W764" i="17"/>
  <c r="V764" i="17"/>
  <c r="U764" i="17"/>
  <c r="R764" i="17"/>
  <c r="M764" i="17"/>
  <c r="L764" i="17"/>
  <c r="K764" i="17"/>
  <c r="I764" i="17"/>
  <c r="H764" i="17"/>
  <c r="D764" i="17"/>
  <c r="AK763" i="17"/>
  <c r="AL763" i="17" s="1"/>
  <c r="AJ763" i="17"/>
  <c r="AF763" i="17"/>
  <c r="AE763" i="17"/>
  <c r="AD763" i="17"/>
  <c r="AC763" i="17"/>
  <c r="AB763" i="17"/>
  <c r="AA763" i="17"/>
  <c r="Y763" i="17"/>
  <c r="X763" i="17"/>
  <c r="W763" i="17"/>
  <c r="V763" i="17"/>
  <c r="U763" i="17"/>
  <c r="R763" i="17"/>
  <c r="M763" i="17"/>
  <c r="L763" i="17"/>
  <c r="K763" i="17"/>
  <c r="I763" i="17"/>
  <c r="H763" i="17"/>
  <c r="D763" i="17"/>
  <c r="AK762" i="17"/>
  <c r="AL762" i="17" s="1"/>
  <c r="AJ762" i="17"/>
  <c r="AF762" i="17"/>
  <c r="AE762" i="17"/>
  <c r="AD762" i="17"/>
  <c r="AC762" i="17"/>
  <c r="AB762" i="17"/>
  <c r="AA762" i="17"/>
  <c r="Y762" i="17"/>
  <c r="X762" i="17"/>
  <c r="W762" i="17"/>
  <c r="V762" i="17"/>
  <c r="U762" i="17"/>
  <c r="R762" i="17"/>
  <c r="M762" i="17"/>
  <c r="L762" i="17"/>
  <c r="K762" i="17"/>
  <c r="I762" i="17"/>
  <c r="H762" i="17"/>
  <c r="D762" i="17"/>
  <c r="N762" i="17" s="1"/>
  <c r="AK761" i="17"/>
  <c r="AL761" i="17" s="1"/>
  <c r="AJ761" i="17"/>
  <c r="AF761" i="17"/>
  <c r="AE761" i="17"/>
  <c r="AD761" i="17"/>
  <c r="AC761" i="17"/>
  <c r="AB761" i="17"/>
  <c r="AA761" i="17"/>
  <c r="Y761" i="17"/>
  <c r="X761" i="17"/>
  <c r="W761" i="17"/>
  <c r="V761" i="17"/>
  <c r="U761" i="17"/>
  <c r="R761" i="17"/>
  <c r="M761" i="17"/>
  <c r="L761" i="17"/>
  <c r="K761" i="17"/>
  <c r="I761" i="17"/>
  <c r="H761" i="17"/>
  <c r="D761" i="17"/>
  <c r="N761" i="17" s="1"/>
  <c r="AK760" i="17"/>
  <c r="AL760" i="17" s="1"/>
  <c r="AJ760" i="17"/>
  <c r="AF760" i="17"/>
  <c r="AE760" i="17"/>
  <c r="AD760" i="17"/>
  <c r="AC760" i="17"/>
  <c r="AB760" i="17"/>
  <c r="AA760" i="17"/>
  <c r="Y760" i="17"/>
  <c r="X760" i="17"/>
  <c r="W760" i="17"/>
  <c r="V760" i="17"/>
  <c r="U760" i="17"/>
  <c r="R760" i="17"/>
  <c r="M760" i="17"/>
  <c r="L760" i="17"/>
  <c r="K760" i="17"/>
  <c r="I760" i="17"/>
  <c r="H760" i="17"/>
  <c r="D760" i="17"/>
  <c r="AK759" i="17"/>
  <c r="AL759" i="17" s="1"/>
  <c r="AJ759" i="17"/>
  <c r="AF759" i="17"/>
  <c r="AE759" i="17"/>
  <c r="AD759" i="17"/>
  <c r="AC759" i="17"/>
  <c r="AB759" i="17"/>
  <c r="AA759" i="17"/>
  <c r="Y759" i="17"/>
  <c r="X759" i="17"/>
  <c r="W759" i="17"/>
  <c r="V759" i="17"/>
  <c r="U759" i="17"/>
  <c r="R759" i="17"/>
  <c r="M759" i="17"/>
  <c r="L759" i="17"/>
  <c r="K759" i="17"/>
  <c r="I759" i="17"/>
  <c r="H759" i="17"/>
  <c r="D759" i="17"/>
  <c r="AK758" i="17"/>
  <c r="AL758" i="17" s="1"/>
  <c r="AJ758" i="17"/>
  <c r="AF758" i="17"/>
  <c r="AE758" i="17"/>
  <c r="AD758" i="17"/>
  <c r="AC758" i="17"/>
  <c r="AB758" i="17"/>
  <c r="AA758" i="17"/>
  <c r="Y758" i="17"/>
  <c r="X758" i="17"/>
  <c r="W758" i="17"/>
  <c r="V758" i="17"/>
  <c r="U758" i="17"/>
  <c r="R758" i="17"/>
  <c r="M758" i="17"/>
  <c r="L758" i="17"/>
  <c r="K758" i="17"/>
  <c r="I758" i="17"/>
  <c r="H758" i="17"/>
  <c r="S758" i="17" s="1"/>
  <c r="T758" i="17" s="1"/>
  <c r="D758" i="17"/>
  <c r="N758" i="17" s="1"/>
  <c r="AK757" i="17"/>
  <c r="AL757" i="17" s="1"/>
  <c r="AJ757" i="17"/>
  <c r="AF757" i="17"/>
  <c r="AE757" i="17"/>
  <c r="AD757" i="17"/>
  <c r="AC757" i="17"/>
  <c r="AB757" i="17"/>
  <c r="AA757" i="17"/>
  <c r="Y757" i="17"/>
  <c r="X757" i="17"/>
  <c r="W757" i="17"/>
  <c r="V757" i="17"/>
  <c r="U757" i="17"/>
  <c r="R757" i="17"/>
  <c r="M757" i="17"/>
  <c r="L757" i="17"/>
  <c r="K757" i="17"/>
  <c r="I757" i="17"/>
  <c r="H757" i="17"/>
  <c r="D757" i="17"/>
  <c r="N757" i="17" s="1"/>
  <c r="AK756" i="17"/>
  <c r="AL756" i="17" s="1"/>
  <c r="AJ756" i="17"/>
  <c r="AF756" i="17"/>
  <c r="AE756" i="17"/>
  <c r="AD756" i="17"/>
  <c r="AC756" i="17"/>
  <c r="AB756" i="17"/>
  <c r="AA756" i="17"/>
  <c r="Y756" i="17"/>
  <c r="X756" i="17"/>
  <c r="W756" i="17"/>
  <c r="V756" i="17"/>
  <c r="U756" i="17"/>
  <c r="R756" i="17"/>
  <c r="M756" i="17"/>
  <c r="L756" i="17"/>
  <c r="K756" i="17"/>
  <c r="I756" i="17"/>
  <c r="H756" i="17"/>
  <c r="S756" i="17" s="1"/>
  <c r="T756" i="17" s="1"/>
  <c r="D756" i="17"/>
  <c r="AK755" i="17"/>
  <c r="AL755" i="17" s="1"/>
  <c r="AJ755" i="17"/>
  <c r="AF755" i="17"/>
  <c r="AE755" i="17"/>
  <c r="AD755" i="17"/>
  <c r="AC755" i="17"/>
  <c r="AB755" i="17"/>
  <c r="AA755" i="17"/>
  <c r="Y755" i="17"/>
  <c r="X755" i="17"/>
  <c r="W755" i="17"/>
  <c r="V755" i="17"/>
  <c r="U755" i="17"/>
  <c r="R755" i="17"/>
  <c r="M755" i="17"/>
  <c r="L755" i="17"/>
  <c r="K755" i="17"/>
  <c r="I755" i="17"/>
  <c r="H755" i="17"/>
  <c r="D755" i="17"/>
  <c r="AK754" i="17"/>
  <c r="AL754" i="17" s="1"/>
  <c r="AJ754" i="17"/>
  <c r="AF754" i="17"/>
  <c r="AE754" i="17"/>
  <c r="AD754" i="17"/>
  <c r="AC754" i="17"/>
  <c r="AB754" i="17"/>
  <c r="AA754" i="17"/>
  <c r="Y754" i="17"/>
  <c r="X754" i="17"/>
  <c r="W754" i="17"/>
  <c r="V754" i="17"/>
  <c r="U754" i="17"/>
  <c r="R754" i="17"/>
  <c r="M754" i="17"/>
  <c r="L754" i="17"/>
  <c r="K754" i="17"/>
  <c r="I754" i="17"/>
  <c r="H754" i="17"/>
  <c r="S754" i="17" s="1"/>
  <c r="T754" i="17" s="1"/>
  <c r="D754" i="17"/>
  <c r="N754" i="17" s="1"/>
  <c r="AK753" i="17"/>
  <c r="AL753" i="17" s="1"/>
  <c r="AJ753" i="17"/>
  <c r="AF753" i="17"/>
  <c r="AE753" i="17"/>
  <c r="AD753" i="17"/>
  <c r="AC753" i="17"/>
  <c r="AB753" i="17"/>
  <c r="AA753" i="17"/>
  <c r="Y753" i="17"/>
  <c r="X753" i="17"/>
  <c r="W753" i="17"/>
  <c r="V753" i="17"/>
  <c r="U753" i="17"/>
  <c r="R753" i="17"/>
  <c r="M753" i="17"/>
  <c r="L753" i="17"/>
  <c r="K753" i="17"/>
  <c r="I753" i="17"/>
  <c r="H753" i="17"/>
  <c r="D753" i="17"/>
  <c r="N753" i="17" s="1"/>
  <c r="AK752" i="17"/>
  <c r="AL752" i="17" s="1"/>
  <c r="AJ752" i="17"/>
  <c r="AF752" i="17"/>
  <c r="AE752" i="17"/>
  <c r="AD752" i="17"/>
  <c r="AC752" i="17"/>
  <c r="AB752" i="17"/>
  <c r="AA752" i="17"/>
  <c r="Y752" i="17"/>
  <c r="X752" i="17"/>
  <c r="W752" i="17"/>
  <c r="V752" i="17"/>
  <c r="U752" i="17"/>
  <c r="R752" i="17"/>
  <c r="M752" i="17"/>
  <c r="L752" i="17"/>
  <c r="K752" i="17"/>
  <c r="I752" i="17"/>
  <c r="H752" i="17"/>
  <c r="D752" i="17"/>
  <c r="AK751" i="17"/>
  <c r="AL751" i="17" s="1"/>
  <c r="AJ751" i="17"/>
  <c r="AF751" i="17"/>
  <c r="AE751" i="17"/>
  <c r="AD751" i="17"/>
  <c r="AC751" i="17"/>
  <c r="AB751" i="17"/>
  <c r="AA751" i="17"/>
  <c r="Y751" i="17"/>
  <c r="X751" i="17"/>
  <c r="W751" i="17"/>
  <c r="V751" i="17"/>
  <c r="U751" i="17"/>
  <c r="R751" i="17"/>
  <c r="M751" i="17"/>
  <c r="L751" i="17"/>
  <c r="K751" i="17"/>
  <c r="I751" i="17"/>
  <c r="H751" i="17"/>
  <c r="D751" i="17"/>
  <c r="AK750" i="17"/>
  <c r="AL750" i="17" s="1"/>
  <c r="AJ750" i="17"/>
  <c r="AF750" i="17"/>
  <c r="AE750" i="17"/>
  <c r="AD750" i="17"/>
  <c r="AC750" i="17"/>
  <c r="AB750" i="17"/>
  <c r="AA750" i="17"/>
  <c r="Y750" i="17"/>
  <c r="X750" i="17"/>
  <c r="W750" i="17"/>
  <c r="V750" i="17"/>
  <c r="U750" i="17"/>
  <c r="R750" i="17"/>
  <c r="M750" i="17"/>
  <c r="L750" i="17"/>
  <c r="K750" i="17"/>
  <c r="I750" i="17"/>
  <c r="H750" i="17"/>
  <c r="D750" i="17"/>
  <c r="N750" i="17" s="1"/>
  <c r="AK749" i="17"/>
  <c r="AL749" i="17" s="1"/>
  <c r="AJ749" i="17"/>
  <c r="AF749" i="17"/>
  <c r="AE749" i="17"/>
  <c r="AD749" i="17"/>
  <c r="AC749" i="17"/>
  <c r="AB749" i="17"/>
  <c r="AA749" i="17"/>
  <c r="Y749" i="17"/>
  <c r="X749" i="17"/>
  <c r="W749" i="17"/>
  <c r="V749" i="17"/>
  <c r="U749" i="17"/>
  <c r="R749" i="17"/>
  <c r="M749" i="17"/>
  <c r="L749" i="17"/>
  <c r="K749" i="17"/>
  <c r="I749" i="17"/>
  <c r="H749" i="17"/>
  <c r="D749" i="17"/>
  <c r="N749" i="17" s="1"/>
  <c r="AK748" i="17"/>
  <c r="AL748" i="17" s="1"/>
  <c r="AJ748" i="17"/>
  <c r="AF748" i="17"/>
  <c r="AE748" i="17"/>
  <c r="AD748" i="17"/>
  <c r="AC748" i="17"/>
  <c r="AB748" i="17"/>
  <c r="AA748" i="17"/>
  <c r="Y748" i="17"/>
  <c r="X748" i="17"/>
  <c r="W748" i="17"/>
  <c r="V748" i="17"/>
  <c r="U748" i="17"/>
  <c r="R748" i="17"/>
  <c r="M748" i="17"/>
  <c r="L748" i="17"/>
  <c r="K748" i="17"/>
  <c r="I748" i="17"/>
  <c r="H748" i="17"/>
  <c r="D748" i="17"/>
  <c r="AK747" i="17"/>
  <c r="AL747" i="17" s="1"/>
  <c r="AJ747" i="17"/>
  <c r="AF747" i="17"/>
  <c r="AE747" i="17"/>
  <c r="AD747" i="17"/>
  <c r="AC747" i="17"/>
  <c r="AB747" i="17"/>
  <c r="AA747" i="17"/>
  <c r="Y747" i="17"/>
  <c r="X747" i="17"/>
  <c r="W747" i="17"/>
  <c r="V747" i="17"/>
  <c r="U747" i="17"/>
  <c r="R747" i="17"/>
  <c r="M747" i="17"/>
  <c r="L747" i="17"/>
  <c r="K747" i="17"/>
  <c r="I747" i="17"/>
  <c r="H747" i="17"/>
  <c r="S747" i="17" s="1"/>
  <c r="T747" i="17" s="1"/>
  <c r="D747" i="17"/>
  <c r="AK746" i="17"/>
  <c r="AL746" i="17" s="1"/>
  <c r="AJ746" i="17"/>
  <c r="AF746" i="17"/>
  <c r="AE746" i="17"/>
  <c r="AD746" i="17"/>
  <c r="AC746" i="17"/>
  <c r="AB746" i="17"/>
  <c r="AA746" i="17"/>
  <c r="Y746" i="17"/>
  <c r="X746" i="17"/>
  <c r="W746" i="17"/>
  <c r="V746" i="17"/>
  <c r="U746" i="17"/>
  <c r="R746" i="17"/>
  <c r="M746" i="17"/>
  <c r="L746" i="17"/>
  <c r="K746" i="17"/>
  <c r="I746" i="17"/>
  <c r="H746" i="17"/>
  <c r="D746" i="17"/>
  <c r="N746" i="17" s="1"/>
  <c r="AK745" i="17"/>
  <c r="AL745" i="17" s="1"/>
  <c r="AJ745" i="17"/>
  <c r="AF745" i="17"/>
  <c r="AE745" i="17"/>
  <c r="AD745" i="17"/>
  <c r="AC745" i="17"/>
  <c r="AB745" i="17"/>
  <c r="AA745" i="17"/>
  <c r="Y745" i="17"/>
  <c r="X745" i="17"/>
  <c r="W745" i="17"/>
  <c r="V745" i="17"/>
  <c r="U745" i="17"/>
  <c r="R745" i="17"/>
  <c r="M745" i="17"/>
  <c r="L745" i="17"/>
  <c r="K745" i="17"/>
  <c r="I745" i="17"/>
  <c r="H745" i="17"/>
  <c r="D745" i="17"/>
  <c r="N745" i="17" s="1"/>
  <c r="AK744" i="17"/>
  <c r="AL744" i="17" s="1"/>
  <c r="AJ744" i="17"/>
  <c r="AF744" i="17"/>
  <c r="AE744" i="17"/>
  <c r="AD744" i="17"/>
  <c r="AC744" i="17"/>
  <c r="AB744" i="17"/>
  <c r="AA744" i="17"/>
  <c r="Y744" i="17"/>
  <c r="X744" i="17"/>
  <c r="W744" i="17"/>
  <c r="V744" i="17"/>
  <c r="U744" i="17"/>
  <c r="R744" i="17"/>
  <c r="M744" i="17"/>
  <c r="L744" i="17"/>
  <c r="K744" i="17"/>
  <c r="I744" i="17"/>
  <c r="H744" i="17"/>
  <c r="D744" i="17"/>
  <c r="AK743" i="17"/>
  <c r="AL743" i="17" s="1"/>
  <c r="AJ743" i="17"/>
  <c r="AF743" i="17"/>
  <c r="AE743" i="17"/>
  <c r="AD743" i="17"/>
  <c r="AC743" i="17"/>
  <c r="AB743" i="17"/>
  <c r="AA743" i="17"/>
  <c r="Y743" i="17"/>
  <c r="X743" i="17"/>
  <c r="W743" i="17"/>
  <c r="V743" i="17"/>
  <c r="U743" i="17"/>
  <c r="R743" i="17"/>
  <c r="M743" i="17"/>
  <c r="L743" i="17"/>
  <c r="K743" i="17"/>
  <c r="I743" i="17"/>
  <c r="H743" i="17"/>
  <c r="D743" i="17"/>
  <c r="AK742" i="17"/>
  <c r="AL742" i="17" s="1"/>
  <c r="AF742" i="17"/>
  <c r="AE742" i="17"/>
  <c r="AD742" i="17"/>
  <c r="AC742" i="17"/>
  <c r="AB742" i="17"/>
  <c r="AA742" i="17"/>
  <c r="Y742" i="17"/>
  <c r="X742" i="17"/>
  <c r="W742" i="17"/>
  <c r="V742" i="17"/>
  <c r="U742" i="17"/>
  <c r="R742" i="17"/>
  <c r="M742" i="17"/>
  <c r="L742" i="17"/>
  <c r="K742" i="17"/>
  <c r="I742" i="17"/>
  <c r="H742" i="17"/>
  <c r="D742" i="17"/>
  <c r="N742" i="17" s="1"/>
  <c r="AK741" i="17"/>
  <c r="AF741" i="17"/>
  <c r="AE741" i="17"/>
  <c r="AD741" i="17"/>
  <c r="AC741" i="17"/>
  <c r="AB741" i="17"/>
  <c r="AA741" i="17"/>
  <c r="Y741" i="17"/>
  <c r="X741" i="17"/>
  <c r="W741" i="17"/>
  <c r="V741" i="17"/>
  <c r="U741" i="17"/>
  <c r="R741" i="17"/>
  <c r="M741" i="17"/>
  <c r="L741" i="17"/>
  <c r="K741" i="17"/>
  <c r="I741" i="17"/>
  <c r="H741" i="17"/>
  <c r="D741" i="17"/>
  <c r="N741" i="17" s="1"/>
  <c r="AK740" i="17"/>
  <c r="AL740" i="17" s="1"/>
  <c r="AJ740" i="17"/>
  <c r="AF740" i="17"/>
  <c r="AE740" i="17"/>
  <c r="AD740" i="17"/>
  <c r="AC740" i="17"/>
  <c r="AB740" i="17"/>
  <c r="AA740" i="17"/>
  <c r="Y740" i="17"/>
  <c r="X740" i="17"/>
  <c r="W740" i="17"/>
  <c r="V740" i="17"/>
  <c r="U740" i="17"/>
  <c r="R740" i="17"/>
  <c r="N740" i="17"/>
  <c r="M740" i="17"/>
  <c r="L740" i="17"/>
  <c r="K740" i="17"/>
  <c r="I740" i="17"/>
  <c r="H740" i="17"/>
  <c r="D740" i="17"/>
  <c r="AK739" i="17"/>
  <c r="AF739" i="17"/>
  <c r="AE739" i="17"/>
  <c r="AD739" i="17"/>
  <c r="AC739" i="17"/>
  <c r="AB739" i="17"/>
  <c r="AA739" i="17"/>
  <c r="Y739" i="17"/>
  <c r="X739" i="17"/>
  <c r="W739" i="17"/>
  <c r="V739" i="17"/>
  <c r="U739" i="17"/>
  <c r="R739" i="17"/>
  <c r="N739" i="17"/>
  <c r="M739" i="17"/>
  <c r="L739" i="17"/>
  <c r="K739" i="17"/>
  <c r="I739" i="17"/>
  <c r="H739" i="17"/>
  <c r="D739" i="17"/>
  <c r="AK738" i="17"/>
  <c r="AL738" i="17" s="1"/>
  <c r="AJ738" i="17"/>
  <c r="AF738" i="17"/>
  <c r="AE738" i="17"/>
  <c r="AD738" i="17"/>
  <c r="AC738" i="17"/>
  <c r="AB738" i="17"/>
  <c r="AA738" i="17"/>
  <c r="Y738" i="17"/>
  <c r="X738" i="17"/>
  <c r="W738" i="17"/>
  <c r="V738" i="17"/>
  <c r="U738" i="17"/>
  <c r="R738" i="17"/>
  <c r="M738" i="17"/>
  <c r="L738" i="17"/>
  <c r="K738" i="17"/>
  <c r="I738" i="17"/>
  <c r="N738" i="17" s="1"/>
  <c r="H738" i="17"/>
  <c r="D738" i="17"/>
  <c r="AK737" i="17"/>
  <c r="AL737" i="17" s="1"/>
  <c r="AJ737" i="17"/>
  <c r="AF737" i="17"/>
  <c r="AE737" i="17"/>
  <c r="AD737" i="17"/>
  <c r="AC737" i="17"/>
  <c r="AB737" i="17"/>
  <c r="AA737" i="17"/>
  <c r="Y737" i="17"/>
  <c r="X737" i="17"/>
  <c r="W737" i="17"/>
  <c r="V737" i="17"/>
  <c r="U737" i="17"/>
  <c r="R737" i="17"/>
  <c r="M737" i="17"/>
  <c r="L737" i="17"/>
  <c r="K737" i="17"/>
  <c r="I737" i="17"/>
  <c r="H737" i="17"/>
  <c r="D737" i="17"/>
  <c r="N737" i="17" s="1"/>
  <c r="AK736" i="17"/>
  <c r="AL736" i="17" s="1"/>
  <c r="AF736" i="17"/>
  <c r="AE736" i="17"/>
  <c r="AD736" i="17"/>
  <c r="AC736" i="17"/>
  <c r="AB736" i="17"/>
  <c r="AA736" i="17"/>
  <c r="Y736" i="17"/>
  <c r="X736" i="17"/>
  <c r="W736" i="17"/>
  <c r="V736" i="17"/>
  <c r="U736" i="17"/>
  <c r="R736" i="17"/>
  <c r="M736" i="17"/>
  <c r="L736" i="17"/>
  <c r="K736" i="17"/>
  <c r="I736" i="17"/>
  <c r="H736" i="17"/>
  <c r="D736" i="17"/>
  <c r="N736" i="17" s="1"/>
  <c r="AK735" i="17"/>
  <c r="AL735" i="17" s="1"/>
  <c r="AF735" i="17"/>
  <c r="AE735" i="17"/>
  <c r="AD735" i="17"/>
  <c r="AC735" i="17"/>
  <c r="AB735" i="17"/>
  <c r="AA735" i="17"/>
  <c r="Y735" i="17"/>
  <c r="X735" i="17"/>
  <c r="W735" i="17"/>
  <c r="V735" i="17"/>
  <c r="U735" i="17"/>
  <c r="R735" i="17"/>
  <c r="M735" i="17"/>
  <c r="L735" i="17"/>
  <c r="K735" i="17"/>
  <c r="I735" i="17"/>
  <c r="H735" i="17"/>
  <c r="D735" i="17"/>
  <c r="N735" i="17" s="1"/>
  <c r="AK734" i="17"/>
  <c r="AL734" i="17" s="1"/>
  <c r="AF734" i="17"/>
  <c r="AE734" i="17"/>
  <c r="AD734" i="17"/>
  <c r="AC734" i="17"/>
  <c r="AB734" i="17"/>
  <c r="AA734" i="17"/>
  <c r="Y734" i="17"/>
  <c r="X734" i="17"/>
  <c r="W734" i="17"/>
  <c r="V734" i="17"/>
  <c r="U734" i="17"/>
  <c r="R734" i="17"/>
  <c r="M734" i="17"/>
  <c r="L734" i="17"/>
  <c r="K734" i="17"/>
  <c r="I734" i="17"/>
  <c r="H734" i="17"/>
  <c r="D734" i="17"/>
  <c r="N734" i="17" s="1"/>
  <c r="AK733" i="17"/>
  <c r="AF733" i="17"/>
  <c r="AE733" i="17"/>
  <c r="AD733" i="17"/>
  <c r="AC733" i="17"/>
  <c r="AB733" i="17"/>
  <c r="AA733" i="17"/>
  <c r="Y733" i="17"/>
  <c r="X733" i="17"/>
  <c r="W733" i="17"/>
  <c r="V733" i="17"/>
  <c r="U733" i="17"/>
  <c r="R733" i="17"/>
  <c r="N733" i="17"/>
  <c r="M733" i="17"/>
  <c r="L733" i="17"/>
  <c r="K733" i="17"/>
  <c r="I733" i="17"/>
  <c r="H733" i="17"/>
  <c r="D733" i="17"/>
  <c r="AK732" i="17"/>
  <c r="AL732" i="17" s="1"/>
  <c r="AJ732" i="17"/>
  <c r="AF732" i="17"/>
  <c r="AE732" i="17"/>
  <c r="AD732" i="17"/>
  <c r="AC732" i="17"/>
  <c r="AB732" i="17"/>
  <c r="AA732" i="17"/>
  <c r="Y732" i="17"/>
  <c r="X732" i="17"/>
  <c r="W732" i="17"/>
  <c r="V732" i="17"/>
  <c r="U732" i="17"/>
  <c r="R732" i="17"/>
  <c r="N732" i="17"/>
  <c r="M732" i="17"/>
  <c r="L732" i="17"/>
  <c r="K732" i="17"/>
  <c r="I732" i="17"/>
  <c r="H732" i="17"/>
  <c r="D732" i="17"/>
  <c r="AK731" i="17"/>
  <c r="AF731" i="17"/>
  <c r="AE731" i="17"/>
  <c r="AD731" i="17"/>
  <c r="AC731" i="17"/>
  <c r="AB731" i="17"/>
  <c r="AA731" i="17"/>
  <c r="Y731" i="17"/>
  <c r="X731" i="17"/>
  <c r="W731" i="17"/>
  <c r="V731" i="17"/>
  <c r="U731" i="17"/>
  <c r="R731" i="17"/>
  <c r="N731" i="17"/>
  <c r="M731" i="17"/>
  <c r="L731" i="17"/>
  <c r="K731" i="17"/>
  <c r="I731" i="17"/>
  <c r="H731" i="17"/>
  <c r="D731" i="17"/>
  <c r="AK730" i="17"/>
  <c r="AL730" i="17" s="1"/>
  <c r="AJ730" i="17"/>
  <c r="AF730" i="17"/>
  <c r="AE730" i="17"/>
  <c r="AD730" i="17"/>
  <c r="AC730" i="17"/>
  <c r="AB730" i="17"/>
  <c r="AA730" i="17"/>
  <c r="Y730" i="17"/>
  <c r="X730" i="17"/>
  <c r="W730" i="17"/>
  <c r="V730" i="17"/>
  <c r="U730" i="17"/>
  <c r="R730" i="17"/>
  <c r="M730" i="17"/>
  <c r="L730" i="17"/>
  <c r="K730" i="17"/>
  <c r="I730" i="17"/>
  <c r="N730" i="17" s="1"/>
  <c r="H730" i="17"/>
  <c r="D730" i="17"/>
  <c r="AK729" i="17"/>
  <c r="AL729" i="17" s="1"/>
  <c r="AJ729" i="17"/>
  <c r="AF729" i="17"/>
  <c r="AE729" i="17"/>
  <c r="AD729" i="17"/>
  <c r="AC729" i="17"/>
  <c r="AB729" i="17"/>
  <c r="AA729" i="17"/>
  <c r="Y729" i="17"/>
  <c r="X729" i="17"/>
  <c r="W729" i="17"/>
  <c r="V729" i="17"/>
  <c r="U729" i="17"/>
  <c r="R729" i="17"/>
  <c r="M729" i="17"/>
  <c r="L729" i="17"/>
  <c r="K729" i="17"/>
  <c r="I729" i="17"/>
  <c r="H729" i="17"/>
  <c r="D729" i="17"/>
  <c r="N729" i="17" s="1"/>
  <c r="AK728" i="17"/>
  <c r="AL728" i="17" s="1"/>
  <c r="AF728" i="17"/>
  <c r="AB728" i="17"/>
  <c r="AA728" i="17"/>
  <c r="Y728" i="17"/>
  <c r="X728" i="17"/>
  <c r="W728" i="17"/>
  <c r="V728" i="17"/>
  <c r="U728" i="17"/>
  <c r="R728" i="17"/>
  <c r="M728" i="17"/>
  <c r="L728" i="17"/>
  <c r="K728" i="17"/>
  <c r="I728" i="17"/>
  <c r="H728" i="17"/>
  <c r="D728" i="17"/>
  <c r="N728" i="17" s="1"/>
  <c r="AK727" i="17"/>
  <c r="AF727" i="17"/>
  <c r="AE727" i="17"/>
  <c r="AD727" i="17"/>
  <c r="AC727" i="17"/>
  <c r="AB727" i="17"/>
  <c r="AA727" i="17"/>
  <c r="Y727" i="17"/>
  <c r="X727" i="17"/>
  <c r="W727" i="17"/>
  <c r="V727" i="17"/>
  <c r="U727" i="17"/>
  <c r="R727" i="17"/>
  <c r="N727" i="17"/>
  <c r="M727" i="17"/>
  <c r="L727" i="17"/>
  <c r="K727" i="17"/>
  <c r="I727" i="17"/>
  <c r="H727" i="17"/>
  <c r="D727" i="17"/>
  <c r="AK726" i="17"/>
  <c r="AF726" i="17"/>
  <c r="AE726" i="17"/>
  <c r="AD726" i="17"/>
  <c r="AC726" i="17"/>
  <c r="AB726" i="17"/>
  <c r="AA726" i="17"/>
  <c r="Y726" i="17"/>
  <c r="X726" i="17"/>
  <c r="W726" i="17"/>
  <c r="V726" i="17"/>
  <c r="U726" i="17"/>
  <c r="R726" i="17"/>
  <c r="N726" i="17"/>
  <c r="M726" i="17"/>
  <c r="L726" i="17"/>
  <c r="K726" i="17"/>
  <c r="I726" i="17"/>
  <c r="H726" i="17"/>
  <c r="D726" i="17"/>
  <c r="AK725" i="17"/>
  <c r="AF725" i="17"/>
  <c r="AE725" i="17"/>
  <c r="AD725" i="17"/>
  <c r="AC725" i="17"/>
  <c r="AB725" i="17"/>
  <c r="AA725" i="17"/>
  <c r="Y725" i="17"/>
  <c r="X725" i="17"/>
  <c r="W725" i="17"/>
  <c r="V725" i="17"/>
  <c r="U725" i="17"/>
  <c r="R725" i="17"/>
  <c r="M725" i="17"/>
  <c r="L725" i="17"/>
  <c r="K725" i="17"/>
  <c r="I725" i="17"/>
  <c r="H725" i="17"/>
  <c r="D725" i="17"/>
  <c r="N725" i="17" s="1"/>
  <c r="AK724" i="17"/>
  <c r="AF724" i="17"/>
  <c r="AE724" i="17"/>
  <c r="AD724" i="17"/>
  <c r="AC724" i="17"/>
  <c r="AB724" i="17"/>
  <c r="AA724" i="17"/>
  <c r="Y724" i="17"/>
  <c r="X724" i="17"/>
  <c r="W724" i="17"/>
  <c r="V724" i="17"/>
  <c r="U724" i="17"/>
  <c r="R724" i="17"/>
  <c r="N724" i="17"/>
  <c r="M724" i="17"/>
  <c r="L724" i="17"/>
  <c r="K724" i="17"/>
  <c r="I724" i="17"/>
  <c r="H724" i="17"/>
  <c r="D724" i="17"/>
  <c r="AK723" i="17"/>
  <c r="AF723" i="17"/>
  <c r="AE723" i="17"/>
  <c r="AD723" i="17"/>
  <c r="AC723" i="17"/>
  <c r="AB723" i="17"/>
  <c r="AA723" i="17"/>
  <c r="Y723" i="17"/>
  <c r="X723" i="17"/>
  <c r="W723" i="17"/>
  <c r="V723" i="17"/>
  <c r="U723" i="17"/>
  <c r="R723" i="17"/>
  <c r="N723" i="17"/>
  <c r="M723" i="17"/>
  <c r="L723" i="17"/>
  <c r="K723" i="17"/>
  <c r="I723" i="17"/>
  <c r="H723" i="17"/>
  <c r="D723" i="17"/>
  <c r="AK722" i="17"/>
  <c r="AF722" i="17"/>
  <c r="AE722" i="17"/>
  <c r="AD722" i="17"/>
  <c r="AC722" i="17"/>
  <c r="AB722" i="17"/>
  <c r="AA722" i="17"/>
  <c r="Y722" i="17"/>
  <c r="X722" i="17"/>
  <c r="W722" i="17"/>
  <c r="V722" i="17"/>
  <c r="U722" i="17"/>
  <c r="R722" i="17"/>
  <c r="M722" i="17"/>
  <c r="L722" i="17"/>
  <c r="K722" i="17"/>
  <c r="I722" i="17"/>
  <c r="H722" i="17"/>
  <c r="D722" i="17"/>
  <c r="N722" i="17" s="1"/>
  <c r="AK721" i="17"/>
  <c r="AF721" i="17"/>
  <c r="AE721" i="17"/>
  <c r="AD721" i="17"/>
  <c r="AC721" i="17"/>
  <c r="AB721" i="17"/>
  <c r="AA721" i="17"/>
  <c r="Y721" i="17"/>
  <c r="X721" i="17"/>
  <c r="W721" i="17"/>
  <c r="V721" i="17"/>
  <c r="U721" i="17"/>
  <c r="R721" i="17"/>
  <c r="M721" i="17"/>
  <c r="L721" i="17"/>
  <c r="K721" i="17"/>
  <c r="I721" i="17"/>
  <c r="H721" i="17"/>
  <c r="D721" i="17"/>
  <c r="N721" i="17" s="1"/>
  <c r="AK720" i="17"/>
  <c r="AF720" i="17"/>
  <c r="AE720" i="17"/>
  <c r="AD720" i="17"/>
  <c r="AC720" i="17"/>
  <c r="AB720" i="17"/>
  <c r="AA720" i="17"/>
  <c r="Y720" i="17"/>
  <c r="X720" i="17"/>
  <c r="W720" i="17"/>
  <c r="V720" i="17"/>
  <c r="U720" i="17"/>
  <c r="R720" i="17"/>
  <c r="M720" i="17"/>
  <c r="L720" i="17"/>
  <c r="K720" i="17"/>
  <c r="I720" i="17"/>
  <c r="H720" i="17"/>
  <c r="D720" i="17"/>
  <c r="N720" i="17" s="1"/>
  <c r="AK719" i="17"/>
  <c r="AF719" i="17"/>
  <c r="AE719" i="17"/>
  <c r="AD719" i="17"/>
  <c r="AC719" i="17"/>
  <c r="AB719" i="17"/>
  <c r="AA719" i="17"/>
  <c r="Y719" i="17"/>
  <c r="X719" i="17"/>
  <c r="W719" i="17"/>
  <c r="V719" i="17"/>
  <c r="U719" i="17"/>
  <c r="R719" i="17"/>
  <c r="N719" i="17"/>
  <c r="M719" i="17"/>
  <c r="L719" i="17"/>
  <c r="K719" i="17"/>
  <c r="I719" i="17"/>
  <c r="H719" i="17"/>
  <c r="D719" i="17"/>
  <c r="AK718" i="17"/>
  <c r="AF718" i="17"/>
  <c r="AE718" i="17"/>
  <c r="AD718" i="17"/>
  <c r="AC718" i="17"/>
  <c r="AB718" i="17"/>
  <c r="AA718" i="17"/>
  <c r="Y718" i="17"/>
  <c r="X718" i="17"/>
  <c r="W718" i="17"/>
  <c r="V718" i="17"/>
  <c r="U718" i="17"/>
  <c r="R718" i="17"/>
  <c r="N718" i="17"/>
  <c r="M718" i="17"/>
  <c r="L718" i="17"/>
  <c r="K718" i="17"/>
  <c r="I718" i="17"/>
  <c r="H718" i="17"/>
  <c r="D718" i="17"/>
  <c r="AK717" i="17"/>
  <c r="AF717" i="17"/>
  <c r="AE717" i="17"/>
  <c r="AD717" i="17"/>
  <c r="AC717" i="17"/>
  <c r="AB717" i="17"/>
  <c r="AA717" i="17"/>
  <c r="Y717" i="17"/>
  <c r="X717" i="17"/>
  <c r="W717" i="17"/>
  <c r="V717" i="17"/>
  <c r="U717" i="17"/>
  <c r="R717" i="17"/>
  <c r="M717" i="17"/>
  <c r="L717" i="17"/>
  <c r="K717" i="17"/>
  <c r="I717" i="17"/>
  <c r="H717" i="17"/>
  <c r="D717" i="17"/>
  <c r="N717" i="17" s="1"/>
  <c r="AK716" i="17"/>
  <c r="AF716" i="17"/>
  <c r="AE716" i="17"/>
  <c r="AD716" i="17"/>
  <c r="AC716" i="17"/>
  <c r="AB716" i="17"/>
  <c r="AA716" i="17"/>
  <c r="Y716" i="17"/>
  <c r="X716" i="17"/>
  <c r="W716" i="17"/>
  <c r="V716" i="17"/>
  <c r="U716" i="17"/>
  <c r="R716" i="17"/>
  <c r="N716" i="17"/>
  <c r="M716" i="17"/>
  <c r="L716" i="17"/>
  <c r="K716" i="17"/>
  <c r="I716" i="17"/>
  <c r="H716" i="17"/>
  <c r="D716" i="17"/>
  <c r="AK715" i="17"/>
  <c r="AG715" i="17"/>
  <c r="AF715" i="17"/>
  <c r="AE715" i="17"/>
  <c r="AD715" i="17"/>
  <c r="AC715" i="17"/>
  <c r="AB715" i="17"/>
  <c r="AA715" i="17"/>
  <c r="Y715" i="17"/>
  <c r="X715" i="17"/>
  <c r="W715" i="17"/>
  <c r="V715" i="17"/>
  <c r="U715" i="17"/>
  <c r="R715" i="17"/>
  <c r="M715" i="17"/>
  <c r="L715" i="17"/>
  <c r="K715" i="17"/>
  <c r="I715" i="17"/>
  <c r="H715" i="17"/>
  <c r="D715" i="17"/>
  <c r="N715" i="17" s="1"/>
  <c r="AL714" i="17"/>
  <c r="AK714" i="17"/>
  <c r="AF714" i="17"/>
  <c r="AE714" i="17"/>
  <c r="AD714" i="17"/>
  <c r="AC714" i="17"/>
  <c r="AB714" i="17"/>
  <c r="AA714" i="17"/>
  <c r="Y714" i="17"/>
  <c r="X714" i="17"/>
  <c r="W714" i="17"/>
  <c r="V714" i="17"/>
  <c r="U714" i="17"/>
  <c r="S714" i="17"/>
  <c r="T714" i="17" s="1"/>
  <c r="R714" i="17"/>
  <c r="M714" i="17"/>
  <c r="L714" i="17"/>
  <c r="K714" i="17"/>
  <c r="I714" i="17"/>
  <c r="H714" i="17"/>
  <c r="D714" i="17"/>
  <c r="N714" i="17" s="1"/>
  <c r="AK713" i="17"/>
  <c r="AF713" i="17"/>
  <c r="AE713" i="17"/>
  <c r="AD713" i="17"/>
  <c r="AC713" i="17"/>
  <c r="AB713" i="17"/>
  <c r="AA713" i="17"/>
  <c r="Y713" i="17"/>
  <c r="X713" i="17"/>
  <c r="W713" i="17"/>
  <c r="V713" i="17"/>
  <c r="U713" i="17"/>
  <c r="R713" i="17"/>
  <c r="N713" i="17"/>
  <c r="M713" i="17"/>
  <c r="L713" i="17"/>
  <c r="K713" i="17"/>
  <c r="I713" i="17"/>
  <c r="H713" i="17"/>
  <c r="D713" i="17"/>
  <c r="AL712" i="17"/>
  <c r="AK712" i="17"/>
  <c r="AF712" i="17"/>
  <c r="AE712" i="17"/>
  <c r="AD712" i="17"/>
  <c r="AC712" i="17"/>
  <c r="AB712" i="17"/>
  <c r="AA712" i="17"/>
  <c r="Y712" i="17"/>
  <c r="X712" i="17"/>
  <c r="W712" i="17"/>
  <c r="V712" i="17"/>
  <c r="U712" i="17"/>
  <c r="R712" i="17"/>
  <c r="N712" i="17"/>
  <c r="M712" i="17"/>
  <c r="L712" i="17"/>
  <c r="K712" i="17"/>
  <c r="I712" i="17"/>
  <c r="H712" i="17"/>
  <c r="D712" i="17"/>
  <c r="AK711" i="17"/>
  <c r="AF711" i="17"/>
  <c r="AE711" i="17"/>
  <c r="AD711" i="17"/>
  <c r="AC711" i="17"/>
  <c r="AB711" i="17"/>
  <c r="AA711" i="17"/>
  <c r="Y711" i="17"/>
  <c r="X711" i="17"/>
  <c r="W711" i="17"/>
  <c r="V711" i="17"/>
  <c r="U711" i="17"/>
  <c r="R711" i="17"/>
  <c r="M711" i="17"/>
  <c r="L711" i="17"/>
  <c r="K711" i="17"/>
  <c r="I711" i="17"/>
  <c r="N711" i="17" s="1"/>
  <c r="H711" i="17"/>
  <c r="D711" i="17"/>
  <c r="AK710" i="17"/>
  <c r="AJ710" i="17" s="1"/>
  <c r="AF710" i="17"/>
  <c r="AE710" i="17"/>
  <c r="AD710" i="17"/>
  <c r="AC710" i="17"/>
  <c r="AB710" i="17"/>
  <c r="AA710" i="17"/>
  <c r="Y710" i="17"/>
  <c r="X710" i="17"/>
  <c r="W710" i="17"/>
  <c r="V710" i="17"/>
  <c r="U710" i="17"/>
  <c r="R710" i="17"/>
  <c r="M710" i="17"/>
  <c r="L710" i="17"/>
  <c r="K710" i="17"/>
  <c r="I710" i="17"/>
  <c r="H710" i="17"/>
  <c r="D710" i="17"/>
  <c r="N710" i="17" s="1"/>
  <c r="AL709" i="17"/>
  <c r="AK709" i="17"/>
  <c r="AF709" i="17"/>
  <c r="AE709" i="17"/>
  <c r="AD709" i="17"/>
  <c r="AC709" i="17"/>
  <c r="AB709" i="17"/>
  <c r="AA709" i="17"/>
  <c r="Y709" i="17"/>
  <c r="X709" i="17"/>
  <c r="W709" i="17"/>
  <c r="V709" i="17"/>
  <c r="U709" i="17"/>
  <c r="R709" i="17"/>
  <c r="M709" i="17"/>
  <c r="L709" i="17"/>
  <c r="K709" i="17"/>
  <c r="I709" i="17"/>
  <c r="H709" i="17"/>
  <c r="D709" i="17"/>
  <c r="N709" i="17" s="1"/>
  <c r="AL708" i="17"/>
  <c r="AK708" i="17"/>
  <c r="AF708" i="17"/>
  <c r="AE708" i="17"/>
  <c r="AD708" i="17"/>
  <c r="AC708" i="17"/>
  <c r="AB708" i="17"/>
  <c r="AA708" i="17"/>
  <c r="Y708" i="17"/>
  <c r="X708" i="17"/>
  <c r="W708" i="17"/>
  <c r="V708" i="17"/>
  <c r="U708" i="17"/>
  <c r="R708" i="17"/>
  <c r="M708" i="17"/>
  <c r="L708" i="17"/>
  <c r="K708" i="17"/>
  <c r="I708" i="17"/>
  <c r="H708" i="17"/>
  <c r="D708" i="17"/>
  <c r="N708" i="17" s="1"/>
  <c r="AL707" i="17"/>
  <c r="AK707" i="17"/>
  <c r="AF707" i="17"/>
  <c r="AE707" i="17"/>
  <c r="AD707" i="17"/>
  <c r="AC707" i="17"/>
  <c r="AB707" i="17"/>
  <c r="AA707" i="17"/>
  <c r="Y707" i="17"/>
  <c r="X707" i="17"/>
  <c r="W707" i="17"/>
  <c r="V707" i="17"/>
  <c r="U707" i="17"/>
  <c r="R707" i="17"/>
  <c r="M707" i="17"/>
  <c r="L707" i="17"/>
  <c r="K707" i="17"/>
  <c r="I707" i="17"/>
  <c r="H707" i="17"/>
  <c r="D707" i="17"/>
  <c r="N707" i="17" s="1"/>
  <c r="AL706" i="17"/>
  <c r="AK706" i="17"/>
  <c r="AF706" i="17"/>
  <c r="AE706" i="17"/>
  <c r="AD706" i="17"/>
  <c r="AC706" i="17"/>
  <c r="AB706" i="17"/>
  <c r="AA706" i="17"/>
  <c r="Y706" i="17"/>
  <c r="X706" i="17"/>
  <c r="W706" i="17"/>
  <c r="V706" i="17"/>
  <c r="U706" i="17"/>
  <c r="R706" i="17"/>
  <c r="M706" i="17"/>
  <c r="L706" i="17"/>
  <c r="K706" i="17"/>
  <c r="I706" i="17"/>
  <c r="H706" i="17"/>
  <c r="D706" i="17"/>
  <c r="N706" i="17" s="1"/>
  <c r="AK705" i="17"/>
  <c r="AF705" i="17"/>
  <c r="AE705" i="17"/>
  <c r="AD705" i="17"/>
  <c r="AC705" i="17"/>
  <c r="AB705" i="17"/>
  <c r="AA705" i="17"/>
  <c r="Y705" i="17"/>
  <c r="X705" i="17"/>
  <c r="W705" i="17"/>
  <c r="V705" i="17"/>
  <c r="U705" i="17"/>
  <c r="R705" i="17"/>
  <c r="N705" i="17"/>
  <c r="M705" i="17"/>
  <c r="L705" i="17"/>
  <c r="K705" i="17"/>
  <c r="I705" i="17"/>
  <c r="H705" i="17"/>
  <c r="D705" i="17"/>
  <c r="AL704" i="17"/>
  <c r="AK704" i="17"/>
  <c r="AF704" i="17"/>
  <c r="AE704" i="17"/>
  <c r="AD704" i="17"/>
  <c r="AC704" i="17"/>
  <c r="AB704" i="17"/>
  <c r="AA704" i="17"/>
  <c r="Y704" i="17"/>
  <c r="X704" i="17"/>
  <c r="W704" i="17"/>
  <c r="V704" i="17"/>
  <c r="U704" i="17"/>
  <c r="R704" i="17"/>
  <c r="N704" i="17"/>
  <c r="M704" i="17"/>
  <c r="L704" i="17"/>
  <c r="K704" i="17"/>
  <c r="I704" i="17"/>
  <c r="H704" i="17"/>
  <c r="D704" i="17"/>
  <c r="AK703" i="17"/>
  <c r="AF703" i="17"/>
  <c r="AE703" i="17"/>
  <c r="AD703" i="17"/>
  <c r="AC703" i="17"/>
  <c r="AB703" i="17"/>
  <c r="AA703" i="17"/>
  <c r="Y703" i="17"/>
  <c r="X703" i="17"/>
  <c r="W703" i="17"/>
  <c r="V703" i="17"/>
  <c r="U703" i="17"/>
  <c r="R703" i="17"/>
  <c r="M703" i="17"/>
  <c r="L703" i="17"/>
  <c r="K703" i="17"/>
  <c r="I703" i="17"/>
  <c r="N703" i="17" s="1"/>
  <c r="H703" i="17"/>
  <c r="D703" i="17"/>
  <c r="AK702" i="17"/>
  <c r="AJ702" i="17" s="1"/>
  <c r="AF702" i="17"/>
  <c r="AE702" i="17"/>
  <c r="AD702" i="17"/>
  <c r="AC702" i="17"/>
  <c r="AB702" i="17"/>
  <c r="AA702" i="17"/>
  <c r="Y702" i="17"/>
  <c r="X702" i="17"/>
  <c r="W702" i="17"/>
  <c r="V702" i="17"/>
  <c r="U702" i="17"/>
  <c r="R702" i="17"/>
  <c r="M702" i="17"/>
  <c r="L702" i="17"/>
  <c r="K702" i="17"/>
  <c r="I702" i="17"/>
  <c r="H702" i="17"/>
  <c r="D702" i="17"/>
  <c r="AL701" i="17"/>
  <c r="AK701" i="17"/>
  <c r="AJ701" i="17"/>
  <c r="AF701" i="17"/>
  <c r="AE701" i="17"/>
  <c r="AD701" i="17"/>
  <c r="AC701" i="17"/>
  <c r="AB701" i="17"/>
  <c r="AA701" i="17"/>
  <c r="Y701" i="17"/>
  <c r="X701" i="17"/>
  <c r="W701" i="17"/>
  <c r="V701" i="17"/>
  <c r="U701" i="17"/>
  <c r="R701" i="17"/>
  <c r="M701" i="17"/>
  <c r="L701" i="17"/>
  <c r="K701" i="17"/>
  <c r="I701" i="17"/>
  <c r="H701" i="17"/>
  <c r="D701" i="17"/>
  <c r="N701" i="17" s="1"/>
  <c r="AL700" i="17"/>
  <c r="AK700" i="17"/>
  <c r="AJ700" i="17"/>
  <c r="AF700" i="17"/>
  <c r="AE700" i="17"/>
  <c r="AD700" i="17"/>
  <c r="AC700" i="17"/>
  <c r="AB700" i="17"/>
  <c r="AA700" i="17"/>
  <c r="Y700" i="17"/>
  <c r="X700" i="17"/>
  <c r="W700" i="17"/>
  <c r="V700" i="17"/>
  <c r="U700" i="17"/>
  <c r="R700" i="17"/>
  <c r="M700" i="17"/>
  <c r="L700" i="17"/>
  <c r="K700" i="17"/>
  <c r="I700" i="17"/>
  <c r="H700" i="17"/>
  <c r="D700" i="17"/>
  <c r="N700" i="17" s="1"/>
  <c r="AL699" i="17"/>
  <c r="AK699" i="17"/>
  <c r="AJ699" i="17"/>
  <c r="AF699" i="17"/>
  <c r="AE699" i="17"/>
  <c r="AD699" i="17"/>
  <c r="AC699" i="17"/>
  <c r="AB699" i="17"/>
  <c r="AA699" i="17"/>
  <c r="Y699" i="17"/>
  <c r="X699" i="17"/>
  <c r="W699" i="17"/>
  <c r="V699" i="17"/>
  <c r="U699" i="17"/>
  <c r="R699" i="17"/>
  <c r="M699" i="17"/>
  <c r="L699" i="17"/>
  <c r="K699" i="17"/>
  <c r="I699" i="17"/>
  <c r="H699" i="17"/>
  <c r="D699" i="17"/>
  <c r="AL698" i="17"/>
  <c r="AK698" i="17"/>
  <c r="AJ698" i="17"/>
  <c r="AF698" i="17"/>
  <c r="AE698" i="17"/>
  <c r="AD698" i="17"/>
  <c r="AC698" i="17"/>
  <c r="AB698" i="17"/>
  <c r="AA698" i="17"/>
  <c r="Y698" i="17"/>
  <c r="X698" i="17"/>
  <c r="W698" i="17"/>
  <c r="V698" i="17"/>
  <c r="U698" i="17"/>
  <c r="R698" i="17"/>
  <c r="M698" i="17"/>
  <c r="L698" i="17"/>
  <c r="K698" i="17"/>
  <c r="I698" i="17"/>
  <c r="H698" i="17"/>
  <c r="D698" i="17"/>
  <c r="N698" i="17" s="1"/>
  <c r="AL697" i="17"/>
  <c r="AK697" i="17"/>
  <c r="AJ697" i="17"/>
  <c r="AF697" i="17"/>
  <c r="AE697" i="17"/>
  <c r="AD697" i="17"/>
  <c r="AC697" i="17"/>
  <c r="AB697" i="17"/>
  <c r="AA697" i="17"/>
  <c r="Y697" i="17"/>
  <c r="X697" i="17"/>
  <c r="W697" i="17"/>
  <c r="V697" i="17"/>
  <c r="U697" i="17"/>
  <c r="R697" i="17"/>
  <c r="M697" i="17"/>
  <c r="L697" i="17"/>
  <c r="K697" i="17"/>
  <c r="I697" i="17"/>
  <c r="H697" i="17"/>
  <c r="D697" i="17"/>
  <c r="N697" i="17" s="1"/>
  <c r="AL696" i="17"/>
  <c r="AK696" i="17"/>
  <c r="AJ696" i="17"/>
  <c r="AF696" i="17"/>
  <c r="AE696" i="17"/>
  <c r="AD696" i="17"/>
  <c r="AC696" i="17"/>
  <c r="AB696" i="17"/>
  <c r="AA696" i="17"/>
  <c r="Y696" i="17"/>
  <c r="X696" i="17"/>
  <c r="W696" i="17"/>
  <c r="V696" i="17"/>
  <c r="U696" i="17"/>
  <c r="R696" i="17"/>
  <c r="M696" i="17"/>
  <c r="L696" i="17"/>
  <c r="K696" i="17"/>
  <c r="I696" i="17"/>
  <c r="H696" i="17"/>
  <c r="D696" i="17"/>
  <c r="N696" i="17" s="1"/>
  <c r="AL695" i="17"/>
  <c r="AK695" i="17"/>
  <c r="AJ695" i="17"/>
  <c r="AF695" i="17"/>
  <c r="AE695" i="17"/>
  <c r="AD695" i="17"/>
  <c r="AC695" i="17"/>
  <c r="AB695" i="17"/>
  <c r="AA695" i="17"/>
  <c r="Y695" i="17"/>
  <c r="X695" i="17"/>
  <c r="W695" i="17"/>
  <c r="V695" i="17"/>
  <c r="U695" i="17"/>
  <c r="R695" i="17"/>
  <c r="M695" i="17"/>
  <c r="L695" i="17"/>
  <c r="K695" i="17"/>
  <c r="I695" i="17"/>
  <c r="H695" i="17"/>
  <c r="D695" i="17"/>
  <c r="AL694" i="17"/>
  <c r="AK694" i="17"/>
  <c r="AJ694" i="17"/>
  <c r="AF694" i="17"/>
  <c r="AE694" i="17"/>
  <c r="AD694" i="17"/>
  <c r="AC694" i="17"/>
  <c r="AB694" i="17"/>
  <c r="AA694" i="17"/>
  <c r="Y694" i="17"/>
  <c r="X694" i="17"/>
  <c r="W694" i="17"/>
  <c r="V694" i="17"/>
  <c r="U694" i="17"/>
  <c r="R694" i="17"/>
  <c r="M694" i="17"/>
  <c r="L694" i="17"/>
  <c r="K694" i="17"/>
  <c r="I694" i="17"/>
  <c r="H694" i="17"/>
  <c r="D694" i="17"/>
  <c r="AL693" i="17"/>
  <c r="AK693" i="17"/>
  <c r="AJ693" i="17"/>
  <c r="AF693" i="17"/>
  <c r="AE693" i="17"/>
  <c r="AD693" i="17"/>
  <c r="AC693" i="17"/>
  <c r="AB693" i="17"/>
  <c r="AA693" i="17"/>
  <c r="Y693" i="17"/>
  <c r="X693" i="17"/>
  <c r="W693" i="17"/>
  <c r="V693" i="17"/>
  <c r="U693" i="17"/>
  <c r="R693" i="17"/>
  <c r="M693" i="17"/>
  <c r="L693" i="17"/>
  <c r="K693" i="17"/>
  <c r="I693" i="17"/>
  <c r="H693" i="17"/>
  <c r="D693" i="17"/>
  <c r="N693" i="17" s="1"/>
  <c r="AL692" i="17"/>
  <c r="AK692" i="17"/>
  <c r="AF692" i="17"/>
  <c r="AE692" i="17"/>
  <c r="AD692" i="17"/>
  <c r="AC692" i="17"/>
  <c r="AB692" i="17"/>
  <c r="AA692" i="17"/>
  <c r="Y692" i="17"/>
  <c r="X692" i="17"/>
  <c r="W692" i="17"/>
  <c r="V692" i="17"/>
  <c r="U692" i="17"/>
  <c r="R692" i="17"/>
  <c r="M692" i="17"/>
  <c r="L692" i="17"/>
  <c r="K692" i="17"/>
  <c r="I692" i="17"/>
  <c r="H692" i="17"/>
  <c r="D692" i="17"/>
  <c r="N692" i="17" s="1"/>
  <c r="AH691" i="17"/>
  <c r="AF691" i="17"/>
  <c r="AE691" i="17"/>
  <c r="AD691" i="17"/>
  <c r="AC691" i="17"/>
  <c r="AB691" i="17"/>
  <c r="AA691" i="17"/>
  <c r="Y691" i="17"/>
  <c r="X691" i="17"/>
  <c r="W691" i="17"/>
  <c r="V691" i="17"/>
  <c r="U691" i="17"/>
  <c r="R691" i="17"/>
  <c r="M691" i="17"/>
  <c r="L691" i="17"/>
  <c r="K691" i="17"/>
  <c r="I691" i="17"/>
  <c r="N691" i="17" s="1"/>
  <c r="H691" i="17"/>
  <c r="D691" i="17"/>
  <c r="AK690" i="17"/>
  <c r="AL690" i="17" s="1"/>
  <c r="AJ690" i="17"/>
  <c r="AF690" i="17"/>
  <c r="AE690" i="17"/>
  <c r="AD690" i="17"/>
  <c r="AC690" i="17"/>
  <c r="AB690" i="17"/>
  <c r="AA690" i="17"/>
  <c r="Y690" i="17"/>
  <c r="X690" i="17"/>
  <c r="W690" i="17"/>
  <c r="V690" i="17"/>
  <c r="U690" i="17"/>
  <c r="R690" i="17"/>
  <c r="M690" i="17"/>
  <c r="L690" i="17"/>
  <c r="K690" i="17"/>
  <c r="I690" i="17"/>
  <c r="N690" i="17" s="1"/>
  <c r="H690" i="17"/>
  <c r="D690" i="17"/>
  <c r="AK689" i="17"/>
  <c r="AL689" i="17" s="1"/>
  <c r="AJ689" i="17"/>
  <c r="AF689" i="17"/>
  <c r="AE689" i="17"/>
  <c r="AD689" i="17"/>
  <c r="AC689" i="17"/>
  <c r="AB689" i="17"/>
  <c r="AA689" i="17"/>
  <c r="Y689" i="17"/>
  <c r="X689" i="17"/>
  <c r="W689" i="17"/>
  <c r="V689" i="17"/>
  <c r="U689" i="17"/>
  <c r="R689" i="17"/>
  <c r="M689" i="17"/>
  <c r="L689" i="17"/>
  <c r="K689" i="17"/>
  <c r="I689" i="17"/>
  <c r="N689" i="17" s="1"/>
  <c r="H689" i="17"/>
  <c r="D689" i="17"/>
  <c r="AK688" i="17"/>
  <c r="AL688" i="17" s="1"/>
  <c r="AJ688" i="17"/>
  <c r="AF688" i="17"/>
  <c r="AE688" i="17"/>
  <c r="AD688" i="17"/>
  <c r="AC688" i="17"/>
  <c r="AB688" i="17"/>
  <c r="AA688" i="17"/>
  <c r="Y688" i="17"/>
  <c r="X688" i="17"/>
  <c r="W688" i="17"/>
  <c r="V688" i="17"/>
  <c r="U688" i="17"/>
  <c r="R688" i="17"/>
  <c r="M688" i="17"/>
  <c r="L688" i="17"/>
  <c r="K688" i="17"/>
  <c r="I688" i="17"/>
  <c r="N688" i="17" s="1"/>
  <c r="H688" i="17"/>
  <c r="D688" i="17"/>
  <c r="AK687" i="17"/>
  <c r="AL687" i="17" s="1"/>
  <c r="AJ687" i="17"/>
  <c r="AF687" i="17"/>
  <c r="AE687" i="17"/>
  <c r="AD687" i="17"/>
  <c r="AC687" i="17"/>
  <c r="AB687" i="17"/>
  <c r="AA687" i="17"/>
  <c r="Y687" i="17"/>
  <c r="X687" i="17"/>
  <c r="W687" i="17"/>
  <c r="V687" i="17"/>
  <c r="U687" i="17"/>
  <c r="R687" i="17"/>
  <c r="M687" i="17"/>
  <c r="L687" i="17"/>
  <c r="K687" i="17"/>
  <c r="I687" i="17"/>
  <c r="N687" i="17" s="1"/>
  <c r="H687" i="17"/>
  <c r="D687" i="17"/>
  <c r="AK686" i="17"/>
  <c r="AL686" i="17" s="1"/>
  <c r="AJ686" i="17"/>
  <c r="AF686" i="17"/>
  <c r="AE686" i="17"/>
  <c r="AD686" i="17"/>
  <c r="AC686" i="17"/>
  <c r="AB686" i="17"/>
  <c r="AA686" i="17"/>
  <c r="Y686" i="17"/>
  <c r="X686" i="17"/>
  <c r="W686" i="17"/>
  <c r="V686" i="17"/>
  <c r="U686" i="17"/>
  <c r="R686" i="17"/>
  <c r="M686" i="17"/>
  <c r="L686" i="17"/>
  <c r="K686" i="17"/>
  <c r="I686" i="17"/>
  <c r="N686" i="17" s="1"/>
  <c r="H686" i="17"/>
  <c r="D686" i="17"/>
  <c r="AK685" i="17"/>
  <c r="AL685" i="17" s="1"/>
  <c r="AJ685" i="17"/>
  <c r="AF685" i="17"/>
  <c r="AE685" i="17"/>
  <c r="AD685" i="17"/>
  <c r="AC685" i="17"/>
  <c r="AB685" i="17"/>
  <c r="AA685" i="17"/>
  <c r="Y685" i="17"/>
  <c r="X685" i="17"/>
  <c r="W685" i="17"/>
  <c r="V685" i="17"/>
  <c r="U685" i="17"/>
  <c r="R685" i="17"/>
  <c r="M685" i="17"/>
  <c r="L685" i="17"/>
  <c r="K685" i="17"/>
  <c r="I685" i="17"/>
  <c r="N685" i="17" s="1"/>
  <c r="H685" i="17"/>
  <c r="D685" i="17"/>
  <c r="AK684" i="17"/>
  <c r="AL684" i="17" s="1"/>
  <c r="AJ684" i="17"/>
  <c r="AF684" i="17"/>
  <c r="AE684" i="17"/>
  <c r="AD684" i="17"/>
  <c r="AC684" i="17"/>
  <c r="AB684" i="17"/>
  <c r="AA684" i="17"/>
  <c r="Y684" i="17"/>
  <c r="X684" i="17"/>
  <c r="W684" i="17"/>
  <c r="V684" i="17"/>
  <c r="U684" i="17"/>
  <c r="R684" i="17"/>
  <c r="M684" i="17"/>
  <c r="L684" i="17"/>
  <c r="K684" i="17"/>
  <c r="I684" i="17"/>
  <c r="N684" i="17" s="1"/>
  <c r="H684" i="17"/>
  <c r="D684" i="17"/>
  <c r="AK683" i="17"/>
  <c r="AL683" i="17" s="1"/>
  <c r="AJ683" i="17"/>
  <c r="AF683" i="17"/>
  <c r="AE683" i="17"/>
  <c r="AD683" i="17"/>
  <c r="AC683" i="17"/>
  <c r="AB683" i="17"/>
  <c r="AA683" i="17"/>
  <c r="Y683" i="17"/>
  <c r="X683" i="17"/>
  <c r="W683" i="17"/>
  <c r="V683" i="17"/>
  <c r="U683" i="17"/>
  <c r="R683" i="17"/>
  <c r="M683" i="17"/>
  <c r="L683" i="17"/>
  <c r="K683" i="17"/>
  <c r="I683" i="17"/>
  <c r="N683" i="17" s="1"/>
  <c r="H683" i="17"/>
  <c r="D683" i="17"/>
  <c r="AK682" i="17"/>
  <c r="AL682" i="17" s="1"/>
  <c r="AJ682" i="17"/>
  <c r="AF682" i="17"/>
  <c r="AE682" i="17"/>
  <c r="AD682" i="17"/>
  <c r="AC682" i="17"/>
  <c r="AB682" i="17"/>
  <c r="AA682" i="17"/>
  <c r="Y682" i="17"/>
  <c r="X682" i="17"/>
  <c r="W682" i="17"/>
  <c r="V682" i="17"/>
  <c r="U682" i="17"/>
  <c r="R682" i="17"/>
  <c r="M682" i="17"/>
  <c r="L682" i="17"/>
  <c r="K682" i="17"/>
  <c r="I682" i="17"/>
  <c r="N682" i="17" s="1"/>
  <c r="H682" i="17"/>
  <c r="D682" i="17"/>
  <c r="AK681" i="17"/>
  <c r="AL681" i="17" s="1"/>
  <c r="AJ681" i="17"/>
  <c r="AF681" i="17"/>
  <c r="AE681" i="17"/>
  <c r="AD681" i="17"/>
  <c r="AC681" i="17"/>
  <c r="AB681" i="17"/>
  <c r="AA681" i="17"/>
  <c r="Y681" i="17"/>
  <c r="X681" i="17"/>
  <c r="W681" i="17"/>
  <c r="V681" i="17"/>
  <c r="U681" i="17"/>
  <c r="R681" i="17"/>
  <c r="M681" i="17"/>
  <c r="L681" i="17"/>
  <c r="K681" i="17"/>
  <c r="I681" i="17"/>
  <c r="N681" i="17" s="1"/>
  <c r="H681" i="17"/>
  <c r="D681" i="17"/>
  <c r="AK680" i="17"/>
  <c r="AL680" i="17" s="1"/>
  <c r="AJ680" i="17"/>
  <c r="AF680" i="17"/>
  <c r="AE680" i="17"/>
  <c r="AD680" i="17"/>
  <c r="AC680" i="17"/>
  <c r="AB680" i="17"/>
  <c r="AA680" i="17"/>
  <c r="Y680" i="17"/>
  <c r="X680" i="17"/>
  <c r="W680" i="17"/>
  <c r="V680" i="17"/>
  <c r="U680" i="17"/>
  <c r="R680" i="17"/>
  <c r="M680" i="17"/>
  <c r="L680" i="17"/>
  <c r="K680" i="17"/>
  <c r="I680" i="17"/>
  <c r="N680" i="17" s="1"/>
  <c r="H680" i="17"/>
  <c r="D680" i="17"/>
  <c r="AK679" i="17"/>
  <c r="AL679" i="17" s="1"/>
  <c r="AJ679" i="17"/>
  <c r="AF679" i="17"/>
  <c r="AE679" i="17"/>
  <c r="AD679" i="17"/>
  <c r="AC679" i="17"/>
  <c r="AB679" i="17"/>
  <c r="AA679" i="17"/>
  <c r="Y679" i="17"/>
  <c r="X679" i="17"/>
  <c r="W679" i="17"/>
  <c r="V679" i="17"/>
  <c r="U679" i="17"/>
  <c r="R679" i="17"/>
  <c r="M679" i="17"/>
  <c r="L679" i="17"/>
  <c r="K679" i="17"/>
  <c r="I679" i="17"/>
  <c r="N679" i="17" s="1"/>
  <c r="H679" i="17"/>
  <c r="D679" i="17"/>
  <c r="AK678" i="17"/>
  <c r="AL678" i="17" s="1"/>
  <c r="AJ678" i="17"/>
  <c r="AF678" i="17"/>
  <c r="AE678" i="17"/>
  <c r="AD678" i="17"/>
  <c r="AC678" i="17"/>
  <c r="AB678" i="17"/>
  <c r="AA678" i="17"/>
  <c r="Y678" i="17"/>
  <c r="X678" i="17"/>
  <c r="W678" i="17"/>
  <c r="V678" i="17"/>
  <c r="U678" i="17"/>
  <c r="R678" i="17"/>
  <c r="M678" i="17"/>
  <c r="L678" i="17"/>
  <c r="K678" i="17"/>
  <c r="I678" i="17"/>
  <c r="N678" i="17" s="1"/>
  <c r="H678" i="17"/>
  <c r="D678" i="17"/>
  <c r="AK677" i="17"/>
  <c r="AL677" i="17" s="1"/>
  <c r="AJ677" i="17"/>
  <c r="AF677" i="17"/>
  <c r="AE677" i="17"/>
  <c r="AD677" i="17"/>
  <c r="AC677" i="17"/>
  <c r="AB677" i="17"/>
  <c r="AA677" i="17"/>
  <c r="Y677" i="17"/>
  <c r="X677" i="17"/>
  <c r="W677" i="17"/>
  <c r="V677" i="17"/>
  <c r="U677" i="17"/>
  <c r="R677" i="17"/>
  <c r="M677" i="17"/>
  <c r="L677" i="17"/>
  <c r="K677" i="17"/>
  <c r="I677" i="17"/>
  <c r="N677" i="17" s="1"/>
  <c r="H677" i="17"/>
  <c r="D677" i="17"/>
  <c r="AK676" i="17"/>
  <c r="AL676" i="17" s="1"/>
  <c r="AJ676" i="17"/>
  <c r="AF676" i="17"/>
  <c r="AE676" i="17"/>
  <c r="AD676" i="17"/>
  <c r="AC676" i="17"/>
  <c r="AB676" i="17"/>
  <c r="AA676" i="17"/>
  <c r="Y676" i="17"/>
  <c r="X676" i="17"/>
  <c r="W676" i="17"/>
  <c r="V676" i="17"/>
  <c r="U676" i="17"/>
  <c r="R676" i="17"/>
  <c r="M676" i="17"/>
  <c r="L676" i="17"/>
  <c r="K676" i="17"/>
  <c r="I676" i="17"/>
  <c r="N676" i="17" s="1"/>
  <c r="H676" i="17"/>
  <c r="D676" i="17"/>
  <c r="AK675" i="17"/>
  <c r="AL675" i="17" s="1"/>
  <c r="AJ675" i="17"/>
  <c r="AF675" i="17"/>
  <c r="AE675" i="17"/>
  <c r="AD675" i="17"/>
  <c r="AC675" i="17"/>
  <c r="AB675" i="17"/>
  <c r="AA675" i="17"/>
  <c r="Y675" i="17"/>
  <c r="X675" i="17"/>
  <c r="W675" i="17"/>
  <c r="V675" i="17"/>
  <c r="U675" i="17"/>
  <c r="R675" i="17"/>
  <c r="M675" i="17"/>
  <c r="L675" i="17"/>
  <c r="K675" i="17"/>
  <c r="I675" i="17"/>
  <c r="N675" i="17" s="1"/>
  <c r="H675" i="17"/>
  <c r="D675" i="17"/>
  <c r="AK674" i="17"/>
  <c r="AL674" i="17" s="1"/>
  <c r="AJ674" i="17"/>
  <c r="AF674" i="17"/>
  <c r="AE674" i="17"/>
  <c r="AD674" i="17"/>
  <c r="AC674" i="17"/>
  <c r="AB674" i="17"/>
  <c r="AA674" i="17"/>
  <c r="Y674" i="17"/>
  <c r="X674" i="17"/>
  <c r="W674" i="17"/>
  <c r="V674" i="17"/>
  <c r="U674" i="17"/>
  <c r="R674" i="17"/>
  <c r="M674" i="17"/>
  <c r="L674" i="17"/>
  <c r="K674" i="17"/>
  <c r="I674" i="17"/>
  <c r="N674" i="17" s="1"/>
  <c r="H674" i="17"/>
  <c r="D674" i="17"/>
  <c r="AK673" i="17"/>
  <c r="AL673" i="17" s="1"/>
  <c r="AJ673" i="17"/>
  <c r="AF673" i="17"/>
  <c r="AE673" i="17"/>
  <c r="AD673" i="17"/>
  <c r="AC673" i="17"/>
  <c r="AB673" i="17"/>
  <c r="AA673" i="17"/>
  <c r="Y673" i="17"/>
  <c r="X673" i="17"/>
  <c r="W673" i="17"/>
  <c r="V673" i="17"/>
  <c r="U673" i="17"/>
  <c r="R673" i="17"/>
  <c r="M673" i="17"/>
  <c r="L673" i="17"/>
  <c r="K673" i="17"/>
  <c r="I673" i="17"/>
  <c r="H673" i="17"/>
  <c r="D673" i="17"/>
  <c r="N673" i="17" s="1"/>
  <c r="AK672" i="17"/>
  <c r="AL672" i="17" s="1"/>
  <c r="AJ672" i="17"/>
  <c r="AF672" i="17"/>
  <c r="AE672" i="17"/>
  <c r="AD672" i="17"/>
  <c r="AC672" i="17"/>
  <c r="AB672" i="17"/>
  <c r="AA672" i="17"/>
  <c r="Y672" i="17"/>
  <c r="X672" i="17"/>
  <c r="W672" i="17"/>
  <c r="V672" i="17"/>
  <c r="U672" i="17"/>
  <c r="R672" i="17"/>
  <c r="M672" i="17"/>
  <c r="L672" i="17"/>
  <c r="K672" i="17"/>
  <c r="I672" i="17"/>
  <c r="H672" i="17"/>
  <c r="D672" i="17"/>
  <c r="N672" i="17" s="1"/>
  <c r="AK671" i="17"/>
  <c r="AL671" i="17" s="1"/>
  <c r="AJ671" i="17"/>
  <c r="AF671" i="17"/>
  <c r="AE671" i="17"/>
  <c r="AD671" i="17"/>
  <c r="AC671" i="17"/>
  <c r="AB671" i="17"/>
  <c r="AA671" i="17"/>
  <c r="Y671" i="17"/>
  <c r="X671" i="17"/>
  <c r="W671" i="17"/>
  <c r="V671" i="17"/>
  <c r="U671" i="17"/>
  <c r="R671" i="17"/>
  <c r="M671" i="17"/>
  <c r="L671" i="17"/>
  <c r="K671" i="17"/>
  <c r="I671" i="17"/>
  <c r="H671" i="17"/>
  <c r="D671" i="17"/>
  <c r="N671" i="17" s="1"/>
  <c r="AK670" i="17"/>
  <c r="AL670" i="17" s="1"/>
  <c r="AJ670" i="17"/>
  <c r="AF670" i="17"/>
  <c r="AE670" i="17"/>
  <c r="AD670" i="17"/>
  <c r="AC670" i="17"/>
  <c r="AB670" i="17"/>
  <c r="AA670" i="17"/>
  <c r="Y670" i="17"/>
  <c r="X670" i="17"/>
  <c r="W670" i="17"/>
  <c r="V670" i="17"/>
  <c r="U670" i="17"/>
  <c r="R670" i="17"/>
  <c r="M670" i="17"/>
  <c r="L670" i="17"/>
  <c r="K670" i="17"/>
  <c r="I670" i="17"/>
  <c r="H670" i="17"/>
  <c r="D670" i="17"/>
  <c r="N670" i="17" s="1"/>
  <c r="AK669" i="17"/>
  <c r="AL669" i="17" s="1"/>
  <c r="AJ669" i="17"/>
  <c r="AF669" i="17"/>
  <c r="AE669" i="17"/>
  <c r="AD669" i="17"/>
  <c r="AC669" i="17"/>
  <c r="AB669" i="17"/>
  <c r="AA669" i="17"/>
  <c r="Y669" i="17"/>
  <c r="X669" i="17"/>
  <c r="W669" i="17"/>
  <c r="V669" i="17"/>
  <c r="U669" i="17"/>
  <c r="R669" i="17"/>
  <c r="M669" i="17"/>
  <c r="L669" i="17"/>
  <c r="K669" i="17"/>
  <c r="I669" i="17"/>
  <c r="H669" i="17"/>
  <c r="D669" i="17"/>
  <c r="N669" i="17" s="1"/>
  <c r="AK668" i="17"/>
  <c r="AL668" i="17" s="1"/>
  <c r="AJ668" i="17"/>
  <c r="AF668" i="17"/>
  <c r="AE668" i="17"/>
  <c r="AD668" i="17"/>
  <c r="AC668" i="17"/>
  <c r="AB668" i="17"/>
  <c r="AA668" i="17"/>
  <c r="Y668" i="17"/>
  <c r="X668" i="17"/>
  <c r="W668" i="17"/>
  <c r="V668" i="17"/>
  <c r="U668" i="17"/>
  <c r="R668" i="17"/>
  <c r="M668" i="17"/>
  <c r="L668" i="17"/>
  <c r="K668" i="17"/>
  <c r="I668" i="17"/>
  <c r="N668" i="17" s="1"/>
  <c r="H668" i="17"/>
  <c r="D668" i="17"/>
  <c r="AK667" i="17"/>
  <c r="AL667" i="17" s="1"/>
  <c r="AJ667" i="17"/>
  <c r="AF667" i="17"/>
  <c r="AE667" i="17"/>
  <c r="AD667" i="17"/>
  <c r="AC667" i="17"/>
  <c r="AB667" i="17"/>
  <c r="AA667" i="17"/>
  <c r="Y667" i="17"/>
  <c r="X667" i="17"/>
  <c r="W667" i="17"/>
  <c r="V667" i="17"/>
  <c r="U667" i="17"/>
  <c r="R667" i="17"/>
  <c r="M667" i="17"/>
  <c r="L667" i="17"/>
  <c r="K667" i="17"/>
  <c r="I667" i="17"/>
  <c r="N667" i="17" s="1"/>
  <c r="H667" i="17"/>
  <c r="D667" i="17"/>
  <c r="AK666" i="17"/>
  <c r="AL666" i="17" s="1"/>
  <c r="AJ666" i="17"/>
  <c r="AF666" i="17"/>
  <c r="AE666" i="17"/>
  <c r="AD666" i="17"/>
  <c r="AC666" i="17"/>
  <c r="AB666" i="17"/>
  <c r="AA666" i="17"/>
  <c r="Y666" i="17"/>
  <c r="X666" i="17"/>
  <c r="W666" i="17"/>
  <c r="V666" i="17"/>
  <c r="U666" i="17"/>
  <c r="R666" i="17"/>
  <c r="M666" i="17"/>
  <c r="L666" i="17"/>
  <c r="K666" i="17"/>
  <c r="I666" i="17"/>
  <c r="N666" i="17" s="1"/>
  <c r="H666" i="17"/>
  <c r="D666" i="17"/>
  <c r="AK665" i="17"/>
  <c r="AL665" i="17" s="1"/>
  <c r="AJ665" i="17"/>
  <c r="AF665" i="17"/>
  <c r="AE665" i="17"/>
  <c r="AD665" i="17"/>
  <c r="AC665" i="17"/>
  <c r="AB665" i="17"/>
  <c r="AA665" i="17"/>
  <c r="Y665" i="17"/>
  <c r="X665" i="17"/>
  <c r="W665" i="17"/>
  <c r="V665" i="17"/>
  <c r="U665" i="17"/>
  <c r="R665" i="17"/>
  <c r="M665" i="17"/>
  <c r="L665" i="17"/>
  <c r="K665" i="17"/>
  <c r="I665" i="17"/>
  <c r="N665" i="17" s="1"/>
  <c r="H665" i="17"/>
  <c r="D665" i="17"/>
  <c r="AK664" i="17"/>
  <c r="AL664" i="17" s="1"/>
  <c r="AJ664" i="17"/>
  <c r="AF664" i="17"/>
  <c r="AE664" i="17"/>
  <c r="AD664" i="17"/>
  <c r="AC664" i="17"/>
  <c r="AB664" i="17"/>
  <c r="AA664" i="17"/>
  <c r="Y664" i="17"/>
  <c r="X664" i="17"/>
  <c r="W664" i="17"/>
  <c r="V664" i="17"/>
  <c r="U664" i="17"/>
  <c r="R664" i="17"/>
  <c r="M664" i="17"/>
  <c r="L664" i="17"/>
  <c r="K664" i="17"/>
  <c r="I664" i="17"/>
  <c r="N664" i="17" s="1"/>
  <c r="H664" i="17"/>
  <c r="D664" i="17"/>
  <c r="AK663" i="17"/>
  <c r="AL663" i="17" s="1"/>
  <c r="AJ663" i="17"/>
  <c r="AF663" i="17"/>
  <c r="AE663" i="17"/>
  <c r="AD663" i="17"/>
  <c r="AC663" i="17"/>
  <c r="AB663" i="17"/>
  <c r="AA663" i="17"/>
  <c r="Y663" i="17"/>
  <c r="X663" i="17"/>
  <c r="W663" i="17"/>
  <c r="V663" i="17"/>
  <c r="U663" i="17"/>
  <c r="R663" i="17"/>
  <c r="M663" i="17"/>
  <c r="L663" i="17"/>
  <c r="K663" i="17"/>
  <c r="I663" i="17"/>
  <c r="N663" i="17" s="1"/>
  <c r="H663" i="17"/>
  <c r="D663" i="17"/>
  <c r="AL662" i="17"/>
  <c r="AK662" i="17"/>
  <c r="AJ662" i="17"/>
  <c r="AF662" i="17"/>
  <c r="AE662" i="17"/>
  <c r="AD662" i="17"/>
  <c r="AC662" i="17"/>
  <c r="AB662" i="17"/>
  <c r="AA662" i="17"/>
  <c r="Y662" i="17"/>
  <c r="X662" i="17"/>
  <c r="W662" i="17"/>
  <c r="V662" i="17"/>
  <c r="U662" i="17"/>
  <c r="R662" i="17"/>
  <c r="M662" i="17"/>
  <c r="L662" i="17"/>
  <c r="K662" i="17"/>
  <c r="I662" i="17"/>
  <c r="N662" i="17" s="1"/>
  <c r="H662" i="17"/>
  <c r="D662" i="17"/>
  <c r="AL661" i="17"/>
  <c r="AK661" i="17"/>
  <c r="AJ661" i="17"/>
  <c r="AF661" i="17"/>
  <c r="AE661" i="17"/>
  <c r="AD661" i="17"/>
  <c r="AC661" i="17"/>
  <c r="AB661" i="17"/>
  <c r="AA661" i="17"/>
  <c r="Y661" i="17"/>
  <c r="X661" i="17"/>
  <c r="W661" i="17"/>
  <c r="V661" i="17"/>
  <c r="U661" i="17"/>
  <c r="R661" i="17"/>
  <c r="M661" i="17"/>
  <c r="L661" i="17"/>
  <c r="K661" i="17"/>
  <c r="I661" i="17"/>
  <c r="N661" i="17" s="1"/>
  <c r="H661" i="17"/>
  <c r="D661" i="17"/>
  <c r="AL660" i="17"/>
  <c r="AK660" i="17"/>
  <c r="AJ660" i="17"/>
  <c r="AF660" i="17"/>
  <c r="AE660" i="17"/>
  <c r="AD660" i="17"/>
  <c r="AC660" i="17"/>
  <c r="AB660" i="17"/>
  <c r="AA660" i="17"/>
  <c r="Y660" i="17"/>
  <c r="X660" i="17"/>
  <c r="W660" i="17"/>
  <c r="V660" i="17"/>
  <c r="U660" i="17"/>
  <c r="R660" i="17"/>
  <c r="M660" i="17"/>
  <c r="L660" i="17"/>
  <c r="K660" i="17"/>
  <c r="I660" i="17"/>
  <c r="N660" i="17" s="1"/>
  <c r="H660" i="17"/>
  <c r="S660" i="17" s="1"/>
  <c r="T660" i="17" s="1"/>
  <c r="D660" i="17"/>
  <c r="AL659" i="17"/>
  <c r="AK659" i="17"/>
  <c r="AJ659" i="17"/>
  <c r="AF659" i="17"/>
  <c r="AE659" i="17"/>
  <c r="AD659" i="17"/>
  <c r="AC659" i="17"/>
  <c r="AB659" i="17"/>
  <c r="AA659" i="17"/>
  <c r="Y659" i="17"/>
  <c r="X659" i="17"/>
  <c r="W659" i="17"/>
  <c r="V659" i="17"/>
  <c r="U659" i="17"/>
  <c r="R659" i="17"/>
  <c r="M659" i="17"/>
  <c r="L659" i="17"/>
  <c r="K659" i="17"/>
  <c r="I659" i="17"/>
  <c r="N659" i="17" s="1"/>
  <c r="H659" i="17"/>
  <c r="D659" i="17"/>
  <c r="AL658" i="17"/>
  <c r="AK658" i="17"/>
  <c r="AJ658" i="17"/>
  <c r="AF658" i="17"/>
  <c r="AE658" i="17"/>
  <c r="AD658" i="17"/>
  <c r="AC658" i="17"/>
  <c r="AB658" i="17"/>
  <c r="AA658" i="17"/>
  <c r="Y658" i="17"/>
  <c r="X658" i="17"/>
  <c r="W658" i="17"/>
  <c r="V658" i="17"/>
  <c r="U658" i="17"/>
  <c r="R658" i="17"/>
  <c r="M658" i="17"/>
  <c r="L658" i="17"/>
  <c r="K658" i="17"/>
  <c r="I658" i="17"/>
  <c r="N658" i="17" s="1"/>
  <c r="H658" i="17"/>
  <c r="D658" i="17"/>
  <c r="AL657" i="17"/>
  <c r="AK657" i="17"/>
  <c r="AJ657" i="17"/>
  <c r="AF657" i="17"/>
  <c r="AE657" i="17"/>
  <c r="AD657" i="17"/>
  <c r="AC657" i="17"/>
  <c r="AB657" i="17"/>
  <c r="AA657" i="17"/>
  <c r="Y657" i="17"/>
  <c r="X657" i="17"/>
  <c r="W657" i="17"/>
  <c r="V657" i="17"/>
  <c r="U657" i="17"/>
  <c r="R657" i="17"/>
  <c r="M657" i="17"/>
  <c r="L657" i="17"/>
  <c r="K657" i="17"/>
  <c r="I657" i="17"/>
  <c r="N657" i="17" s="1"/>
  <c r="H657" i="17"/>
  <c r="D657" i="17"/>
  <c r="AL656" i="17"/>
  <c r="AK656" i="17"/>
  <c r="AJ656" i="17"/>
  <c r="AF656" i="17"/>
  <c r="AE656" i="17"/>
  <c r="AD656" i="17"/>
  <c r="AC656" i="17"/>
  <c r="AB656" i="17"/>
  <c r="AA656" i="17"/>
  <c r="Y656" i="17"/>
  <c r="X656" i="17"/>
  <c r="W656" i="17"/>
  <c r="V656" i="17"/>
  <c r="U656" i="17"/>
  <c r="R656" i="17"/>
  <c r="M656" i="17"/>
  <c r="L656" i="17"/>
  <c r="K656" i="17"/>
  <c r="I656" i="17"/>
  <c r="N656" i="17" s="1"/>
  <c r="H656" i="17"/>
  <c r="D656" i="17"/>
  <c r="AL655" i="17"/>
  <c r="AK655" i="17"/>
  <c r="AJ655" i="17"/>
  <c r="AF655" i="17"/>
  <c r="AE655" i="17"/>
  <c r="AD655" i="17"/>
  <c r="AC655" i="17"/>
  <c r="AB655" i="17"/>
  <c r="AA655" i="17"/>
  <c r="Y655" i="17"/>
  <c r="X655" i="17"/>
  <c r="W655" i="17"/>
  <c r="V655" i="17"/>
  <c r="U655" i="17"/>
  <c r="R655" i="17"/>
  <c r="M655" i="17"/>
  <c r="L655" i="17"/>
  <c r="K655" i="17"/>
  <c r="I655" i="17"/>
  <c r="N655" i="17" s="1"/>
  <c r="H655" i="17"/>
  <c r="D655" i="17"/>
  <c r="AL654" i="17"/>
  <c r="AK654" i="17"/>
  <c r="AJ654" i="17"/>
  <c r="AF654" i="17"/>
  <c r="AE654" i="17"/>
  <c r="AD654" i="17"/>
  <c r="AC654" i="17"/>
  <c r="AB654" i="17"/>
  <c r="AA654" i="17"/>
  <c r="Y654" i="17"/>
  <c r="X654" i="17"/>
  <c r="W654" i="17"/>
  <c r="V654" i="17"/>
  <c r="U654" i="17"/>
  <c r="R654" i="17"/>
  <c r="M654" i="17"/>
  <c r="L654" i="17"/>
  <c r="K654" i="17"/>
  <c r="I654" i="17"/>
  <c r="N654" i="17" s="1"/>
  <c r="H654" i="17"/>
  <c r="D654" i="17"/>
  <c r="AL653" i="17"/>
  <c r="AK653" i="17"/>
  <c r="AJ653" i="17"/>
  <c r="AF653" i="17"/>
  <c r="AE653" i="17"/>
  <c r="AD653" i="17"/>
  <c r="AC653" i="17"/>
  <c r="AB653" i="17"/>
  <c r="AA653" i="17"/>
  <c r="Y653" i="17"/>
  <c r="X653" i="17"/>
  <c r="W653" i="17"/>
  <c r="V653" i="17"/>
  <c r="U653" i="17"/>
  <c r="R653" i="17"/>
  <c r="M653" i="17"/>
  <c r="L653" i="17"/>
  <c r="K653" i="17"/>
  <c r="I653" i="17"/>
  <c r="N653" i="17" s="1"/>
  <c r="H653" i="17"/>
  <c r="D653" i="17"/>
  <c r="AL652" i="17"/>
  <c r="AK652" i="17"/>
  <c r="AJ652" i="17"/>
  <c r="AF652" i="17"/>
  <c r="AE652" i="17"/>
  <c r="AD652" i="17"/>
  <c r="AC652" i="17"/>
  <c r="AB652" i="17"/>
  <c r="AA652" i="17"/>
  <c r="Y652" i="17"/>
  <c r="X652" i="17"/>
  <c r="W652" i="17"/>
  <c r="V652" i="17"/>
  <c r="U652" i="17"/>
  <c r="R652" i="17"/>
  <c r="M652" i="17"/>
  <c r="L652" i="17"/>
  <c r="K652" i="17"/>
  <c r="I652" i="17"/>
  <c r="N652" i="17" s="1"/>
  <c r="H652" i="17"/>
  <c r="S652" i="17" s="1"/>
  <c r="T652" i="17" s="1"/>
  <c r="D652" i="17"/>
  <c r="AL651" i="17"/>
  <c r="AK651" i="17"/>
  <c r="AJ651" i="17"/>
  <c r="AF651" i="17"/>
  <c r="AE651" i="17"/>
  <c r="AD651" i="17"/>
  <c r="AC651" i="17"/>
  <c r="AB651" i="17"/>
  <c r="AA651" i="17"/>
  <c r="Y651" i="17"/>
  <c r="X651" i="17"/>
  <c r="W651" i="17"/>
  <c r="V651" i="17"/>
  <c r="U651" i="17"/>
  <c r="R651" i="17"/>
  <c r="M651" i="17"/>
  <c r="L651" i="17"/>
  <c r="K651" i="17"/>
  <c r="I651" i="17"/>
  <c r="N651" i="17" s="1"/>
  <c r="H651" i="17"/>
  <c r="D651" i="17"/>
  <c r="AL650" i="17"/>
  <c r="AK650" i="17"/>
  <c r="AJ650" i="17"/>
  <c r="AF650" i="17"/>
  <c r="AE650" i="17"/>
  <c r="AD650" i="17"/>
  <c r="AC650" i="17"/>
  <c r="AB650" i="17"/>
  <c r="AA650" i="17"/>
  <c r="Y650" i="17"/>
  <c r="X650" i="17"/>
  <c r="W650" i="17"/>
  <c r="V650" i="17"/>
  <c r="U650" i="17"/>
  <c r="R650" i="17"/>
  <c r="M650" i="17"/>
  <c r="L650" i="17"/>
  <c r="K650" i="17"/>
  <c r="I650" i="17"/>
  <c r="N650" i="17" s="1"/>
  <c r="H650" i="17"/>
  <c r="D650" i="17"/>
  <c r="AL649" i="17"/>
  <c r="AK649" i="17"/>
  <c r="AJ649" i="17"/>
  <c r="AF649" i="17"/>
  <c r="AE649" i="17"/>
  <c r="AD649" i="17"/>
  <c r="AC649" i="17"/>
  <c r="AB649" i="17"/>
  <c r="AA649" i="17"/>
  <c r="Y649" i="17"/>
  <c r="X649" i="17"/>
  <c r="W649" i="17"/>
  <c r="V649" i="17"/>
  <c r="U649" i="17"/>
  <c r="R649" i="17"/>
  <c r="M649" i="17"/>
  <c r="L649" i="17"/>
  <c r="K649" i="17"/>
  <c r="I649" i="17"/>
  <c r="N649" i="17" s="1"/>
  <c r="H649" i="17"/>
  <c r="D649" i="17"/>
  <c r="AL648" i="17"/>
  <c r="AK648" i="17"/>
  <c r="AJ648" i="17"/>
  <c r="AF648" i="17"/>
  <c r="AE648" i="17"/>
  <c r="AD648" i="17"/>
  <c r="AC648" i="17"/>
  <c r="AB648" i="17"/>
  <c r="AA648" i="17"/>
  <c r="Y648" i="17"/>
  <c r="X648" i="17"/>
  <c r="W648" i="17"/>
  <c r="V648" i="17"/>
  <c r="U648" i="17"/>
  <c r="R648" i="17"/>
  <c r="M648" i="17"/>
  <c r="L648" i="17"/>
  <c r="K648" i="17"/>
  <c r="I648" i="17"/>
  <c r="N648" i="17" s="1"/>
  <c r="H648" i="17"/>
  <c r="D648" i="17"/>
  <c r="AH647" i="17"/>
  <c r="B227" i="14" s="1"/>
  <c r="D227" i="14" s="1"/>
  <c r="AG647" i="17"/>
  <c r="AK647" i="17" s="1"/>
  <c r="AF647" i="17"/>
  <c r="AE647" i="17"/>
  <c r="AD647" i="17"/>
  <c r="AC647" i="17"/>
  <c r="AB647" i="17"/>
  <c r="AA647" i="17"/>
  <c r="Y647" i="17"/>
  <c r="X647" i="17"/>
  <c r="W647" i="17"/>
  <c r="V647" i="17"/>
  <c r="U647" i="17"/>
  <c r="R647" i="17"/>
  <c r="N647" i="17"/>
  <c r="M647" i="17"/>
  <c r="L647" i="17"/>
  <c r="K647" i="17"/>
  <c r="I647" i="17"/>
  <c r="H647" i="17"/>
  <c r="D647" i="17"/>
  <c r="AL646" i="17"/>
  <c r="AK646" i="17"/>
  <c r="AI646" i="17"/>
  <c r="AF646" i="17"/>
  <c r="AE646" i="17"/>
  <c r="AD646" i="17"/>
  <c r="AC646" i="17"/>
  <c r="AB646" i="17"/>
  <c r="AA646" i="17"/>
  <c r="Y646" i="17"/>
  <c r="X646" i="17"/>
  <c r="W646" i="17"/>
  <c r="V646" i="17"/>
  <c r="U646" i="17"/>
  <c r="R646" i="17"/>
  <c r="M646" i="17"/>
  <c r="L646" i="17"/>
  <c r="K646" i="17"/>
  <c r="I646" i="17"/>
  <c r="H646" i="17"/>
  <c r="D646" i="17"/>
  <c r="N646" i="17" s="1"/>
  <c r="AK645" i="17"/>
  <c r="AF645" i="17"/>
  <c r="AE645" i="17"/>
  <c r="AD645" i="17"/>
  <c r="AC645" i="17"/>
  <c r="AB645" i="17"/>
  <c r="AA645" i="17"/>
  <c r="Y645" i="17"/>
  <c r="X645" i="17"/>
  <c r="W645" i="17"/>
  <c r="V645" i="17"/>
  <c r="U645" i="17"/>
  <c r="S645" i="17"/>
  <c r="T645" i="17" s="1"/>
  <c r="R645" i="17"/>
  <c r="M645" i="17"/>
  <c r="L645" i="17"/>
  <c r="K645" i="17"/>
  <c r="I645" i="17"/>
  <c r="H645" i="17"/>
  <c r="D645" i="17"/>
  <c r="N645" i="17" s="1"/>
  <c r="AK644" i="17"/>
  <c r="AF644" i="17"/>
  <c r="AE644" i="17"/>
  <c r="AD644" i="17"/>
  <c r="AC644" i="17"/>
  <c r="AB644" i="17"/>
  <c r="AA644" i="17"/>
  <c r="Y644" i="17"/>
  <c r="X644" i="17"/>
  <c r="W644" i="17"/>
  <c r="V644" i="17"/>
  <c r="U644" i="17"/>
  <c r="R644" i="17"/>
  <c r="N644" i="17"/>
  <c r="M644" i="17"/>
  <c r="L644" i="17"/>
  <c r="K644" i="17"/>
  <c r="I644" i="17"/>
  <c r="H644" i="17"/>
  <c r="D644" i="17"/>
  <c r="AK643" i="17"/>
  <c r="AF643" i="17"/>
  <c r="AE643" i="17"/>
  <c r="AD643" i="17"/>
  <c r="AC643" i="17"/>
  <c r="AB643" i="17"/>
  <c r="AA643" i="17"/>
  <c r="Y643" i="17"/>
  <c r="X643" i="17"/>
  <c r="W643" i="17"/>
  <c r="V643" i="17"/>
  <c r="U643" i="17"/>
  <c r="R643" i="17"/>
  <c r="N643" i="17"/>
  <c r="M643" i="17"/>
  <c r="L643" i="17"/>
  <c r="K643" i="17"/>
  <c r="I643" i="17"/>
  <c r="H643" i="17"/>
  <c r="D643" i="17"/>
  <c r="AK642" i="17"/>
  <c r="AF642" i="17"/>
  <c r="AE642" i="17"/>
  <c r="AD642" i="17"/>
  <c r="AC642" i="17"/>
  <c r="AB642" i="17"/>
  <c r="AA642" i="17"/>
  <c r="Y642" i="17"/>
  <c r="X642" i="17"/>
  <c r="W642" i="17"/>
  <c r="V642" i="17"/>
  <c r="U642" i="17"/>
  <c r="R642" i="17"/>
  <c r="M642" i="17"/>
  <c r="L642" i="17"/>
  <c r="K642" i="17"/>
  <c r="I642" i="17"/>
  <c r="H642" i="17"/>
  <c r="D642" i="17"/>
  <c r="N642" i="17" s="1"/>
  <c r="AK641" i="17"/>
  <c r="AF641" i="17"/>
  <c r="AE641" i="17"/>
  <c r="AD641" i="17"/>
  <c r="AC641" i="17"/>
  <c r="AB641" i="17"/>
  <c r="AA641" i="17"/>
  <c r="Y641" i="17"/>
  <c r="X641" i="17"/>
  <c r="W641" i="17"/>
  <c r="V641" i="17"/>
  <c r="U641" i="17"/>
  <c r="R641" i="17"/>
  <c r="M641" i="17"/>
  <c r="L641" i="17"/>
  <c r="K641" i="17"/>
  <c r="I641" i="17"/>
  <c r="H641" i="17"/>
  <c r="D641" i="17"/>
  <c r="N641" i="17" s="1"/>
  <c r="AK640" i="17"/>
  <c r="AF640" i="17"/>
  <c r="AE640" i="17"/>
  <c r="AD640" i="17"/>
  <c r="AC640" i="17"/>
  <c r="AB640" i="17"/>
  <c r="AA640" i="17"/>
  <c r="Y640" i="17"/>
  <c r="X640" i="17"/>
  <c r="W640" i="17"/>
  <c r="V640" i="17"/>
  <c r="U640" i="17"/>
  <c r="R640" i="17"/>
  <c r="N640" i="17"/>
  <c r="M640" i="17"/>
  <c r="L640" i="17"/>
  <c r="K640" i="17"/>
  <c r="I640" i="17"/>
  <c r="H640" i="17"/>
  <c r="D640" i="17"/>
  <c r="AK639" i="17"/>
  <c r="AF639" i="17"/>
  <c r="AE639" i="17"/>
  <c r="AD639" i="17"/>
  <c r="AC639" i="17"/>
  <c r="AB639" i="17"/>
  <c r="AA639" i="17"/>
  <c r="Y639" i="17"/>
  <c r="X639" i="17"/>
  <c r="W639" i="17"/>
  <c r="V639" i="17"/>
  <c r="U639" i="17"/>
  <c r="R639" i="17"/>
  <c r="N639" i="17"/>
  <c r="M639" i="17"/>
  <c r="L639" i="17"/>
  <c r="K639" i="17"/>
  <c r="I639" i="17"/>
  <c r="H639" i="17"/>
  <c r="D639" i="17"/>
  <c r="AK638" i="17"/>
  <c r="AF638" i="17"/>
  <c r="AE638" i="17"/>
  <c r="AD638" i="17"/>
  <c r="AC638" i="17"/>
  <c r="AB638" i="17"/>
  <c r="AA638" i="17"/>
  <c r="Y638" i="17"/>
  <c r="X638" i="17"/>
  <c r="W638" i="17"/>
  <c r="V638" i="17"/>
  <c r="U638" i="17"/>
  <c r="R638" i="17"/>
  <c r="M638" i="17"/>
  <c r="L638" i="17"/>
  <c r="K638" i="17"/>
  <c r="I638" i="17"/>
  <c r="H638" i="17"/>
  <c r="D638" i="17"/>
  <c r="N638" i="17" s="1"/>
  <c r="AK637" i="17"/>
  <c r="AF637" i="17"/>
  <c r="AE637" i="17"/>
  <c r="AD637" i="17"/>
  <c r="AC637" i="17"/>
  <c r="AB637" i="17"/>
  <c r="AA637" i="17"/>
  <c r="Y637" i="17"/>
  <c r="X637" i="17"/>
  <c r="W637" i="17"/>
  <c r="V637" i="17"/>
  <c r="U637" i="17"/>
  <c r="R637" i="17"/>
  <c r="N637" i="17"/>
  <c r="M637" i="17"/>
  <c r="L637" i="17"/>
  <c r="K637" i="17"/>
  <c r="I637" i="17"/>
  <c r="H637" i="17"/>
  <c r="D637" i="17"/>
  <c r="AK636" i="17"/>
  <c r="AF636" i="17"/>
  <c r="AE636" i="17"/>
  <c r="AD636" i="17"/>
  <c r="AC636" i="17"/>
  <c r="AB636" i="17"/>
  <c r="AA636" i="17"/>
  <c r="Y636" i="17"/>
  <c r="X636" i="17"/>
  <c r="W636" i="17"/>
  <c r="V636" i="17"/>
  <c r="U636" i="17"/>
  <c r="R636" i="17"/>
  <c r="N636" i="17"/>
  <c r="M636" i="17"/>
  <c r="L636" i="17"/>
  <c r="K636" i="17"/>
  <c r="I636" i="17"/>
  <c r="H636" i="17"/>
  <c r="D636" i="17"/>
  <c r="AK635" i="17"/>
  <c r="AF635" i="17"/>
  <c r="AE635" i="17"/>
  <c r="AD635" i="17"/>
  <c r="AC635" i="17"/>
  <c r="AB635" i="17"/>
  <c r="AA635" i="17"/>
  <c r="Y635" i="17"/>
  <c r="X635" i="17"/>
  <c r="W635" i="17"/>
  <c r="V635" i="17"/>
  <c r="U635" i="17"/>
  <c r="R635" i="17"/>
  <c r="M635" i="17"/>
  <c r="L635" i="17"/>
  <c r="K635" i="17"/>
  <c r="I635" i="17"/>
  <c r="H635" i="17"/>
  <c r="D635" i="17"/>
  <c r="N635" i="17" s="1"/>
  <c r="AK634" i="17"/>
  <c r="AF634" i="17"/>
  <c r="AE634" i="17"/>
  <c r="AD634" i="17"/>
  <c r="AC634" i="17"/>
  <c r="AB634" i="17"/>
  <c r="AA634" i="17"/>
  <c r="Y634" i="17"/>
  <c r="X634" i="17"/>
  <c r="W634" i="17"/>
  <c r="V634" i="17"/>
  <c r="U634" i="17"/>
  <c r="R634" i="17"/>
  <c r="M634" i="17"/>
  <c r="L634" i="17"/>
  <c r="K634" i="17"/>
  <c r="I634" i="17"/>
  <c r="H634" i="17"/>
  <c r="D634" i="17"/>
  <c r="N634" i="17" s="1"/>
  <c r="AK633" i="17"/>
  <c r="AF633" i="17"/>
  <c r="AE633" i="17"/>
  <c r="AD633" i="17"/>
  <c r="AC633" i="17"/>
  <c r="AB633" i="17"/>
  <c r="AA633" i="17"/>
  <c r="Y633" i="17"/>
  <c r="X633" i="17"/>
  <c r="W633" i="17"/>
  <c r="V633" i="17"/>
  <c r="U633" i="17"/>
  <c r="R633" i="17"/>
  <c r="M633" i="17"/>
  <c r="L633" i="17"/>
  <c r="K633" i="17"/>
  <c r="I633" i="17"/>
  <c r="H633" i="17"/>
  <c r="D633" i="17"/>
  <c r="N633" i="17" s="1"/>
  <c r="AK632" i="17"/>
  <c r="AF632" i="17"/>
  <c r="AE632" i="17"/>
  <c r="AD632" i="17"/>
  <c r="AC632" i="17"/>
  <c r="AB632" i="17"/>
  <c r="AA632" i="17"/>
  <c r="Y632" i="17"/>
  <c r="X632" i="17"/>
  <c r="W632" i="17"/>
  <c r="V632" i="17"/>
  <c r="U632" i="17"/>
  <c r="R632" i="17"/>
  <c r="N632" i="17"/>
  <c r="M632" i="17"/>
  <c r="L632" i="17"/>
  <c r="K632" i="17"/>
  <c r="I632" i="17"/>
  <c r="H632" i="17"/>
  <c r="D632" i="17"/>
  <c r="AK631" i="17"/>
  <c r="AF631" i="17"/>
  <c r="AE631" i="17"/>
  <c r="AD631" i="17"/>
  <c r="AC631" i="17"/>
  <c r="AB631" i="17"/>
  <c r="AA631" i="17"/>
  <c r="Y631" i="17"/>
  <c r="X631" i="17"/>
  <c r="W631" i="17"/>
  <c r="V631" i="17"/>
  <c r="U631" i="17"/>
  <c r="R631" i="17"/>
  <c r="N631" i="17"/>
  <c r="M631" i="17"/>
  <c r="L631" i="17"/>
  <c r="K631" i="17"/>
  <c r="I631" i="17"/>
  <c r="H631" i="17"/>
  <c r="D631" i="17"/>
  <c r="AK630" i="17"/>
  <c r="AF630" i="17"/>
  <c r="AE630" i="17"/>
  <c r="AD630" i="17"/>
  <c r="AC630" i="17"/>
  <c r="AB630" i="17"/>
  <c r="AA630" i="17"/>
  <c r="Y630" i="17"/>
  <c r="X630" i="17"/>
  <c r="W630" i="17"/>
  <c r="V630" i="17"/>
  <c r="U630" i="17"/>
  <c r="R630" i="17"/>
  <c r="M630" i="17"/>
  <c r="L630" i="17"/>
  <c r="K630" i="17"/>
  <c r="I630" i="17"/>
  <c r="H630" i="17"/>
  <c r="D630" i="17"/>
  <c r="N630" i="17" s="1"/>
  <c r="AK629" i="17"/>
  <c r="AF629" i="17"/>
  <c r="AE629" i="17"/>
  <c r="AD629" i="17"/>
  <c r="AC629" i="17"/>
  <c r="AB629" i="17"/>
  <c r="AA629" i="17"/>
  <c r="Y629" i="17"/>
  <c r="X629" i="17"/>
  <c r="W629" i="17"/>
  <c r="V629" i="17"/>
  <c r="U629" i="17"/>
  <c r="R629" i="17"/>
  <c r="M629" i="17"/>
  <c r="L629" i="17"/>
  <c r="K629" i="17"/>
  <c r="I629" i="17"/>
  <c r="H629" i="17"/>
  <c r="D629" i="17"/>
  <c r="N629" i="17" s="1"/>
  <c r="AK628" i="17"/>
  <c r="AH628" i="17"/>
  <c r="B208" i="14" s="1"/>
  <c r="D208" i="14" s="1"/>
  <c r="AF628" i="17"/>
  <c r="AE628" i="17"/>
  <c r="AD628" i="17"/>
  <c r="AC628" i="17"/>
  <c r="AB628" i="17"/>
  <c r="AA628" i="17"/>
  <c r="Y628" i="17"/>
  <c r="X628" i="17"/>
  <c r="W628" i="17"/>
  <c r="V628" i="17"/>
  <c r="U628" i="17"/>
  <c r="R628" i="17"/>
  <c r="M628" i="17"/>
  <c r="L628" i="17"/>
  <c r="K628" i="17"/>
  <c r="I628" i="17"/>
  <c r="H628" i="17"/>
  <c r="D628" i="17"/>
  <c r="N628" i="17" s="1"/>
  <c r="AL627" i="17"/>
  <c r="AK627" i="17"/>
  <c r="AJ627" i="17" s="1"/>
  <c r="AF627" i="17"/>
  <c r="AE627" i="17"/>
  <c r="AD627" i="17"/>
  <c r="AC627" i="17"/>
  <c r="AB627" i="17"/>
  <c r="AA627" i="17"/>
  <c r="Y627" i="17"/>
  <c r="X627" i="17"/>
  <c r="W627" i="17"/>
  <c r="V627" i="17"/>
  <c r="U627" i="17"/>
  <c r="R627" i="17"/>
  <c r="M627" i="17"/>
  <c r="L627" i="17"/>
  <c r="K627" i="17"/>
  <c r="I627" i="17"/>
  <c r="H627" i="17"/>
  <c r="D627" i="17"/>
  <c r="N627" i="17" s="1"/>
  <c r="AL626" i="17"/>
  <c r="AK626" i="17"/>
  <c r="AJ626" i="17" s="1"/>
  <c r="AF626" i="17"/>
  <c r="AE626" i="17"/>
  <c r="AD626" i="17"/>
  <c r="AC626" i="17"/>
  <c r="AB626" i="17"/>
  <c r="AA626" i="17"/>
  <c r="Y626" i="17"/>
  <c r="X626" i="17"/>
  <c r="W626" i="17"/>
  <c r="V626" i="17"/>
  <c r="U626" i="17"/>
  <c r="R626" i="17"/>
  <c r="M626" i="17"/>
  <c r="L626" i="17"/>
  <c r="K626" i="17"/>
  <c r="I626" i="17"/>
  <c r="H626" i="17"/>
  <c r="D626" i="17"/>
  <c r="N626" i="17" s="1"/>
  <c r="AL625" i="17"/>
  <c r="AK625" i="17"/>
  <c r="AJ625" i="17" s="1"/>
  <c r="AF625" i="17"/>
  <c r="AE625" i="17"/>
  <c r="AD625" i="17"/>
  <c r="AC625" i="17"/>
  <c r="AB625" i="17"/>
  <c r="AA625" i="17"/>
  <c r="Y625" i="17"/>
  <c r="X625" i="17"/>
  <c r="W625" i="17"/>
  <c r="V625" i="17"/>
  <c r="U625" i="17"/>
  <c r="R625" i="17"/>
  <c r="M625" i="17"/>
  <c r="L625" i="17"/>
  <c r="K625" i="17"/>
  <c r="I625" i="17"/>
  <c r="H625" i="17"/>
  <c r="D625" i="17"/>
  <c r="N625" i="17" s="1"/>
  <c r="AL624" i="17"/>
  <c r="AK624" i="17"/>
  <c r="AJ624" i="17" s="1"/>
  <c r="AF624" i="17"/>
  <c r="AE624" i="17"/>
  <c r="AD624" i="17"/>
  <c r="AC624" i="17"/>
  <c r="AB624" i="17"/>
  <c r="AA624" i="17"/>
  <c r="Y624" i="17"/>
  <c r="X624" i="17"/>
  <c r="W624" i="17"/>
  <c r="V624" i="17"/>
  <c r="U624" i="17"/>
  <c r="R624" i="17"/>
  <c r="M624" i="17"/>
  <c r="L624" i="17"/>
  <c r="K624" i="17"/>
  <c r="I624" i="17"/>
  <c r="H624" i="17"/>
  <c r="S624" i="17" s="1"/>
  <c r="T624" i="17" s="1"/>
  <c r="D624" i="17"/>
  <c r="N624" i="17" s="1"/>
  <c r="AL623" i="17"/>
  <c r="AK623" i="17"/>
  <c r="AJ623" i="17" s="1"/>
  <c r="AF623" i="17"/>
  <c r="AE623" i="17"/>
  <c r="AD623" i="17"/>
  <c r="AC623" i="17"/>
  <c r="AB623" i="17"/>
  <c r="AA623" i="17"/>
  <c r="Y623" i="17"/>
  <c r="X623" i="17"/>
  <c r="W623" i="17"/>
  <c r="V623" i="17"/>
  <c r="U623" i="17"/>
  <c r="R623" i="17"/>
  <c r="M623" i="17"/>
  <c r="L623" i="17"/>
  <c r="K623" i="17"/>
  <c r="I623" i="17"/>
  <c r="H623" i="17"/>
  <c r="D623" i="17"/>
  <c r="N623" i="17" s="1"/>
  <c r="AL622" i="17"/>
  <c r="AK622" i="17"/>
  <c r="AJ622" i="17" s="1"/>
  <c r="AF622" i="17"/>
  <c r="AE622" i="17"/>
  <c r="AD622" i="17"/>
  <c r="AC622" i="17"/>
  <c r="AB622" i="17"/>
  <c r="AA622" i="17"/>
  <c r="Y622" i="17"/>
  <c r="X622" i="17"/>
  <c r="W622" i="17"/>
  <c r="V622" i="17"/>
  <c r="U622" i="17"/>
  <c r="R622" i="17"/>
  <c r="M622" i="17"/>
  <c r="L622" i="17"/>
  <c r="K622" i="17"/>
  <c r="I622" i="17"/>
  <c r="H622" i="17"/>
  <c r="D622" i="17"/>
  <c r="N622" i="17" s="1"/>
  <c r="AL621" i="17"/>
  <c r="AK621" i="17"/>
  <c r="AJ621" i="17" s="1"/>
  <c r="AF621" i="17"/>
  <c r="AE621" i="17"/>
  <c r="AD621" i="17"/>
  <c r="AC621" i="17"/>
  <c r="AB621" i="17"/>
  <c r="AA621" i="17"/>
  <c r="Y621" i="17"/>
  <c r="X621" i="17"/>
  <c r="W621" i="17"/>
  <c r="V621" i="17"/>
  <c r="U621" i="17"/>
  <c r="R621" i="17"/>
  <c r="M621" i="17"/>
  <c r="L621" i="17"/>
  <c r="K621" i="17"/>
  <c r="I621" i="17"/>
  <c r="H621" i="17"/>
  <c r="D621" i="17"/>
  <c r="N621" i="17" s="1"/>
  <c r="AL620" i="17"/>
  <c r="AK620" i="17"/>
  <c r="AJ620" i="17" s="1"/>
  <c r="AF620" i="17"/>
  <c r="AE620" i="17"/>
  <c r="AD620" i="17"/>
  <c r="AC620" i="17"/>
  <c r="AB620" i="17"/>
  <c r="AA620" i="17"/>
  <c r="Y620" i="17"/>
  <c r="X620" i="17"/>
  <c r="W620" i="17"/>
  <c r="V620" i="17"/>
  <c r="U620" i="17"/>
  <c r="R620" i="17"/>
  <c r="M620" i="17"/>
  <c r="L620" i="17"/>
  <c r="K620" i="17"/>
  <c r="I620" i="17"/>
  <c r="H620" i="17"/>
  <c r="D620" i="17"/>
  <c r="N620" i="17" s="1"/>
  <c r="AL619" i="17"/>
  <c r="AK619" i="17"/>
  <c r="AJ619" i="17" s="1"/>
  <c r="AF619" i="17"/>
  <c r="AE619" i="17"/>
  <c r="AD619" i="17"/>
  <c r="AC619" i="17"/>
  <c r="AB619" i="17"/>
  <c r="AA619" i="17"/>
  <c r="Y619" i="17"/>
  <c r="X619" i="17"/>
  <c r="W619" i="17"/>
  <c r="V619" i="17"/>
  <c r="U619" i="17"/>
  <c r="R619" i="17"/>
  <c r="M619" i="17"/>
  <c r="L619" i="17"/>
  <c r="K619" i="17"/>
  <c r="I619" i="17"/>
  <c r="H619" i="17"/>
  <c r="D619" i="17"/>
  <c r="N619" i="17" s="1"/>
  <c r="AL618" i="17"/>
  <c r="AK618" i="17"/>
  <c r="AJ618" i="17" s="1"/>
  <c r="AF618" i="17"/>
  <c r="AE618" i="17"/>
  <c r="AD618" i="17"/>
  <c r="AC618" i="17"/>
  <c r="AB618" i="17"/>
  <c r="AA618" i="17"/>
  <c r="Y618" i="17"/>
  <c r="X618" i="17"/>
  <c r="W618" i="17"/>
  <c r="V618" i="17"/>
  <c r="U618" i="17"/>
  <c r="R618" i="17"/>
  <c r="M618" i="17"/>
  <c r="L618" i="17"/>
  <c r="K618" i="17"/>
  <c r="I618" i="17"/>
  <c r="H618" i="17"/>
  <c r="D618" i="17"/>
  <c r="N618" i="17" s="1"/>
  <c r="AL617" i="17"/>
  <c r="AK617" i="17"/>
  <c r="AJ617" i="17" s="1"/>
  <c r="AF617" i="17"/>
  <c r="AE617" i="17"/>
  <c r="AD617" i="17"/>
  <c r="AC617" i="17"/>
  <c r="AB617" i="17"/>
  <c r="AA617" i="17"/>
  <c r="Y617" i="17"/>
  <c r="X617" i="17"/>
  <c r="W617" i="17"/>
  <c r="V617" i="17"/>
  <c r="U617" i="17"/>
  <c r="R617" i="17"/>
  <c r="M617" i="17"/>
  <c r="L617" i="17"/>
  <c r="K617" i="17"/>
  <c r="I617" i="17"/>
  <c r="H617" i="17"/>
  <c r="D617" i="17"/>
  <c r="N617" i="17" s="1"/>
  <c r="AL616" i="17"/>
  <c r="AK616" i="17"/>
  <c r="AJ616" i="17" s="1"/>
  <c r="AF616" i="17"/>
  <c r="AE616" i="17"/>
  <c r="AD616" i="17"/>
  <c r="AC616" i="17"/>
  <c r="AB616" i="17"/>
  <c r="AA616" i="17"/>
  <c r="Y616" i="17"/>
  <c r="X616" i="17"/>
  <c r="W616" i="17"/>
  <c r="V616" i="17"/>
  <c r="U616" i="17"/>
  <c r="R616" i="17"/>
  <c r="M616" i="17"/>
  <c r="L616" i="17"/>
  <c r="K616" i="17"/>
  <c r="I616" i="17"/>
  <c r="H616" i="17"/>
  <c r="D616" i="17"/>
  <c r="N616" i="17" s="1"/>
  <c r="AL615" i="17"/>
  <c r="AK615" i="17"/>
  <c r="AJ615" i="17" s="1"/>
  <c r="AF615" i="17"/>
  <c r="AE615" i="17"/>
  <c r="AD615" i="17"/>
  <c r="AC615" i="17"/>
  <c r="AB615" i="17"/>
  <c r="AA615" i="17"/>
  <c r="Y615" i="17"/>
  <c r="X615" i="17"/>
  <c r="W615" i="17"/>
  <c r="V615" i="17"/>
  <c r="U615" i="17"/>
  <c r="R615" i="17"/>
  <c r="M615" i="17"/>
  <c r="L615" i="17"/>
  <c r="K615" i="17"/>
  <c r="I615" i="17"/>
  <c r="H615" i="17"/>
  <c r="D615" i="17"/>
  <c r="N615" i="17" s="1"/>
  <c r="AL614" i="17"/>
  <c r="AK614" i="17"/>
  <c r="AJ614" i="17" s="1"/>
  <c r="AF614" i="17"/>
  <c r="AE614" i="17"/>
  <c r="AD614" i="17"/>
  <c r="AC614" i="17"/>
  <c r="AB614" i="17"/>
  <c r="AA614" i="17"/>
  <c r="Y614" i="17"/>
  <c r="X614" i="17"/>
  <c r="W614" i="17"/>
  <c r="V614" i="17"/>
  <c r="U614" i="17"/>
  <c r="R614" i="17"/>
  <c r="M614" i="17"/>
  <c r="L614" i="17"/>
  <c r="K614" i="17"/>
  <c r="I614" i="17"/>
  <c r="H614" i="17"/>
  <c r="D614" i="17"/>
  <c r="N614" i="17" s="1"/>
  <c r="AL613" i="17"/>
  <c r="AK613" i="17"/>
  <c r="AJ613" i="17" s="1"/>
  <c r="AF613" i="17"/>
  <c r="AE613" i="17"/>
  <c r="AD613" i="17"/>
  <c r="AC613" i="17"/>
  <c r="AB613" i="17"/>
  <c r="AA613" i="17"/>
  <c r="Y613" i="17"/>
  <c r="X613" i="17"/>
  <c r="W613" i="17"/>
  <c r="V613" i="17"/>
  <c r="U613" i="17"/>
  <c r="R613" i="17"/>
  <c r="M613" i="17"/>
  <c r="L613" i="17"/>
  <c r="K613" i="17"/>
  <c r="I613" i="17"/>
  <c r="H613" i="17"/>
  <c r="D613" i="17"/>
  <c r="N613" i="17" s="1"/>
  <c r="AL612" i="17"/>
  <c r="AK612" i="17"/>
  <c r="AJ612" i="17" s="1"/>
  <c r="AF612" i="17"/>
  <c r="AE612" i="17"/>
  <c r="AD612" i="17"/>
  <c r="AC612" i="17"/>
  <c r="AB612" i="17"/>
  <c r="AA612" i="17"/>
  <c r="Y612" i="17"/>
  <c r="X612" i="17"/>
  <c r="W612" i="17"/>
  <c r="V612" i="17"/>
  <c r="U612" i="17"/>
  <c r="R612" i="17"/>
  <c r="M612" i="17"/>
  <c r="L612" i="17"/>
  <c r="K612" i="17"/>
  <c r="I612" i="17"/>
  <c r="H612" i="17"/>
  <c r="D612" i="17"/>
  <c r="N612" i="17" s="1"/>
  <c r="AL611" i="17"/>
  <c r="AK611" i="17"/>
  <c r="AJ611" i="17" s="1"/>
  <c r="AF611" i="17"/>
  <c r="AE611" i="17"/>
  <c r="AD611" i="17"/>
  <c r="AC611" i="17"/>
  <c r="AB611" i="17"/>
  <c r="AA611" i="17"/>
  <c r="Y611" i="17"/>
  <c r="X611" i="17"/>
  <c r="W611" i="17"/>
  <c r="V611" i="17"/>
  <c r="U611" i="17"/>
  <c r="R611" i="17"/>
  <c r="M611" i="17"/>
  <c r="L611" i="17"/>
  <c r="K611" i="17"/>
  <c r="I611" i="17"/>
  <c r="H611" i="17"/>
  <c r="D611" i="17"/>
  <c r="N611" i="17" s="1"/>
  <c r="AL610" i="17"/>
  <c r="AK610" i="17"/>
  <c r="AJ610" i="17" s="1"/>
  <c r="AF610" i="17"/>
  <c r="AE610" i="17"/>
  <c r="AD610" i="17"/>
  <c r="AC610" i="17"/>
  <c r="AB610" i="17"/>
  <c r="AA610" i="17"/>
  <c r="Y610" i="17"/>
  <c r="X610" i="17"/>
  <c r="W610" i="17"/>
  <c r="V610" i="17"/>
  <c r="U610" i="17"/>
  <c r="R610" i="17"/>
  <c r="M610" i="17"/>
  <c r="L610" i="17"/>
  <c r="K610" i="17"/>
  <c r="I610" i="17"/>
  <c r="H610" i="17"/>
  <c r="D610" i="17"/>
  <c r="N610" i="17" s="1"/>
  <c r="AL609" i="17"/>
  <c r="AK609" i="17"/>
  <c r="AJ609" i="17" s="1"/>
  <c r="AF609" i="17"/>
  <c r="AE609" i="17"/>
  <c r="AD609" i="17"/>
  <c r="AC609" i="17"/>
  <c r="AB609" i="17"/>
  <c r="AA609" i="17"/>
  <c r="Y609" i="17"/>
  <c r="X609" i="17"/>
  <c r="W609" i="17"/>
  <c r="V609" i="17"/>
  <c r="U609" i="17"/>
  <c r="R609" i="17"/>
  <c r="M609" i="17"/>
  <c r="L609" i="17"/>
  <c r="K609" i="17"/>
  <c r="I609" i="17"/>
  <c r="H609" i="17"/>
  <c r="D609" i="17"/>
  <c r="N609" i="17" s="1"/>
  <c r="AL608" i="17"/>
  <c r="AK608" i="17"/>
  <c r="AJ608" i="17" s="1"/>
  <c r="AF608" i="17"/>
  <c r="AE608" i="17"/>
  <c r="AD608" i="17"/>
  <c r="AC608" i="17"/>
  <c r="AB608" i="17"/>
  <c r="AA608" i="17"/>
  <c r="Y608" i="17"/>
  <c r="X608" i="17"/>
  <c r="W608" i="17"/>
  <c r="V608" i="17"/>
  <c r="U608" i="17"/>
  <c r="R608" i="17"/>
  <c r="M608" i="17"/>
  <c r="L608" i="17"/>
  <c r="K608" i="17"/>
  <c r="I608" i="17"/>
  <c r="H608" i="17"/>
  <c r="S608" i="17" s="1"/>
  <c r="T608" i="17" s="1"/>
  <c r="D608" i="17"/>
  <c r="N608" i="17" s="1"/>
  <c r="AL607" i="17"/>
  <c r="AK607" i="17"/>
  <c r="AJ607" i="17" s="1"/>
  <c r="AF607" i="17"/>
  <c r="AE607" i="17"/>
  <c r="AD607" i="17"/>
  <c r="AC607" i="17"/>
  <c r="AB607" i="17"/>
  <c r="AA607" i="17"/>
  <c r="Y607" i="17"/>
  <c r="X607" i="17"/>
  <c r="W607" i="17"/>
  <c r="V607" i="17"/>
  <c r="U607" i="17"/>
  <c r="R607" i="17"/>
  <c r="M607" i="17"/>
  <c r="L607" i="17"/>
  <c r="K607" i="17"/>
  <c r="I607" i="17"/>
  <c r="H607" i="17"/>
  <c r="D607" i="17"/>
  <c r="N607" i="17" s="1"/>
  <c r="AL606" i="17"/>
  <c r="AK606" i="17"/>
  <c r="AJ606" i="17" s="1"/>
  <c r="AF606" i="17"/>
  <c r="AE606" i="17"/>
  <c r="AD606" i="17"/>
  <c r="AC606" i="17"/>
  <c r="AB606" i="17"/>
  <c r="AA606" i="17"/>
  <c r="Y606" i="17"/>
  <c r="X606" i="17"/>
  <c r="W606" i="17"/>
  <c r="V606" i="17"/>
  <c r="U606" i="17"/>
  <c r="R606" i="17"/>
  <c r="M606" i="17"/>
  <c r="L606" i="17"/>
  <c r="K606" i="17"/>
  <c r="I606" i="17"/>
  <c r="H606" i="17"/>
  <c r="D606" i="17"/>
  <c r="N606" i="17" s="1"/>
  <c r="AL605" i="17"/>
  <c r="AK605" i="17"/>
  <c r="AJ605" i="17" s="1"/>
  <c r="AF605" i="17"/>
  <c r="AE605" i="17"/>
  <c r="AD605" i="17"/>
  <c r="AC605" i="17"/>
  <c r="AB605" i="17"/>
  <c r="AA605" i="17"/>
  <c r="Y605" i="17"/>
  <c r="X605" i="17"/>
  <c r="W605" i="17"/>
  <c r="V605" i="17"/>
  <c r="U605" i="17"/>
  <c r="R605" i="17"/>
  <c r="M605" i="17"/>
  <c r="L605" i="17"/>
  <c r="K605" i="17"/>
  <c r="I605" i="17"/>
  <c r="H605" i="17"/>
  <c r="D605" i="17"/>
  <c r="N605" i="17" s="1"/>
  <c r="AL604" i="17"/>
  <c r="AK604" i="17"/>
  <c r="AJ604" i="17" s="1"/>
  <c r="AF604" i="17"/>
  <c r="AE604" i="17"/>
  <c r="AD604" i="17"/>
  <c r="AC604" i="17"/>
  <c r="AB604" i="17"/>
  <c r="AA604" i="17"/>
  <c r="Y604" i="17"/>
  <c r="X604" i="17"/>
  <c r="W604" i="17"/>
  <c r="V604" i="17"/>
  <c r="U604" i="17"/>
  <c r="R604" i="17"/>
  <c r="M604" i="17"/>
  <c r="L604" i="17"/>
  <c r="K604" i="17"/>
  <c r="I604" i="17"/>
  <c r="H604" i="17"/>
  <c r="D604" i="17"/>
  <c r="N604" i="17" s="1"/>
  <c r="AL603" i="17"/>
  <c r="AK603" i="17"/>
  <c r="AJ603" i="17" s="1"/>
  <c r="AF603" i="17"/>
  <c r="AE603" i="17"/>
  <c r="AD603" i="17"/>
  <c r="AC603" i="17"/>
  <c r="AB603" i="17"/>
  <c r="AA603" i="17"/>
  <c r="Y603" i="17"/>
  <c r="X603" i="17"/>
  <c r="W603" i="17"/>
  <c r="V603" i="17"/>
  <c r="U603" i="17"/>
  <c r="R603" i="17"/>
  <c r="M603" i="17"/>
  <c r="L603" i="17"/>
  <c r="K603" i="17"/>
  <c r="I603" i="17"/>
  <c r="H603" i="17"/>
  <c r="D603" i="17"/>
  <c r="N603" i="17" s="1"/>
  <c r="AL602" i="17"/>
  <c r="AK602" i="17"/>
  <c r="AJ602" i="17" s="1"/>
  <c r="AF602" i="17"/>
  <c r="AE602" i="17"/>
  <c r="AD602" i="17"/>
  <c r="AC602" i="17"/>
  <c r="AB602" i="17"/>
  <c r="AA602" i="17"/>
  <c r="Y602" i="17"/>
  <c r="X602" i="17"/>
  <c r="W602" i="17"/>
  <c r="V602" i="17"/>
  <c r="U602" i="17"/>
  <c r="R602" i="17"/>
  <c r="M602" i="17"/>
  <c r="L602" i="17"/>
  <c r="K602" i="17"/>
  <c r="I602" i="17"/>
  <c r="H602" i="17"/>
  <c r="D602" i="17"/>
  <c r="N602" i="17" s="1"/>
  <c r="AL601" i="17"/>
  <c r="AK601" i="17"/>
  <c r="AJ601" i="17" s="1"/>
  <c r="AH601" i="17"/>
  <c r="AF601" i="17"/>
  <c r="AE601" i="17"/>
  <c r="AD601" i="17"/>
  <c r="AC601" i="17"/>
  <c r="AB601" i="17"/>
  <c r="AA601" i="17"/>
  <c r="Y601" i="17"/>
  <c r="X601" i="17"/>
  <c r="W601" i="17"/>
  <c r="V601" i="17"/>
  <c r="U601" i="17"/>
  <c r="R601" i="17"/>
  <c r="M601" i="17"/>
  <c r="L601" i="17"/>
  <c r="K601" i="17"/>
  <c r="I601" i="17"/>
  <c r="H601" i="17"/>
  <c r="D601" i="17"/>
  <c r="AL600" i="17"/>
  <c r="AK600" i="17"/>
  <c r="AF600" i="17"/>
  <c r="AE600" i="17"/>
  <c r="AD600" i="17"/>
  <c r="AC600" i="17"/>
  <c r="AB600" i="17"/>
  <c r="AA600" i="17"/>
  <c r="Y600" i="17"/>
  <c r="X600" i="17"/>
  <c r="W600" i="17"/>
  <c r="V600" i="17"/>
  <c r="U600" i="17"/>
  <c r="R600" i="17"/>
  <c r="M600" i="17"/>
  <c r="L600" i="17"/>
  <c r="K600" i="17"/>
  <c r="I600" i="17"/>
  <c r="H600" i="17"/>
  <c r="D600" i="17"/>
  <c r="N600" i="17" s="1"/>
  <c r="AL599" i="17"/>
  <c r="AK599" i="17"/>
  <c r="AJ600" i="17" s="1"/>
  <c r="AF599" i="17"/>
  <c r="AE599" i="17"/>
  <c r="AD599" i="17"/>
  <c r="AC599" i="17"/>
  <c r="AB599" i="17"/>
  <c r="AA599" i="17"/>
  <c r="Y599" i="17"/>
  <c r="X599" i="17"/>
  <c r="W599" i="17"/>
  <c r="V599" i="17"/>
  <c r="U599" i="17"/>
  <c r="R599" i="17"/>
  <c r="M599" i="17"/>
  <c r="L599" i="17"/>
  <c r="K599" i="17"/>
  <c r="I599" i="17"/>
  <c r="H599" i="17"/>
  <c r="D599" i="17"/>
  <c r="N599" i="17" s="1"/>
  <c r="AL598" i="17"/>
  <c r="AK598" i="17"/>
  <c r="AJ599" i="17" s="1"/>
  <c r="AF598" i="17"/>
  <c r="AE598" i="17"/>
  <c r="AD598" i="17"/>
  <c r="AC598" i="17"/>
  <c r="AB598" i="17"/>
  <c r="AA598" i="17"/>
  <c r="Y598" i="17"/>
  <c r="X598" i="17"/>
  <c r="W598" i="17"/>
  <c r="V598" i="17"/>
  <c r="U598" i="17"/>
  <c r="R598" i="17"/>
  <c r="M598" i="17"/>
  <c r="L598" i="17"/>
  <c r="K598" i="17"/>
  <c r="I598" i="17"/>
  <c r="H598" i="17"/>
  <c r="D598" i="17"/>
  <c r="N598" i="17" s="1"/>
  <c r="AL597" i="17"/>
  <c r="AK597" i="17"/>
  <c r="AJ597" i="17" s="1"/>
  <c r="AF597" i="17"/>
  <c r="AE597" i="17"/>
  <c r="AD597" i="17"/>
  <c r="AC597" i="17"/>
  <c r="AB597" i="17"/>
  <c r="AA597" i="17"/>
  <c r="Y597" i="17"/>
  <c r="X597" i="17"/>
  <c r="W597" i="17"/>
  <c r="V597" i="17"/>
  <c r="U597" i="17"/>
  <c r="R597" i="17"/>
  <c r="M597" i="17"/>
  <c r="L597" i="17"/>
  <c r="K597" i="17"/>
  <c r="I597" i="17"/>
  <c r="H597" i="17"/>
  <c r="D597" i="17"/>
  <c r="N597" i="17" s="1"/>
  <c r="AL596" i="17"/>
  <c r="AK596" i="17"/>
  <c r="AJ596" i="17" s="1"/>
  <c r="AF596" i="17"/>
  <c r="AE596" i="17"/>
  <c r="AD596" i="17"/>
  <c r="AC596" i="17"/>
  <c r="AB596" i="17"/>
  <c r="AA596" i="17"/>
  <c r="Y596" i="17"/>
  <c r="X596" i="17"/>
  <c r="W596" i="17"/>
  <c r="V596" i="17"/>
  <c r="U596" i="17"/>
  <c r="R596" i="17"/>
  <c r="M596" i="17"/>
  <c r="L596" i="17"/>
  <c r="K596" i="17"/>
  <c r="I596" i="17"/>
  <c r="H596" i="17"/>
  <c r="D596" i="17"/>
  <c r="AL595" i="17"/>
  <c r="AK595" i="17"/>
  <c r="AJ595" i="17" s="1"/>
  <c r="AF595" i="17"/>
  <c r="AE595" i="17"/>
  <c r="AD595" i="17"/>
  <c r="AC595" i="17"/>
  <c r="AB595" i="17"/>
  <c r="AA595" i="17"/>
  <c r="Y595" i="17"/>
  <c r="X595" i="17"/>
  <c r="W595" i="17"/>
  <c r="V595" i="17"/>
  <c r="U595" i="17"/>
  <c r="R595" i="17"/>
  <c r="M595" i="17"/>
  <c r="L595" i="17"/>
  <c r="K595" i="17"/>
  <c r="I595" i="17"/>
  <c r="H595" i="17"/>
  <c r="D595" i="17"/>
  <c r="N595" i="17" s="1"/>
  <c r="AL594" i="17"/>
  <c r="AK594" i="17"/>
  <c r="AJ594" i="17" s="1"/>
  <c r="AF594" i="17"/>
  <c r="AE594" i="17"/>
  <c r="AD594" i="17"/>
  <c r="AC594" i="17"/>
  <c r="AB594" i="17"/>
  <c r="AA594" i="17"/>
  <c r="Y594" i="17"/>
  <c r="X594" i="17"/>
  <c r="W594" i="17"/>
  <c r="V594" i="17"/>
  <c r="U594" i="17"/>
  <c r="R594" i="17"/>
  <c r="M594" i="17"/>
  <c r="L594" i="17"/>
  <c r="K594" i="17"/>
  <c r="I594" i="17"/>
  <c r="H594" i="17"/>
  <c r="D594" i="17"/>
  <c r="N594" i="17" s="1"/>
  <c r="AL593" i="17"/>
  <c r="AK593" i="17"/>
  <c r="AJ593" i="17" s="1"/>
  <c r="AF593" i="17"/>
  <c r="AE593" i="17"/>
  <c r="AD593" i="17"/>
  <c r="AC593" i="17"/>
  <c r="AB593" i="17"/>
  <c r="AA593" i="17"/>
  <c r="Y593" i="17"/>
  <c r="X593" i="17"/>
  <c r="W593" i="17"/>
  <c r="V593" i="17"/>
  <c r="U593" i="17"/>
  <c r="R593" i="17"/>
  <c r="M593" i="17"/>
  <c r="L593" i="17"/>
  <c r="K593" i="17"/>
  <c r="I593" i="17"/>
  <c r="H593" i="17"/>
  <c r="D593" i="17"/>
  <c r="AL592" i="17"/>
  <c r="AK592" i="17"/>
  <c r="AJ592" i="17" s="1"/>
  <c r="AF592" i="17"/>
  <c r="AE592" i="17"/>
  <c r="AD592" i="17"/>
  <c r="AC592" i="17"/>
  <c r="AB592" i="17"/>
  <c r="AA592" i="17"/>
  <c r="Y592" i="17"/>
  <c r="X592" i="17"/>
  <c r="W592" i="17"/>
  <c r="V592" i="17"/>
  <c r="U592" i="17"/>
  <c r="S592" i="17"/>
  <c r="T592" i="17" s="1"/>
  <c r="R592" i="17"/>
  <c r="M592" i="17"/>
  <c r="L592" i="17"/>
  <c r="K592" i="17"/>
  <c r="I592" i="17"/>
  <c r="H592" i="17"/>
  <c r="D592" i="17"/>
  <c r="AL591" i="17"/>
  <c r="AK591" i="17"/>
  <c r="AJ591" i="17" s="1"/>
  <c r="AF591" i="17"/>
  <c r="AE591" i="17"/>
  <c r="AD591" i="17"/>
  <c r="AC591" i="17"/>
  <c r="AB591" i="17"/>
  <c r="AA591" i="17"/>
  <c r="Y591" i="17"/>
  <c r="X591" i="17"/>
  <c r="W591" i="17"/>
  <c r="V591" i="17"/>
  <c r="U591" i="17"/>
  <c r="S591" i="17"/>
  <c r="T591" i="17" s="1"/>
  <c r="R591" i="17"/>
  <c r="M591" i="17"/>
  <c r="L591" i="17"/>
  <c r="K591" i="17"/>
  <c r="I591" i="17"/>
  <c r="H591" i="17"/>
  <c r="D591" i="17"/>
  <c r="N591" i="17" s="1"/>
  <c r="AL590" i="17"/>
  <c r="AK590" i="17"/>
  <c r="AJ590" i="17" s="1"/>
  <c r="AF590" i="17"/>
  <c r="AE590" i="17"/>
  <c r="AD590" i="17"/>
  <c r="AC590" i="17"/>
  <c r="AB590" i="17"/>
  <c r="AA590" i="17"/>
  <c r="Y590" i="17"/>
  <c r="X590" i="17"/>
  <c r="W590" i="17"/>
  <c r="V590" i="17"/>
  <c r="U590" i="17"/>
  <c r="R590" i="17"/>
  <c r="M590" i="17"/>
  <c r="L590" i="17"/>
  <c r="K590" i="17"/>
  <c r="I590" i="17"/>
  <c r="H590" i="17"/>
  <c r="D590" i="17"/>
  <c r="N590" i="17" s="1"/>
  <c r="AL589" i="17"/>
  <c r="AK589" i="17"/>
  <c r="AJ589" i="17" s="1"/>
  <c r="AB589" i="17"/>
  <c r="AA589" i="17"/>
  <c r="Y589" i="17"/>
  <c r="X589" i="17"/>
  <c r="W589" i="17"/>
  <c r="V589" i="17"/>
  <c r="U589" i="17"/>
  <c r="R589" i="17"/>
  <c r="M589" i="17"/>
  <c r="L589" i="17"/>
  <c r="K589" i="17"/>
  <c r="I589" i="17"/>
  <c r="H589" i="17"/>
  <c r="AL588" i="17"/>
  <c r="AK588" i="17"/>
  <c r="AJ588" i="17"/>
  <c r="AE588" i="17"/>
  <c r="AD588" i="17"/>
  <c r="AC588" i="17"/>
  <c r="AA588" i="17"/>
  <c r="X588" i="17"/>
  <c r="W588" i="17"/>
  <c r="L588" i="17"/>
  <c r="I588" i="17"/>
  <c r="G588" i="17"/>
  <c r="F588" i="17"/>
  <c r="E588" i="17"/>
  <c r="K588" i="17" s="1"/>
  <c r="D588" i="17"/>
  <c r="N588" i="17" s="1"/>
  <c r="AL587" i="17"/>
  <c r="AK587" i="17"/>
  <c r="AJ587" i="17" s="1"/>
  <c r="AF587" i="17"/>
  <c r="AE587" i="17"/>
  <c r="AD587" i="17"/>
  <c r="AC587" i="17"/>
  <c r="AB587" i="17"/>
  <c r="AA587" i="17"/>
  <c r="Y587" i="17"/>
  <c r="X587" i="17"/>
  <c r="W587" i="17"/>
  <c r="V587" i="17"/>
  <c r="U587" i="17"/>
  <c r="R587" i="17"/>
  <c r="M587" i="17"/>
  <c r="L587" i="17"/>
  <c r="K587" i="17"/>
  <c r="I587" i="17"/>
  <c r="H587" i="17"/>
  <c r="D587" i="17"/>
  <c r="N587" i="17" s="1"/>
  <c r="AL586" i="17"/>
  <c r="AK586" i="17"/>
  <c r="AJ586" i="17" s="1"/>
  <c r="AF586" i="17"/>
  <c r="AE586" i="17"/>
  <c r="AD586" i="17"/>
  <c r="AC586" i="17"/>
  <c r="AB586" i="17"/>
  <c r="AA586" i="17"/>
  <c r="Y586" i="17"/>
  <c r="X586" i="17"/>
  <c r="W586" i="17"/>
  <c r="V586" i="17"/>
  <c r="U586" i="17"/>
  <c r="R586" i="17"/>
  <c r="M586" i="17"/>
  <c r="L586" i="17"/>
  <c r="K586" i="17"/>
  <c r="I586" i="17"/>
  <c r="H586" i="17"/>
  <c r="D586" i="17"/>
  <c r="AL585" i="17"/>
  <c r="AK585" i="17"/>
  <c r="AJ585" i="17" s="1"/>
  <c r="AF585" i="17"/>
  <c r="AE585" i="17"/>
  <c r="AD585" i="17"/>
  <c r="AC585" i="17"/>
  <c r="AB585" i="17"/>
  <c r="AA585" i="17"/>
  <c r="Y585" i="17"/>
  <c r="X585" i="17"/>
  <c r="W585" i="17"/>
  <c r="V585" i="17"/>
  <c r="U585" i="17"/>
  <c r="S585" i="17"/>
  <c r="T585" i="17" s="1"/>
  <c r="R585" i="17"/>
  <c r="M585" i="17"/>
  <c r="L585" i="17"/>
  <c r="K585" i="17"/>
  <c r="I585" i="17"/>
  <c r="H585" i="17"/>
  <c r="D585" i="17"/>
  <c r="N585" i="17" s="1"/>
  <c r="AL584" i="17"/>
  <c r="AK584" i="17"/>
  <c r="AJ584" i="17" s="1"/>
  <c r="AF584" i="17"/>
  <c r="AE584" i="17"/>
  <c r="AD584" i="17"/>
  <c r="AC584" i="17"/>
  <c r="AB584" i="17"/>
  <c r="AA584" i="17"/>
  <c r="Y584" i="17"/>
  <c r="X584" i="17"/>
  <c r="W584" i="17"/>
  <c r="V584" i="17"/>
  <c r="U584" i="17"/>
  <c r="R584" i="17"/>
  <c r="M584" i="17"/>
  <c r="L584" i="17"/>
  <c r="K584" i="17"/>
  <c r="I584" i="17"/>
  <c r="H584" i="17"/>
  <c r="D584" i="17"/>
  <c r="N584" i="17" s="1"/>
  <c r="AL583" i="17"/>
  <c r="AK583" i="17"/>
  <c r="AJ583" i="17" s="1"/>
  <c r="AF583" i="17"/>
  <c r="AE583" i="17"/>
  <c r="AD583" i="17"/>
  <c r="AC583" i="17"/>
  <c r="AB583" i="17"/>
  <c r="AA583" i="17"/>
  <c r="Y583" i="17"/>
  <c r="X583" i="17"/>
  <c r="W583" i="17"/>
  <c r="V583" i="17"/>
  <c r="U583" i="17"/>
  <c r="R583" i="17"/>
  <c r="M583" i="17"/>
  <c r="L583" i="17"/>
  <c r="K583" i="17"/>
  <c r="I583" i="17"/>
  <c r="H583" i="17"/>
  <c r="D583" i="17"/>
  <c r="AL582" i="17"/>
  <c r="AK582" i="17"/>
  <c r="AJ582" i="17" s="1"/>
  <c r="AF582" i="17"/>
  <c r="AE582" i="17"/>
  <c r="AD582" i="17"/>
  <c r="AC582" i="17"/>
  <c r="AB582" i="17"/>
  <c r="AA582" i="17"/>
  <c r="Y582" i="17"/>
  <c r="X582" i="17"/>
  <c r="W582" i="17"/>
  <c r="V582" i="17"/>
  <c r="U582" i="17"/>
  <c r="R582" i="17"/>
  <c r="M582" i="17"/>
  <c r="L582" i="17"/>
  <c r="K582" i="17"/>
  <c r="I582" i="17"/>
  <c r="H582" i="17"/>
  <c r="D582" i="17"/>
  <c r="AL581" i="17"/>
  <c r="AK581" i="17"/>
  <c r="AJ581" i="17" s="1"/>
  <c r="AE581" i="17"/>
  <c r="AD581" i="17"/>
  <c r="AC581" i="17"/>
  <c r="AB581" i="17"/>
  <c r="AA581" i="17"/>
  <c r="Y581" i="17"/>
  <c r="X581" i="17"/>
  <c r="W581" i="17"/>
  <c r="V581" i="17"/>
  <c r="U581" i="17"/>
  <c r="R581" i="17"/>
  <c r="M581" i="17"/>
  <c r="L581" i="17"/>
  <c r="K581" i="17"/>
  <c r="I581" i="17"/>
  <c r="H581" i="17"/>
  <c r="D581" i="17"/>
  <c r="AL580" i="17"/>
  <c r="AK580" i="17"/>
  <c r="AJ580" i="17" s="1"/>
  <c r="AE580" i="17"/>
  <c r="AD580" i="17"/>
  <c r="AC580" i="17"/>
  <c r="AB580" i="17"/>
  <c r="AA580" i="17"/>
  <c r="X580" i="17"/>
  <c r="W580" i="17"/>
  <c r="U580" i="17"/>
  <c r="L580" i="17"/>
  <c r="K580" i="17"/>
  <c r="I580" i="17"/>
  <c r="F580" i="17"/>
  <c r="D580" i="17"/>
  <c r="AL579" i="17"/>
  <c r="AK579" i="17"/>
  <c r="AE579" i="17"/>
  <c r="AD579" i="17"/>
  <c r="AC579" i="17"/>
  <c r="AA579" i="17"/>
  <c r="X579" i="17"/>
  <c r="W579" i="17"/>
  <c r="V579" i="17"/>
  <c r="U579" i="17"/>
  <c r="L579" i="17"/>
  <c r="K579" i="17"/>
  <c r="I579" i="17"/>
  <c r="H579" i="17"/>
  <c r="F579" i="17"/>
  <c r="AB579" i="17" s="1"/>
  <c r="D579" i="17"/>
  <c r="N579" i="17" s="1"/>
  <c r="AK578" i="17"/>
  <c r="AL578" i="17" s="1"/>
  <c r="AF578" i="17"/>
  <c r="AE578" i="17"/>
  <c r="AD578" i="17"/>
  <c r="AC578" i="17"/>
  <c r="AA578" i="17"/>
  <c r="X578" i="17"/>
  <c r="W578" i="17"/>
  <c r="V578" i="17"/>
  <c r="U578" i="17"/>
  <c r="L578" i="17"/>
  <c r="K578" i="17"/>
  <c r="I578" i="17"/>
  <c r="N578" i="17" s="1"/>
  <c r="H578" i="17"/>
  <c r="F578" i="17"/>
  <c r="AB578" i="17" s="1"/>
  <c r="D578" i="17"/>
  <c r="AJ577" i="17"/>
  <c r="AH577" i="17"/>
  <c r="AK577" i="17" s="1"/>
  <c r="AL577" i="17" s="1"/>
  <c r="AF577" i="17"/>
  <c r="AE577" i="17"/>
  <c r="AD577" i="17"/>
  <c r="AC577" i="17"/>
  <c r="AA577" i="17"/>
  <c r="Y577" i="17"/>
  <c r="X577" i="17"/>
  <c r="W577" i="17"/>
  <c r="V577" i="17"/>
  <c r="U577" i="17"/>
  <c r="N577" i="17"/>
  <c r="M577" i="17"/>
  <c r="L577" i="17"/>
  <c r="K577" i="17"/>
  <c r="I577" i="17"/>
  <c r="F577" i="17"/>
  <c r="H577" i="17" s="1"/>
  <c r="D577" i="17"/>
  <c r="AL576" i="17"/>
  <c r="AK576" i="17"/>
  <c r="AE576" i="17"/>
  <c r="AD576" i="17"/>
  <c r="AC576" i="17"/>
  <c r="AA576" i="17"/>
  <c r="Y576" i="17"/>
  <c r="X576" i="17"/>
  <c r="W576" i="17"/>
  <c r="V576" i="17"/>
  <c r="U576" i="17"/>
  <c r="R576" i="17"/>
  <c r="M576" i="17"/>
  <c r="L576" i="17"/>
  <c r="K576" i="17"/>
  <c r="I576" i="17"/>
  <c r="H576" i="17"/>
  <c r="F576" i="17"/>
  <c r="AB576" i="17" s="1"/>
  <c r="D576" i="17"/>
  <c r="N576" i="17" s="1"/>
  <c r="AK575" i="17"/>
  <c r="AJ576" i="17" s="1"/>
  <c r="AI575" i="17"/>
  <c r="AE575" i="17"/>
  <c r="AD575" i="17"/>
  <c r="AC575" i="17"/>
  <c r="AA575" i="17"/>
  <c r="X575" i="17"/>
  <c r="W575" i="17"/>
  <c r="U575" i="17"/>
  <c r="R575" i="17"/>
  <c r="L575" i="17"/>
  <c r="K575" i="17"/>
  <c r="I575" i="17"/>
  <c r="H575" i="17"/>
  <c r="F575" i="17"/>
  <c r="AF576" i="17" s="1"/>
  <c r="D575" i="17"/>
  <c r="N575" i="17" s="1"/>
  <c r="AL574" i="17"/>
  <c r="AK574" i="17"/>
  <c r="AJ574" i="17" s="1"/>
  <c r="AF574" i="17"/>
  <c r="AE574" i="17"/>
  <c r="AD574" i="17"/>
  <c r="AC574" i="17"/>
  <c r="AB574" i="17"/>
  <c r="AA574" i="17"/>
  <c r="Y574" i="17"/>
  <c r="X574" i="17"/>
  <c r="W574" i="17"/>
  <c r="V574" i="17"/>
  <c r="U574" i="17"/>
  <c r="R574" i="17"/>
  <c r="M574" i="17"/>
  <c r="L574" i="17"/>
  <c r="K574" i="17"/>
  <c r="I574" i="17"/>
  <c r="H574" i="17"/>
  <c r="D574" i="17"/>
  <c r="AL573" i="17"/>
  <c r="AK573" i="17"/>
  <c r="AJ573" i="17" s="1"/>
  <c r="AF573" i="17"/>
  <c r="AE573" i="17"/>
  <c r="AD573" i="17"/>
  <c r="AC573" i="17"/>
  <c r="AB573" i="17"/>
  <c r="AA573" i="17"/>
  <c r="Y573" i="17"/>
  <c r="X573" i="17"/>
  <c r="W573" i="17"/>
  <c r="V573" i="17"/>
  <c r="U573" i="17"/>
  <c r="R573" i="17"/>
  <c r="M573" i="17"/>
  <c r="L573" i="17"/>
  <c r="K573" i="17"/>
  <c r="I573" i="17"/>
  <c r="H573" i="17"/>
  <c r="D573" i="17"/>
  <c r="N573" i="17" s="1"/>
  <c r="AL572" i="17"/>
  <c r="AK572" i="17"/>
  <c r="AJ572" i="17" s="1"/>
  <c r="AF572" i="17"/>
  <c r="AE572" i="17"/>
  <c r="AD572" i="17"/>
  <c r="AC572" i="17"/>
  <c r="AB572" i="17"/>
  <c r="AA572" i="17"/>
  <c r="Y572" i="17"/>
  <c r="X572" i="17"/>
  <c r="W572" i="17"/>
  <c r="V572" i="17"/>
  <c r="U572" i="17"/>
  <c r="R572" i="17"/>
  <c r="M572" i="17"/>
  <c r="L572" i="17"/>
  <c r="K572" i="17"/>
  <c r="I572" i="17"/>
  <c r="H572" i="17"/>
  <c r="D572" i="17"/>
  <c r="AL571" i="17"/>
  <c r="AK571" i="17"/>
  <c r="AJ571" i="17" s="1"/>
  <c r="AF571" i="17"/>
  <c r="AE571" i="17"/>
  <c r="AD571" i="17"/>
  <c r="AC571" i="17"/>
  <c r="AB571" i="17"/>
  <c r="AA571" i="17"/>
  <c r="Y571" i="17"/>
  <c r="X571" i="17"/>
  <c r="W571" i="17"/>
  <c r="V571" i="17"/>
  <c r="U571" i="17"/>
  <c r="S571" i="17"/>
  <c r="T571" i="17" s="1"/>
  <c r="R571" i="17"/>
  <c r="M571" i="17"/>
  <c r="L571" i="17"/>
  <c r="K571" i="17"/>
  <c r="I571" i="17"/>
  <c r="H571" i="17"/>
  <c r="D571" i="17"/>
  <c r="N571" i="17" s="1"/>
  <c r="AL570" i="17"/>
  <c r="AK570" i="17"/>
  <c r="AJ570" i="17" s="1"/>
  <c r="AF570" i="17"/>
  <c r="AE570" i="17"/>
  <c r="AD570" i="17"/>
  <c r="AC570" i="17"/>
  <c r="AB570" i="17"/>
  <c r="AA570" i="17"/>
  <c r="Y570" i="17"/>
  <c r="X570" i="17"/>
  <c r="W570" i="17"/>
  <c r="V570" i="17"/>
  <c r="U570" i="17"/>
  <c r="R570" i="17"/>
  <c r="M570" i="17"/>
  <c r="L570" i="17"/>
  <c r="K570" i="17"/>
  <c r="I570" i="17"/>
  <c r="H570" i="17"/>
  <c r="D570" i="17"/>
  <c r="N570" i="17" s="1"/>
  <c r="AL569" i="17"/>
  <c r="AK569" i="17"/>
  <c r="AJ569" i="17" s="1"/>
  <c r="AF569" i="17"/>
  <c r="AE569" i="17"/>
  <c r="AD569" i="17"/>
  <c r="AC569" i="17"/>
  <c r="AB569" i="17"/>
  <c r="AA569" i="17"/>
  <c r="Y569" i="17"/>
  <c r="X569" i="17"/>
  <c r="W569" i="17"/>
  <c r="V569" i="17"/>
  <c r="U569" i="17"/>
  <c r="R569" i="17"/>
  <c r="M569" i="17"/>
  <c r="L569" i="17"/>
  <c r="K569" i="17"/>
  <c r="I569" i="17"/>
  <c r="H569" i="17"/>
  <c r="D569" i="17"/>
  <c r="AL568" i="17"/>
  <c r="AK568" i="17"/>
  <c r="AJ568" i="17" s="1"/>
  <c r="AF568" i="17"/>
  <c r="AE568" i="17"/>
  <c r="AD568" i="17"/>
  <c r="AC568" i="17"/>
  <c r="AB568" i="17"/>
  <c r="AA568" i="17"/>
  <c r="Y568" i="17"/>
  <c r="X568" i="17"/>
  <c r="W568" i="17"/>
  <c r="V568" i="17"/>
  <c r="U568" i="17"/>
  <c r="R568" i="17"/>
  <c r="M568" i="17"/>
  <c r="L568" i="17"/>
  <c r="K568" i="17"/>
  <c r="I568" i="17"/>
  <c r="H568" i="17"/>
  <c r="D568" i="17"/>
  <c r="AL567" i="17"/>
  <c r="AK567" i="17"/>
  <c r="AJ567" i="17" s="1"/>
  <c r="AF567" i="17"/>
  <c r="AE567" i="17"/>
  <c r="AD567" i="17"/>
  <c r="AC567" i="17"/>
  <c r="AB567" i="17"/>
  <c r="AA567" i="17"/>
  <c r="Y567" i="17"/>
  <c r="X567" i="17"/>
  <c r="W567" i="17"/>
  <c r="V567" i="17"/>
  <c r="U567" i="17"/>
  <c r="R567" i="17"/>
  <c r="M567" i="17"/>
  <c r="L567" i="17"/>
  <c r="K567" i="17"/>
  <c r="I567" i="17"/>
  <c r="H567" i="17"/>
  <c r="D567" i="17"/>
  <c r="N567" i="17" s="1"/>
  <c r="AL566" i="17"/>
  <c r="AK566" i="17"/>
  <c r="AJ566" i="17" s="1"/>
  <c r="AF566" i="17"/>
  <c r="AE566" i="17"/>
  <c r="AD566" i="17"/>
  <c r="AC566" i="17"/>
  <c r="AB566" i="17"/>
  <c r="AA566" i="17"/>
  <c r="Y566" i="17"/>
  <c r="X566" i="17"/>
  <c r="W566" i="17"/>
  <c r="V566" i="17"/>
  <c r="U566" i="17"/>
  <c r="R566" i="17"/>
  <c r="M566" i="17"/>
  <c r="L566" i="17"/>
  <c r="K566" i="17"/>
  <c r="I566" i="17"/>
  <c r="H566" i="17"/>
  <c r="D566" i="17"/>
  <c r="AL565" i="17"/>
  <c r="AK565" i="17"/>
  <c r="AJ565" i="17" s="1"/>
  <c r="AF565" i="17"/>
  <c r="AE565" i="17"/>
  <c r="AD565" i="17"/>
  <c r="AC565" i="17"/>
  <c r="AB565" i="17"/>
  <c r="AA565" i="17"/>
  <c r="Y565" i="17"/>
  <c r="X565" i="17"/>
  <c r="W565" i="17"/>
  <c r="V565" i="17"/>
  <c r="U565" i="17"/>
  <c r="S565" i="17"/>
  <c r="T565" i="17" s="1"/>
  <c r="R565" i="17"/>
  <c r="M565" i="17"/>
  <c r="L565" i="17"/>
  <c r="K565" i="17"/>
  <c r="I565" i="17"/>
  <c r="H565" i="17"/>
  <c r="D565" i="17"/>
  <c r="N565" i="17" s="1"/>
  <c r="AL564" i="17"/>
  <c r="AK564" i="17"/>
  <c r="AJ564" i="17" s="1"/>
  <c r="AF564" i="17"/>
  <c r="AE564" i="17"/>
  <c r="AD564" i="17"/>
  <c r="AC564" i="17"/>
  <c r="AB564" i="17"/>
  <c r="AA564" i="17"/>
  <c r="Y564" i="17"/>
  <c r="X564" i="17"/>
  <c r="W564" i="17"/>
  <c r="V564" i="17"/>
  <c r="U564" i="17"/>
  <c r="R564" i="17"/>
  <c r="M564" i="17"/>
  <c r="L564" i="17"/>
  <c r="K564" i="17"/>
  <c r="I564" i="17"/>
  <c r="H564" i="17"/>
  <c r="D564" i="17"/>
  <c r="AL563" i="17"/>
  <c r="AK563" i="17"/>
  <c r="AJ563" i="17" s="1"/>
  <c r="AF563" i="17"/>
  <c r="AE563" i="17"/>
  <c r="AD563" i="17"/>
  <c r="AC563" i="17"/>
  <c r="AB563" i="17"/>
  <c r="AA563" i="17"/>
  <c r="Y563" i="17"/>
  <c r="X563" i="17"/>
  <c r="W563" i="17"/>
  <c r="V563" i="17"/>
  <c r="U563" i="17"/>
  <c r="R563" i="17"/>
  <c r="M563" i="17"/>
  <c r="L563" i="17"/>
  <c r="K563" i="17"/>
  <c r="I563" i="17"/>
  <c r="H563" i="17"/>
  <c r="D563" i="17"/>
  <c r="N563" i="17" s="1"/>
  <c r="AL562" i="17"/>
  <c r="AK562" i="17"/>
  <c r="AJ562" i="17" s="1"/>
  <c r="AF562" i="17"/>
  <c r="AE562" i="17"/>
  <c r="AD562" i="17"/>
  <c r="AC562" i="17"/>
  <c r="AB562" i="17"/>
  <c r="AA562" i="17"/>
  <c r="Y562" i="17"/>
  <c r="X562" i="17"/>
  <c r="W562" i="17"/>
  <c r="V562" i="17"/>
  <c r="U562" i="17"/>
  <c r="R562" i="17"/>
  <c r="M562" i="17"/>
  <c r="L562" i="17"/>
  <c r="K562" i="17"/>
  <c r="I562" i="17"/>
  <c r="H562" i="17"/>
  <c r="D562" i="17"/>
  <c r="AL561" i="17"/>
  <c r="AK561" i="17"/>
  <c r="AJ561" i="17" s="1"/>
  <c r="AF561" i="17"/>
  <c r="AE561" i="17"/>
  <c r="AD561" i="17"/>
  <c r="AC561" i="17"/>
  <c r="AB561" i="17"/>
  <c r="AA561" i="17"/>
  <c r="Y561" i="17"/>
  <c r="X561" i="17"/>
  <c r="W561" i="17"/>
  <c r="V561" i="17"/>
  <c r="U561" i="17"/>
  <c r="R561" i="17"/>
  <c r="M561" i="17"/>
  <c r="L561" i="17"/>
  <c r="K561" i="17"/>
  <c r="I561" i="17"/>
  <c r="H561" i="17"/>
  <c r="D561" i="17"/>
  <c r="N561" i="17" s="1"/>
  <c r="AL560" i="17"/>
  <c r="AK560" i="17"/>
  <c r="AJ560" i="17" s="1"/>
  <c r="AF560" i="17"/>
  <c r="AE560" i="17"/>
  <c r="AD560" i="17"/>
  <c r="AC560" i="17"/>
  <c r="AB560" i="17"/>
  <c r="AA560" i="17"/>
  <c r="Y560" i="17"/>
  <c r="X560" i="17"/>
  <c r="W560" i="17"/>
  <c r="V560" i="17"/>
  <c r="U560" i="17"/>
  <c r="R560" i="17"/>
  <c r="M560" i="17"/>
  <c r="L560" i="17"/>
  <c r="K560" i="17"/>
  <c r="I560" i="17"/>
  <c r="H560" i="17"/>
  <c r="D560" i="17"/>
  <c r="AL559" i="17"/>
  <c r="AK559" i="17"/>
  <c r="AJ559" i="17" s="1"/>
  <c r="AF559" i="17"/>
  <c r="AE559" i="17"/>
  <c r="AD559" i="17"/>
  <c r="AC559" i="17"/>
  <c r="AB559" i="17"/>
  <c r="AA559" i="17"/>
  <c r="Y559" i="17"/>
  <c r="X559" i="17"/>
  <c r="W559" i="17"/>
  <c r="V559" i="17"/>
  <c r="U559" i="17"/>
  <c r="R559" i="17"/>
  <c r="M559" i="17"/>
  <c r="L559" i="17"/>
  <c r="K559" i="17"/>
  <c r="I559" i="17"/>
  <c r="H559" i="17"/>
  <c r="D559" i="17"/>
  <c r="N559" i="17" s="1"/>
  <c r="AL558" i="17"/>
  <c r="AK558" i="17"/>
  <c r="AJ558" i="17" s="1"/>
  <c r="AF558" i="17"/>
  <c r="AE558" i="17"/>
  <c r="AD558" i="17"/>
  <c r="AC558" i="17"/>
  <c r="AB558" i="17"/>
  <c r="AA558" i="17"/>
  <c r="Y558" i="17"/>
  <c r="X558" i="17"/>
  <c r="W558" i="17"/>
  <c r="V558" i="17"/>
  <c r="U558" i="17"/>
  <c r="R558" i="17"/>
  <c r="M558" i="17"/>
  <c r="L558" i="17"/>
  <c r="K558" i="17"/>
  <c r="I558" i="17"/>
  <c r="H558" i="17"/>
  <c r="D558" i="17"/>
  <c r="AL557" i="17"/>
  <c r="AK557" i="17"/>
  <c r="AJ557" i="17" s="1"/>
  <c r="AF557" i="17"/>
  <c r="AE557" i="17"/>
  <c r="AD557" i="17"/>
  <c r="AC557" i="17"/>
  <c r="AB557" i="17"/>
  <c r="AA557" i="17"/>
  <c r="Y557" i="17"/>
  <c r="X557" i="17"/>
  <c r="W557" i="17"/>
  <c r="V557" i="17"/>
  <c r="U557" i="17"/>
  <c r="R557" i="17"/>
  <c r="M557" i="17"/>
  <c r="L557" i="17"/>
  <c r="K557" i="17"/>
  <c r="I557" i="17"/>
  <c r="H557" i="17"/>
  <c r="D557" i="17"/>
  <c r="N557" i="17" s="1"/>
  <c r="AL556" i="17"/>
  <c r="AK556" i="17"/>
  <c r="AJ556" i="17" s="1"/>
  <c r="AF556" i="17"/>
  <c r="AE556" i="17"/>
  <c r="AD556" i="17"/>
  <c r="AC556" i="17"/>
  <c r="AB556" i="17"/>
  <c r="AA556" i="17"/>
  <c r="Y556" i="17"/>
  <c r="X556" i="17"/>
  <c r="W556" i="17"/>
  <c r="V556" i="17"/>
  <c r="U556" i="17"/>
  <c r="R556" i="17"/>
  <c r="M556" i="17"/>
  <c r="L556" i="17"/>
  <c r="K556" i="17"/>
  <c r="I556" i="17"/>
  <c r="H556" i="17"/>
  <c r="D556" i="17"/>
  <c r="AL555" i="17"/>
  <c r="AK555" i="17"/>
  <c r="AJ555" i="17" s="1"/>
  <c r="AF555" i="17"/>
  <c r="AE555" i="17"/>
  <c r="AD555" i="17"/>
  <c r="AC555" i="17"/>
  <c r="AB555" i="17"/>
  <c r="AA555" i="17"/>
  <c r="Y555" i="17"/>
  <c r="X555" i="17"/>
  <c r="W555" i="17"/>
  <c r="V555" i="17"/>
  <c r="U555" i="17"/>
  <c r="R555" i="17"/>
  <c r="M555" i="17"/>
  <c r="L555" i="17"/>
  <c r="K555" i="17"/>
  <c r="I555" i="17"/>
  <c r="H555" i="17"/>
  <c r="D555" i="17"/>
  <c r="N555" i="17" s="1"/>
  <c r="AL554" i="17"/>
  <c r="AK554" i="17"/>
  <c r="AJ554" i="17" s="1"/>
  <c r="AF554" i="17"/>
  <c r="AE554" i="17"/>
  <c r="AD554" i="17"/>
  <c r="AC554" i="17"/>
  <c r="AB554" i="17"/>
  <c r="AA554" i="17"/>
  <c r="Y554" i="17"/>
  <c r="X554" i="17"/>
  <c r="W554" i="17"/>
  <c r="V554" i="17"/>
  <c r="U554" i="17"/>
  <c r="R554" i="17"/>
  <c r="M554" i="17"/>
  <c r="L554" i="17"/>
  <c r="K554" i="17"/>
  <c r="I554" i="17"/>
  <c r="H554" i="17"/>
  <c r="D554" i="17"/>
  <c r="AL553" i="17"/>
  <c r="AK553" i="17"/>
  <c r="AJ553" i="17" s="1"/>
  <c r="AF553" i="17"/>
  <c r="AE553" i="17"/>
  <c r="AD553" i="17"/>
  <c r="AC553" i="17"/>
  <c r="AB553" i="17"/>
  <c r="AA553" i="17"/>
  <c r="Y553" i="17"/>
  <c r="X553" i="17"/>
  <c r="W553" i="17"/>
  <c r="V553" i="17"/>
  <c r="U553" i="17"/>
  <c r="R553" i="17"/>
  <c r="M553" i="17"/>
  <c r="L553" i="17"/>
  <c r="K553" i="17"/>
  <c r="I553" i="17"/>
  <c r="H553" i="17"/>
  <c r="D553" i="17"/>
  <c r="N553" i="17" s="1"/>
  <c r="AL552" i="17"/>
  <c r="AK552" i="17"/>
  <c r="AJ552" i="17" s="1"/>
  <c r="AF552" i="17"/>
  <c r="AE552" i="17"/>
  <c r="AD552" i="17"/>
  <c r="AC552" i="17"/>
  <c r="AB552" i="17"/>
  <c r="AA552" i="17"/>
  <c r="Y552" i="17"/>
  <c r="X552" i="17"/>
  <c r="W552" i="17"/>
  <c r="V552" i="17"/>
  <c r="U552" i="17"/>
  <c r="R552" i="17"/>
  <c r="M552" i="17"/>
  <c r="L552" i="17"/>
  <c r="K552" i="17"/>
  <c r="I552" i="17"/>
  <c r="H552" i="17"/>
  <c r="D552" i="17"/>
  <c r="AL551" i="17"/>
  <c r="AK551" i="17"/>
  <c r="AJ551" i="17" s="1"/>
  <c r="AF551" i="17"/>
  <c r="AE551" i="17"/>
  <c r="AD551" i="17"/>
  <c r="AC551" i="17"/>
  <c r="AB551" i="17"/>
  <c r="AA551" i="17"/>
  <c r="Y551" i="17"/>
  <c r="X551" i="17"/>
  <c r="W551" i="17"/>
  <c r="V551" i="17"/>
  <c r="U551" i="17"/>
  <c r="R551" i="17"/>
  <c r="M551" i="17"/>
  <c r="L551" i="17"/>
  <c r="K551" i="17"/>
  <c r="I551" i="17"/>
  <c r="H551" i="17"/>
  <c r="D551" i="17"/>
  <c r="N551" i="17" s="1"/>
  <c r="AL550" i="17"/>
  <c r="AK550" i="17"/>
  <c r="AJ550" i="17" s="1"/>
  <c r="AF550" i="17"/>
  <c r="AE550" i="17"/>
  <c r="AD550" i="17"/>
  <c r="AC550" i="17"/>
  <c r="AB550" i="17"/>
  <c r="AA550" i="17"/>
  <c r="Y550" i="17"/>
  <c r="X550" i="17"/>
  <c r="W550" i="17"/>
  <c r="V550" i="17"/>
  <c r="U550" i="17"/>
  <c r="R550" i="17"/>
  <c r="M550" i="17"/>
  <c r="L550" i="17"/>
  <c r="K550" i="17"/>
  <c r="I550" i="17"/>
  <c r="H550" i="17"/>
  <c r="D550" i="17"/>
  <c r="AL549" i="17"/>
  <c r="AK549" i="17"/>
  <c r="AJ549" i="17" s="1"/>
  <c r="AF549" i="17"/>
  <c r="AE549" i="17"/>
  <c r="AD549" i="17"/>
  <c r="AC549" i="17"/>
  <c r="AB549" i="17"/>
  <c r="AA549" i="17"/>
  <c r="Y549" i="17"/>
  <c r="X549" i="17"/>
  <c r="W549" i="17"/>
  <c r="V549" i="17"/>
  <c r="U549" i="17"/>
  <c r="R549" i="17"/>
  <c r="M549" i="17"/>
  <c r="L549" i="17"/>
  <c r="K549" i="17"/>
  <c r="I549" i="17"/>
  <c r="H549" i="17"/>
  <c r="D549" i="17"/>
  <c r="N549" i="17" s="1"/>
  <c r="AL548" i="17"/>
  <c r="AK548" i="17"/>
  <c r="AJ548" i="17" s="1"/>
  <c r="AF548" i="17"/>
  <c r="AE548" i="17"/>
  <c r="AD548" i="17"/>
  <c r="AC548" i="17"/>
  <c r="AB548" i="17"/>
  <c r="AA548" i="17"/>
  <c r="Y548" i="17"/>
  <c r="X548" i="17"/>
  <c r="W548" i="17"/>
  <c r="V548" i="17"/>
  <c r="U548" i="17"/>
  <c r="R548" i="17"/>
  <c r="M548" i="17"/>
  <c r="L548" i="17"/>
  <c r="K548" i="17"/>
  <c r="I548" i="17"/>
  <c r="H548" i="17"/>
  <c r="D548" i="17"/>
  <c r="AL547" i="17"/>
  <c r="AK547" i="17"/>
  <c r="AJ547" i="17" s="1"/>
  <c r="AF547" i="17"/>
  <c r="AE547" i="17"/>
  <c r="AD547" i="17"/>
  <c r="AC547" i="17"/>
  <c r="AB547" i="17"/>
  <c r="AA547" i="17"/>
  <c r="Y547" i="17"/>
  <c r="X547" i="17"/>
  <c r="W547" i="17"/>
  <c r="V547" i="17"/>
  <c r="U547" i="17"/>
  <c r="R547" i="17"/>
  <c r="M547" i="17"/>
  <c r="L547" i="17"/>
  <c r="K547" i="17"/>
  <c r="I547" i="17"/>
  <c r="H547" i="17"/>
  <c r="D547" i="17"/>
  <c r="N547" i="17" s="1"/>
  <c r="AL546" i="17"/>
  <c r="AK546" i="17"/>
  <c r="AJ546" i="17" s="1"/>
  <c r="AF546" i="17"/>
  <c r="AE546" i="17"/>
  <c r="AD546" i="17"/>
  <c r="AC546" i="17"/>
  <c r="AB546" i="17"/>
  <c r="AA546" i="17"/>
  <c r="Y546" i="17"/>
  <c r="X546" i="17"/>
  <c r="W546" i="17"/>
  <c r="V546" i="17"/>
  <c r="U546" i="17"/>
  <c r="R546" i="17"/>
  <c r="M546" i="17"/>
  <c r="L546" i="17"/>
  <c r="K546" i="17"/>
  <c r="I546" i="17"/>
  <c r="H546" i="17"/>
  <c r="D546" i="17"/>
  <c r="AL545" i="17"/>
  <c r="AK545" i="17"/>
  <c r="AJ545" i="17" s="1"/>
  <c r="AF545" i="17"/>
  <c r="AE545" i="17"/>
  <c r="AD545" i="17"/>
  <c r="AC545" i="17"/>
  <c r="AB545" i="17"/>
  <c r="AA545" i="17"/>
  <c r="Y545" i="17"/>
  <c r="X545" i="17"/>
  <c r="W545" i="17"/>
  <c r="V545" i="17"/>
  <c r="U545" i="17"/>
  <c r="R545" i="17"/>
  <c r="M545" i="17"/>
  <c r="L545" i="17"/>
  <c r="K545" i="17"/>
  <c r="I545" i="17"/>
  <c r="H545" i="17"/>
  <c r="D545" i="17"/>
  <c r="N545" i="17" s="1"/>
  <c r="AL544" i="17"/>
  <c r="AK544" i="17"/>
  <c r="AJ544" i="17" s="1"/>
  <c r="AF544" i="17"/>
  <c r="AE544" i="17"/>
  <c r="AD544" i="17"/>
  <c r="AC544" i="17"/>
  <c r="AB544" i="17"/>
  <c r="AA544" i="17"/>
  <c r="Y544" i="17"/>
  <c r="X544" i="17"/>
  <c r="W544" i="17"/>
  <c r="V544" i="17"/>
  <c r="U544" i="17"/>
  <c r="R544" i="17"/>
  <c r="M544" i="17"/>
  <c r="L544" i="17"/>
  <c r="K544" i="17"/>
  <c r="I544" i="17"/>
  <c r="H544" i="17"/>
  <c r="D544" i="17"/>
  <c r="AL543" i="17"/>
  <c r="AK543" i="17"/>
  <c r="AJ543" i="17" s="1"/>
  <c r="AF543" i="17"/>
  <c r="AE543" i="17"/>
  <c r="AD543" i="17"/>
  <c r="AC543" i="17"/>
  <c r="AB543" i="17"/>
  <c r="AA543" i="17"/>
  <c r="Y543" i="17"/>
  <c r="X543" i="17"/>
  <c r="W543" i="17"/>
  <c r="V543" i="17"/>
  <c r="U543" i="17"/>
  <c r="R543" i="17"/>
  <c r="M543" i="17"/>
  <c r="L543" i="17"/>
  <c r="K543" i="17"/>
  <c r="I543" i="17"/>
  <c r="H543" i="17"/>
  <c r="D543" i="17"/>
  <c r="N543" i="17" s="1"/>
  <c r="AL542" i="17"/>
  <c r="AK542" i="17"/>
  <c r="AJ542" i="17" s="1"/>
  <c r="AF542" i="17"/>
  <c r="AE542" i="17"/>
  <c r="AD542" i="17"/>
  <c r="AC542" i="17"/>
  <c r="AB542" i="17"/>
  <c r="AA542" i="17"/>
  <c r="Y542" i="17"/>
  <c r="X542" i="17"/>
  <c r="W542" i="17"/>
  <c r="V542" i="17"/>
  <c r="U542" i="17"/>
  <c r="R542" i="17"/>
  <c r="M542" i="17"/>
  <c r="L542" i="17"/>
  <c r="K542" i="17"/>
  <c r="I542" i="17"/>
  <c r="H542" i="17"/>
  <c r="D542" i="17"/>
  <c r="AL541" i="17"/>
  <c r="AK541" i="17"/>
  <c r="AJ541" i="17" s="1"/>
  <c r="AF541" i="17"/>
  <c r="AE541" i="17"/>
  <c r="AD541" i="17"/>
  <c r="AC541" i="17"/>
  <c r="AB541" i="17"/>
  <c r="AA541" i="17"/>
  <c r="Y541" i="17"/>
  <c r="X541" i="17"/>
  <c r="W541" i="17"/>
  <c r="V541" i="17"/>
  <c r="U541" i="17"/>
  <c r="R541" i="17"/>
  <c r="M541" i="17"/>
  <c r="L541" i="17"/>
  <c r="K541" i="17"/>
  <c r="I541" i="17"/>
  <c r="H541" i="17"/>
  <c r="D541" i="17"/>
  <c r="N541" i="17" s="1"/>
  <c r="AL540" i="17"/>
  <c r="AK540" i="17"/>
  <c r="AJ540" i="17" s="1"/>
  <c r="AF540" i="17"/>
  <c r="AE540" i="17"/>
  <c r="AD540" i="17"/>
  <c r="AC540" i="17"/>
  <c r="AB540" i="17"/>
  <c r="AA540" i="17"/>
  <c r="Y540" i="17"/>
  <c r="X540" i="17"/>
  <c r="W540" i="17"/>
  <c r="V540" i="17"/>
  <c r="U540" i="17"/>
  <c r="R540" i="17"/>
  <c r="M540" i="17"/>
  <c r="L540" i="17"/>
  <c r="K540" i="17"/>
  <c r="I540" i="17"/>
  <c r="H540" i="17"/>
  <c r="D540" i="17"/>
  <c r="AL539" i="17"/>
  <c r="AK539" i="17"/>
  <c r="AJ539" i="17" s="1"/>
  <c r="AF539" i="17"/>
  <c r="AE539" i="17"/>
  <c r="AD539" i="17"/>
  <c r="AC539" i="17"/>
  <c r="AB539" i="17"/>
  <c r="AA539" i="17"/>
  <c r="Y539" i="17"/>
  <c r="X539" i="17"/>
  <c r="W539" i="17"/>
  <c r="V539" i="17"/>
  <c r="U539" i="17"/>
  <c r="R539" i="17"/>
  <c r="M539" i="17"/>
  <c r="L539" i="17"/>
  <c r="K539" i="17"/>
  <c r="I539" i="17"/>
  <c r="H539" i="17"/>
  <c r="D539" i="17"/>
  <c r="N539" i="17" s="1"/>
  <c r="AL538" i="17"/>
  <c r="AK538" i="17"/>
  <c r="AJ538" i="17" s="1"/>
  <c r="AF538" i="17"/>
  <c r="AE538" i="17"/>
  <c r="AD538" i="17"/>
  <c r="AC538" i="17"/>
  <c r="AB538" i="17"/>
  <c r="AA538" i="17"/>
  <c r="Y538" i="17"/>
  <c r="X538" i="17"/>
  <c r="W538" i="17"/>
  <c r="V538" i="17"/>
  <c r="U538" i="17"/>
  <c r="R538" i="17"/>
  <c r="M538" i="17"/>
  <c r="L538" i="17"/>
  <c r="K538" i="17"/>
  <c r="I538" i="17"/>
  <c r="H538" i="17"/>
  <c r="D538" i="17"/>
  <c r="AL537" i="17"/>
  <c r="AK537" i="17"/>
  <c r="AJ537" i="17" s="1"/>
  <c r="AF537" i="17"/>
  <c r="AE537" i="17"/>
  <c r="AD537" i="17"/>
  <c r="AC537" i="17"/>
  <c r="AB537" i="17"/>
  <c r="AA537" i="17"/>
  <c r="Y537" i="17"/>
  <c r="X537" i="17"/>
  <c r="W537" i="17"/>
  <c r="V537" i="17"/>
  <c r="U537" i="17"/>
  <c r="R537" i="17"/>
  <c r="M537" i="17"/>
  <c r="L537" i="17"/>
  <c r="K537" i="17"/>
  <c r="I537" i="17"/>
  <c r="H537" i="17"/>
  <c r="D537" i="17"/>
  <c r="N537" i="17" s="1"/>
  <c r="AL536" i="17"/>
  <c r="AK536" i="17"/>
  <c r="AJ536" i="17" s="1"/>
  <c r="AF536" i="17"/>
  <c r="AE536" i="17"/>
  <c r="AD536" i="17"/>
  <c r="AC536" i="17"/>
  <c r="AB536" i="17"/>
  <c r="AA536" i="17"/>
  <c r="Y536" i="17"/>
  <c r="X536" i="17"/>
  <c r="W536" i="17"/>
  <c r="V536" i="17"/>
  <c r="U536" i="17"/>
  <c r="R536" i="17"/>
  <c r="M536" i="17"/>
  <c r="L536" i="17"/>
  <c r="K536" i="17"/>
  <c r="I536" i="17"/>
  <c r="H536" i="17"/>
  <c r="D536" i="17"/>
  <c r="AL535" i="17"/>
  <c r="AK535" i="17"/>
  <c r="AJ535" i="17"/>
  <c r="AF535" i="17"/>
  <c r="AE535" i="17"/>
  <c r="AD535" i="17"/>
  <c r="AC535" i="17"/>
  <c r="AB535" i="17"/>
  <c r="AA535" i="17"/>
  <c r="Y535" i="17"/>
  <c r="X535" i="17"/>
  <c r="W535" i="17"/>
  <c r="V535" i="17"/>
  <c r="U535" i="17"/>
  <c r="R535" i="17"/>
  <c r="M535" i="17"/>
  <c r="L535" i="17"/>
  <c r="K535" i="17"/>
  <c r="I535" i="17"/>
  <c r="H535" i="17"/>
  <c r="D535" i="17"/>
  <c r="AL534" i="17"/>
  <c r="AK534" i="17"/>
  <c r="AJ534" i="17"/>
  <c r="AF534" i="17"/>
  <c r="AE534" i="17"/>
  <c r="AD534" i="17"/>
  <c r="AC534" i="17"/>
  <c r="AB534" i="17"/>
  <c r="AA534" i="17"/>
  <c r="Y534" i="17"/>
  <c r="X534" i="17"/>
  <c r="W534" i="17"/>
  <c r="V534" i="17"/>
  <c r="U534" i="17"/>
  <c r="R534" i="17"/>
  <c r="M534" i="17"/>
  <c r="L534" i="17"/>
  <c r="K534" i="17"/>
  <c r="I534" i="17"/>
  <c r="H534" i="17"/>
  <c r="D534" i="17"/>
  <c r="N534" i="17" s="1"/>
  <c r="AL533" i="17"/>
  <c r="AK533" i="17"/>
  <c r="AJ533" i="17"/>
  <c r="AF533" i="17"/>
  <c r="AE533" i="17"/>
  <c r="AD533" i="17"/>
  <c r="AC533" i="17"/>
  <c r="AB533" i="17"/>
  <c r="AA533" i="17"/>
  <c r="Y533" i="17"/>
  <c r="X533" i="17"/>
  <c r="W533" i="17"/>
  <c r="V533" i="17"/>
  <c r="U533" i="17"/>
  <c r="R533" i="17"/>
  <c r="M533" i="17"/>
  <c r="L533" i="17"/>
  <c r="K533" i="17"/>
  <c r="I533" i="17"/>
  <c r="H533" i="17"/>
  <c r="D533" i="17"/>
  <c r="AL532" i="17"/>
  <c r="AK532" i="17"/>
  <c r="AJ532" i="17"/>
  <c r="AF532" i="17"/>
  <c r="AE532" i="17"/>
  <c r="AD532" i="17"/>
  <c r="AC532" i="17"/>
  <c r="AB532" i="17"/>
  <c r="AA532" i="17"/>
  <c r="Y532" i="17"/>
  <c r="X532" i="17"/>
  <c r="W532" i="17"/>
  <c r="V532" i="17"/>
  <c r="U532" i="17"/>
  <c r="R532" i="17"/>
  <c r="M532" i="17"/>
  <c r="L532" i="17"/>
  <c r="K532" i="17"/>
  <c r="I532" i="17"/>
  <c r="H532" i="17"/>
  <c r="S532" i="17" s="1"/>
  <c r="T532" i="17" s="1"/>
  <c r="D532" i="17"/>
  <c r="AL531" i="17"/>
  <c r="AK531" i="17"/>
  <c r="AJ531" i="17"/>
  <c r="AF531" i="17"/>
  <c r="AE531" i="17"/>
  <c r="AD531" i="17"/>
  <c r="AC531" i="17"/>
  <c r="AB531" i="17"/>
  <c r="AA531" i="17"/>
  <c r="Y531" i="17"/>
  <c r="X531" i="17"/>
  <c r="W531" i="17"/>
  <c r="V531" i="17"/>
  <c r="U531" i="17"/>
  <c r="R531" i="17"/>
  <c r="M531" i="17"/>
  <c r="L531" i="17"/>
  <c r="K531" i="17"/>
  <c r="I531" i="17"/>
  <c r="H531" i="17"/>
  <c r="S531" i="17" s="1"/>
  <c r="T531" i="17" s="1"/>
  <c r="D531" i="17"/>
  <c r="N531" i="17" s="1"/>
  <c r="AL530" i="17"/>
  <c r="AK530" i="17"/>
  <c r="AJ530" i="17"/>
  <c r="AF530" i="17"/>
  <c r="AE530" i="17"/>
  <c r="AD530" i="17"/>
  <c r="AC530" i="17"/>
  <c r="AB530" i="17"/>
  <c r="AA530" i="17"/>
  <c r="Y530" i="17"/>
  <c r="X530" i="17"/>
  <c r="W530" i="17"/>
  <c r="V530" i="17"/>
  <c r="U530" i="17"/>
  <c r="S530" i="17"/>
  <c r="T530" i="17" s="1"/>
  <c r="R530" i="17"/>
  <c r="M530" i="17"/>
  <c r="L530" i="17"/>
  <c r="K530" i="17"/>
  <c r="I530" i="17"/>
  <c r="H530" i="17"/>
  <c r="D530" i="17"/>
  <c r="N530" i="17" s="1"/>
  <c r="AL529" i="17"/>
  <c r="AK529" i="17"/>
  <c r="AJ529" i="17"/>
  <c r="AF529" i="17"/>
  <c r="AE529" i="17"/>
  <c r="AD529" i="17"/>
  <c r="AC529" i="17"/>
  <c r="AB529" i="17"/>
  <c r="AA529" i="17"/>
  <c r="Y529" i="17"/>
  <c r="X529" i="17"/>
  <c r="W529" i="17"/>
  <c r="V529" i="17"/>
  <c r="U529" i="17"/>
  <c r="R529" i="17"/>
  <c r="M529" i="17"/>
  <c r="L529" i="17"/>
  <c r="K529" i="17"/>
  <c r="I529" i="17"/>
  <c r="H529" i="17"/>
  <c r="D529" i="17"/>
  <c r="AL528" i="17"/>
  <c r="AK528" i="17"/>
  <c r="AJ528" i="17"/>
  <c r="AF528" i="17"/>
  <c r="AE528" i="17"/>
  <c r="AD528" i="17"/>
  <c r="AC528" i="17"/>
  <c r="AB528" i="17"/>
  <c r="AA528" i="17"/>
  <c r="Y528" i="17"/>
  <c r="X528" i="17"/>
  <c r="W528" i="17"/>
  <c r="V528" i="17"/>
  <c r="U528" i="17"/>
  <c r="S528" i="17"/>
  <c r="T528" i="17" s="1"/>
  <c r="R528" i="17"/>
  <c r="M528" i="17"/>
  <c r="L528" i="17"/>
  <c r="K528" i="17"/>
  <c r="I528" i="17"/>
  <c r="H528" i="17"/>
  <c r="S529" i="17" s="1"/>
  <c r="T529" i="17" s="1"/>
  <c r="D528" i="17"/>
  <c r="AL527" i="17"/>
  <c r="AK527" i="17"/>
  <c r="AJ527" i="17"/>
  <c r="AF527" i="17"/>
  <c r="AE527" i="17"/>
  <c r="AD527" i="17"/>
  <c r="AC527" i="17"/>
  <c r="AB527" i="17"/>
  <c r="AA527" i="17"/>
  <c r="Y527" i="17"/>
  <c r="X527" i="17"/>
  <c r="W527" i="17"/>
  <c r="V527" i="17"/>
  <c r="U527" i="17"/>
  <c r="R527" i="17"/>
  <c r="M527" i="17"/>
  <c r="L527" i="17"/>
  <c r="K527" i="17"/>
  <c r="I527" i="17"/>
  <c r="H527" i="17"/>
  <c r="D527" i="17"/>
  <c r="N527" i="17" s="1"/>
  <c r="AL526" i="17"/>
  <c r="AK526" i="17"/>
  <c r="AJ526" i="17"/>
  <c r="AF526" i="17"/>
  <c r="AE526" i="17"/>
  <c r="AD526" i="17"/>
  <c r="AC526" i="17"/>
  <c r="AB526" i="17"/>
  <c r="AA526" i="17"/>
  <c r="Y526" i="17"/>
  <c r="X526" i="17"/>
  <c r="W526" i="17"/>
  <c r="V526" i="17"/>
  <c r="U526" i="17"/>
  <c r="R526" i="17"/>
  <c r="M526" i="17"/>
  <c r="L526" i="17"/>
  <c r="K526" i="17"/>
  <c r="I526" i="17"/>
  <c r="H526" i="17"/>
  <c r="D526" i="17"/>
  <c r="AL525" i="17"/>
  <c r="AK525" i="17"/>
  <c r="AJ525" i="17"/>
  <c r="AF525" i="17"/>
  <c r="AE525" i="17"/>
  <c r="AD525" i="17"/>
  <c r="AC525" i="17"/>
  <c r="AB525" i="17"/>
  <c r="AA525" i="17"/>
  <c r="Y525" i="17"/>
  <c r="X525" i="17"/>
  <c r="W525" i="17"/>
  <c r="V525" i="17"/>
  <c r="U525" i="17"/>
  <c r="R525" i="17"/>
  <c r="M525" i="17"/>
  <c r="L525" i="17"/>
  <c r="K525" i="17"/>
  <c r="I525" i="17"/>
  <c r="H525" i="17"/>
  <c r="S525" i="17" s="1"/>
  <c r="T525" i="17" s="1"/>
  <c r="D525" i="17"/>
  <c r="AL524" i="17"/>
  <c r="AK524" i="17"/>
  <c r="AJ524" i="17"/>
  <c r="AF524" i="17"/>
  <c r="AE524" i="17"/>
  <c r="AD524" i="17"/>
  <c r="AC524" i="17"/>
  <c r="AB524" i="17"/>
  <c r="AA524" i="17"/>
  <c r="Y524" i="17"/>
  <c r="X524" i="17"/>
  <c r="W524" i="17"/>
  <c r="V524" i="17"/>
  <c r="U524" i="17"/>
  <c r="R524" i="17"/>
  <c r="M524" i="17"/>
  <c r="L524" i="17"/>
  <c r="K524" i="17"/>
  <c r="I524" i="17"/>
  <c r="H524" i="17"/>
  <c r="S524" i="17" s="1"/>
  <c r="T524" i="17" s="1"/>
  <c r="D524" i="17"/>
  <c r="N524" i="17" s="1"/>
  <c r="AL523" i="17"/>
  <c r="AK523" i="17"/>
  <c r="AJ523" i="17"/>
  <c r="AF523" i="17"/>
  <c r="AE523" i="17"/>
  <c r="AD523" i="17"/>
  <c r="AC523" i="17"/>
  <c r="AB523" i="17"/>
  <c r="AA523" i="17"/>
  <c r="Y523" i="17"/>
  <c r="X523" i="17"/>
  <c r="W523" i="17"/>
  <c r="V523" i="17"/>
  <c r="U523" i="17"/>
  <c r="R523" i="17"/>
  <c r="M523" i="17"/>
  <c r="L523" i="17"/>
  <c r="K523" i="17"/>
  <c r="I523" i="17"/>
  <c r="H523" i="17"/>
  <c r="D523" i="17"/>
  <c r="AL522" i="17"/>
  <c r="AK522" i="17"/>
  <c r="AJ522" i="17"/>
  <c r="AF522" i="17"/>
  <c r="AE522" i="17"/>
  <c r="AD522" i="17"/>
  <c r="AC522" i="17"/>
  <c r="AB522" i="17"/>
  <c r="AA522" i="17"/>
  <c r="Y522" i="17"/>
  <c r="X522" i="17"/>
  <c r="W522" i="17"/>
  <c r="V522" i="17"/>
  <c r="U522" i="17"/>
  <c r="R522" i="17"/>
  <c r="M522" i="17"/>
  <c r="L522" i="17"/>
  <c r="K522" i="17"/>
  <c r="I522" i="17"/>
  <c r="H522" i="17"/>
  <c r="S522" i="17" s="1"/>
  <c r="T522" i="17" s="1"/>
  <c r="D522" i="17"/>
  <c r="AL521" i="17"/>
  <c r="AK521" i="17"/>
  <c r="AJ521" i="17"/>
  <c r="AF521" i="17"/>
  <c r="AE521" i="17"/>
  <c r="AD521" i="17"/>
  <c r="AC521" i="17"/>
  <c r="AB521" i="17"/>
  <c r="AA521" i="17"/>
  <c r="Y521" i="17"/>
  <c r="X521" i="17"/>
  <c r="W521" i="17"/>
  <c r="V521" i="17"/>
  <c r="U521" i="17"/>
  <c r="R521" i="17"/>
  <c r="M521" i="17"/>
  <c r="L521" i="17"/>
  <c r="K521" i="17"/>
  <c r="I521" i="17"/>
  <c r="H521" i="17"/>
  <c r="S521" i="17" s="1"/>
  <c r="T521" i="17" s="1"/>
  <c r="D521" i="17"/>
  <c r="N521" i="17" s="1"/>
  <c r="AL520" i="17"/>
  <c r="AK520" i="17"/>
  <c r="AJ520" i="17"/>
  <c r="AF520" i="17"/>
  <c r="AE520" i="17"/>
  <c r="AD520" i="17"/>
  <c r="AC520" i="17"/>
  <c r="AB520" i="17"/>
  <c r="AA520" i="17"/>
  <c r="Y520" i="17"/>
  <c r="X520" i="17"/>
  <c r="W520" i="17"/>
  <c r="V520" i="17"/>
  <c r="U520" i="17"/>
  <c r="S520" i="17"/>
  <c r="T520" i="17" s="1"/>
  <c r="R520" i="17"/>
  <c r="M520" i="17"/>
  <c r="L520" i="17"/>
  <c r="K520" i="17"/>
  <c r="I520" i="17"/>
  <c r="H520" i="17"/>
  <c r="D520" i="17"/>
  <c r="N520" i="17" s="1"/>
  <c r="AL519" i="17"/>
  <c r="AK519" i="17"/>
  <c r="AJ519" i="17"/>
  <c r="AF519" i="17"/>
  <c r="AE519" i="17"/>
  <c r="AD519" i="17"/>
  <c r="AC519" i="17"/>
  <c r="AB519" i="17"/>
  <c r="AA519" i="17"/>
  <c r="Y519" i="17"/>
  <c r="X519" i="17"/>
  <c r="W519" i="17"/>
  <c r="V519" i="17"/>
  <c r="U519" i="17"/>
  <c r="R519" i="17"/>
  <c r="M519" i="17"/>
  <c r="L519" i="17"/>
  <c r="K519" i="17"/>
  <c r="I519" i="17"/>
  <c r="H519" i="17"/>
  <c r="D519" i="17"/>
  <c r="N519" i="17" s="1"/>
  <c r="AL518" i="17"/>
  <c r="AK518" i="17"/>
  <c r="AF518" i="17"/>
  <c r="AE518" i="17"/>
  <c r="AD518" i="17"/>
  <c r="AC518" i="17"/>
  <c r="AB518" i="17"/>
  <c r="AA518" i="17"/>
  <c r="Y518" i="17"/>
  <c r="X518" i="17"/>
  <c r="W518" i="17"/>
  <c r="V518" i="17"/>
  <c r="U518" i="17"/>
  <c r="R518" i="17"/>
  <c r="M518" i="17"/>
  <c r="L518" i="17"/>
  <c r="K518" i="17"/>
  <c r="I518" i="17"/>
  <c r="H518" i="17"/>
  <c r="S518" i="17" s="1"/>
  <c r="T518" i="17" s="1"/>
  <c r="D518" i="17"/>
  <c r="AL517" i="17"/>
  <c r="AK517" i="17"/>
  <c r="AJ518" i="17" s="1"/>
  <c r="AF517" i="17"/>
  <c r="AE517" i="17"/>
  <c r="AD517" i="17"/>
  <c r="AC517" i="17"/>
  <c r="AB517" i="17"/>
  <c r="AA517" i="17"/>
  <c r="Y517" i="17"/>
  <c r="X517" i="17"/>
  <c r="W517" i="17"/>
  <c r="V517" i="17"/>
  <c r="U517" i="17"/>
  <c r="S517" i="17"/>
  <c r="T517" i="17" s="1"/>
  <c r="R517" i="17"/>
  <c r="M517" i="17"/>
  <c r="L517" i="17"/>
  <c r="K517" i="17"/>
  <c r="I517" i="17"/>
  <c r="H517" i="17"/>
  <c r="D517" i="17"/>
  <c r="AL516" i="17"/>
  <c r="AK516" i="17"/>
  <c r="AJ517" i="17" s="1"/>
  <c r="AF516" i="17"/>
  <c r="AE516" i="17"/>
  <c r="AD516" i="17"/>
  <c r="AC516" i="17"/>
  <c r="AB516" i="17"/>
  <c r="AA516" i="17"/>
  <c r="Y516" i="17"/>
  <c r="X516" i="17"/>
  <c r="W516" i="17"/>
  <c r="V516" i="17"/>
  <c r="U516" i="17"/>
  <c r="R516" i="17"/>
  <c r="M516" i="17"/>
  <c r="L516" i="17"/>
  <c r="K516" i="17"/>
  <c r="I516" i="17"/>
  <c r="H516" i="17"/>
  <c r="S516" i="17" s="1"/>
  <c r="T516" i="17" s="1"/>
  <c r="D516" i="17"/>
  <c r="N516" i="17" s="1"/>
  <c r="AL515" i="17"/>
  <c r="AK515" i="17"/>
  <c r="AJ516" i="17" s="1"/>
  <c r="AF515" i="17"/>
  <c r="AE515" i="17"/>
  <c r="AD515" i="17"/>
  <c r="AC515" i="17"/>
  <c r="AB515" i="17"/>
  <c r="AA515" i="17"/>
  <c r="Y515" i="17"/>
  <c r="X515" i="17"/>
  <c r="W515" i="17"/>
  <c r="V515" i="17"/>
  <c r="U515" i="17"/>
  <c r="R515" i="17"/>
  <c r="M515" i="17"/>
  <c r="L515" i="17"/>
  <c r="K515" i="17"/>
  <c r="I515" i="17"/>
  <c r="H515" i="17"/>
  <c r="D515" i="17"/>
  <c r="N515" i="17" s="1"/>
  <c r="AL514" i="17"/>
  <c r="AK514" i="17"/>
  <c r="AJ515" i="17" s="1"/>
  <c r="AJ514" i="17"/>
  <c r="AF514" i="17"/>
  <c r="AE514" i="17"/>
  <c r="AD514" i="17"/>
  <c r="AC514" i="17"/>
  <c r="AB514" i="17"/>
  <c r="AA514" i="17"/>
  <c r="Y514" i="17"/>
  <c r="X514" i="17"/>
  <c r="W514" i="17"/>
  <c r="V514" i="17"/>
  <c r="U514" i="17"/>
  <c r="R514" i="17"/>
  <c r="M514" i="17"/>
  <c r="L514" i="17"/>
  <c r="K514" i="17"/>
  <c r="I514" i="17"/>
  <c r="H514" i="17"/>
  <c r="D514" i="17"/>
  <c r="AL513" i="17"/>
  <c r="AK513" i="17"/>
  <c r="AJ513" i="17"/>
  <c r="AF513" i="17"/>
  <c r="AE513" i="17"/>
  <c r="AD513" i="17"/>
  <c r="AC513" i="17"/>
  <c r="AB513" i="17"/>
  <c r="AA513" i="17"/>
  <c r="Y513" i="17"/>
  <c r="X513" i="17"/>
  <c r="W513" i="17"/>
  <c r="V513" i="17"/>
  <c r="U513" i="17"/>
  <c r="R513" i="17"/>
  <c r="M513" i="17"/>
  <c r="L513" i="17"/>
  <c r="K513" i="17"/>
  <c r="I513" i="17"/>
  <c r="H513" i="17"/>
  <c r="S513" i="17" s="1"/>
  <c r="T513" i="17" s="1"/>
  <c r="D513" i="17"/>
  <c r="AL512" i="17"/>
  <c r="AK512" i="17"/>
  <c r="AJ512" i="17"/>
  <c r="AF512" i="17"/>
  <c r="AE512" i="17"/>
  <c r="AD512" i="17"/>
  <c r="AC512" i="17"/>
  <c r="AB512" i="17"/>
  <c r="AA512" i="17"/>
  <c r="Y512" i="17"/>
  <c r="X512" i="17"/>
  <c r="W512" i="17"/>
  <c r="V512" i="17"/>
  <c r="U512" i="17"/>
  <c r="R512" i="17"/>
  <c r="M512" i="17"/>
  <c r="L512" i="17"/>
  <c r="K512" i="17"/>
  <c r="I512" i="17"/>
  <c r="H512" i="17"/>
  <c r="S512" i="17" s="1"/>
  <c r="T512" i="17" s="1"/>
  <c r="D512" i="17"/>
  <c r="N512" i="17" s="1"/>
  <c r="AL511" i="17"/>
  <c r="AK511" i="17"/>
  <c r="AJ511" i="17"/>
  <c r="AF511" i="17"/>
  <c r="AE511" i="17"/>
  <c r="AD511" i="17"/>
  <c r="AC511" i="17"/>
  <c r="AB511" i="17"/>
  <c r="AA511" i="17"/>
  <c r="Y511" i="17"/>
  <c r="X511" i="17"/>
  <c r="W511" i="17"/>
  <c r="V511" i="17"/>
  <c r="U511" i="17"/>
  <c r="R511" i="17"/>
  <c r="M511" i="17"/>
  <c r="L511" i="17"/>
  <c r="K511" i="17"/>
  <c r="I511" i="17"/>
  <c r="H511" i="17"/>
  <c r="D511" i="17"/>
  <c r="AL510" i="17"/>
  <c r="AK510" i="17"/>
  <c r="AJ510" i="17"/>
  <c r="AF510" i="17"/>
  <c r="AE510" i="17"/>
  <c r="AD510" i="17"/>
  <c r="AC510" i="17"/>
  <c r="AB510" i="17"/>
  <c r="AA510" i="17"/>
  <c r="Y510" i="17"/>
  <c r="X510" i="17"/>
  <c r="W510" i="17"/>
  <c r="V510" i="17"/>
  <c r="U510" i="17"/>
  <c r="R510" i="17"/>
  <c r="M510" i="17"/>
  <c r="L510" i="17"/>
  <c r="K510" i="17"/>
  <c r="I510" i="17"/>
  <c r="H510" i="17"/>
  <c r="S510" i="17" s="1"/>
  <c r="T510" i="17" s="1"/>
  <c r="D510" i="17"/>
  <c r="AL509" i="17"/>
  <c r="AK509" i="17"/>
  <c r="AJ509" i="17"/>
  <c r="AF509" i="17"/>
  <c r="AE509" i="17"/>
  <c r="AD509" i="17"/>
  <c r="AC509" i="17"/>
  <c r="AB509" i="17"/>
  <c r="AA509" i="17"/>
  <c r="Y509" i="17"/>
  <c r="X509" i="17"/>
  <c r="W509" i="17"/>
  <c r="V509" i="17"/>
  <c r="U509" i="17"/>
  <c r="R509" i="17"/>
  <c r="M509" i="17"/>
  <c r="L509" i="17"/>
  <c r="K509" i="17"/>
  <c r="I509" i="17"/>
  <c r="H509" i="17"/>
  <c r="S509" i="17" s="1"/>
  <c r="T509" i="17" s="1"/>
  <c r="D509" i="17"/>
  <c r="N509" i="17" s="1"/>
  <c r="AL508" i="17"/>
  <c r="AK508" i="17"/>
  <c r="AJ508" i="17"/>
  <c r="AF508" i="17"/>
  <c r="AE508" i="17"/>
  <c r="AD508" i="17"/>
  <c r="AC508" i="17"/>
  <c r="AB508" i="17"/>
  <c r="AA508" i="17"/>
  <c r="Y508" i="17"/>
  <c r="X508" i="17"/>
  <c r="W508" i="17"/>
  <c r="V508" i="17"/>
  <c r="U508" i="17"/>
  <c r="S508" i="17"/>
  <c r="T508" i="17" s="1"/>
  <c r="R508" i="17"/>
  <c r="M508" i="17"/>
  <c r="L508" i="17"/>
  <c r="K508" i="17"/>
  <c r="I508" i="17"/>
  <c r="H508" i="17"/>
  <c r="D508" i="17"/>
  <c r="N508" i="17" s="1"/>
  <c r="AL507" i="17"/>
  <c r="AK507" i="17"/>
  <c r="AF507" i="17"/>
  <c r="AE507" i="17"/>
  <c r="AD507" i="17"/>
  <c r="AC507" i="17"/>
  <c r="AB507" i="17"/>
  <c r="AA507" i="17"/>
  <c r="Y507" i="17"/>
  <c r="X507" i="17"/>
  <c r="W507" i="17"/>
  <c r="V507" i="17"/>
  <c r="U507" i="17"/>
  <c r="R507" i="17"/>
  <c r="M507" i="17"/>
  <c r="L507" i="17"/>
  <c r="K507" i="17"/>
  <c r="I507" i="17"/>
  <c r="H507" i="17"/>
  <c r="D507" i="17"/>
  <c r="AL506" i="17"/>
  <c r="AK506" i="17"/>
  <c r="AJ507" i="17" s="1"/>
  <c r="AF506" i="17"/>
  <c r="AE506" i="17"/>
  <c r="AD506" i="17"/>
  <c r="AC506" i="17"/>
  <c r="AB506" i="17"/>
  <c r="AA506" i="17"/>
  <c r="Y506" i="17"/>
  <c r="X506" i="17"/>
  <c r="W506" i="17"/>
  <c r="V506" i="17"/>
  <c r="U506" i="17"/>
  <c r="R506" i="17"/>
  <c r="M506" i="17"/>
  <c r="L506" i="17"/>
  <c r="K506" i="17"/>
  <c r="I506" i="17"/>
  <c r="H506" i="17"/>
  <c r="S506" i="17" s="1"/>
  <c r="T506" i="17" s="1"/>
  <c r="D506" i="17"/>
  <c r="N506" i="17" s="1"/>
  <c r="AL505" i="17"/>
  <c r="AK505" i="17"/>
  <c r="AJ505" i="17" s="1"/>
  <c r="AF505" i="17"/>
  <c r="AE505" i="17"/>
  <c r="AD505" i="17"/>
  <c r="AC505" i="17"/>
  <c r="AB505" i="17"/>
  <c r="AA505" i="17"/>
  <c r="Y505" i="17"/>
  <c r="X505" i="17"/>
  <c r="W505" i="17"/>
  <c r="V505" i="17"/>
  <c r="U505" i="17"/>
  <c r="R505" i="17"/>
  <c r="M505" i="17"/>
  <c r="L505" i="17"/>
  <c r="K505" i="17"/>
  <c r="I505" i="17"/>
  <c r="H505" i="17"/>
  <c r="S505" i="17" s="1"/>
  <c r="T505" i="17" s="1"/>
  <c r="D505" i="17"/>
  <c r="AL504" i="17"/>
  <c r="AK504" i="17"/>
  <c r="AJ504" i="17" s="1"/>
  <c r="AF504" i="17"/>
  <c r="AE504" i="17"/>
  <c r="AD504" i="17"/>
  <c r="AC504" i="17"/>
  <c r="AB504" i="17"/>
  <c r="AA504" i="17"/>
  <c r="Y504" i="17"/>
  <c r="X504" i="17"/>
  <c r="W504" i="17"/>
  <c r="V504" i="17"/>
  <c r="U504" i="17"/>
  <c r="S504" i="17"/>
  <c r="T504" i="17" s="1"/>
  <c r="R504" i="17"/>
  <c r="M504" i="17"/>
  <c r="L504" i="17"/>
  <c r="K504" i="17"/>
  <c r="I504" i="17"/>
  <c r="H504" i="17"/>
  <c r="D504" i="17"/>
  <c r="N504" i="17" s="1"/>
  <c r="AL503" i="17"/>
  <c r="AK503" i="17"/>
  <c r="AJ503" i="17" s="1"/>
  <c r="AF503" i="17"/>
  <c r="AE503" i="17"/>
  <c r="AD503" i="17"/>
  <c r="AC503" i="17"/>
  <c r="AB503" i="17"/>
  <c r="AA503" i="17"/>
  <c r="Y503" i="17"/>
  <c r="X503" i="17"/>
  <c r="W503" i="17"/>
  <c r="V503" i="17"/>
  <c r="U503" i="17"/>
  <c r="R503" i="17"/>
  <c r="M503" i="17"/>
  <c r="L503" i="17"/>
  <c r="K503" i="17"/>
  <c r="I503" i="17"/>
  <c r="H503" i="17"/>
  <c r="D503" i="17"/>
  <c r="AL502" i="17"/>
  <c r="AK502" i="17"/>
  <c r="AJ502" i="17" s="1"/>
  <c r="AF502" i="17"/>
  <c r="AE502" i="17"/>
  <c r="AD502" i="17"/>
  <c r="AC502" i="17"/>
  <c r="AB502" i="17"/>
  <c r="AA502" i="17"/>
  <c r="Y502" i="17"/>
  <c r="X502" i="17"/>
  <c r="W502" i="17"/>
  <c r="V502" i="17"/>
  <c r="U502" i="17"/>
  <c r="R502" i="17"/>
  <c r="M502" i="17"/>
  <c r="L502" i="17"/>
  <c r="K502" i="17"/>
  <c r="I502" i="17"/>
  <c r="H502" i="17"/>
  <c r="S502" i="17" s="1"/>
  <c r="T502" i="17" s="1"/>
  <c r="D502" i="17"/>
  <c r="N502" i="17" s="1"/>
  <c r="AL501" i="17"/>
  <c r="AK501" i="17"/>
  <c r="AJ501" i="17" s="1"/>
  <c r="AF501" i="17"/>
  <c r="AE501" i="17"/>
  <c r="AD501" i="17"/>
  <c r="AC501" i="17"/>
  <c r="AB501" i="17"/>
  <c r="AA501" i="17"/>
  <c r="Y501" i="17"/>
  <c r="X501" i="17"/>
  <c r="W501" i="17"/>
  <c r="V501" i="17"/>
  <c r="U501" i="17"/>
  <c r="R501" i="17"/>
  <c r="M501" i="17"/>
  <c r="L501" i="17"/>
  <c r="K501" i="17"/>
  <c r="I501" i="17"/>
  <c r="H501" i="17"/>
  <c r="S501" i="17" s="1"/>
  <c r="T501" i="17" s="1"/>
  <c r="D501" i="17"/>
  <c r="AL500" i="17"/>
  <c r="AK500" i="17"/>
  <c r="AJ500" i="17" s="1"/>
  <c r="AF500" i="17"/>
  <c r="AE500" i="17"/>
  <c r="AD500" i="17"/>
  <c r="AC500" i="17"/>
  <c r="AB500" i="17"/>
  <c r="AA500" i="17"/>
  <c r="Y500" i="17"/>
  <c r="X500" i="17"/>
  <c r="W500" i="17"/>
  <c r="V500" i="17"/>
  <c r="U500" i="17"/>
  <c r="S500" i="17"/>
  <c r="T500" i="17" s="1"/>
  <c r="R500" i="17"/>
  <c r="M500" i="17"/>
  <c r="L500" i="17"/>
  <c r="K500" i="17"/>
  <c r="I500" i="17"/>
  <c r="H500" i="17"/>
  <c r="D500" i="17"/>
  <c r="N500" i="17" s="1"/>
  <c r="AL499" i="17"/>
  <c r="AK499" i="17"/>
  <c r="AJ499" i="17" s="1"/>
  <c r="AF499" i="17"/>
  <c r="AE499" i="17"/>
  <c r="AD499" i="17"/>
  <c r="AC499" i="17"/>
  <c r="AB499" i="17"/>
  <c r="AA499" i="17"/>
  <c r="Y499" i="17"/>
  <c r="X499" i="17"/>
  <c r="W499" i="17"/>
  <c r="V499" i="17"/>
  <c r="U499" i="17"/>
  <c r="R499" i="17"/>
  <c r="M499" i="17"/>
  <c r="L499" i="17"/>
  <c r="K499" i="17"/>
  <c r="I499" i="17"/>
  <c r="H499" i="17"/>
  <c r="D499" i="17"/>
  <c r="AL498" i="17"/>
  <c r="AK498" i="17"/>
  <c r="AJ498" i="17" s="1"/>
  <c r="AF498" i="17"/>
  <c r="AE498" i="17"/>
  <c r="AD498" i="17"/>
  <c r="AC498" i="17"/>
  <c r="AB498" i="17"/>
  <c r="AA498" i="17"/>
  <c r="Y498" i="17"/>
  <c r="X498" i="17"/>
  <c r="W498" i="17"/>
  <c r="V498" i="17"/>
  <c r="U498" i="17"/>
  <c r="R498" i="17"/>
  <c r="M498" i="17"/>
  <c r="L498" i="17"/>
  <c r="K498" i="17"/>
  <c r="I498" i="17"/>
  <c r="H498" i="17"/>
  <c r="S498" i="17" s="1"/>
  <c r="T498" i="17" s="1"/>
  <c r="D498" i="17"/>
  <c r="N498" i="17" s="1"/>
  <c r="AL497" i="17"/>
  <c r="AK497" i="17"/>
  <c r="AJ497" i="17" s="1"/>
  <c r="AF497" i="17"/>
  <c r="AE497" i="17"/>
  <c r="AD497" i="17"/>
  <c r="AC497" i="17"/>
  <c r="AB497" i="17"/>
  <c r="AA497" i="17"/>
  <c r="Y497" i="17"/>
  <c r="X497" i="17"/>
  <c r="W497" i="17"/>
  <c r="V497" i="17"/>
  <c r="U497" i="17"/>
  <c r="R497" i="17"/>
  <c r="M497" i="17"/>
  <c r="L497" i="17"/>
  <c r="K497" i="17"/>
  <c r="I497" i="17"/>
  <c r="H497" i="17"/>
  <c r="S497" i="17" s="1"/>
  <c r="T497" i="17" s="1"/>
  <c r="D497" i="17"/>
  <c r="AL496" i="17"/>
  <c r="AK496" i="17"/>
  <c r="AJ496" i="17" s="1"/>
  <c r="AF496" i="17"/>
  <c r="AE496" i="17"/>
  <c r="AD496" i="17"/>
  <c r="AC496" i="17"/>
  <c r="AB496" i="17"/>
  <c r="AA496" i="17"/>
  <c r="Y496" i="17"/>
  <c r="X496" i="17"/>
  <c r="W496" i="17"/>
  <c r="V496" i="17"/>
  <c r="U496" i="17"/>
  <c r="S496" i="17"/>
  <c r="T496" i="17" s="1"/>
  <c r="R496" i="17"/>
  <c r="M496" i="17"/>
  <c r="L496" i="17"/>
  <c r="K496" i="17"/>
  <c r="I496" i="17"/>
  <c r="H496" i="17"/>
  <c r="D496" i="17"/>
  <c r="N496" i="17" s="1"/>
  <c r="AL495" i="17"/>
  <c r="AK495" i="17"/>
  <c r="AJ495" i="17"/>
  <c r="AF495" i="17"/>
  <c r="AE495" i="17"/>
  <c r="AD495" i="17"/>
  <c r="AC495" i="17"/>
  <c r="AB495" i="17"/>
  <c r="AA495" i="17"/>
  <c r="Y495" i="17"/>
  <c r="X495" i="17"/>
  <c r="W495" i="17"/>
  <c r="V495" i="17"/>
  <c r="U495" i="17"/>
  <c r="R495" i="17"/>
  <c r="M495" i="17"/>
  <c r="L495" i="17"/>
  <c r="K495" i="17"/>
  <c r="I495" i="17"/>
  <c r="H495" i="17"/>
  <c r="D495" i="17"/>
  <c r="N495" i="17" s="1"/>
  <c r="AL494" i="17"/>
  <c r="AK494" i="17"/>
  <c r="AJ494" i="17"/>
  <c r="AF494" i="17"/>
  <c r="AE494" i="17"/>
  <c r="AD494" i="17"/>
  <c r="AC494" i="17"/>
  <c r="AB494" i="17"/>
  <c r="AA494" i="17"/>
  <c r="Y494" i="17"/>
  <c r="X494" i="17"/>
  <c r="W494" i="17"/>
  <c r="V494" i="17"/>
  <c r="U494" i="17"/>
  <c r="R494" i="17"/>
  <c r="M494" i="17"/>
  <c r="L494" i="17"/>
  <c r="K494" i="17"/>
  <c r="I494" i="17"/>
  <c r="H494" i="17"/>
  <c r="D494" i="17"/>
  <c r="AL493" i="17"/>
  <c r="AK493" i="17"/>
  <c r="AJ493" i="17"/>
  <c r="AF493" i="17"/>
  <c r="AE493" i="17"/>
  <c r="AD493" i="17"/>
  <c r="AC493" i="17"/>
  <c r="AB493" i="17"/>
  <c r="AA493" i="17"/>
  <c r="Y493" i="17"/>
  <c r="X493" i="17"/>
  <c r="W493" i="17"/>
  <c r="V493" i="17"/>
  <c r="U493" i="17"/>
  <c r="R493" i="17"/>
  <c r="M493" i="17"/>
  <c r="L493" i="17"/>
  <c r="K493" i="17"/>
  <c r="I493" i="17"/>
  <c r="H493" i="17"/>
  <c r="S493" i="17" s="1"/>
  <c r="T493" i="17" s="1"/>
  <c r="D493" i="17"/>
  <c r="AL492" i="17"/>
  <c r="AK492" i="17"/>
  <c r="AJ492" i="17"/>
  <c r="AF492" i="17"/>
  <c r="AE492" i="17"/>
  <c r="AD492" i="17"/>
  <c r="AC492" i="17"/>
  <c r="AB492" i="17"/>
  <c r="AA492" i="17"/>
  <c r="Y492" i="17"/>
  <c r="X492" i="17"/>
  <c r="W492" i="17"/>
  <c r="V492" i="17"/>
  <c r="U492" i="17"/>
  <c r="R492" i="17"/>
  <c r="M492" i="17"/>
  <c r="K492" i="17"/>
  <c r="I492" i="17"/>
  <c r="H492" i="17"/>
  <c r="D492" i="17"/>
  <c r="AL491" i="17"/>
  <c r="AK491" i="17"/>
  <c r="AJ491" i="17"/>
  <c r="AF491" i="17"/>
  <c r="AE491" i="17"/>
  <c r="AD491" i="17"/>
  <c r="AC491" i="17"/>
  <c r="AB491" i="17"/>
  <c r="AA491" i="17"/>
  <c r="Y491" i="17"/>
  <c r="X491" i="17"/>
  <c r="W491" i="17"/>
  <c r="R491" i="17"/>
  <c r="M491" i="17"/>
  <c r="K491" i="17"/>
  <c r="I491" i="17"/>
  <c r="H491" i="17"/>
  <c r="S491" i="17" s="1"/>
  <c r="T491" i="17" s="1"/>
  <c r="G491" i="17"/>
  <c r="D491" i="17"/>
  <c r="N491" i="17" s="1"/>
  <c r="AK490" i="17"/>
  <c r="AF490" i="17"/>
  <c r="AE490" i="17"/>
  <c r="AD490" i="17"/>
  <c r="AC490" i="17"/>
  <c r="AB490" i="17"/>
  <c r="AA490" i="17"/>
  <c r="Y490" i="17"/>
  <c r="X490" i="17"/>
  <c r="W490" i="17"/>
  <c r="V490" i="17"/>
  <c r="U490" i="17"/>
  <c r="R490" i="17"/>
  <c r="N490" i="17"/>
  <c r="M490" i="17"/>
  <c r="L490" i="17"/>
  <c r="K490" i="17"/>
  <c r="I490" i="17"/>
  <c r="H490" i="17"/>
  <c r="D490" i="17"/>
  <c r="AK489" i="17"/>
  <c r="AF489" i="17"/>
  <c r="AE489" i="17"/>
  <c r="AD489" i="17"/>
  <c r="AC489" i="17"/>
  <c r="AB489" i="17"/>
  <c r="AA489" i="17"/>
  <c r="Y489" i="17"/>
  <c r="X489" i="17"/>
  <c r="W489" i="17"/>
  <c r="V489" i="17"/>
  <c r="U489" i="17"/>
  <c r="R489" i="17"/>
  <c r="N489" i="17"/>
  <c r="M489" i="17"/>
  <c r="L489" i="17"/>
  <c r="K489" i="17"/>
  <c r="I489" i="17"/>
  <c r="H489" i="17"/>
  <c r="S489" i="17" s="1"/>
  <c r="T489" i="17" s="1"/>
  <c r="D489" i="17"/>
  <c r="AK488" i="17"/>
  <c r="AF488" i="17"/>
  <c r="AE488" i="17"/>
  <c r="AD488" i="17"/>
  <c r="AC488" i="17"/>
  <c r="AB488" i="17"/>
  <c r="AA488" i="17"/>
  <c r="Y488" i="17"/>
  <c r="X488" i="17"/>
  <c r="W488" i="17"/>
  <c r="V488" i="17"/>
  <c r="U488" i="17"/>
  <c r="R488" i="17"/>
  <c r="M488" i="17"/>
  <c r="L488" i="17"/>
  <c r="K488" i="17"/>
  <c r="I488" i="17"/>
  <c r="H488" i="17"/>
  <c r="D488" i="17"/>
  <c r="N488" i="17" s="1"/>
  <c r="AK487" i="17"/>
  <c r="AF487" i="17"/>
  <c r="AE487" i="17"/>
  <c r="AD487" i="17"/>
  <c r="AC487" i="17"/>
  <c r="AB487" i="17"/>
  <c r="AA487" i="17"/>
  <c r="Y487" i="17"/>
  <c r="X487" i="17"/>
  <c r="W487" i="17"/>
  <c r="V487" i="17"/>
  <c r="U487" i="17"/>
  <c r="S487" i="17"/>
  <c r="T487" i="17" s="1"/>
  <c r="R487" i="17"/>
  <c r="M487" i="17"/>
  <c r="L487" i="17"/>
  <c r="K487" i="17"/>
  <c r="I487" i="17"/>
  <c r="H487" i="17"/>
  <c r="D487" i="17"/>
  <c r="N487" i="17" s="1"/>
  <c r="AK486" i="17"/>
  <c r="AF486" i="17"/>
  <c r="AE486" i="17"/>
  <c r="AD486" i="17"/>
  <c r="AC486" i="17"/>
  <c r="AB486" i="17"/>
  <c r="AA486" i="17"/>
  <c r="Y486" i="17"/>
  <c r="X486" i="17"/>
  <c r="W486" i="17"/>
  <c r="V486" i="17"/>
  <c r="U486" i="17"/>
  <c r="R486" i="17"/>
  <c r="N486" i="17"/>
  <c r="M486" i="17"/>
  <c r="L486" i="17"/>
  <c r="K486" i="17"/>
  <c r="I486" i="17"/>
  <c r="H486" i="17"/>
  <c r="D486" i="17"/>
  <c r="AK485" i="17"/>
  <c r="AF485" i="17"/>
  <c r="AE485" i="17"/>
  <c r="AD485" i="17"/>
  <c r="AC485" i="17"/>
  <c r="AB485" i="17"/>
  <c r="AA485" i="17"/>
  <c r="Y485" i="17"/>
  <c r="X485" i="17"/>
  <c r="W485" i="17"/>
  <c r="V485" i="17"/>
  <c r="U485" i="17"/>
  <c r="R485" i="17"/>
  <c r="N485" i="17"/>
  <c r="M485" i="17"/>
  <c r="L485" i="17"/>
  <c r="K485" i="17"/>
  <c r="I485" i="17"/>
  <c r="H485" i="17"/>
  <c r="S485" i="17" s="1"/>
  <c r="T485" i="17" s="1"/>
  <c r="D485" i="17"/>
  <c r="AK484" i="17"/>
  <c r="AF484" i="17"/>
  <c r="AE484" i="17"/>
  <c r="AD484" i="17"/>
  <c r="AC484" i="17"/>
  <c r="AB484" i="17"/>
  <c r="AA484" i="17"/>
  <c r="Y484" i="17"/>
  <c r="X484" i="17"/>
  <c r="W484" i="17"/>
  <c r="V484" i="17"/>
  <c r="U484" i="17"/>
  <c r="R484" i="17"/>
  <c r="M484" i="17"/>
  <c r="L484" i="17"/>
  <c r="K484" i="17"/>
  <c r="I484" i="17"/>
  <c r="H484" i="17"/>
  <c r="D484" i="17"/>
  <c r="N484" i="17" s="1"/>
  <c r="AK483" i="17"/>
  <c r="AF483" i="17"/>
  <c r="AE483" i="17"/>
  <c r="AD483" i="17"/>
  <c r="AC483" i="17"/>
  <c r="AB483" i="17"/>
  <c r="AA483" i="17"/>
  <c r="Y483" i="17"/>
  <c r="X483" i="17"/>
  <c r="W483" i="17"/>
  <c r="V483" i="17"/>
  <c r="U483" i="17"/>
  <c r="S483" i="17"/>
  <c r="T483" i="17" s="1"/>
  <c r="R483" i="17"/>
  <c r="M483" i="17"/>
  <c r="L483" i="17"/>
  <c r="K483" i="17"/>
  <c r="I483" i="17"/>
  <c r="H483" i="17"/>
  <c r="D483" i="17"/>
  <c r="N483" i="17" s="1"/>
  <c r="AK482" i="17"/>
  <c r="AF482" i="17"/>
  <c r="AE482" i="17"/>
  <c r="AD482" i="17"/>
  <c r="AC482" i="17"/>
  <c r="AB482" i="17"/>
  <c r="AA482" i="17"/>
  <c r="Y482" i="17"/>
  <c r="X482" i="17"/>
  <c r="W482" i="17"/>
  <c r="V482" i="17"/>
  <c r="U482" i="17"/>
  <c r="R482" i="17"/>
  <c r="N482" i="17"/>
  <c r="M482" i="17"/>
  <c r="L482" i="17"/>
  <c r="K482" i="17"/>
  <c r="I482" i="17"/>
  <c r="H482" i="17"/>
  <c r="D482" i="17"/>
  <c r="AK481" i="17"/>
  <c r="AF481" i="17"/>
  <c r="AE481" i="17"/>
  <c r="AD481" i="17"/>
  <c r="AC481" i="17"/>
  <c r="AB481" i="17"/>
  <c r="AA481" i="17"/>
  <c r="Y481" i="17"/>
  <c r="X481" i="17"/>
  <c r="W481" i="17"/>
  <c r="V481" i="17"/>
  <c r="U481" i="17"/>
  <c r="R481" i="17"/>
  <c r="N481" i="17"/>
  <c r="M481" i="17"/>
  <c r="L481" i="17"/>
  <c r="K481" i="17"/>
  <c r="I481" i="17"/>
  <c r="H481" i="17"/>
  <c r="S481" i="17" s="1"/>
  <c r="T481" i="17" s="1"/>
  <c r="D481" i="17"/>
  <c r="AK480" i="17"/>
  <c r="AF480" i="17"/>
  <c r="AE480" i="17"/>
  <c r="AD480" i="17"/>
  <c r="AC480" i="17"/>
  <c r="AB480" i="17"/>
  <c r="AA480" i="17"/>
  <c r="Y480" i="17"/>
  <c r="X480" i="17"/>
  <c r="W480" i="17"/>
  <c r="V480" i="17"/>
  <c r="U480" i="17"/>
  <c r="R480" i="17"/>
  <c r="M480" i="17"/>
  <c r="L480" i="17"/>
  <c r="K480" i="17"/>
  <c r="I480" i="17"/>
  <c r="H480" i="17"/>
  <c r="D480" i="17"/>
  <c r="N480" i="17" s="1"/>
  <c r="AK479" i="17"/>
  <c r="AF479" i="17"/>
  <c r="AE479" i="17"/>
  <c r="AD479" i="17"/>
  <c r="AC479" i="17"/>
  <c r="AB479" i="17"/>
  <c r="AA479" i="17"/>
  <c r="Y479" i="17"/>
  <c r="X479" i="17"/>
  <c r="W479" i="17"/>
  <c r="V479" i="17"/>
  <c r="U479" i="17"/>
  <c r="S479" i="17"/>
  <c r="T479" i="17" s="1"/>
  <c r="R479" i="17"/>
  <c r="M479" i="17"/>
  <c r="L479" i="17"/>
  <c r="K479" i="17"/>
  <c r="I479" i="17"/>
  <c r="H479" i="17"/>
  <c r="D479" i="17"/>
  <c r="N479" i="17" s="1"/>
  <c r="AK478" i="17"/>
  <c r="AF478" i="17"/>
  <c r="AE478" i="17"/>
  <c r="AD478" i="17"/>
  <c r="AC478" i="17"/>
  <c r="AB478" i="17"/>
  <c r="AA478" i="17"/>
  <c r="Y478" i="17"/>
  <c r="X478" i="17"/>
  <c r="W478" i="17"/>
  <c r="V478" i="17"/>
  <c r="U478" i="17"/>
  <c r="R478" i="17"/>
  <c r="N478" i="17"/>
  <c r="M478" i="17"/>
  <c r="L478" i="17"/>
  <c r="K478" i="17"/>
  <c r="I478" i="17"/>
  <c r="H478" i="17"/>
  <c r="D478" i="17"/>
  <c r="AK477" i="17"/>
  <c r="AF477" i="17"/>
  <c r="AE477" i="17"/>
  <c r="AD477" i="17"/>
  <c r="AC477" i="17"/>
  <c r="AB477" i="17"/>
  <c r="AA477" i="17"/>
  <c r="Y477" i="17"/>
  <c r="X477" i="17"/>
  <c r="W477" i="17"/>
  <c r="V477" i="17"/>
  <c r="U477" i="17"/>
  <c r="R477" i="17"/>
  <c r="N477" i="17"/>
  <c r="M477" i="17"/>
  <c r="L477" i="17"/>
  <c r="K477" i="17"/>
  <c r="I477" i="17"/>
  <c r="H477" i="17"/>
  <c r="S477" i="17" s="1"/>
  <c r="T477" i="17" s="1"/>
  <c r="D477" i="17"/>
  <c r="AK476" i="17"/>
  <c r="AF476" i="17"/>
  <c r="AE476" i="17"/>
  <c r="AD476" i="17"/>
  <c r="AC476" i="17"/>
  <c r="AB476" i="17"/>
  <c r="AA476" i="17"/>
  <c r="Y476" i="17"/>
  <c r="X476" i="17"/>
  <c r="W476" i="17"/>
  <c r="V476" i="17"/>
  <c r="U476" i="17"/>
  <c r="R476" i="17"/>
  <c r="M476" i="17"/>
  <c r="L476" i="17"/>
  <c r="K476" i="17"/>
  <c r="I476" i="17"/>
  <c r="H476" i="17"/>
  <c r="D476" i="17"/>
  <c r="N476" i="17" s="1"/>
  <c r="AK475" i="17"/>
  <c r="AH475" i="17"/>
  <c r="B55" i="14" s="1"/>
  <c r="D55" i="14" s="1"/>
  <c r="AF475" i="17"/>
  <c r="AE475" i="17"/>
  <c r="AD475" i="17"/>
  <c r="AC475" i="17"/>
  <c r="AB475" i="17"/>
  <c r="AA475" i="17"/>
  <c r="Y475" i="17"/>
  <c r="X475" i="17"/>
  <c r="W475" i="17"/>
  <c r="V475" i="17"/>
  <c r="U475" i="17"/>
  <c r="R475" i="17"/>
  <c r="M475" i="17"/>
  <c r="L475" i="17"/>
  <c r="K475" i="17"/>
  <c r="I475" i="17"/>
  <c r="H475" i="17"/>
  <c r="D475" i="17"/>
  <c r="N475" i="17" s="1"/>
  <c r="AL474" i="17"/>
  <c r="AK474" i="17"/>
  <c r="AJ474" i="17" s="1"/>
  <c r="AF474" i="17"/>
  <c r="AE474" i="17"/>
  <c r="AD474" i="17"/>
  <c r="AC474" i="17"/>
  <c r="AB474" i="17"/>
  <c r="AA474" i="17"/>
  <c r="Y474" i="17"/>
  <c r="X474" i="17"/>
  <c r="W474" i="17"/>
  <c r="V474" i="17"/>
  <c r="U474" i="17"/>
  <c r="R474" i="17"/>
  <c r="M474" i="17"/>
  <c r="L474" i="17"/>
  <c r="K474" i="17"/>
  <c r="I474" i="17"/>
  <c r="H474" i="17"/>
  <c r="D474" i="17"/>
  <c r="AL473" i="17"/>
  <c r="AK473" i="17"/>
  <c r="AJ473" i="17" s="1"/>
  <c r="AF473" i="17"/>
  <c r="AE473" i="17"/>
  <c r="AD473" i="17"/>
  <c r="AC473" i="17"/>
  <c r="AB473" i="17"/>
  <c r="AA473" i="17"/>
  <c r="Y473" i="17"/>
  <c r="X473" i="17"/>
  <c r="W473" i="17"/>
  <c r="V473" i="17"/>
  <c r="U473" i="17"/>
  <c r="R473" i="17"/>
  <c r="M473" i="17"/>
  <c r="L473" i="17"/>
  <c r="K473" i="17"/>
  <c r="I473" i="17"/>
  <c r="H473" i="17"/>
  <c r="D473" i="17"/>
  <c r="AL472" i="17"/>
  <c r="AK472" i="17"/>
  <c r="AJ472" i="17" s="1"/>
  <c r="AF472" i="17"/>
  <c r="AE472" i="17"/>
  <c r="AD472" i="17"/>
  <c r="AC472" i="17"/>
  <c r="AB472" i="17"/>
  <c r="AA472" i="17"/>
  <c r="Y472" i="17"/>
  <c r="X472" i="17"/>
  <c r="W472" i="17"/>
  <c r="V472" i="17"/>
  <c r="U472" i="17"/>
  <c r="R472" i="17"/>
  <c r="M472" i="17"/>
  <c r="L472" i="17"/>
  <c r="K472" i="17"/>
  <c r="I472" i="17"/>
  <c r="H472" i="17"/>
  <c r="D472" i="17"/>
  <c r="N472" i="17" s="1"/>
  <c r="AL471" i="17"/>
  <c r="AK471" i="17"/>
  <c r="AJ471" i="17" s="1"/>
  <c r="AF471" i="17"/>
  <c r="AE471" i="17"/>
  <c r="AD471" i="17"/>
  <c r="AC471" i="17"/>
  <c r="AB471" i="17"/>
  <c r="AA471" i="17"/>
  <c r="Y471" i="17"/>
  <c r="X471" i="17"/>
  <c r="W471" i="17"/>
  <c r="V471" i="17"/>
  <c r="U471" i="17"/>
  <c r="R471" i="17"/>
  <c r="M471" i="17"/>
  <c r="L471" i="17"/>
  <c r="K471" i="17"/>
  <c r="I471" i="17"/>
  <c r="H471" i="17"/>
  <c r="D471" i="17"/>
  <c r="N471" i="17" s="1"/>
  <c r="AL470" i="17"/>
  <c r="AK470" i="17"/>
  <c r="AJ470" i="17" s="1"/>
  <c r="AF470" i="17"/>
  <c r="AE470" i="17"/>
  <c r="AD470" i="17"/>
  <c r="AC470" i="17"/>
  <c r="AB470" i="17"/>
  <c r="AA470" i="17"/>
  <c r="Y470" i="17"/>
  <c r="X470" i="17"/>
  <c r="W470" i="17"/>
  <c r="V470" i="17"/>
  <c r="U470" i="17"/>
  <c r="R470" i="17"/>
  <c r="M470" i="17"/>
  <c r="L470" i="17"/>
  <c r="K470" i="17"/>
  <c r="I470" i="17"/>
  <c r="H470" i="17"/>
  <c r="D470" i="17"/>
  <c r="N470" i="17" s="1"/>
  <c r="AL469" i="17"/>
  <c r="AK469" i="17"/>
  <c r="AJ469" i="17" s="1"/>
  <c r="AF469" i="17"/>
  <c r="AE469" i="17"/>
  <c r="AD469" i="17"/>
  <c r="AC469" i="17"/>
  <c r="AB469" i="17"/>
  <c r="AA469" i="17"/>
  <c r="Y469" i="17"/>
  <c r="X469" i="17"/>
  <c r="W469" i="17"/>
  <c r="V469" i="17"/>
  <c r="U469" i="17"/>
  <c r="R469" i="17"/>
  <c r="M469" i="17"/>
  <c r="L469" i="17"/>
  <c r="K469" i="17"/>
  <c r="I469" i="17"/>
  <c r="H469" i="17"/>
  <c r="D469" i="17"/>
  <c r="AL468" i="17"/>
  <c r="AK468" i="17"/>
  <c r="AJ468" i="17" s="1"/>
  <c r="AF468" i="17"/>
  <c r="AE468" i="17"/>
  <c r="AD468" i="17"/>
  <c r="AC468" i="17"/>
  <c r="AB468" i="17"/>
  <c r="AA468" i="17"/>
  <c r="Y468" i="17"/>
  <c r="X468" i="17"/>
  <c r="W468" i="17"/>
  <c r="V468" i="17"/>
  <c r="U468" i="17"/>
  <c r="R468" i="17"/>
  <c r="M468" i="17"/>
  <c r="L468" i="17"/>
  <c r="K468" i="17"/>
  <c r="I468" i="17"/>
  <c r="H468" i="17"/>
  <c r="D468" i="17"/>
  <c r="AL467" i="17"/>
  <c r="AK467" i="17"/>
  <c r="AJ467" i="17" s="1"/>
  <c r="AF467" i="17"/>
  <c r="AE467" i="17"/>
  <c r="AD467" i="17"/>
  <c r="AC467" i="17"/>
  <c r="AB467" i="17"/>
  <c r="AA467" i="17"/>
  <c r="Y467" i="17"/>
  <c r="X467" i="17"/>
  <c r="W467" i="17"/>
  <c r="V467" i="17"/>
  <c r="U467" i="17"/>
  <c r="R467" i="17"/>
  <c r="M467" i="17"/>
  <c r="L467" i="17"/>
  <c r="K467" i="17"/>
  <c r="I467" i="17"/>
  <c r="H467" i="17"/>
  <c r="D467" i="17"/>
  <c r="N467" i="17" s="1"/>
  <c r="AL466" i="17"/>
  <c r="AK466" i="17"/>
  <c r="AJ466" i="17" s="1"/>
  <c r="AF466" i="17"/>
  <c r="AE466" i="17"/>
  <c r="AD466" i="17"/>
  <c r="AC466" i="17"/>
  <c r="AB466" i="17"/>
  <c r="AA466" i="17"/>
  <c r="Y466" i="17"/>
  <c r="X466" i="17"/>
  <c r="W466" i="17"/>
  <c r="V466" i="17"/>
  <c r="U466" i="17"/>
  <c r="R466" i="17"/>
  <c r="M466" i="17"/>
  <c r="L466" i="17"/>
  <c r="K466" i="17"/>
  <c r="I466" i="17"/>
  <c r="H466" i="17"/>
  <c r="D466" i="17"/>
  <c r="AL465" i="17"/>
  <c r="AK465" i="17"/>
  <c r="AJ465" i="17" s="1"/>
  <c r="AF465" i="17"/>
  <c r="AE465" i="17"/>
  <c r="AD465" i="17"/>
  <c r="AC465" i="17"/>
  <c r="AB465" i="17"/>
  <c r="AA465" i="17"/>
  <c r="Y465" i="17"/>
  <c r="X465" i="17"/>
  <c r="W465" i="17"/>
  <c r="V465" i="17"/>
  <c r="U465" i="17"/>
  <c r="R465" i="17"/>
  <c r="M465" i="17"/>
  <c r="L465" i="17"/>
  <c r="K465" i="17"/>
  <c r="I465" i="17"/>
  <c r="H465" i="17"/>
  <c r="S465" i="17" s="1"/>
  <c r="T465" i="17" s="1"/>
  <c r="D465" i="17"/>
  <c r="AL464" i="17"/>
  <c r="AK464" i="17"/>
  <c r="AJ464" i="17" s="1"/>
  <c r="AF464" i="17"/>
  <c r="AE464" i="17"/>
  <c r="AD464" i="17"/>
  <c r="AC464" i="17"/>
  <c r="AB464" i="17"/>
  <c r="AA464" i="17"/>
  <c r="Y464" i="17"/>
  <c r="X464" i="17"/>
  <c r="W464" i="17"/>
  <c r="V464" i="17"/>
  <c r="U464" i="17"/>
  <c r="R464" i="17"/>
  <c r="M464" i="17"/>
  <c r="L464" i="17"/>
  <c r="K464" i="17"/>
  <c r="I464" i="17"/>
  <c r="H464" i="17"/>
  <c r="D464" i="17"/>
  <c r="N464" i="17" s="1"/>
  <c r="AL463" i="17"/>
  <c r="AK463" i="17"/>
  <c r="AJ463" i="17" s="1"/>
  <c r="AF463" i="17"/>
  <c r="AE463" i="17"/>
  <c r="AD463" i="17"/>
  <c r="AC463" i="17"/>
  <c r="AB463" i="17"/>
  <c r="AA463" i="17"/>
  <c r="Y463" i="17"/>
  <c r="X463" i="17"/>
  <c r="W463" i="17"/>
  <c r="V463" i="17"/>
  <c r="U463" i="17"/>
  <c r="R463" i="17"/>
  <c r="M463" i="17"/>
  <c r="L463" i="17"/>
  <c r="K463" i="17"/>
  <c r="I463" i="17"/>
  <c r="H463" i="17"/>
  <c r="D463" i="17"/>
  <c r="N463" i="17" s="1"/>
  <c r="AL462" i="17"/>
  <c r="AK462" i="17"/>
  <c r="AJ462" i="17" s="1"/>
  <c r="AF462" i="17"/>
  <c r="AE462" i="17"/>
  <c r="AD462" i="17"/>
  <c r="AC462" i="17"/>
  <c r="AB462" i="17"/>
  <c r="AA462" i="17"/>
  <c r="Y462" i="17"/>
  <c r="X462" i="17"/>
  <c r="W462" i="17"/>
  <c r="V462" i="17"/>
  <c r="U462" i="17"/>
  <c r="R462" i="17"/>
  <c r="M462" i="17"/>
  <c r="L462" i="17"/>
  <c r="K462" i="17"/>
  <c r="I462" i="17"/>
  <c r="H462" i="17"/>
  <c r="D462" i="17"/>
  <c r="N462" i="17" s="1"/>
  <c r="AL461" i="17"/>
  <c r="AK461" i="17"/>
  <c r="AJ461" i="17" s="1"/>
  <c r="AF461" i="17"/>
  <c r="AE461" i="17"/>
  <c r="AD461" i="17"/>
  <c r="AC461" i="17"/>
  <c r="AB461" i="17"/>
  <c r="AA461" i="17"/>
  <c r="Y461" i="17"/>
  <c r="X461" i="17"/>
  <c r="W461" i="17"/>
  <c r="V461" i="17"/>
  <c r="U461" i="17"/>
  <c r="R461" i="17"/>
  <c r="M461" i="17"/>
  <c r="L461" i="17"/>
  <c r="K461" i="17"/>
  <c r="I461" i="17"/>
  <c r="H461" i="17"/>
  <c r="D461" i="17"/>
  <c r="AL460" i="17"/>
  <c r="AK460" i="17"/>
  <c r="AJ460" i="17" s="1"/>
  <c r="AF460" i="17"/>
  <c r="AE460" i="17"/>
  <c r="AD460" i="17"/>
  <c r="AC460" i="17"/>
  <c r="AB460" i="17"/>
  <c r="AA460" i="17"/>
  <c r="Y460" i="17"/>
  <c r="X460" i="17"/>
  <c r="W460" i="17"/>
  <c r="V460" i="17"/>
  <c r="U460" i="17"/>
  <c r="R460" i="17"/>
  <c r="M460" i="17"/>
  <c r="L460" i="17"/>
  <c r="K460" i="17"/>
  <c r="I460" i="17"/>
  <c r="H460" i="17"/>
  <c r="D460" i="17"/>
  <c r="AL459" i="17"/>
  <c r="AK459" i="17"/>
  <c r="AJ459" i="17" s="1"/>
  <c r="AF459" i="17"/>
  <c r="AE459" i="17"/>
  <c r="AD459" i="17"/>
  <c r="AC459" i="17"/>
  <c r="AB459" i="17"/>
  <c r="AA459" i="17"/>
  <c r="Y459" i="17"/>
  <c r="X459" i="17"/>
  <c r="W459" i="17"/>
  <c r="V459" i="17"/>
  <c r="U459" i="17"/>
  <c r="R459" i="17"/>
  <c r="M459" i="17"/>
  <c r="L459" i="17"/>
  <c r="K459" i="17"/>
  <c r="I459" i="17"/>
  <c r="H459" i="17"/>
  <c r="D459" i="17"/>
  <c r="N459" i="17" s="1"/>
  <c r="AL458" i="17"/>
  <c r="AK458" i="17"/>
  <c r="AJ458" i="17" s="1"/>
  <c r="AF458" i="17"/>
  <c r="AE458" i="17"/>
  <c r="AD458" i="17"/>
  <c r="AC458" i="17"/>
  <c r="AB458" i="17"/>
  <c r="AA458" i="17"/>
  <c r="Y458" i="17"/>
  <c r="X458" i="17"/>
  <c r="W458" i="17"/>
  <c r="V458" i="17"/>
  <c r="U458" i="17"/>
  <c r="R458" i="17"/>
  <c r="M458" i="17"/>
  <c r="L458" i="17"/>
  <c r="K458" i="17"/>
  <c r="I458" i="17"/>
  <c r="H458" i="17"/>
  <c r="D458" i="17"/>
  <c r="AL457" i="17"/>
  <c r="AK457" i="17"/>
  <c r="AJ457" i="17" s="1"/>
  <c r="AF457" i="17"/>
  <c r="AE457" i="17"/>
  <c r="AD457" i="17"/>
  <c r="AC457" i="17"/>
  <c r="AB457" i="17"/>
  <c r="AA457" i="17"/>
  <c r="Y457" i="17"/>
  <c r="X457" i="17"/>
  <c r="W457" i="17"/>
  <c r="V457" i="17"/>
  <c r="U457" i="17"/>
  <c r="R457" i="17"/>
  <c r="M457" i="17"/>
  <c r="L457" i="17"/>
  <c r="K457" i="17"/>
  <c r="I457" i="17"/>
  <c r="H457" i="17"/>
  <c r="S457" i="17" s="1"/>
  <c r="T457" i="17" s="1"/>
  <c r="D457" i="17"/>
  <c r="AL456" i="17"/>
  <c r="AK456" i="17"/>
  <c r="AJ456" i="17" s="1"/>
  <c r="AF456" i="17"/>
  <c r="AE456" i="17"/>
  <c r="AD456" i="17"/>
  <c r="AC456" i="17"/>
  <c r="AB456" i="17"/>
  <c r="AA456" i="17"/>
  <c r="Y456" i="17"/>
  <c r="X456" i="17"/>
  <c r="W456" i="17"/>
  <c r="V456" i="17"/>
  <c r="U456" i="17"/>
  <c r="S456" i="17"/>
  <c r="T456" i="17" s="1"/>
  <c r="R456" i="17"/>
  <c r="M456" i="17"/>
  <c r="L456" i="17"/>
  <c r="K456" i="17"/>
  <c r="I456" i="17"/>
  <c r="H456" i="17"/>
  <c r="D456" i="17"/>
  <c r="N456" i="17" s="1"/>
  <c r="AL455" i="17"/>
  <c r="AK455" i="17"/>
  <c r="AJ455" i="17" s="1"/>
  <c r="AF455" i="17"/>
  <c r="AE455" i="17"/>
  <c r="AD455" i="17"/>
  <c r="AC455" i="17"/>
  <c r="AB455" i="17"/>
  <c r="AA455" i="17"/>
  <c r="Y455" i="17"/>
  <c r="X455" i="17"/>
  <c r="W455" i="17"/>
  <c r="V455" i="17"/>
  <c r="U455" i="17"/>
  <c r="S455" i="17"/>
  <c r="T455" i="17" s="1"/>
  <c r="R455" i="17"/>
  <c r="M455" i="17"/>
  <c r="L455" i="17"/>
  <c r="K455" i="17"/>
  <c r="I455" i="17"/>
  <c r="H455" i="17"/>
  <c r="D455" i="17"/>
  <c r="AL454" i="17"/>
  <c r="AK454" i="17"/>
  <c r="AJ454" i="17" s="1"/>
  <c r="AF454" i="17"/>
  <c r="AE454" i="17"/>
  <c r="AD454" i="17"/>
  <c r="AC454" i="17"/>
  <c r="AB454" i="17"/>
  <c r="AA454" i="17"/>
  <c r="Y454" i="17"/>
  <c r="X454" i="17"/>
  <c r="W454" i="17"/>
  <c r="V454" i="17"/>
  <c r="U454" i="17"/>
  <c r="R454" i="17"/>
  <c r="M454" i="17"/>
  <c r="L454" i="17"/>
  <c r="K454" i="17"/>
  <c r="I454" i="17"/>
  <c r="H454" i="17"/>
  <c r="S454" i="17" s="1"/>
  <c r="T454" i="17" s="1"/>
  <c r="D454" i="17"/>
  <c r="N454" i="17" s="1"/>
  <c r="AL453" i="17"/>
  <c r="AK453" i="17"/>
  <c r="AJ453" i="17" s="1"/>
  <c r="AF453" i="17"/>
  <c r="AE453" i="17"/>
  <c r="AD453" i="17"/>
  <c r="AC453" i="17"/>
  <c r="AB453" i="17"/>
  <c r="AA453" i="17"/>
  <c r="Y453" i="17"/>
  <c r="X453" i="17"/>
  <c r="W453" i="17"/>
  <c r="V453" i="17"/>
  <c r="U453" i="17"/>
  <c r="R453" i="17"/>
  <c r="M453" i="17"/>
  <c r="L453" i="17"/>
  <c r="K453" i="17"/>
  <c r="I453" i="17"/>
  <c r="H453" i="17"/>
  <c r="S453" i="17" s="1"/>
  <c r="T453" i="17" s="1"/>
  <c r="D453" i="17"/>
  <c r="AL452" i="17"/>
  <c r="AK452" i="17"/>
  <c r="AJ452" i="17" s="1"/>
  <c r="AF452" i="17"/>
  <c r="AE452" i="17"/>
  <c r="AD452" i="17"/>
  <c r="AC452" i="17"/>
  <c r="AB452" i="17"/>
  <c r="AA452" i="17"/>
  <c r="Y452" i="17"/>
  <c r="X452" i="17"/>
  <c r="W452" i="17"/>
  <c r="V452" i="17"/>
  <c r="U452" i="17"/>
  <c r="S452" i="17"/>
  <c r="T452" i="17" s="1"/>
  <c r="R452" i="17"/>
  <c r="M452" i="17"/>
  <c r="L452" i="17"/>
  <c r="K452" i="17"/>
  <c r="I452" i="17"/>
  <c r="H452" i="17"/>
  <c r="D452" i="17"/>
  <c r="N452" i="17" s="1"/>
  <c r="AL451" i="17"/>
  <c r="AK451" i="17"/>
  <c r="AJ451" i="17" s="1"/>
  <c r="AF451" i="17"/>
  <c r="AE451" i="17"/>
  <c r="AD451" i="17"/>
  <c r="AC451" i="17"/>
  <c r="AB451" i="17"/>
  <c r="AA451" i="17"/>
  <c r="Y451" i="17"/>
  <c r="X451" i="17"/>
  <c r="W451" i="17"/>
  <c r="V451" i="17"/>
  <c r="U451" i="17"/>
  <c r="S451" i="17"/>
  <c r="T451" i="17" s="1"/>
  <c r="R451" i="17"/>
  <c r="M451" i="17"/>
  <c r="L451" i="17"/>
  <c r="K451" i="17"/>
  <c r="I451" i="17"/>
  <c r="H451" i="17"/>
  <c r="D451" i="17"/>
  <c r="AL450" i="17"/>
  <c r="AK450" i="17"/>
  <c r="AJ450" i="17" s="1"/>
  <c r="AF450" i="17"/>
  <c r="AE450" i="17"/>
  <c r="AD450" i="17"/>
  <c r="AC450" i="17"/>
  <c r="AB450" i="17"/>
  <c r="AA450" i="17"/>
  <c r="Y450" i="17"/>
  <c r="X450" i="17"/>
  <c r="W450" i="17"/>
  <c r="V450" i="17"/>
  <c r="U450" i="17"/>
  <c r="R450" i="17"/>
  <c r="M450" i="17"/>
  <c r="L450" i="17"/>
  <c r="K450" i="17"/>
  <c r="I450" i="17"/>
  <c r="H450" i="17"/>
  <c r="S450" i="17" s="1"/>
  <c r="T450" i="17" s="1"/>
  <c r="D450" i="17"/>
  <c r="N450" i="17" s="1"/>
  <c r="AL449" i="17"/>
  <c r="AK449" i="17"/>
  <c r="AF449" i="17"/>
  <c r="AE449" i="17"/>
  <c r="AD449" i="17"/>
  <c r="AC449" i="17"/>
  <c r="AB449" i="17"/>
  <c r="AA449" i="17"/>
  <c r="Y449" i="17"/>
  <c r="X449" i="17"/>
  <c r="W449" i="17"/>
  <c r="V449" i="17"/>
  <c r="U449" i="17"/>
  <c r="R449" i="17"/>
  <c r="S449" i="17" s="1"/>
  <c r="T449" i="17" s="1"/>
  <c r="M449" i="17"/>
  <c r="L449" i="17"/>
  <c r="K449" i="17"/>
  <c r="I449" i="17"/>
  <c r="H449" i="17"/>
  <c r="D449" i="17"/>
  <c r="N449" i="17" s="1"/>
  <c r="AL448" i="17"/>
  <c r="AK448" i="17"/>
  <c r="AF448" i="17"/>
  <c r="AE448" i="17"/>
  <c r="AD448" i="17"/>
  <c r="AC448" i="17"/>
  <c r="AB448" i="17"/>
  <c r="AA448" i="17"/>
  <c r="Y448" i="17"/>
  <c r="X448" i="17"/>
  <c r="W448" i="17"/>
  <c r="V448" i="17"/>
  <c r="U448" i="17"/>
  <c r="R448" i="17"/>
  <c r="N448" i="17"/>
  <c r="M448" i="17"/>
  <c r="L448" i="17"/>
  <c r="K448" i="17"/>
  <c r="I448" i="17"/>
  <c r="H448" i="17"/>
  <c r="S448" i="17" s="1"/>
  <c r="T448" i="17" s="1"/>
  <c r="D448" i="17"/>
  <c r="AK447" i="17"/>
  <c r="AJ447" i="17" s="1"/>
  <c r="AF447" i="17"/>
  <c r="AE447" i="17"/>
  <c r="AD447" i="17"/>
  <c r="AC447" i="17"/>
  <c r="AB447" i="17"/>
  <c r="AA447" i="17"/>
  <c r="Y447" i="17"/>
  <c r="X447" i="17"/>
  <c r="W447" i="17"/>
  <c r="V447" i="17"/>
  <c r="U447" i="17"/>
  <c r="S447" i="17"/>
  <c r="T447" i="17" s="1"/>
  <c r="R447" i="17"/>
  <c r="M447" i="17"/>
  <c r="L447" i="17"/>
  <c r="K447" i="17"/>
  <c r="I447" i="17"/>
  <c r="H447" i="17"/>
  <c r="D447" i="17"/>
  <c r="N447" i="17" s="1"/>
  <c r="AK446" i="17"/>
  <c r="AL446" i="17" s="1"/>
  <c r="AJ446" i="17"/>
  <c r="AF446" i="17"/>
  <c r="AE446" i="17"/>
  <c r="AD446" i="17"/>
  <c r="AC446" i="17"/>
  <c r="AB446" i="17"/>
  <c r="AA446" i="17"/>
  <c r="Y446" i="17"/>
  <c r="X446" i="17"/>
  <c r="W446" i="17"/>
  <c r="V446" i="17"/>
  <c r="U446" i="17"/>
  <c r="S446" i="17"/>
  <c r="T446" i="17" s="1"/>
  <c r="R446" i="17"/>
  <c r="M446" i="17"/>
  <c r="L446" i="17"/>
  <c r="K446" i="17"/>
  <c r="I446" i="17"/>
  <c r="H446" i="17"/>
  <c r="D446" i="17"/>
  <c r="N446" i="17" s="1"/>
  <c r="AK445" i="17"/>
  <c r="AL445" i="17" s="1"/>
  <c r="AJ445" i="17"/>
  <c r="AF445" i="17"/>
  <c r="AE445" i="17"/>
  <c r="AD445" i="17"/>
  <c r="AC445" i="17"/>
  <c r="AB445" i="17"/>
  <c r="AA445" i="17"/>
  <c r="Y445" i="17"/>
  <c r="X445" i="17"/>
  <c r="W445" i="17"/>
  <c r="V445" i="17"/>
  <c r="U445" i="17"/>
  <c r="S445" i="17"/>
  <c r="T445" i="17" s="1"/>
  <c r="R445" i="17"/>
  <c r="M445" i="17"/>
  <c r="L445" i="17"/>
  <c r="K445" i="17"/>
  <c r="I445" i="17"/>
  <c r="H445" i="17"/>
  <c r="D445" i="17"/>
  <c r="N445" i="17" s="1"/>
  <c r="AK444" i="17"/>
  <c r="AL444" i="17" s="1"/>
  <c r="AJ444" i="17"/>
  <c r="AF444" i="17"/>
  <c r="AE444" i="17"/>
  <c r="AD444" i="17"/>
  <c r="AC444" i="17"/>
  <c r="AB444" i="17"/>
  <c r="AA444" i="17"/>
  <c r="Y444" i="17"/>
  <c r="X444" i="17"/>
  <c r="W444" i="17"/>
  <c r="V444" i="17"/>
  <c r="U444" i="17"/>
  <c r="S444" i="17"/>
  <c r="T444" i="17" s="1"/>
  <c r="R444" i="17"/>
  <c r="M444" i="17"/>
  <c r="L444" i="17"/>
  <c r="K444" i="17"/>
  <c r="I444" i="17"/>
  <c r="H444" i="17"/>
  <c r="D444" i="17"/>
  <c r="N444" i="17" s="1"/>
  <c r="AK443" i="17"/>
  <c r="AL443" i="17" s="1"/>
  <c r="AJ443" i="17"/>
  <c r="AF443" i="17"/>
  <c r="AE443" i="17"/>
  <c r="AD443" i="17"/>
  <c r="AC443" i="17"/>
  <c r="AB443" i="17"/>
  <c r="AA443" i="17"/>
  <c r="Y443" i="17"/>
  <c r="X443" i="17"/>
  <c r="W443" i="17"/>
  <c r="V443" i="17"/>
  <c r="U443" i="17"/>
  <c r="S443" i="17"/>
  <c r="T443" i="17" s="1"/>
  <c r="R443" i="17"/>
  <c r="M443" i="17"/>
  <c r="L443" i="17"/>
  <c r="K443" i="17"/>
  <c r="I443" i="17"/>
  <c r="H443" i="17"/>
  <c r="D443" i="17"/>
  <c r="N443" i="17" s="1"/>
  <c r="AK442" i="17"/>
  <c r="AL442" i="17" s="1"/>
  <c r="AJ442" i="17"/>
  <c r="AF442" i="17"/>
  <c r="AE442" i="17"/>
  <c r="AD442" i="17"/>
  <c r="AC442" i="17"/>
  <c r="AB442" i="17"/>
  <c r="AA442" i="17"/>
  <c r="Y442" i="17"/>
  <c r="X442" i="17"/>
  <c r="W442" i="17"/>
  <c r="V442" i="17"/>
  <c r="U442" i="17"/>
  <c r="S442" i="17"/>
  <c r="T442" i="17" s="1"/>
  <c r="R442" i="17"/>
  <c r="M442" i="17"/>
  <c r="L442" i="17"/>
  <c r="K442" i="17"/>
  <c r="I442" i="17"/>
  <c r="H442" i="17"/>
  <c r="D442" i="17"/>
  <c r="N442" i="17" s="1"/>
  <c r="AK441" i="17"/>
  <c r="AL441" i="17" s="1"/>
  <c r="AJ441" i="17"/>
  <c r="AF441" i="17"/>
  <c r="AE441" i="17"/>
  <c r="AD441" i="17"/>
  <c r="AC441" i="17"/>
  <c r="AB441" i="17"/>
  <c r="AA441" i="17"/>
  <c r="Y441" i="17"/>
  <c r="X441" i="17"/>
  <c r="W441" i="17"/>
  <c r="V441" i="17"/>
  <c r="U441" i="17"/>
  <c r="S441" i="17"/>
  <c r="T441" i="17" s="1"/>
  <c r="R441" i="17"/>
  <c r="M441" i="17"/>
  <c r="L441" i="17"/>
  <c r="K441" i="17"/>
  <c r="I441" i="17"/>
  <c r="H441" i="17"/>
  <c r="D441" i="17"/>
  <c r="N441" i="17" s="1"/>
  <c r="AK440" i="17"/>
  <c r="AL440" i="17" s="1"/>
  <c r="AJ440" i="17"/>
  <c r="AF440" i="17"/>
  <c r="AE440" i="17"/>
  <c r="AD440" i="17"/>
  <c r="AC440" i="17"/>
  <c r="AB440" i="17"/>
  <c r="AA440" i="17"/>
  <c r="Y440" i="17"/>
  <c r="X440" i="17"/>
  <c r="W440" i="17"/>
  <c r="V440" i="17"/>
  <c r="U440" i="17"/>
  <c r="S440" i="17"/>
  <c r="T440" i="17" s="1"/>
  <c r="R440" i="17"/>
  <c r="M440" i="17"/>
  <c r="L440" i="17"/>
  <c r="K440" i="17"/>
  <c r="I440" i="17"/>
  <c r="H440" i="17"/>
  <c r="D440" i="17"/>
  <c r="N440" i="17" s="1"/>
  <c r="AK439" i="17"/>
  <c r="AL439" i="17" s="1"/>
  <c r="AJ439" i="17"/>
  <c r="AF439" i="17"/>
  <c r="AE439" i="17"/>
  <c r="AD439" i="17"/>
  <c r="AC439" i="17"/>
  <c r="AB439" i="17"/>
  <c r="AA439" i="17"/>
  <c r="Y439" i="17"/>
  <c r="X439" i="17"/>
  <c r="W439" i="17"/>
  <c r="V439" i="17"/>
  <c r="U439" i="17"/>
  <c r="R439" i="17"/>
  <c r="M439" i="17"/>
  <c r="K439" i="17"/>
  <c r="I439" i="17"/>
  <c r="H439" i="17"/>
  <c r="D439" i="17"/>
  <c r="N439" i="17" s="1"/>
  <c r="AK438" i="17"/>
  <c r="AL438" i="17" s="1"/>
  <c r="AF438" i="17"/>
  <c r="AE438" i="17"/>
  <c r="AD438" i="17"/>
  <c r="AC438" i="17"/>
  <c r="AB438" i="17"/>
  <c r="AA438" i="17"/>
  <c r="Y438" i="17"/>
  <c r="X438" i="17"/>
  <c r="W438" i="17"/>
  <c r="M438" i="17"/>
  <c r="K438" i="17"/>
  <c r="I438" i="17"/>
  <c r="N438" i="17" s="1"/>
  <c r="G438" i="17"/>
  <c r="R438" i="17" s="1"/>
  <c r="D438" i="17"/>
  <c r="AK437" i="17"/>
  <c r="AL437" i="17" s="1"/>
  <c r="AF437" i="17"/>
  <c r="AE437" i="17"/>
  <c r="AD437" i="17"/>
  <c r="AC437" i="17"/>
  <c r="AB437" i="17"/>
  <c r="AA437" i="17"/>
  <c r="Y437" i="17"/>
  <c r="X437" i="17"/>
  <c r="W437" i="17"/>
  <c r="V437" i="17"/>
  <c r="U437" i="17"/>
  <c r="R437" i="17"/>
  <c r="N437" i="17"/>
  <c r="M437" i="17"/>
  <c r="L437" i="17"/>
  <c r="K437" i="17"/>
  <c r="I437" i="17"/>
  <c r="H437" i="17"/>
  <c r="S437" i="17" s="1"/>
  <c r="T437" i="17" s="1"/>
  <c r="D437" i="17"/>
  <c r="AK436" i="17"/>
  <c r="AL436" i="17" s="1"/>
  <c r="AF436" i="17"/>
  <c r="AE436" i="17"/>
  <c r="AD436" i="17"/>
  <c r="AC436" i="17"/>
  <c r="AB436" i="17"/>
  <c r="AA436" i="17"/>
  <c r="Y436" i="17"/>
  <c r="X436" i="17"/>
  <c r="W436" i="17"/>
  <c r="V436" i="17"/>
  <c r="U436" i="17"/>
  <c r="R436" i="17"/>
  <c r="N436" i="17"/>
  <c r="M436" i="17"/>
  <c r="L436" i="17"/>
  <c r="K436" i="17"/>
  <c r="I436" i="17"/>
  <c r="H436" i="17"/>
  <c r="S436" i="17" s="1"/>
  <c r="T436" i="17" s="1"/>
  <c r="D436" i="17"/>
  <c r="AK435" i="17"/>
  <c r="AL435" i="17" s="1"/>
  <c r="AF435" i="17"/>
  <c r="AE435" i="17"/>
  <c r="AD435" i="17"/>
  <c r="AC435" i="17"/>
  <c r="AB435" i="17"/>
  <c r="AA435" i="17"/>
  <c r="Y435" i="17"/>
  <c r="X435" i="17"/>
  <c r="W435" i="17"/>
  <c r="V435" i="17"/>
  <c r="U435" i="17"/>
  <c r="R435" i="17"/>
  <c r="N435" i="17"/>
  <c r="M435" i="17"/>
  <c r="L435" i="17"/>
  <c r="K435" i="17"/>
  <c r="I435" i="17"/>
  <c r="H435" i="17"/>
  <c r="S435" i="17" s="1"/>
  <c r="T435" i="17" s="1"/>
  <c r="D435" i="17"/>
  <c r="AK434" i="17"/>
  <c r="AL434" i="17" s="1"/>
  <c r="AF434" i="17"/>
  <c r="AE434" i="17"/>
  <c r="AD434" i="17"/>
  <c r="AC434" i="17"/>
  <c r="AB434" i="17"/>
  <c r="AA434" i="17"/>
  <c r="Y434" i="17"/>
  <c r="X434" i="17"/>
  <c r="W434" i="17"/>
  <c r="V434" i="17"/>
  <c r="U434" i="17"/>
  <c r="R434" i="17"/>
  <c r="N434" i="17"/>
  <c r="M434" i="17"/>
  <c r="L434" i="17"/>
  <c r="K434" i="17"/>
  <c r="I434" i="17"/>
  <c r="H434" i="17"/>
  <c r="S434" i="17" s="1"/>
  <c r="T434" i="17" s="1"/>
  <c r="D434" i="17"/>
  <c r="AK433" i="17"/>
  <c r="AL433" i="17" s="1"/>
  <c r="AF433" i="17"/>
  <c r="AE433" i="17"/>
  <c r="AD433" i="17"/>
  <c r="AC433" i="17"/>
  <c r="AB433" i="17"/>
  <c r="AA433" i="17"/>
  <c r="Y433" i="17"/>
  <c r="X433" i="17"/>
  <c r="W433" i="17"/>
  <c r="V433" i="17"/>
  <c r="U433" i="17"/>
  <c r="R433" i="17"/>
  <c r="N433" i="17"/>
  <c r="M433" i="17"/>
  <c r="L433" i="17"/>
  <c r="K433" i="17"/>
  <c r="I433" i="17"/>
  <c r="H433" i="17"/>
  <c r="S433" i="17" s="1"/>
  <c r="T433" i="17" s="1"/>
  <c r="D433" i="17"/>
  <c r="AK432" i="17"/>
  <c r="AL432" i="17" s="1"/>
  <c r="AF432" i="17"/>
  <c r="AE432" i="17"/>
  <c r="AD432" i="17"/>
  <c r="AC432" i="17"/>
  <c r="AB432" i="17"/>
  <c r="AA432" i="17"/>
  <c r="Y432" i="17"/>
  <c r="X432" i="17"/>
  <c r="W432" i="17"/>
  <c r="V432" i="17"/>
  <c r="U432" i="17"/>
  <c r="R432" i="17"/>
  <c r="N432" i="17"/>
  <c r="M432" i="17"/>
  <c r="L432" i="17"/>
  <c r="K432" i="17"/>
  <c r="I432" i="17"/>
  <c r="H432" i="17"/>
  <c r="S432" i="17" s="1"/>
  <c r="T432" i="17" s="1"/>
  <c r="D432" i="17"/>
  <c r="AK431" i="17"/>
  <c r="AL431" i="17" s="1"/>
  <c r="AF431" i="17"/>
  <c r="AE431" i="17"/>
  <c r="AD431" i="17"/>
  <c r="AC431" i="17"/>
  <c r="AB431" i="17"/>
  <c r="AA431" i="17"/>
  <c r="Y431" i="17"/>
  <c r="X431" i="17"/>
  <c r="W431" i="17"/>
  <c r="V431" i="17"/>
  <c r="U431" i="17"/>
  <c r="R431" i="17"/>
  <c r="N431" i="17"/>
  <c r="M431" i="17"/>
  <c r="L431" i="17"/>
  <c r="K431" i="17"/>
  <c r="I431" i="17"/>
  <c r="H431" i="17"/>
  <c r="S431" i="17" s="1"/>
  <c r="T431" i="17" s="1"/>
  <c r="D431" i="17"/>
  <c r="AK430" i="17"/>
  <c r="AL430" i="17" s="1"/>
  <c r="AF430" i="17"/>
  <c r="AE430" i="17"/>
  <c r="AD430" i="17"/>
  <c r="AC430" i="17"/>
  <c r="AB430" i="17"/>
  <c r="AA430" i="17"/>
  <c r="Y430" i="17"/>
  <c r="X430" i="17"/>
  <c r="W430" i="17"/>
  <c r="V430" i="17"/>
  <c r="U430" i="17"/>
  <c r="R430" i="17"/>
  <c r="N430" i="17"/>
  <c r="M430" i="17"/>
  <c r="L430" i="17"/>
  <c r="K430" i="17"/>
  <c r="I430" i="17"/>
  <c r="H430" i="17"/>
  <c r="S430" i="17" s="1"/>
  <c r="T430" i="17" s="1"/>
  <c r="D430" i="17"/>
  <c r="AK429" i="17"/>
  <c r="AL429" i="17" s="1"/>
  <c r="AF429" i="17"/>
  <c r="AE429" i="17"/>
  <c r="AD429" i="17"/>
  <c r="AC429" i="17"/>
  <c r="AB429" i="17"/>
  <c r="AA429" i="17"/>
  <c r="Y429" i="17"/>
  <c r="X429" i="17"/>
  <c r="W429" i="17"/>
  <c r="V429" i="17"/>
  <c r="U429" i="17"/>
  <c r="R429" i="17"/>
  <c r="N429" i="17"/>
  <c r="M429" i="17"/>
  <c r="L429" i="17"/>
  <c r="K429" i="17"/>
  <c r="I429" i="17"/>
  <c r="H429" i="17"/>
  <c r="S429" i="17" s="1"/>
  <c r="T429" i="17" s="1"/>
  <c r="D429" i="17"/>
  <c r="AK428" i="17"/>
  <c r="AL428" i="17" s="1"/>
  <c r="AF428" i="17"/>
  <c r="AE428" i="17"/>
  <c r="AD428" i="17"/>
  <c r="AC428" i="17"/>
  <c r="AB428" i="17"/>
  <c r="AA428" i="17"/>
  <c r="Y428" i="17"/>
  <c r="X428" i="17"/>
  <c r="W428" i="17"/>
  <c r="V428" i="17"/>
  <c r="U428" i="17"/>
  <c r="R428" i="17"/>
  <c r="N428" i="17"/>
  <c r="M428" i="17"/>
  <c r="L428" i="17"/>
  <c r="K428" i="17"/>
  <c r="I428" i="17"/>
  <c r="H428" i="17"/>
  <c r="S428" i="17" s="1"/>
  <c r="T428" i="17" s="1"/>
  <c r="D428" i="17"/>
  <c r="AK427" i="17"/>
  <c r="AL427" i="17" s="1"/>
  <c r="AF427" i="17"/>
  <c r="AE427" i="17"/>
  <c r="AD427" i="17"/>
  <c r="AC427" i="17"/>
  <c r="AB427" i="17"/>
  <c r="AA427" i="17"/>
  <c r="Y427" i="17"/>
  <c r="X427" i="17"/>
  <c r="W427" i="17"/>
  <c r="V427" i="17"/>
  <c r="U427" i="17"/>
  <c r="R427" i="17"/>
  <c r="N427" i="17"/>
  <c r="M427" i="17"/>
  <c r="L427" i="17"/>
  <c r="K427" i="17"/>
  <c r="I427" i="17"/>
  <c r="H427" i="17"/>
  <c r="S427" i="17" s="1"/>
  <c r="T427" i="17" s="1"/>
  <c r="D427" i="17"/>
  <c r="AK426" i="17"/>
  <c r="AL426" i="17" s="1"/>
  <c r="AF426" i="17"/>
  <c r="AE426" i="17"/>
  <c r="AD426" i="17"/>
  <c r="AC426" i="17"/>
  <c r="AB426" i="17"/>
  <c r="AA426" i="17"/>
  <c r="Y426" i="17"/>
  <c r="X426" i="17"/>
  <c r="W426" i="17"/>
  <c r="V426" i="17"/>
  <c r="U426" i="17"/>
  <c r="R426" i="17"/>
  <c r="N426" i="17"/>
  <c r="M426" i="17"/>
  <c r="L426" i="17"/>
  <c r="K426" i="17"/>
  <c r="I426" i="17"/>
  <c r="H426" i="17"/>
  <c r="S426" i="17" s="1"/>
  <c r="T426" i="17" s="1"/>
  <c r="D426" i="17"/>
  <c r="AK425" i="17"/>
  <c r="AL425" i="17" s="1"/>
  <c r="AF425" i="17"/>
  <c r="AE425" i="17"/>
  <c r="AD425" i="17"/>
  <c r="AC425" i="17"/>
  <c r="AB425" i="17"/>
  <c r="AA425" i="17"/>
  <c r="Y425" i="17"/>
  <c r="X425" i="17"/>
  <c r="W425" i="17"/>
  <c r="V425" i="17"/>
  <c r="U425" i="17"/>
  <c r="R425" i="17"/>
  <c r="N425" i="17"/>
  <c r="M425" i="17"/>
  <c r="L425" i="17"/>
  <c r="K425" i="17"/>
  <c r="I425" i="17"/>
  <c r="H425" i="17"/>
  <c r="S425" i="17" s="1"/>
  <c r="T425" i="17" s="1"/>
  <c r="D425" i="17"/>
  <c r="AK424" i="17"/>
  <c r="AL424" i="17" s="1"/>
  <c r="AF424" i="17"/>
  <c r="AE424" i="17"/>
  <c r="AD424" i="17"/>
  <c r="AC424" i="17"/>
  <c r="AB424" i="17"/>
  <c r="AA424" i="17"/>
  <c r="Y424" i="17"/>
  <c r="X424" i="17"/>
  <c r="W424" i="17"/>
  <c r="V424" i="17"/>
  <c r="U424" i="17"/>
  <c r="R424" i="17"/>
  <c r="N424" i="17"/>
  <c r="M424" i="17"/>
  <c r="L424" i="17"/>
  <c r="K424" i="17"/>
  <c r="I424" i="17"/>
  <c r="H424" i="17"/>
  <c r="S424" i="17" s="1"/>
  <c r="T424" i="17" s="1"/>
  <c r="D424" i="17"/>
  <c r="AK423" i="17"/>
  <c r="AL423" i="17" s="1"/>
  <c r="AF423" i="17"/>
  <c r="AE423" i="17"/>
  <c r="AD423" i="17"/>
  <c r="AC423" i="17"/>
  <c r="AB423" i="17"/>
  <c r="AA423" i="17"/>
  <c r="Y423" i="17"/>
  <c r="X423" i="17"/>
  <c r="W423" i="17"/>
  <c r="V423" i="17"/>
  <c r="U423" i="17"/>
  <c r="R423" i="17"/>
  <c r="N423" i="17"/>
  <c r="M423" i="17"/>
  <c r="L423" i="17"/>
  <c r="K423" i="17"/>
  <c r="I423" i="17"/>
  <c r="H423" i="17"/>
  <c r="S423" i="17" s="1"/>
  <c r="T423" i="17" s="1"/>
  <c r="D423" i="17"/>
  <c r="AK422" i="17"/>
  <c r="AL422" i="17" s="1"/>
  <c r="AF422" i="17"/>
  <c r="AE422" i="17"/>
  <c r="AD422" i="17"/>
  <c r="AC422" i="17"/>
  <c r="AB422" i="17"/>
  <c r="AA422" i="17"/>
  <c r="Y422" i="17"/>
  <c r="X422" i="17"/>
  <c r="W422" i="17"/>
  <c r="V422" i="17"/>
  <c r="U422" i="17"/>
  <c r="R422" i="17"/>
  <c r="N422" i="17"/>
  <c r="M422" i="17"/>
  <c r="L422" i="17"/>
  <c r="K422" i="17"/>
  <c r="I422" i="17"/>
  <c r="H422" i="17"/>
  <c r="S422" i="17" s="1"/>
  <c r="T422" i="17" s="1"/>
  <c r="D422" i="17"/>
  <c r="AL421" i="17"/>
  <c r="AJ421" i="17"/>
  <c r="AF421" i="17"/>
  <c r="AE421" i="17"/>
  <c r="AD421" i="17"/>
  <c r="AC421" i="17"/>
  <c r="AB421" i="17"/>
  <c r="AA421" i="17"/>
  <c r="Y421" i="17"/>
  <c r="X421" i="17"/>
  <c r="W421" i="17"/>
  <c r="V421" i="17"/>
  <c r="U421" i="17"/>
  <c r="R421" i="17"/>
  <c r="M421" i="17"/>
  <c r="L421" i="17"/>
  <c r="K421" i="17"/>
  <c r="I421" i="17"/>
  <c r="H421" i="17"/>
  <c r="D421" i="17"/>
  <c r="N421" i="17" s="1"/>
  <c r="AL420" i="17"/>
  <c r="AJ420" i="17"/>
  <c r="AF420" i="17"/>
  <c r="AE420" i="17"/>
  <c r="AD420" i="17"/>
  <c r="AC420" i="17"/>
  <c r="AB420" i="17"/>
  <c r="AA420" i="17"/>
  <c r="Y420" i="17"/>
  <c r="X420" i="17"/>
  <c r="W420" i="17"/>
  <c r="V420" i="17"/>
  <c r="U420" i="17"/>
  <c r="R420" i="17"/>
  <c r="S421" i="17" s="1"/>
  <c r="T421" i="17" s="1"/>
  <c r="M420" i="17"/>
  <c r="L420" i="17"/>
  <c r="K420" i="17"/>
  <c r="I420" i="17"/>
  <c r="H420" i="17"/>
  <c r="S420" i="17" s="1"/>
  <c r="T420" i="17" s="1"/>
  <c r="D420" i="17"/>
  <c r="N420" i="17" s="1"/>
  <c r="AL419" i="17"/>
  <c r="AJ419" i="17"/>
  <c r="AF419" i="17"/>
  <c r="AE419" i="17"/>
  <c r="AD419" i="17"/>
  <c r="AC419" i="17"/>
  <c r="AB419" i="17"/>
  <c r="AA419" i="17"/>
  <c r="Y419" i="17"/>
  <c r="X419" i="17"/>
  <c r="W419" i="17"/>
  <c r="V419" i="17"/>
  <c r="U419" i="17"/>
  <c r="R419" i="17"/>
  <c r="N419" i="17"/>
  <c r="M419" i="17"/>
  <c r="L419" i="17"/>
  <c r="K419" i="17"/>
  <c r="I419" i="17"/>
  <c r="H419" i="17"/>
  <c r="D419" i="17"/>
  <c r="AL418" i="17"/>
  <c r="AJ418" i="17"/>
  <c r="AF418" i="17"/>
  <c r="AE418" i="17"/>
  <c r="AD418" i="17"/>
  <c r="AC418" i="17"/>
  <c r="AB418" i="17"/>
  <c r="AA418" i="17"/>
  <c r="Y418" i="17"/>
  <c r="X418" i="17"/>
  <c r="W418" i="17"/>
  <c r="V418" i="17"/>
  <c r="U418" i="17"/>
  <c r="R418" i="17"/>
  <c r="S419" i="17" s="1"/>
  <c r="T419" i="17" s="1"/>
  <c r="M418" i="17"/>
  <c r="L418" i="17"/>
  <c r="K418" i="17"/>
  <c r="I418" i="17"/>
  <c r="N418" i="17" s="1"/>
  <c r="H418" i="17"/>
  <c r="S418" i="17" s="1"/>
  <c r="T418" i="17" s="1"/>
  <c r="D418" i="17"/>
  <c r="AL417" i="17"/>
  <c r="AJ417" i="17"/>
  <c r="AF417" i="17"/>
  <c r="AE417" i="17"/>
  <c r="AD417" i="17"/>
  <c r="AC417" i="17"/>
  <c r="AB417" i="17"/>
  <c r="AA417" i="17"/>
  <c r="Y417" i="17"/>
  <c r="X417" i="17"/>
  <c r="W417" i="17"/>
  <c r="V417" i="17"/>
  <c r="U417" i="17"/>
  <c r="R417" i="17"/>
  <c r="N417" i="17"/>
  <c r="M417" i="17"/>
  <c r="L417" i="17"/>
  <c r="K417" i="17"/>
  <c r="I417" i="17"/>
  <c r="H417" i="17"/>
  <c r="S417" i="17" s="1"/>
  <c r="T417" i="17" s="1"/>
  <c r="D417" i="17"/>
  <c r="AL416" i="17"/>
  <c r="AJ416" i="17"/>
  <c r="AF416" i="17"/>
  <c r="AE416" i="17"/>
  <c r="AD416" i="17"/>
  <c r="AC416" i="17"/>
  <c r="AB416" i="17"/>
  <c r="AA416" i="17"/>
  <c r="Y416" i="17"/>
  <c r="X416" i="17"/>
  <c r="W416" i="17"/>
  <c r="V416" i="17"/>
  <c r="U416" i="17"/>
  <c r="R416" i="17"/>
  <c r="M416" i="17"/>
  <c r="L416" i="17"/>
  <c r="K416" i="17"/>
  <c r="I416" i="17"/>
  <c r="H416" i="17"/>
  <c r="D416" i="17"/>
  <c r="N416" i="17" s="1"/>
  <c r="AL415" i="17"/>
  <c r="AJ415" i="17"/>
  <c r="AF415" i="17"/>
  <c r="AE415" i="17"/>
  <c r="AD415" i="17"/>
  <c r="AC415" i="17"/>
  <c r="AB415" i="17"/>
  <c r="AA415" i="17"/>
  <c r="Y415" i="17"/>
  <c r="X415" i="17"/>
  <c r="W415" i="17"/>
  <c r="V415" i="17"/>
  <c r="U415" i="17"/>
  <c r="R415" i="17"/>
  <c r="S415" i="17" s="1"/>
  <c r="T415" i="17" s="1"/>
  <c r="M415" i="17"/>
  <c r="L415" i="17"/>
  <c r="K415" i="17"/>
  <c r="I415" i="17"/>
  <c r="H415" i="17"/>
  <c r="D415" i="17"/>
  <c r="N415" i="17" s="1"/>
  <c r="AL414" i="17"/>
  <c r="AJ414" i="17"/>
  <c r="AF414" i="17"/>
  <c r="AE414" i="17"/>
  <c r="AD414" i="17"/>
  <c r="AC414" i="17"/>
  <c r="AB414" i="17"/>
  <c r="AA414" i="17"/>
  <c r="Y414" i="17"/>
  <c r="X414" i="17"/>
  <c r="W414" i="17"/>
  <c r="V414" i="17"/>
  <c r="U414" i="17"/>
  <c r="R414" i="17"/>
  <c r="N414" i="17"/>
  <c r="M414" i="17"/>
  <c r="L414" i="17"/>
  <c r="K414" i="17"/>
  <c r="I414" i="17"/>
  <c r="H414" i="17"/>
  <c r="S414" i="17" s="1"/>
  <c r="T414" i="17" s="1"/>
  <c r="D414" i="17"/>
  <c r="AL413" i="17"/>
  <c r="AJ413" i="17"/>
  <c r="AF413" i="17"/>
  <c r="AE413" i="17"/>
  <c r="AD413" i="17"/>
  <c r="AC413" i="17"/>
  <c r="AB413" i="17"/>
  <c r="AA413" i="17"/>
  <c r="Y413" i="17"/>
  <c r="X413" i="17"/>
  <c r="W413" i="17"/>
  <c r="V413" i="17"/>
  <c r="U413" i="17"/>
  <c r="R413" i="17"/>
  <c r="M413" i="17"/>
  <c r="L413" i="17"/>
  <c r="K413" i="17"/>
  <c r="I413" i="17"/>
  <c r="H413" i="17"/>
  <c r="D413" i="17"/>
  <c r="N413" i="17" s="1"/>
  <c r="AL412" i="17"/>
  <c r="AJ412" i="17"/>
  <c r="AF412" i="17"/>
  <c r="AE412" i="17"/>
  <c r="AD412" i="17"/>
  <c r="AC412" i="17"/>
  <c r="AB412" i="17"/>
  <c r="AA412" i="17"/>
  <c r="Y412" i="17"/>
  <c r="X412" i="17"/>
  <c r="W412" i="17"/>
  <c r="V412" i="17"/>
  <c r="U412" i="17"/>
  <c r="R412" i="17"/>
  <c r="S413" i="17" s="1"/>
  <c r="T413" i="17" s="1"/>
  <c r="M412" i="17"/>
  <c r="L412" i="17"/>
  <c r="K412" i="17"/>
  <c r="I412" i="17"/>
  <c r="H412" i="17"/>
  <c r="S412" i="17" s="1"/>
  <c r="T412" i="17" s="1"/>
  <c r="D412" i="17"/>
  <c r="N412" i="17" s="1"/>
  <c r="AL411" i="17"/>
  <c r="AJ411" i="17"/>
  <c r="AF411" i="17"/>
  <c r="AE411" i="17"/>
  <c r="AD411" i="17"/>
  <c r="AC411" i="17"/>
  <c r="AB411" i="17"/>
  <c r="AA411" i="17"/>
  <c r="Y411" i="17"/>
  <c r="X411" i="17"/>
  <c r="W411" i="17"/>
  <c r="V411" i="17"/>
  <c r="U411" i="17"/>
  <c r="R411" i="17"/>
  <c r="N411" i="17"/>
  <c r="M411" i="17"/>
  <c r="L411" i="17"/>
  <c r="K411" i="17"/>
  <c r="I411" i="17"/>
  <c r="H411" i="17"/>
  <c r="D411" i="17"/>
  <c r="AL410" i="17"/>
  <c r="AJ410" i="17"/>
  <c r="AF410" i="17"/>
  <c r="AE410" i="17"/>
  <c r="AD410" i="17"/>
  <c r="AC410" i="17"/>
  <c r="AB410" i="17"/>
  <c r="AA410" i="17"/>
  <c r="Y410" i="17"/>
  <c r="X410" i="17"/>
  <c r="W410" i="17"/>
  <c r="V410" i="17"/>
  <c r="U410" i="17"/>
  <c r="R410" i="17"/>
  <c r="S411" i="17" s="1"/>
  <c r="T411" i="17" s="1"/>
  <c r="M410" i="17"/>
  <c r="L410" i="17"/>
  <c r="K410" i="17"/>
  <c r="I410" i="17"/>
  <c r="N410" i="17" s="1"/>
  <c r="H410" i="17"/>
  <c r="S410" i="17" s="1"/>
  <c r="T410" i="17" s="1"/>
  <c r="D410" i="17"/>
  <c r="AL409" i="17"/>
  <c r="AJ409" i="17"/>
  <c r="AF409" i="17"/>
  <c r="AE409" i="17"/>
  <c r="AD409" i="17"/>
  <c r="AC409" i="17"/>
  <c r="AB409" i="17"/>
  <c r="AA409" i="17"/>
  <c r="Y409" i="17"/>
  <c r="X409" i="17"/>
  <c r="W409" i="17"/>
  <c r="V409" i="17"/>
  <c r="U409" i="17"/>
  <c r="R409" i="17"/>
  <c r="N409" i="17"/>
  <c r="M409" i="17"/>
  <c r="L409" i="17"/>
  <c r="K409" i="17"/>
  <c r="I409" i="17"/>
  <c r="H409" i="17"/>
  <c r="S409" i="17" s="1"/>
  <c r="T409" i="17" s="1"/>
  <c r="D409" i="17"/>
  <c r="AL408" i="17"/>
  <c r="AJ408" i="17"/>
  <c r="AF408" i="17"/>
  <c r="AE408" i="17"/>
  <c r="AD408" i="17"/>
  <c r="AC408" i="17"/>
  <c r="AB408" i="17"/>
  <c r="AA408" i="17"/>
  <c r="Y408" i="17"/>
  <c r="X408" i="17"/>
  <c r="W408" i="17"/>
  <c r="V408" i="17"/>
  <c r="U408" i="17"/>
  <c r="R408" i="17"/>
  <c r="M408" i="17"/>
  <c r="L408" i="17"/>
  <c r="K408" i="17"/>
  <c r="I408" i="17"/>
  <c r="H408" i="17"/>
  <c r="D408" i="17"/>
  <c r="N408" i="17" s="1"/>
  <c r="AL407" i="17"/>
  <c r="AJ407" i="17"/>
  <c r="AF407" i="17"/>
  <c r="AE407" i="17"/>
  <c r="AD407" i="17"/>
  <c r="AC407" i="17"/>
  <c r="AB407" i="17"/>
  <c r="AA407" i="17"/>
  <c r="Y407" i="17"/>
  <c r="X407" i="17"/>
  <c r="W407" i="17"/>
  <c r="V407" i="17"/>
  <c r="U407" i="17"/>
  <c r="R407" i="17"/>
  <c r="S407" i="17" s="1"/>
  <c r="T407" i="17" s="1"/>
  <c r="M407" i="17"/>
  <c r="L407" i="17"/>
  <c r="K407" i="17"/>
  <c r="I407" i="17"/>
  <c r="H407" i="17"/>
  <c r="D407" i="17"/>
  <c r="N407" i="17" s="1"/>
  <c r="AL406" i="17"/>
  <c r="AJ406" i="17"/>
  <c r="AF406" i="17"/>
  <c r="AE406" i="17"/>
  <c r="AD406" i="17"/>
  <c r="AC406" i="17"/>
  <c r="AB406" i="17"/>
  <c r="AA406" i="17"/>
  <c r="Y406" i="17"/>
  <c r="X406" i="17"/>
  <c r="W406" i="17"/>
  <c r="V406" i="17"/>
  <c r="U406" i="17"/>
  <c r="R406" i="17"/>
  <c r="N406" i="17"/>
  <c r="M406" i="17"/>
  <c r="L406" i="17"/>
  <c r="K406" i="17"/>
  <c r="I406" i="17"/>
  <c r="H406" i="17"/>
  <c r="S406" i="17" s="1"/>
  <c r="T406" i="17" s="1"/>
  <c r="D406" i="17"/>
  <c r="AL405" i="17"/>
  <c r="AJ405" i="17"/>
  <c r="AF405" i="17"/>
  <c r="AE405" i="17"/>
  <c r="AD405" i="17"/>
  <c r="AC405" i="17"/>
  <c r="AB405" i="17"/>
  <c r="AA405" i="17"/>
  <c r="Y405" i="17"/>
  <c r="X405" i="17"/>
  <c r="W405" i="17"/>
  <c r="V405" i="17"/>
  <c r="U405" i="17"/>
  <c r="R405" i="17"/>
  <c r="M405" i="17"/>
  <c r="L405" i="17"/>
  <c r="K405" i="17"/>
  <c r="I405" i="17"/>
  <c r="H405" i="17"/>
  <c r="D405" i="17"/>
  <c r="N405" i="17" s="1"/>
  <c r="AL404" i="17"/>
  <c r="AJ404" i="17"/>
  <c r="AF404" i="17"/>
  <c r="AE404" i="17"/>
  <c r="AD404" i="17"/>
  <c r="AC404" i="17"/>
  <c r="AB404" i="17"/>
  <c r="AA404" i="17"/>
  <c r="Y404" i="17"/>
  <c r="X404" i="17"/>
  <c r="W404" i="17"/>
  <c r="V404" i="17"/>
  <c r="U404" i="17"/>
  <c r="R404" i="17"/>
  <c r="S405" i="17" s="1"/>
  <c r="T405" i="17" s="1"/>
  <c r="M404" i="17"/>
  <c r="L404" i="17"/>
  <c r="K404" i="17"/>
  <c r="I404" i="17"/>
  <c r="H404" i="17"/>
  <c r="S404" i="17" s="1"/>
  <c r="T404" i="17" s="1"/>
  <c r="D404" i="17"/>
  <c r="N404" i="17" s="1"/>
  <c r="AL403" i="17"/>
  <c r="AJ403" i="17"/>
  <c r="AF403" i="17"/>
  <c r="AE403" i="17"/>
  <c r="AD403" i="17"/>
  <c r="AC403" i="17"/>
  <c r="AB403" i="17"/>
  <c r="AA403" i="17"/>
  <c r="Y403" i="17"/>
  <c r="X403" i="17"/>
  <c r="W403" i="17"/>
  <c r="V403" i="17"/>
  <c r="U403" i="17"/>
  <c r="R403" i="17"/>
  <c r="N403" i="17"/>
  <c r="M403" i="17"/>
  <c r="L403" i="17"/>
  <c r="K403" i="17"/>
  <c r="I403" i="17"/>
  <c r="H403" i="17"/>
  <c r="D403" i="17"/>
  <c r="AL402" i="17"/>
  <c r="AJ402" i="17"/>
  <c r="AF402" i="17"/>
  <c r="AE402" i="17"/>
  <c r="AD402" i="17"/>
  <c r="AC402" i="17"/>
  <c r="AB402" i="17"/>
  <c r="AA402" i="17"/>
  <c r="Y402" i="17"/>
  <c r="X402" i="17"/>
  <c r="W402" i="17"/>
  <c r="V402" i="17"/>
  <c r="U402" i="17"/>
  <c r="R402" i="17"/>
  <c r="S403" i="17" s="1"/>
  <c r="T403" i="17" s="1"/>
  <c r="M402" i="17"/>
  <c r="L402" i="17"/>
  <c r="K402" i="17"/>
  <c r="I402" i="17"/>
  <c r="N402" i="17" s="1"/>
  <c r="H402" i="17"/>
  <c r="S402" i="17" s="1"/>
  <c r="T402" i="17" s="1"/>
  <c r="D402" i="17"/>
  <c r="AL401" i="17"/>
  <c r="AJ401" i="17"/>
  <c r="AF401" i="17"/>
  <c r="AE401" i="17"/>
  <c r="AD401" i="17"/>
  <c r="AC401" i="17"/>
  <c r="AB401" i="17"/>
  <c r="AA401" i="17"/>
  <c r="Y401" i="17"/>
  <c r="X401" i="17"/>
  <c r="W401" i="17"/>
  <c r="V401" i="17"/>
  <c r="U401" i="17"/>
  <c r="R401" i="17"/>
  <c r="N401" i="17"/>
  <c r="M401" i="17"/>
  <c r="L401" i="17"/>
  <c r="K401" i="17"/>
  <c r="I401" i="17"/>
  <c r="H401" i="17"/>
  <c r="S401" i="17" s="1"/>
  <c r="T401" i="17" s="1"/>
  <c r="D401" i="17"/>
  <c r="AL400" i="17"/>
  <c r="AJ400" i="17"/>
  <c r="AF400" i="17"/>
  <c r="AE400" i="17"/>
  <c r="AD400" i="17"/>
  <c r="AC400" i="17"/>
  <c r="AB400" i="17"/>
  <c r="AA400" i="17"/>
  <c r="Y400" i="17"/>
  <c r="X400" i="17"/>
  <c r="W400" i="17"/>
  <c r="V400" i="17"/>
  <c r="U400" i="17"/>
  <c r="R400" i="17"/>
  <c r="M400" i="17"/>
  <c r="L400" i="17"/>
  <c r="K400" i="17"/>
  <c r="I400" i="17"/>
  <c r="H400" i="17"/>
  <c r="D400" i="17"/>
  <c r="N400" i="17" s="1"/>
  <c r="AL399" i="17"/>
  <c r="AJ399" i="17"/>
  <c r="AF399" i="17"/>
  <c r="AE399" i="17"/>
  <c r="AD399" i="17"/>
  <c r="AC399" i="17"/>
  <c r="AB399" i="17"/>
  <c r="AA399" i="17"/>
  <c r="Y399" i="17"/>
  <c r="X399" i="17"/>
  <c r="W399" i="17"/>
  <c r="V399" i="17"/>
  <c r="U399" i="17"/>
  <c r="R399" i="17"/>
  <c r="S399" i="17" s="1"/>
  <c r="T399" i="17" s="1"/>
  <c r="M399" i="17"/>
  <c r="L399" i="17"/>
  <c r="K399" i="17"/>
  <c r="I399" i="17"/>
  <c r="H399" i="17"/>
  <c r="D399" i="17"/>
  <c r="N399" i="17" s="1"/>
  <c r="AL398" i="17"/>
  <c r="AJ398" i="17"/>
  <c r="AF398" i="17"/>
  <c r="AE398" i="17"/>
  <c r="AD398" i="17"/>
  <c r="AC398" i="17"/>
  <c r="AB398" i="17"/>
  <c r="AA398" i="17"/>
  <c r="Y398" i="17"/>
  <c r="X398" i="17"/>
  <c r="W398" i="17"/>
  <c r="V398" i="17"/>
  <c r="U398" i="17"/>
  <c r="R398" i="17"/>
  <c r="N398" i="17"/>
  <c r="M398" i="17"/>
  <c r="L398" i="17"/>
  <c r="K398" i="17"/>
  <c r="I398" i="17"/>
  <c r="H398" i="17"/>
  <c r="S398" i="17" s="1"/>
  <c r="T398" i="17" s="1"/>
  <c r="D398" i="17"/>
  <c r="AL397" i="17"/>
  <c r="AJ397" i="17"/>
  <c r="AF397" i="17"/>
  <c r="AE397" i="17"/>
  <c r="AD397" i="17"/>
  <c r="AC397" i="17"/>
  <c r="AB397" i="17"/>
  <c r="AA397" i="17"/>
  <c r="Y397" i="17"/>
  <c r="X397" i="17"/>
  <c r="W397" i="17"/>
  <c r="V397" i="17"/>
  <c r="U397" i="17"/>
  <c r="R397" i="17"/>
  <c r="M397" i="17"/>
  <c r="L397" i="17"/>
  <c r="K397" i="17"/>
  <c r="I397" i="17"/>
  <c r="H397" i="17"/>
  <c r="D397" i="17"/>
  <c r="N397" i="17" s="1"/>
  <c r="AL396" i="17"/>
  <c r="AJ396" i="17"/>
  <c r="AF396" i="17"/>
  <c r="AE396" i="17"/>
  <c r="AD396" i="17"/>
  <c r="AC396" i="17"/>
  <c r="AB396" i="17"/>
  <c r="AA396" i="17"/>
  <c r="Y396" i="17"/>
  <c r="X396" i="17"/>
  <c r="W396" i="17"/>
  <c r="V396" i="17"/>
  <c r="U396" i="17"/>
  <c r="R396" i="17"/>
  <c r="S397" i="17" s="1"/>
  <c r="T397" i="17" s="1"/>
  <c r="M396" i="17"/>
  <c r="L396" i="17"/>
  <c r="K396" i="17"/>
  <c r="I396" i="17"/>
  <c r="H396" i="17"/>
  <c r="S396" i="17" s="1"/>
  <c r="T396" i="17" s="1"/>
  <c r="D396" i="17"/>
  <c r="N396" i="17" s="1"/>
  <c r="AL395" i="17"/>
  <c r="AJ395" i="17"/>
  <c r="AF395" i="17"/>
  <c r="AE395" i="17"/>
  <c r="AD395" i="17"/>
  <c r="AC395" i="17"/>
  <c r="AB395" i="17"/>
  <c r="AA395" i="17"/>
  <c r="Y395" i="17"/>
  <c r="X395" i="17"/>
  <c r="W395" i="17"/>
  <c r="V395" i="17"/>
  <c r="U395" i="17"/>
  <c r="R395" i="17"/>
  <c r="N395" i="17"/>
  <c r="M395" i="17"/>
  <c r="L395" i="17"/>
  <c r="K395" i="17"/>
  <c r="I395" i="17"/>
  <c r="H395" i="17"/>
  <c r="D395" i="17"/>
  <c r="AL394" i="17"/>
  <c r="AJ394" i="17"/>
  <c r="AF394" i="17"/>
  <c r="AE394" i="17"/>
  <c r="AD394" i="17"/>
  <c r="AC394" i="17"/>
  <c r="AB394" i="17"/>
  <c r="AA394" i="17"/>
  <c r="Y394" i="17"/>
  <c r="X394" i="17"/>
  <c r="W394" i="17"/>
  <c r="V394" i="17"/>
  <c r="U394" i="17"/>
  <c r="R394" i="17"/>
  <c r="S395" i="17" s="1"/>
  <c r="T395" i="17" s="1"/>
  <c r="M394" i="17"/>
  <c r="L394" i="17"/>
  <c r="K394" i="17"/>
  <c r="I394" i="17"/>
  <c r="N394" i="17" s="1"/>
  <c r="H394" i="17"/>
  <c r="S394" i="17" s="1"/>
  <c r="T394" i="17" s="1"/>
  <c r="D394" i="17"/>
  <c r="AL393" i="17"/>
  <c r="AJ393" i="17"/>
  <c r="AF393" i="17"/>
  <c r="AE393" i="17"/>
  <c r="AD393" i="17"/>
  <c r="AC393" i="17"/>
  <c r="AB393" i="17"/>
  <c r="AA393" i="17"/>
  <c r="Y393" i="17"/>
  <c r="X393" i="17"/>
  <c r="W393" i="17"/>
  <c r="V393" i="17"/>
  <c r="U393" i="17"/>
  <c r="R393" i="17"/>
  <c r="N393" i="17"/>
  <c r="M393" i="17"/>
  <c r="L393" i="17"/>
  <c r="K393" i="17"/>
  <c r="I393" i="17"/>
  <c r="H393" i="17"/>
  <c r="S393" i="17" s="1"/>
  <c r="T393" i="17" s="1"/>
  <c r="D393" i="17"/>
  <c r="AL392" i="17"/>
  <c r="AJ392" i="17"/>
  <c r="AF392" i="17"/>
  <c r="AE392" i="17"/>
  <c r="AD392" i="17"/>
  <c r="AC392" i="17"/>
  <c r="AB392" i="17"/>
  <c r="AA392" i="17"/>
  <c r="Y392" i="17"/>
  <c r="X392" i="17"/>
  <c r="W392" i="17"/>
  <c r="V392" i="17"/>
  <c r="U392" i="17"/>
  <c r="R392" i="17"/>
  <c r="M392" i="17"/>
  <c r="L392" i="17"/>
  <c r="K392" i="17"/>
  <c r="I392" i="17"/>
  <c r="H392" i="17"/>
  <c r="D392" i="17"/>
  <c r="N392" i="17" s="1"/>
  <c r="AL391" i="17"/>
  <c r="AJ391" i="17"/>
  <c r="AF391" i="17"/>
  <c r="AE391" i="17"/>
  <c r="AD391" i="17"/>
  <c r="AC391" i="17"/>
  <c r="AB391" i="17"/>
  <c r="AA391" i="17"/>
  <c r="Y391" i="17"/>
  <c r="X391" i="17"/>
  <c r="W391" i="17"/>
  <c r="V391" i="17"/>
  <c r="U391" i="17"/>
  <c r="R391" i="17"/>
  <c r="S391" i="17" s="1"/>
  <c r="T391" i="17" s="1"/>
  <c r="M391" i="17"/>
  <c r="L391" i="17"/>
  <c r="K391" i="17"/>
  <c r="I391" i="17"/>
  <c r="H391" i="17"/>
  <c r="D391" i="17"/>
  <c r="N391" i="17" s="1"/>
  <c r="AL390" i="17"/>
  <c r="AJ390" i="17"/>
  <c r="AF390" i="17"/>
  <c r="AE390" i="17"/>
  <c r="AD390" i="17"/>
  <c r="AC390" i="17"/>
  <c r="AB390" i="17"/>
  <c r="AA390" i="17"/>
  <c r="Y390" i="17"/>
  <c r="X390" i="17"/>
  <c r="W390" i="17"/>
  <c r="V390" i="17"/>
  <c r="U390" i="17"/>
  <c r="R390" i="17"/>
  <c r="N390" i="17"/>
  <c r="M390" i="17"/>
  <c r="L390" i="17"/>
  <c r="K390" i="17"/>
  <c r="I390" i="17"/>
  <c r="H390" i="17"/>
  <c r="S390" i="17" s="1"/>
  <c r="T390" i="17" s="1"/>
  <c r="D390" i="17"/>
  <c r="AL389" i="17"/>
  <c r="AJ389" i="17"/>
  <c r="AF389" i="17"/>
  <c r="AE389" i="17"/>
  <c r="AD389" i="17"/>
  <c r="AC389" i="17"/>
  <c r="AB389" i="17"/>
  <c r="AA389" i="17"/>
  <c r="Y389" i="17"/>
  <c r="X389" i="17"/>
  <c r="W389" i="17"/>
  <c r="V389" i="17"/>
  <c r="U389" i="17"/>
  <c r="R389" i="17"/>
  <c r="M389" i="17"/>
  <c r="L389" i="17"/>
  <c r="K389" i="17"/>
  <c r="I389" i="17"/>
  <c r="H389" i="17"/>
  <c r="D389" i="17"/>
  <c r="N389" i="17" s="1"/>
  <c r="AL388" i="17"/>
  <c r="AJ388" i="17"/>
  <c r="AF388" i="17"/>
  <c r="AE388" i="17"/>
  <c r="AD388" i="17"/>
  <c r="AC388" i="17"/>
  <c r="AB388" i="17"/>
  <c r="AA388" i="17"/>
  <c r="Y388" i="17"/>
  <c r="X388" i="17"/>
  <c r="W388" i="17"/>
  <c r="V388" i="17"/>
  <c r="U388" i="17"/>
  <c r="R388" i="17"/>
  <c r="S389" i="17" s="1"/>
  <c r="T389" i="17" s="1"/>
  <c r="M388" i="17"/>
  <c r="L388" i="17"/>
  <c r="K388" i="17"/>
  <c r="I388" i="17"/>
  <c r="H388" i="17"/>
  <c r="S388" i="17" s="1"/>
  <c r="T388" i="17" s="1"/>
  <c r="D388" i="17"/>
  <c r="N388" i="17" s="1"/>
  <c r="AL387" i="17"/>
  <c r="AJ387" i="17"/>
  <c r="AF387" i="17"/>
  <c r="AE387" i="17"/>
  <c r="AD387" i="17"/>
  <c r="AC387" i="17"/>
  <c r="AB387" i="17"/>
  <c r="AA387" i="17"/>
  <c r="Y387" i="17"/>
  <c r="X387" i="17"/>
  <c r="W387" i="17"/>
  <c r="V387" i="17"/>
  <c r="U387" i="17"/>
  <c r="R387" i="17"/>
  <c r="N387" i="17"/>
  <c r="M387" i="17"/>
  <c r="L387" i="17"/>
  <c r="K387" i="17"/>
  <c r="I387" i="17"/>
  <c r="H387" i="17"/>
  <c r="D387" i="17"/>
  <c r="AL386" i="17"/>
  <c r="AJ386" i="17"/>
  <c r="AF386" i="17"/>
  <c r="AE386" i="17"/>
  <c r="AD386" i="17"/>
  <c r="AC386" i="17"/>
  <c r="AB386" i="17"/>
  <c r="AA386" i="17"/>
  <c r="Y386" i="17"/>
  <c r="X386" i="17"/>
  <c r="W386" i="17"/>
  <c r="V386" i="17"/>
  <c r="U386" i="17"/>
  <c r="R386" i="17"/>
  <c r="S387" i="17" s="1"/>
  <c r="T387" i="17" s="1"/>
  <c r="M386" i="17"/>
  <c r="L386" i="17"/>
  <c r="K386" i="17"/>
  <c r="I386" i="17"/>
  <c r="H386" i="17"/>
  <c r="S386" i="17" s="1"/>
  <c r="T386" i="17" s="1"/>
  <c r="AL385" i="17"/>
  <c r="AJ385" i="17"/>
  <c r="AF385" i="17"/>
  <c r="AE385" i="17"/>
  <c r="AD385" i="17"/>
  <c r="AC385" i="17"/>
  <c r="AB385" i="17"/>
  <c r="Y385" i="17"/>
  <c r="W385" i="17"/>
  <c r="V385" i="17"/>
  <c r="U385" i="17"/>
  <c r="R385" i="17"/>
  <c r="L385" i="17"/>
  <c r="I385" i="17"/>
  <c r="H385" i="17"/>
  <c r="S385" i="17" s="1"/>
  <c r="T385" i="17" s="1"/>
  <c r="E385" i="17"/>
  <c r="K385" i="17" s="1"/>
  <c r="AL384" i="17"/>
  <c r="AJ384" i="17"/>
  <c r="AF384" i="17"/>
  <c r="AE384" i="17"/>
  <c r="AD384" i="17"/>
  <c r="AC384" i="17"/>
  <c r="AB384" i="17"/>
  <c r="AA384" i="17"/>
  <c r="Y384" i="17"/>
  <c r="X384" i="17"/>
  <c r="W384" i="17"/>
  <c r="V384" i="17"/>
  <c r="U384" i="17"/>
  <c r="R384" i="17"/>
  <c r="N384" i="17"/>
  <c r="M384" i="17"/>
  <c r="L384" i="17"/>
  <c r="K384" i="17"/>
  <c r="I384" i="17"/>
  <c r="H384" i="17"/>
  <c r="S384" i="17" s="1"/>
  <c r="T384" i="17" s="1"/>
  <c r="D384" i="17"/>
  <c r="AL383" i="17"/>
  <c r="AJ383" i="17"/>
  <c r="AF383" i="17"/>
  <c r="AE383" i="17"/>
  <c r="AD383" i="17"/>
  <c r="AC383" i="17"/>
  <c r="AB383" i="17"/>
  <c r="AA383" i="17"/>
  <c r="Y383" i="17"/>
  <c r="X383" i="17"/>
  <c r="W383" i="17"/>
  <c r="V383" i="17"/>
  <c r="U383" i="17"/>
  <c r="R383" i="17"/>
  <c r="M383" i="17"/>
  <c r="L383" i="17"/>
  <c r="K383" i="17"/>
  <c r="I383" i="17"/>
  <c r="H383" i="17"/>
  <c r="D383" i="17"/>
  <c r="N383" i="17" s="1"/>
  <c r="AL382" i="17"/>
  <c r="AJ382" i="17"/>
  <c r="AF382" i="17"/>
  <c r="AE382" i="17"/>
  <c r="AD382" i="17"/>
  <c r="AC382" i="17"/>
  <c r="AB382" i="17"/>
  <c r="AA382" i="17"/>
  <c r="Y382" i="17"/>
  <c r="X382" i="17"/>
  <c r="W382" i="17"/>
  <c r="V382" i="17"/>
  <c r="U382" i="17"/>
  <c r="R382" i="17"/>
  <c r="S382" i="17" s="1"/>
  <c r="T382" i="17" s="1"/>
  <c r="M382" i="17"/>
  <c r="L382" i="17"/>
  <c r="K382" i="17"/>
  <c r="I382" i="17"/>
  <c r="H382" i="17"/>
  <c r="D382" i="17"/>
  <c r="N382" i="17" s="1"/>
  <c r="AL381" i="17"/>
  <c r="AJ381" i="17"/>
  <c r="AF381" i="17"/>
  <c r="AE381" i="17"/>
  <c r="AD381" i="17"/>
  <c r="AC381" i="17"/>
  <c r="AB381" i="17"/>
  <c r="AA381" i="17"/>
  <c r="Y381" i="17"/>
  <c r="X381" i="17"/>
  <c r="W381" i="17"/>
  <c r="V381" i="17"/>
  <c r="U381" i="17"/>
  <c r="R381" i="17"/>
  <c r="N381" i="17"/>
  <c r="M381" i="17"/>
  <c r="L381" i="17"/>
  <c r="K381" i="17"/>
  <c r="I381" i="17"/>
  <c r="H381" i="17"/>
  <c r="S381" i="17" s="1"/>
  <c r="T381" i="17" s="1"/>
  <c r="D381" i="17"/>
  <c r="AL380" i="17"/>
  <c r="AJ380" i="17"/>
  <c r="AF380" i="17"/>
  <c r="AE380" i="17"/>
  <c r="AD380" i="17"/>
  <c r="AC380" i="17"/>
  <c r="AB380" i="17"/>
  <c r="AA380" i="17"/>
  <c r="Y380" i="17"/>
  <c r="X380" i="17"/>
  <c r="W380" i="17"/>
  <c r="V380" i="17"/>
  <c r="U380" i="17"/>
  <c r="R380" i="17"/>
  <c r="M380" i="17"/>
  <c r="L380" i="17"/>
  <c r="K380" i="17"/>
  <c r="I380" i="17"/>
  <c r="H380" i="17"/>
  <c r="D380" i="17"/>
  <c r="N380" i="17" s="1"/>
  <c r="AL379" i="17"/>
  <c r="AJ379" i="17"/>
  <c r="AF379" i="17"/>
  <c r="AE379" i="17"/>
  <c r="AD379" i="17"/>
  <c r="AC379" i="17"/>
  <c r="AB379" i="17"/>
  <c r="AA379" i="17"/>
  <c r="Y379" i="17"/>
  <c r="X379" i="17"/>
  <c r="W379" i="17"/>
  <c r="V379" i="17"/>
  <c r="U379" i="17"/>
  <c r="R379" i="17"/>
  <c r="S380" i="17" s="1"/>
  <c r="T380" i="17" s="1"/>
  <c r="M379" i="17"/>
  <c r="L379" i="17"/>
  <c r="K379" i="17"/>
  <c r="I379" i="17"/>
  <c r="H379" i="17"/>
  <c r="S379" i="17" s="1"/>
  <c r="T379" i="17" s="1"/>
  <c r="D379" i="17"/>
  <c r="N379" i="17" s="1"/>
  <c r="AL378" i="17"/>
  <c r="AJ378" i="17"/>
  <c r="AF378" i="17"/>
  <c r="AE378" i="17"/>
  <c r="AD378" i="17"/>
  <c r="AC378" i="17"/>
  <c r="AB378" i="17"/>
  <c r="AA378" i="17"/>
  <c r="Y378" i="17"/>
  <c r="X378" i="17"/>
  <c r="W378" i="17"/>
  <c r="V378" i="17"/>
  <c r="U378" i="17"/>
  <c r="R378" i="17"/>
  <c r="N378" i="17"/>
  <c r="M378" i="17"/>
  <c r="L378" i="17"/>
  <c r="K378" i="17"/>
  <c r="I378" i="17"/>
  <c r="H378" i="17"/>
  <c r="D378" i="17"/>
  <c r="AL377" i="17"/>
  <c r="AJ377" i="17"/>
  <c r="AF377" i="17"/>
  <c r="AE377" i="17"/>
  <c r="AD377" i="17"/>
  <c r="AC377" i="17"/>
  <c r="AB377" i="17"/>
  <c r="AA377" i="17"/>
  <c r="Y377" i="17"/>
  <c r="X377" i="17"/>
  <c r="W377" i="17"/>
  <c r="V377" i="17"/>
  <c r="U377" i="17"/>
  <c r="R377" i="17"/>
  <c r="S378" i="17" s="1"/>
  <c r="T378" i="17" s="1"/>
  <c r="M377" i="17"/>
  <c r="L377" i="17"/>
  <c r="K377" i="17"/>
  <c r="I377" i="17"/>
  <c r="N377" i="17" s="1"/>
  <c r="H377" i="17"/>
  <c r="S377" i="17" s="1"/>
  <c r="T377" i="17" s="1"/>
  <c r="D377" i="17"/>
  <c r="AL376" i="17"/>
  <c r="AJ376" i="17"/>
  <c r="AF376" i="17"/>
  <c r="AE376" i="17"/>
  <c r="AD376" i="17"/>
  <c r="AC376" i="17"/>
  <c r="AB376" i="17"/>
  <c r="AA376" i="17"/>
  <c r="Y376" i="17"/>
  <c r="X376" i="17"/>
  <c r="W376" i="17"/>
  <c r="V376" i="17"/>
  <c r="U376" i="17"/>
  <c r="R376" i="17"/>
  <c r="N376" i="17"/>
  <c r="M376" i="17"/>
  <c r="L376" i="17"/>
  <c r="K376" i="17"/>
  <c r="I376" i="17"/>
  <c r="H376" i="17"/>
  <c r="S376" i="17" s="1"/>
  <c r="T376" i="17" s="1"/>
  <c r="D376" i="17"/>
  <c r="AL375" i="17"/>
  <c r="AJ375" i="17"/>
  <c r="AF375" i="17"/>
  <c r="AE375" i="17"/>
  <c r="AD375" i="17"/>
  <c r="AC375" i="17"/>
  <c r="AB375" i="17"/>
  <c r="AA375" i="17"/>
  <c r="Y375" i="17"/>
  <c r="X375" i="17"/>
  <c r="W375" i="17"/>
  <c r="V375" i="17"/>
  <c r="U375" i="17"/>
  <c r="R375" i="17"/>
  <c r="M375" i="17"/>
  <c r="L375" i="17"/>
  <c r="K375" i="17"/>
  <c r="I375" i="17"/>
  <c r="H375" i="17"/>
  <c r="D375" i="17"/>
  <c r="N375" i="17" s="1"/>
  <c r="AL374" i="17"/>
  <c r="AJ374" i="17"/>
  <c r="AF374" i="17"/>
  <c r="AE374" i="17"/>
  <c r="AD374" i="17"/>
  <c r="AC374" i="17"/>
  <c r="AB374" i="17"/>
  <c r="AA374" i="17"/>
  <c r="Y374" i="17"/>
  <c r="X374" i="17"/>
  <c r="W374" i="17"/>
  <c r="V374" i="17"/>
  <c r="U374" i="17"/>
  <c r="R374" i="17"/>
  <c r="S374" i="17" s="1"/>
  <c r="T374" i="17" s="1"/>
  <c r="M374" i="17"/>
  <c r="L374" i="17"/>
  <c r="K374" i="17"/>
  <c r="I374" i="17"/>
  <c r="H374" i="17"/>
  <c r="D374" i="17"/>
  <c r="N374" i="17" s="1"/>
  <c r="AL373" i="17"/>
  <c r="AJ373" i="17"/>
  <c r="AF373" i="17"/>
  <c r="AE373" i="17"/>
  <c r="AD373" i="17"/>
  <c r="AC373" i="17"/>
  <c r="AB373" i="17"/>
  <c r="AA373" i="17"/>
  <c r="Y373" i="17"/>
  <c r="X373" i="17"/>
  <c r="W373" i="17"/>
  <c r="V373" i="17"/>
  <c r="U373" i="17"/>
  <c r="R373" i="17"/>
  <c r="N373" i="17"/>
  <c r="M373" i="17"/>
  <c r="L373" i="17"/>
  <c r="K373" i="17"/>
  <c r="I373" i="17"/>
  <c r="H373" i="17"/>
  <c r="S373" i="17" s="1"/>
  <c r="T373" i="17" s="1"/>
  <c r="D373" i="17"/>
  <c r="AL372" i="17"/>
  <c r="AJ372" i="17"/>
  <c r="AF372" i="17"/>
  <c r="AE372" i="17"/>
  <c r="AD372" i="17"/>
  <c r="AC372" i="17"/>
  <c r="AB372" i="17"/>
  <c r="AA372" i="17"/>
  <c r="Y372" i="17"/>
  <c r="X372" i="17"/>
  <c r="W372" i="17"/>
  <c r="V372" i="17"/>
  <c r="U372" i="17"/>
  <c r="R372" i="17"/>
  <c r="M372" i="17"/>
  <c r="L372" i="17"/>
  <c r="K372" i="17"/>
  <c r="I372" i="17"/>
  <c r="H372" i="17"/>
  <c r="D372" i="17"/>
  <c r="N372" i="17" s="1"/>
  <c r="AL371" i="17"/>
  <c r="AJ371" i="17"/>
  <c r="AF371" i="17"/>
  <c r="AE371" i="17"/>
  <c r="AD371" i="17"/>
  <c r="AC371" i="17"/>
  <c r="AB371" i="17"/>
  <c r="AA371" i="17"/>
  <c r="Y371" i="17"/>
  <c r="X371" i="17"/>
  <c r="W371" i="17"/>
  <c r="V371" i="17"/>
  <c r="U371" i="17"/>
  <c r="R371" i="17"/>
  <c r="S372" i="17" s="1"/>
  <c r="T372" i="17" s="1"/>
  <c r="M371" i="17"/>
  <c r="L371" i="17"/>
  <c r="K371" i="17"/>
  <c r="I371" i="17"/>
  <c r="H371" i="17"/>
  <c r="S371" i="17" s="1"/>
  <c r="T371" i="17" s="1"/>
  <c r="D371" i="17"/>
  <c r="N371" i="17" s="1"/>
  <c r="AL370" i="17"/>
  <c r="AJ370" i="17"/>
  <c r="AF370" i="17"/>
  <c r="AE370" i="17"/>
  <c r="AD370" i="17"/>
  <c r="AC370" i="17"/>
  <c r="AB370" i="17"/>
  <c r="AA370" i="17"/>
  <c r="Y370" i="17"/>
  <c r="X370" i="17"/>
  <c r="W370" i="17"/>
  <c r="V370" i="17"/>
  <c r="U370" i="17"/>
  <c r="R370" i="17"/>
  <c r="N370" i="17"/>
  <c r="M370" i="17"/>
  <c r="L370" i="17"/>
  <c r="K370" i="17"/>
  <c r="I370" i="17"/>
  <c r="H370" i="17"/>
  <c r="D370" i="17"/>
  <c r="AL369" i="17"/>
  <c r="AJ369" i="17"/>
  <c r="AF369" i="17"/>
  <c r="AE369" i="17"/>
  <c r="AD369" i="17"/>
  <c r="AC369" i="17"/>
  <c r="AB369" i="17"/>
  <c r="AA369" i="17"/>
  <c r="Y369" i="17"/>
  <c r="X369" i="17"/>
  <c r="W369" i="17"/>
  <c r="V369" i="17"/>
  <c r="U369" i="17"/>
  <c r="R369" i="17"/>
  <c r="S370" i="17" s="1"/>
  <c r="T370" i="17" s="1"/>
  <c r="M369" i="17"/>
  <c r="L369" i="17"/>
  <c r="K369" i="17"/>
  <c r="I369" i="17"/>
  <c r="N369" i="17" s="1"/>
  <c r="H369" i="17"/>
  <c r="S369" i="17" s="1"/>
  <c r="T369" i="17" s="1"/>
  <c r="D369" i="17"/>
  <c r="AL368" i="17"/>
  <c r="AJ368" i="17"/>
  <c r="AF368" i="17"/>
  <c r="AE368" i="17"/>
  <c r="AD368" i="17"/>
  <c r="AC368" i="17"/>
  <c r="AB368" i="17"/>
  <c r="AA368" i="17"/>
  <c r="Y368" i="17"/>
  <c r="X368" i="17"/>
  <c r="W368" i="17"/>
  <c r="V368" i="17"/>
  <c r="U368" i="17"/>
  <c r="R368" i="17"/>
  <c r="N368" i="17"/>
  <c r="M368" i="17"/>
  <c r="L368" i="17"/>
  <c r="K368" i="17"/>
  <c r="I368" i="17"/>
  <c r="H368" i="17"/>
  <c r="S368" i="17" s="1"/>
  <c r="T368" i="17" s="1"/>
  <c r="D368" i="17"/>
  <c r="AL367" i="17"/>
  <c r="AJ367" i="17"/>
  <c r="AF367" i="17"/>
  <c r="AE367" i="17"/>
  <c r="AD367" i="17"/>
  <c r="AC367" i="17"/>
  <c r="AB367" i="17"/>
  <c r="AA367" i="17"/>
  <c r="Y367" i="17"/>
  <c r="X367" i="17"/>
  <c r="W367" i="17"/>
  <c r="V367" i="17"/>
  <c r="U367" i="17"/>
  <c r="R367" i="17"/>
  <c r="M367" i="17"/>
  <c r="L367" i="17"/>
  <c r="K367" i="17"/>
  <c r="I367" i="17"/>
  <c r="H367" i="17"/>
  <c r="D367" i="17"/>
  <c r="N367" i="17" s="1"/>
  <c r="AL366" i="17"/>
  <c r="AJ366" i="17"/>
  <c r="AF366" i="17"/>
  <c r="AE366" i="17"/>
  <c r="AD366" i="17"/>
  <c r="AC366" i="17"/>
  <c r="AB366" i="17"/>
  <c r="AA366" i="17"/>
  <c r="Y366" i="17"/>
  <c r="X366" i="17"/>
  <c r="W366" i="17"/>
  <c r="V366" i="17"/>
  <c r="U366" i="17"/>
  <c r="R366" i="17"/>
  <c r="S366" i="17" s="1"/>
  <c r="T366" i="17" s="1"/>
  <c r="M366" i="17"/>
  <c r="L366" i="17"/>
  <c r="K366" i="17"/>
  <c r="I366" i="17"/>
  <c r="H366" i="17"/>
  <c r="D366" i="17"/>
  <c r="N366" i="17" s="1"/>
  <c r="AL365" i="17"/>
  <c r="AJ365" i="17"/>
  <c r="AF365" i="17"/>
  <c r="AE365" i="17"/>
  <c r="AD365" i="17"/>
  <c r="AC365" i="17"/>
  <c r="AB365" i="17"/>
  <c r="AA365" i="17"/>
  <c r="Y365" i="17"/>
  <c r="X365" i="17"/>
  <c r="W365" i="17"/>
  <c r="V365" i="17"/>
  <c r="U365" i="17"/>
  <c r="R365" i="17"/>
  <c r="N365" i="17"/>
  <c r="M365" i="17"/>
  <c r="L365" i="17"/>
  <c r="K365" i="17"/>
  <c r="I365" i="17"/>
  <c r="H365" i="17"/>
  <c r="S365" i="17" s="1"/>
  <c r="T365" i="17" s="1"/>
  <c r="D365" i="17"/>
  <c r="AL364" i="17"/>
  <c r="AJ364" i="17"/>
  <c r="AF364" i="17"/>
  <c r="AE364" i="17"/>
  <c r="AD364" i="17"/>
  <c r="AC364" i="17"/>
  <c r="AB364" i="17"/>
  <c r="AA364" i="17"/>
  <c r="Y364" i="17"/>
  <c r="X364" i="17"/>
  <c r="W364" i="17"/>
  <c r="V364" i="17"/>
  <c r="U364" i="17"/>
  <c r="R364" i="17"/>
  <c r="M364" i="17"/>
  <c r="L364" i="17"/>
  <c r="K364" i="17"/>
  <c r="I364" i="17"/>
  <c r="H364" i="17"/>
  <c r="D364" i="17"/>
  <c r="N364" i="17" s="1"/>
  <c r="AL363" i="17"/>
  <c r="AJ363" i="17"/>
  <c r="AF363" i="17"/>
  <c r="AE363" i="17"/>
  <c r="AD363" i="17"/>
  <c r="AC363" i="17"/>
  <c r="AB363" i="17"/>
  <c r="AA363" i="17"/>
  <c r="Y363" i="17"/>
  <c r="X363" i="17"/>
  <c r="W363" i="17"/>
  <c r="V363" i="17"/>
  <c r="U363" i="17"/>
  <c r="R363" i="17"/>
  <c r="S364" i="17" s="1"/>
  <c r="T364" i="17" s="1"/>
  <c r="M363" i="17"/>
  <c r="L363" i="17"/>
  <c r="K363" i="17"/>
  <c r="I363" i="17"/>
  <c r="H363" i="17"/>
  <c r="S363" i="17" s="1"/>
  <c r="T363" i="17" s="1"/>
  <c r="D363" i="17"/>
  <c r="N363" i="17" s="1"/>
  <c r="AL362" i="17"/>
  <c r="AJ362" i="17"/>
  <c r="AF362" i="17"/>
  <c r="AE362" i="17"/>
  <c r="AD362" i="17"/>
  <c r="AC362" i="17"/>
  <c r="AB362" i="17"/>
  <c r="AA362" i="17"/>
  <c r="Y362" i="17"/>
  <c r="X362" i="17"/>
  <c r="W362" i="17"/>
  <c r="V362" i="17"/>
  <c r="U362" i="17"/>
  <c r="R362" i="17"/>
  <c r="N362" i="17"/>
  <c r="M362" i="17"/>
  <c r="L362" i="17"/>
  <c r="K362" i="17"/>
  <c r="I362" i="17"/>
  <c r="H362" i="17"/>
  <c r="D362" i="17"/>
  <c r="AL361" i="17"/>
  <c r="AJ361" i="17"/>
  <c r="AF361" i="17"/>
  <c r="AE361" i="17"/>
  <c r="AD361" i="17"/>
  <c r="AC361" i="17"/>
  <c r="AB361" i="17"/>
  <c r="AA361" i="17"/>
  <c r="Y361" i="17"/>
  <c r="X361" i="17"/>
  <c r="W361" i="17"/>
  <c r="V361" i="17"/>
  <c r="U361" i="17"/>
  <c r="R361" i="17"/>
  <c r="S362" i="17" s="1"/>
  <c r="T362" i="17" s="1"/>
  <c r="M361" i="17"/>
  <c r="L361" i="17"/>
  <c r="K361" i="17"/>
  <c r="I361" i="17"/>
  <c r="N361" i="17" s="1"/>
  <c r="H361" i="17"/>
  <c r="S361" i="17" s="1"/>
  <c r="T361" i="17" s="1"/>
  <c r="D361" i="17"/>
  <c r="AL360" i="17"/>
  <c r="AJ360" i="17"/>
  <c r="AF360" i="17"/>
  <c r="AE360" i="17"/>
  <c r="AD360" i="17"/>
  <c r="AC360" i="17"/>
  <c r="AB360" i="17"/>
  <c r="AA360" i="17"/>
  <c r="Y360" i="17"/>
  <c r="X360" i="17"/>
  <c r="W360" i="17"/>
  <c r="V360" i="17"/>
  <c r="U360" i="17"/>
  <c r="R360" i="17"/>
  <c r="N360" i="17"/>
  <c r="M360" i="17"/>
  <c r="L360" i="17"/>
  <c r="K360" i="17"/>
  <c r="I360" i="17"/>
  <c r="H360" i="17"/>
  <c r="S360" i="17" s="1"/>
  <c r="T360" i="17" s="1"/>
  <c r="D360" i="17"/>
  <c r="AL359" i="17"/>
  <c r="AJ359" i="17"/>
  <c r="AF359" i="17"/>
  <c r="AE359" i="17"/>
  <c r="AD359" i="17"/>
  <c r="AC359" i="17"/>
  <c r="AB359" i="17"/>
  <c r="AA359" i="17"/>
  <c r="Y359" i="17"/>
  <c r="X359" i="17"/>
  <c r="W359" i="17"/>
  <c r="V359" i="17"/>
  <c r="U359" i="17"/>
  <c r="R359" i="17"/>
  <c r="M359" i="17"/>
  <c r="L359" i="17"/>
  <c r="K359" i="17"/>
  <c r="I359" i="17"/>
  <c r="H359" i="17"/>
  <c r="D359" i="17"/>
  <c r="N359" i="17" s="1"/>
  <c r="AL358" i="17"/>
  <c r="AJ358" i="17"/>
  <c r="AF358" i="17"/>
  <c r="AE358" i="17"/>
  <c r="AD358" i="17"/>
  <c r="AC358" i="17"/>
  <c r="AB358" i="17"/>
  <c r="AA358" i="17"/>
  <c r="Y358" i="17"/>
  <c r="X358" i="17"/>
  <c r="W358" i="17"/>
  <c r="V358" i="17"/>
  <c r="U358" i="17"/>
  <c r="R358" i="17"/>
  <c r="S358" i="17" s="1"/>
  <c r="T358" i="17" s="1"/>
  <c r="M358" i="17"/>
  <c r="L358" i="17"/>
  <c r="K358" i="17"/>
  <c r="I358" i="17"/>
  <c r="H358" i="17"/>
  <c r="D358" i="17"/>
  <c r="N358" i="17" s="1"/>
  <c r="AL357" i="17"/>
  <c r="AJ357" i="17"/>
  <c r="AF357" i="17"/>
  <c r="AE357" i="17"/>
  <c r="AD357" i="17"/>
  <c r="AC357" i="17"/>
  <c r="AB357" i="17"/>
  <c r="AA357" i="17"/>
  <c r="Y357" i="17"/>
  <c r="X357" i="17"/>
  <c r="W357" i="17"/>
  <c r="V357" i="17"/>
  <c r="U357" i="17"/>
  <c r="R357" i="17"/>
  <c r="N357" i="17"/>
  <c r="M357" i="17"/>
  <c r="L357" i="17"/>
  <c r="K357" i="17"/>
  <c r="I357" i="17"/>
  <c r="H357" i="17"/>
  <c r="S357" i="17" s="1"/>
  <c r="T357" i="17" s="1"/>
  <c r="D357" i="17"/>
  <c r="AL356" i="17"/>
  <c r="AJ356" i="17"/>
  <c r="AF356" i="17"/>
  <c r="AE356" i="17"/>
  <c r="AD356" i="17"/>
  <c r="AC356" i="17"/>
  <c r="AB356" i="17"/>
  <c r="AA356" i="17"/>
  <c r="Y356" i="17"/>
  <c r="X356" i="17"/>
  <c r="W356" i="17"/>
  <c r="V356" i="17"/>
  <c r="U356" i="17"/>
  <c r="R356" i="17"/>
  <c r="M356" i="17"/>
  <c r="L356" i="17"/>
  <c r="K356" i="17"/>
  <c r="I356" i="17"/>
  <c r="H356" i="17"/>
  <c r="D356" i="17"/>
  <c r="N356" i="17" s="1"/>
  <c r="AL355" i="17"/>
  <c r="AJ355" i="17"/>
  <c r="AF355" i="17"/>
  <c r="AE355" i="17"/>
  <c r="AD355" i="17"/>
  <c r="AC355" i="17"/>
  <c r="AB355" i="17"/>
  <c r="AA355" i="17"/>
  <c r="Y355" i="17"/>
  <c r="X355" i="17"/>
  <c r="W355" i="17"/>
  <c r="V355" i="17"/>
  <c r="U355" i="17"/>
  <c r="R355" i="17"/>
  <c r="S356" i="17" s="1"/>
  <c r="T356" i="17" s="1"/>
  <c r="M355" i="17"/>
  <c r="L355" i="17"/>
  <c r="K355" i="17"/>
  <c r="I355" i="17"/>
  <c r="H355" i="17"/>
  <c r="S355" i="17" s="1"/>
  <c r="T355" i="17" s="1"/>
  <c r="D355" i="17"/>
  <c r="N355" i="17" s="1"/>
  <c r="AL354" i="17"/>
  <c r="AJ354" i="17"/>
  <c r="AF354" i="17"/>
  <c r="AE354" i="17"/>
  <c r="AD354" i="17"/>
  <c r="AC354" i="17"/>
  <c r="AB354" i="17"/>
  <c r="AA354" i="17"/>
  <c r="Y354" i="17"/>
  <c r="X354" i="17"/>
  <c r="W354" i="17"/>
  <c r="V354" i="17"/>
  <c r="U354" i="17"/>
  <c r="R354" i="17"/>
  <c r="N354" i="17"/>
  <c r="M354" i="17"/>
  <c r="L354" i="17"/>
  <c r="K354" i="17"/>
  <c r="I354" i="17"/>
  <c r="H354" i="17"/>
  <c r="D354" i="17"/>
  <c r="AL353" i="17"/>
  <c r="AJ353" i="17"/>
  <c r="AF353" i="17"/>
  <c r="AE353" i="17"/>
  <c r="AD353" i="17"/>
  <c r="AC353" i="17"/>
  <c r="AB353" i="17"/>
  <c r="AA353" i="17"/>
  <c r="Y353" i="17"/>
  <c r="X353" i="17"/>
  <c r="W353" i="17"/>
  <c r="V353" i="17"/>
  <c r="U353" i="17"/>
  <c r="R353" i="17"/>
  <c r="S354" i="17" s="1"/>
  <c r="T354" i="17" s="1"/>
  <c r="M353" i="17"/>
  <c r="L353" i="17"/>
  <c r="K353" i="17"/>
  <c r="I353" i="17"/>
  <c r="N353" i="17" s="1"/>
  <c r="H353" i="17"/>
  <c r="S353" i="17" s="1"/>
  <c r="T353" i="17" s="1"/>
  <c r="D353" i="17"/>
  <c r="AL352" i="17"/>
  <c r="AJ352" i="17"/>
  <c r="AF352" i="17"/>
  <c r="AE352" i="17"/>
  <c r="AD352" i="17"/>
  <c r="AC352" i="17"/>
  <c r="AB352" i="17"/>
  <c r="AA352" i="17"/>
  <c r="Y352" i="17"/>
  <c r="X352" i="17"/>
  <c r="W352" i="17"/>
  <c r="V352" i="17"/>
  <c r="U352" i="17"/>
  <c r="R352" i="17"/>
  <c r="N352" i="17"/>
  <c r="M352" i="17"/>
  <c r="L352" i="17"/>
  <c r="K352" i="17"/>
  <c r="I352" i="17"/>
  <c r="H352" i="17"/>
  <c r="S352" i="17" s="1"/>
  <c r="T352" i="17" s="1"/>
  <c r="D352" i="17"/>
  <c r="AL351" i="17"/>
  <c r="AJ351" i="17"/>
  <c r="AF351" i="17"/>
  <c r="AE351" i="17"/>
  <c r="AD351" i="17"/>
  <c r="AC351" i="17"/>
  <c r="AB351" i="17"/>
  <c r="AA351" i="17"/>
  <c r="Y351" i="17"/>
  <c r="X351" i="17"/>
  <c r="W351" i="17"/>
  <c r="V351" i="17"/>
  <c r="U351" i="17"/>
  <c r="R351" i="17"/>
  <c r="M351" i="17"/>
  <c r="L351" i="17"/>
  <c r="K351" i="17"/>
  <c r="I351" i="17"/>
  <c r="H351" i="17"/>
  <c r="D351" i="17"/>
  <c r="N351" i="17" s="1"/>
  <c r="AL350" i="17"/>
  <c r="AJ350" i="17"/>
  <c r="AF350" i="17"/>
  <c r="AE350" i="17"/>
  <c r="AD350" i="17"/>
  <c r="AC350" i="17"/>
  <c r="AB350" i="17"/>
  <c r="AA350" i="17"/>
  <c r="Y350" i="17"/>
  <c r="X350" i="17"/>
  <c r="W350" i="17"/>
  <c r="V350" i="17"/>
  <c r="U350" i="17"/>
  <c r="R350" i="17"/>
  <c r="S350" i="17" s="1"/>
  <c r="T350" i="17" s="1"/>
  <c r="M350" i="17"/>
  <c r="L350" i="17"/>
  <c r="K350" i="17"/>
  <c r="I350" i="17"/>
  <c r="H350" i="17"/>
  <c r="D350" i="17"/>
  <c r="N350" i="17" s="1"/>
  <c r="AL349" i="17"/>
  <c r="AJ349" i="17"/>
  <c r="AF349" i="17"/>
  <c r="AE349" i="17"/>
  <c r="AD349" i="17"/>
  <c r="AC349" i="17"/>
  <c r="AB349" i="17"/>
  <c r="AA349" i="17"/>
  <c r="Y349" i="17"/>
  <c r="X349" i="17"/>
  <c r="W349" i="17"/>
  <c r="V349" i="17"/>
  <c r="U349" i="17"/>
  <c r="R349" i="17"/>
  <c r="N349" i="17"/>
  <c r="M349" i="17"/>
  <c r="L349" i="17"/>
  <c r="K349" i="17"/>
  <c r="I349" i="17"/>
  <c r="H349" i="17"/>
  <c r="S349" i="17" s="1"/>
  <c r="T349" i="17" s="1"/>
  <c r="D349" i="17"/>
  <c r="AL348" i="17"/>
  <c r="AJ348" i="17"/>
  <c r="AF348" i="17"/>
  <c r="AE348" i="17"/>
  <c r="AD348" i="17"/>
  <c r="AC348" i="17"/>
  <c r="AB348" i="17"/>
  <c r="AA348" i="17"/>
  <c r="Y348" i="17"/>
  <c r="X348" i="17"/>
  <c r="W348" i="17"/>
  <c r="V348" i="17"/>
  <c r="U348" i="17"/>
  <c r="R348" i="17"/>
  <c r="M348" i="17"/>
  <c r="L348" i="17"/>
  <c r="K348" i="17"/>
  <c r="I348" i="17"/>
  <c r="H348" i="17"/>
  <c r="D348" i="17"/>
  <c r="N348" i="17" s="1"/>
  <c r="AL347" i="17"/>
  <c r="AJ347" i="17"/>
  <c r="AF347" i="17"/>
  <c r="AE347" i="17"/>
  <c r="AD347" i="17"/>
  <c r="AC347" i="17"/>
  <c r="AB347" i="17"/>
  <c r="AA347" i="17"/>
  <c r="Y347" i="17"/>
  <c r="X347" i="17"/>
  <c r="W347" i="17"/>
  <c r="V347" i="17"/>
  <c r="U347" i="17"/>
  <c r="R347" i="17"/>
  <c r="S348" i="17" s="1"/>
  <c r="T348" i="17" s="1"/>
  <c r="M347" i="17"/>
  <c r="L347" i="17"/>
  <c r="K347" i="17"/>
  <c r="I347" i="17"/>
  <c r="H347" i="17"/>
  <c r="S347" i="17" s="1"/>
  <c r="T347" i="17" s="1"/>
  <c r="D347" i="17"/>
  <c r="N347" i="17" s="1"/>
  <c r="AL346" i="17"/>
  <c r="AJ346" i="17"/>
  <c r="AF346" i="17"/>
  <c r="AE346" i="17"/>
  <c r="AD346" i="17"/>
  <c r="AC346" i="17"/>
  <c r="AB346" i="17"/>
  <c r="AA346" i="17"/>
  <c r="Y346" i="17"/>
  <c r="X346" i="17"/>
  <c r="W346" i="17"/>
  <c r="V346" i="17"/>
  <c r="U346" i="17"/>
  <c r="R346" i="17"/>
  <c r="N346" i="17"/>
  <c r="M346" i="17"/>
  <c r="L346" i="17"/>
  <c r="K346" i="17"/>
  <c r="I346" i="17"/>
  <c r="H346" i="17"/>
  <c r="D346" i="17"/>
  <c r="AL345" i="17"/>
  <c r="AJ345" i="17"/>
  <c r="AF345" i="17"/>
  <c r="AE345" i="17"/>
  <c r="AD345" i="17"/>
  <c r="AC345" i="17"/>
  <c r="AB345" i="17"/>
  <c r="AA345" i="17"/>
  <c r="Y345" i="17"/>
  <c r="X345" i="17"/>
  <c r="W345" i="17"/>
  <c r="V345" i="17"/>
  <c r="U345" i="17"/>
  <c r="R345" i="17"/>
  <c r="S346" i="17" s="1"/>
  <c r="T346" i="17" s="1"/>
  <c r="M345" i="17"/>
  <c r="L345" i="17"/>
  <c r="K345" i="17"/>
  <c r="I345" i="17"/>
  <c r="N345" i="17" s="1"/>
  <c r="H345" i="17"/>
  <c r="S345" i="17" s="1"/>
  <c r="T345" i="17" s="1"/>
  <c r="D345" i="17"/>
  <c r="AL344" i="17"/>
  <c r="AJ344" i="17"/>
  <c r="AF344" i="17"/>
  <c r="AE344" i="17"/>
  <c r="AD344" i="17"/>
  <c r="AC344" i="17"/>
  <c r="AB344" i="17"/>
  <c r="AA344" i="17"/>
  <c r="Y344" i="17"/>
  <c r="X344" i="17"/>
  <c r="W344" i="17"/>
  <c r="V344" i="17"/>
  <c r="U344" i="17"/>
  <c r="R344" i="17"/>
  <c r="N344" i="17"/>
  <c r="M344" i="17"/>
  <c r="L344" i="17"/>
  <c r="K344" i="17"/>
  <c r="I344" i="17"/>
  <c r="H344" i="17"/>
  <c r="S344" i="17" s="1"/>
  <c r="T344" i="17" s="1"/>
  <c r="D344" i="17"/>
  <c r="AL343" i="17"/>
  <c r="AJ343" i="17"/>
  <c r="AF343" i="17"/>
  <c r="AE343" i="17"/>
  <c r="AD343" i="17"/>
  <c r="AC343" i="17"/>
  <c r="AB343" i="17"/>
  <c r="AA343" i="17"/>
  <c r="Y343" i="17"/>
  <c r="X343" i="17"/>
  <c r="W343" i="17"/>
  <c r="V343" i="17"/>
  <c r="U343" i="17"/>
  <c r="R343" i="17"/>
  <c r="M343" i="17"/>
  <c r="L343" i="17"/>
  <c r="K343" i="17"/>
  <c r="I343" i="17"/>
  <c r="H343" i="17"/>
  <c r="D343" i="17"/>
  <c r="N343" i="17" s="1"/>
  <c r="AL342" i="17"/>
  <c r="AJ342" i="17"/>
  <c r="AF342" i="17"/>
  <c r="AE342" i="17"/>
  <c r="AD342" i="17"/>
  <c r="AC342" i="17"/>
  <c r="AB342" i="17"/>
  <c r="AA342" i="17"/>
  <c r="Y342" i="17"/>
  <c r="X342" i="17"/>
  <c r="W342" i="17"/>
  <c r="V342" i="17"/>
  <c r="U342" i="17"/>
  <c r="R342" i="17"/>
  <c r="S342" i="17" s="1"/>
  <c r="T342" i="17" s="1"/>
  <c r="M342" i="17"/>
  <c r="L342" i="17"/>
  <c r="K342" i="17"/>
  <c r="I342" i="17"/>
  <c r="H342" i="17"/>
  <c r="D342" i="17"/>
  <c r="N342" i="17" s="1"/>
  <c r="AL341" i="17"/>
  <c r="AJ341" i="17"/>
  <c r="AF341" i="17"/>
  <c r="AE341" i="17"/>
  <c r="AD341" i="17"/>
  <c r="AC341" i="17"/>
  <c r="AB341" i="17"/>
  <c r="AA341" i="17"/>
  <c r="Y341" i="17"/>
  <c r="X341" i="17"/>
  <c r="W341" i="17"/>
  <c r="V341" i="17"/>
  <c r="U341" i="17"/>
  <c r="R341" i="17"/>
  <c r="N341" i="17"/>
  <c r="M341" i="17"/>
  <c r="L341" i="17"/>
  <c r="K341" i="17"/>
  <c r="I341" i="17"/>
  <c r="H341" i="17"/>
  <c r="S341" i="17" s="1"/>
  <c r="T341" i="17" s="1"/>
  <c r="D341" i="17"/>
  <c r="AL340" i="17"/>
  <c r="AJ340" i="17"/>
  <c r="AF340" i="17"/>
  <c r="AE340" i="17"/>
  <c r="AD340" i="17"/>
  <c r="AC340" i="17"/>
  <c r="AB340" i="17"/>
  <c r="AA340" i="17"/>
  <c r="Y340" i="17"/>
  <c r="X340" i="17"/>
  <c r="W340" i="17"/>
  <c r="V340" i="17"/>
  <c r="U340" i="17"/>
  <c r="R340" i="17"/>
  <c r="M340" i="17"/>
  <c r="L340" i="17"/>
  <c r="K340" i="17"/>
  <c r="I340" i="17"/>
  <c r="H340" i="17"/>
  <c r="D340" i="17"/>
  <c r="N340" i="17" s="1"/>
  <c r="AL339" i="17"/>
  <c r="AJ339" i="17"/>
  <c r="AF339" i="17"/>
  <c r="AE339" i="17"/>
  <c r="AD339" i="17"/>
  <c r="AC339" i="17"/>
  <c r="AB339" i="17"/>
  <c r="AA339" i="17"/>
  <c r="Y339" i="17"/>
  <c r="X339" i="17"/>
  <c r="W339" i="17"/>
  <c r="V339" i="17"/>
  <c r="U339" i="17"/>
  <c r="R339" i="17"/>
  <c r="S340" i="17" s="1"/>
  <c r="T340" i="17" s="1"/>
  <c r="M339" i="17"/>
  <c r="L339" i="17"/>
  <c r="K339" i="17"/>
  <c r="I339" i="17"/>
  <c r="H339" i="17"/>
  <c r="S339" i="17" s="1"/>
  <c r="T339" i="17" s="1"/>
  <c r="D339" i="17"/>
  <c r="N339" i="17" s="1"/>
  <c r="AL338" i="17"/>
  <c r="AJ338" i="17"/>
  <c r="AF338" i="17"/>
  <c r="AE338" i="17"/>
  <c r="AD338" i="17"/>
  <c r="AC338" i="17"/>
  <c r="AB338" i="17"/>
  <c r="AA338" i="17"/>
  <c r="Y338" i="17"/>
  <c r="X338" i="17"/>
  <c r="W338" i="17"/>
  <c r="V338" i="17"/>
  <c r="U338" i="17"/>
  <c r="R338" i="17"/>
  <c r="N338" i="17"/>
  <c r="M338" i="17"/>
  <c r="L338" i="17"/>
  <c r="K338" i="17"/>
  <c r="I338" i="17"/>
  <c r="H338" i="17"/>
  <c r="D338" i="17"/>
  <c r="AL337" i="17"/>
  <c r="AJ337" i="17"/>
  <c r="AF337" i="17"/>
  <c r="AE337" i="17"/>
  <c r="AD337" i="17"/>
  <c r="AC337" i="17"/>
  <c r="AB337" i="17"/>
  <c r="AA337" i="17"/>
  <c r="Y337" i="17"/>
  <c r="X337" i="17"/>
  <c r="W337" i="17"/>
  <c r="V337" i="17"/>
  <c r="U337" i="17"/>
  <c r="R337" i="17"/>
  <c r="S338" i="17" s="1"/>
  <c r="T338" i="17" s="1"/>
  <c r="M337" i="17"/>
  <c r="L337" i="17"/>
  <c r="K337" i="17"/>
  <c r="I337" i="17"/>
  <c r="N337" i="17" s="1"/>
  <c r="H337" i="17"/>
  <c r="S337" i="17" s="1"/>
  <c r="T337" i="17" s="1"/>
  <c r="D337" i="17"/>
  <c r="AL336" i="17"/>
  <c r="AJ336" i="17"/>
  <c r="AF336" i="17"/>
  <c r="AE336" i="17"/>
  <c r="AD336" i="17"/>
  <c r="AC336" i="17"/>
  <c r="AB336" i="17"/>
  <c r="AA336" i="17"/>
  <c r="Y336" i="17"/>
  <c r="X336" i="17"/>
  <c r="W336" i="17"/>
  <c r="V336" i="17"/>
  <c r="U336" i="17"/>
  <c r="R336" i="17"/>
  <c r="N336" i="17"/>
  <c r="M336" i="17"/>
  <c r="L336" i="17"/>
  <c r="K336" i="17"/>
  <c r="I336" i="17"/>
  <c r="H336" i="17"/>
  <c r="S336" i="17" s="1"/>
  <c r="T336" i="17" s="1"/>
  <c r="D336" i="17"/>
  <c r="AL335" i="17"/>
  <c r="AJ335" i="17"/>
  <c r="AF335" i="17"/>
  <c r="AE335" i="17"/>
  <c r="AD335" i="17"/>
  <c r="AC335" i="17"/>
  <c r="AB335" i="17"/>
  <c r="AA335" i="17"/>
  <c r="Y335" i="17"/>
  <c r="X335" i="17"/>
  <c r="W335" i="17"/>
  <c r="V335" i="17"/>
  <c r="U335" i="17"/>
  <c r="R335" i="17"/>
  <c r="M335" i="17"/>
  <c r="L335" i="17"/>
  <c r="K335" i="17"/>
  <c r="I335" i="17"/>
  <c r="H335" i="17"/>
  <c r="D335" i="17"/>
  <c r="N335" i="17" s="1"/>
  <c r="AL334" i="17"/>
  <c r="AJ334" i="17"/>
  <c r="AF334" i="17"/>
  <c r="AE334" i="17"/>
  <c r="AD334" i="17"/>
  <c r="AC334" i="17"/>
  <c r="AB334" i="17"/>
  <c r="AA334" i="17"/>
  <c r="Y334" i="17"/>
  <c r="X334" i="17"/>
  <c r="W334" i="17"/>
  <c r="V334" i="17"/>
  <c r="U334" i="17"/>
  <c r="R334" i="17"/>
  <c r="S334" i="17" s="1"/>
  <c r="T334" i="17" s="1"/>
  <c r="M334" i="17"/>
  <c r="L334" i="17"/>
  <c r="K334" i="17"/>
  <c r="I334" i="17"/>
  <c r="H334" i="17"/>
  <c r="D334" i="17"/>
  <c r="N334" i="17" s="1"/>
  <c r="AL333" i="17"/>
  <c r="AJ333" i="17"/>
  <c r="AF333" i="17"/>
  <c r="AE333" i="17"/>
  <c r="AD333" i="17"/>
  <c r="AC333" i="17"/>
  <c r="AB333" i="17"/>
  <c r="AA333" i="17"/>
  <c r="Y333" i="17"/>
  <c r="X333" i="17"/>
  <c r="W333" i="17"/>
  <c r="V333" i="17"/>
  <c r="U333" i="17"/>
  <c r="R333" i="17"/>
  <c r="N333" i="17"/>
  <c r="M333" i="17"/>
  <c r="L333" i="17"/>
  <c r="K333" i="17"/>
  <c r="I333" i="17"/>
  <c r="H333" i="17"/>
  <c r="S333" i="17" s="1"/>
  <c r="T333" i="17" s="1"/>
  <c r="D333" i="17"/>
  <c r="AL332" i="17"/>
  <c r="AJ332" i="17"/>
  <c r="AF332" i="17"/>
  <c r="AE332" i="17"/>
  <c r="AD332" i="17"/>
  <c r="AC332" i="17"/>
  <c r="AB332" i="17"/>
  <c r="AA332" i="17"/>
  <c r="Y332" i="17"/>
  <c r="X332" i="17"/>
  <c r="W332" i="17"/>
  <c r="V332" i="17"/>
  <c r="U332" i="17"/>
  <c r="R332" i="17"/>
  <c r="M332" i="17"/>
  <c r="L332" i="17"/>
  <c r="K332" i="17"/>
  <c r="I332" i="17"/>
  <c r="H332" i="17"/>
  <c r="D332" i="17"/>
  <c r="N332" i="17" s="1"/>
  <c r="AL331" i="17"/>
  <c r="AJ331" i="17"/>
  <c r="AF331" i="17"/>
  <c r="AE331" i="17"/>
  <c r="AD331" i="17"/>
  <c r="AC331" i="17"/>
  <c r="AB331" i="17"/>
  <c r="AA331" i="17"/>
  <c r="Y331" i="17"/>
  <c r="X331" i="17"/>
  <c r="W331" i="17"/>
  <c r="V331" i="17"/>
  <c r="U331" i="17"/>
  <c r="R331" i="17"/>
  <c r="S332" i="17" s="1"/>
  <c r="T332" i="17" s="1"/>
  <c r="M331" i="17"/>
  <c r="L331" i="17"/>
  <c r="K331" i="17"/>
  <c r="I331" i="17"/>
  <c r="H331" i="17"/>
  <c r="S331" i="17" s="1"/>
  <c r="T331" i="17" s="1"/>
  <c r="D331" i="17"/>
  <c r="N331" i="17" s="1"/>
  <c r="AL330" i="17"/>
  <c r="AJ330" i="17"/>
  <c r="AF330" i="17"/>
  <c r="AE330" i="17"/>
  <c r="AD330" i="17"/>
  <c r="AC330" i="17"/>
  <c r="AB330" i="17"/>
  <c r="AA330" i="17"/>
  <c r="Y330" i="17"/>
  <c r="X330" i="17"/>
  <c r="W330" i="17"/>
  <c r="V330" i="17"/>
  <c r="U330" i="17"/>
  <c r="R330" i="17"/>
  <c r="N330" i="17"/>
  <c r="M330" i="17"/>
  <c r="L330" i="17"/>
  <c r="K330" i="17"/>
  <c r="I330" i="17"/>
  <c r="H330" i="17"/>
  <c r="D330" i="17"/>
  <c r="AL329" i="17"/>
  <c r="AJ329" i="17"/>
  <c r="AF329" i="17"/>
  <c r="AE329" i="17"/>
  <c r="AD329" i="17"/>
  <c r="AC329" i="17"/>
  <c r="AB329" i="17"/>
  <c r="AA329" i="17"/>
  <c r="Y329" i="17"/>
  <c r="X329" i="17"/>
  <c r="W329" i="17"/>
  <c r="V329" i="17"/>
  <c r="U329" i="17"/>
  <c r="R329" i="17"/>
  <c r="S330" i="17" s="1"/>
  <c r="T330" i="17" s="1"/>
  <c r="M329" i="17"/>
  <c r="L329" i="17"/>
  <c r="K329" i="17"/>
  <c r="I329" i="17"/>
  <c r="N329" i="17" s="1"/>
  <c r="H329" i="17"/>
  <c r="S329" i="17" s="1"/>
  <c r="T329" i="17" s="1"/>
  <c r="D329" i="17"/>
  <c r="AL328" i="17"/>
  <c r="AJ328" i="17"/>
  <c r="AF328" i="17"/>
  <c r="AE328" i="17"/>
  <c r="AD328" i="17"/>
  <c r="AC328" i="17"/>
  <c r="AB328" i="17"/>
  <c r="AA328" i="17"/>
  <c r="Y328" i="17"/>
  <c r="X328" i="17"/>
  <c r="W328" i="17"/>
  <c r="V328" i="17"/>
  <c r="U328" i="17"/>
  <c r="R328" i="17"/>
  <c r="N328" i="17"/>
  <c r="M328" i="17"/>
  <c r="L328" i="17"/>
  <c r="K328" i="17"/>
  <c r="I328" i="17"/>
  <c r="H328" i="17"/>
  <c r="S328" i="17" s="1"/>
  <c r="T328" i="17" s="1"/>
  <c r="D328" i="17"/>
  <c r="AL327" i="17"/>
  <c r="AJ327" i="17"/>
  <c r="AF327" i="17"/>
  <c r="AE327" i="17"/>
  <c r="AD327" i="17"/>
  <c r="AC327" i="17"/>
  <c r="AB327" i="17"/>
  <c r="AA327" i="17"/>
  <c r="Y327" i="17"/>
  <c r="X327" i="17"/>
  <c r="W327" i="17"/>
  <c r="V327" i="17"/>
  <c r="U327" i="17"/>
  <c r="R327" i="17"/>
  <c r="M327" i="17"/>
  <c r="L327" i="17"/>
  <c r="K327" i="17"/>
  <c r="I327" i="17"/>
  <c r="H327" i="17"/>
  <c r="D327" i="17"/>
  <c r="N327" i="17" s="1"/>
  <c r="AL326" i="17"/>
  <c r="AJ326" i="17"/>
  <c r="AF326" i="17"/>
  <c r="AE326" i="17"/>
  <c r="AD326" i="17"/>
  <c r="AC326" i="17"/>
  <c r="AB326" i="17"/>
  <c r="AA326" i="17"/>
  <c r="Y326" i="17"/>
  <c r="X326" i="17"/>
  <c r="W326" i="17"/>
  <c r="V326" i="17"/>
  <c r="U326" i="17"/>
  <c r="R326" i="17"/>
  <c r="S326" i="17" s="1"/>
  <c r="T326" i="17" s="1"/>
  <c r="M326" i="17"/>
  <c r="L326" i="17"/>
  <c r="K326" i="17"/>
  <c r="I326" i="17"/>
  <c r="H326" i="17"/>
  <c r="D326" i="17"/>
  <c r="N326" i="17" s="1"/>
  <c r="AL325" i="17"/>
  <c r="AJ325" i="17"/>
  <c r="AF325" i="17"/>
  <c r="AE325" i="17"/>
  <c r="AD325" i="17"/>
  <c r="AC325" i="17"/>
  <c r="AB325" i="17"/>
  <c r="AA325" i="17"/>
  <c r="Y325" i="17"/>
  <c r="X325" i="17"/>
  <c r="W325" i="17"/>
  <c r="V325" i="17"/>
  <c r="U325" i="17"/>
  <c r="R325" i="17"/>
  <c r="N325" i="17"/>
  <c r="M325" i="17"/>
  <c r="L325" i="17"/>
  <c r="K325" i="17"/>
  <c r="I325" i="17"/>
  <c r="H325" i="17"/>
  <c r="S325" i="17" s="1"/>
  <c r="T325" i="17" s="1"/>
  <c r="D325" i="17"/>
  <c r="AL324" i="17"/>
  <c r="AJ324" i="17"/>
  <c r="AF324" i="17"/>
  <c r="AE324" i="17"/>
  <c r="AD324" i="17"/>
  <c r="AC324" i="17"/>
  <c r="AB324" i="17"/>
  <c r="AA324" i="17"/>
  <c r="Y324" i="17"/>
  <c r="X324" i="17"/>
  <c r="W324" i="17"/>
  <c r="V324" i="17"/>
  <c r="U324" i="17"/>
  <c r="R324" i="17"/>
  <c r="M324" i="17"/>
  <c r="L324" i="17"/>
  <c r="K324" i="17"/>
  <c r="I324" i="17"/>
  <c r="H324" i="17"/>
  <c r="D324" i="17"/>
  <c r="N324" i="17" s="1"/>
  <c r="AL323" i="17"/>
  <c r="AJ323" i="17"/>
  <c r="AF323" i="17"/>
  <c r="AE323" i="17"/>
  <c r="AD323" i="17"/>
  <c r="AC323" i="17"/>
  <c r="AB323" i="17"/>
  <c r="AA323" i="17"/>
  <c r="Y323" i="17"/>
  <c r="X323" i="17"/>
  <c r="W323" i="17"/>
  <c r="V323" i="17"/>
  <c r="U323" i="17"/>
  <c r="R323" i="17"/>
  <c r="S324" i="17" s="1"/>
  <c r="T324" i="17" s="1"/>
  <c r="M323" i="17"/>
  <c r="L323" i="17"/>
  <c r="K323" i="17"/>
  <c r="I323" i="17"/>
  <c r="H323" i="17"/>
  <c r="S323" i="17" s="1"/>
  <c r="T323" i="17" s="1"/>
  <c r="D323" i="17"/>
  <c r="N323" i="17" s="1"/>
  <c r="AL322" i="17"/>
  <c r="AJ322" i="17"/>
  <c r="AF322" i="17"/>
  <c r="AE322" i="17"/>
  <c r="AD322" i="17"/>
  <c r="AC322" i="17"/>
  <c r="AB322" i="17"/>
  <c r="AA322" i="17"/>
  <c r="Y322" i="17"/>
  <c r="X322" i="17"/>
  <c r="W322" i="17"/>
  <c r="V322" i="17"/>
  <c r="U322" i="17"/>
  <c r="R322" i="17"/>
  <c r="N322" i="17"/>
  <c r="M322" i="17"/>
  <c r="L322" i="17"/>
  <c r="K322" i="17"/>
  <c r="I322" i="17"/>
  <c r="H322" i="17"/>
  <c r="D322" i="17"/>
  <c r="AL321" i="17"/>
  <c r="AJ321" i="17"/>
  <c r="AF321" i="17"/>
  <c r="AE321" i="17"/>
  <c r="AD321" i="17"/>
  <c r="AC321" i="17"/>
  <c r="AB321" i="17"/>
  <c r="AA321" i="17"/>
  <c r="Y321" i="17"/>
  <c r="X321" i="17"/>
  <c r="W321" i="17"/>
  <c r="V321" i="17"/>
  <c r="U321" i="17"/>
  <c r="R321" i="17"/>
  <c r="S322" i="17" s="1"/>
  <c r="T322" i="17" s="1"/>
  <c r="M321" i="17"/>
  <c r="L321" i="17"/>
  <c r="K321" i="17"/>
  <c r="I321" i="17"/>
  <c r="N321" i="17" s="1"/>
  <c r="H321" i="17"/>
  <c r="S321" i="17" s="1"/>
  <c r="T321" i="17" s="1"/>
  <c r="D321" i="17"/>
  <c r="AL320" i="17"/>
  <c r="AJ320" i="17"/>
  <c r="AF320" i="17"/>
  <c r="AE320" i="17"/>
  <c r="AD320" i="17"/>
  <c r="AC320" i="17"/>
  <c r="AB320" i="17"/>
  <c r="AA320" i="17"/>
  <c r="Y320" i="17"/>
  <c r="X320" i="17"/>
  <c r="W320" i="17"/>
  <c r="V320" i="17"/>
  <c r="U320" i="17"/>
  <c r="R320" i="17"/>
  <c r="N320" i="17"/>
  <c r="M320" i="17"/>
  <c r="L320" i="17"/>
  <c r="K320" i="17"/>
  <c r="I320" i="17"/>
  <c r="H320" i="17"/>
  <c r="S320" i="17" s="1"/>
  <c r="T320" i="17" s="1"/>
  <c r="D320" i="17"/>
  <c r="AL319" i="17"/>
  <c r="AJ319" i="17"/>
  <c r="AF319" i="17"/>
  <c r="AE319" i="17"/>
  <c r="AD319" i="17"/>
  <c r="AC319" i="17"/>
  <c r="AB319" i="17"/>
  <c r="AA319" i="17"/>
  <c r="Y319" i="17"/>
  <c r="X319" i="17"/>
  <c r="W319" i="17"/>
  <c r="V319" i="17"/>
  <c r="U319" i="17"/>
  <c r="R319" i="17"/>
  <c r="M319" i="17"/>
  <c r="L319" i="17"/>
  <c r="K319" i="17"/>
  <c r="I319" i="17"/>
  <c r="H319" i="17"/>
  <c r="D319" i="17"/>
  <c r="N319" i="17" s="1"/>
  <c r="AL318" i="17"/>
  <c r="AJ318" i="17"/>
  <c r="AF318" i="17"/>
  <c r="AE318" i="17"/>
  <c r="AD318" i="17"/>
  <c r="AB318" i="17"/>
  <c r="AA318" i="17"/>
  <c r="Y318" i="17"/>
  <c r="X318" i="17"/>
  <c r="W318" i="17"/>
  <c r="V318" i="17"/>
  <c r="U318" i="17"/>
  <c r="R318" i="17"/>
  <c r="N318" i="17"/>
  <c r="M318" i="17"/>
  <c r="L318" i="17"/>
  <c r="K318" i="17"/>
  <c r="I318" i="17"/>
  <c r="H318" i="17"/>
  <c r="S318" i="17" s="1"/>
  <c r="T318" i="17" s="1"/>
  <c r="D318" i="17"/>
  <c r="AL317" i="17"/>
  <c r="AJ317" i="17"/>
  <c r="AF317" i="17"/>
  <c r="AE317" i="17"/>
  <c r="AD317" i="17"/>
  <c r="AC317" i="17"/>
  <c r="AB317" i="17"/>
  <c r="AA317" i="17"/>
  <c r="Y317" i="17"/>
  <c r="X317" i="17"/>
  <c r="W317" i="17"/>
  <c r="V317" i="17"/>
  <c r="U317" i="17"/>
  <c r="R317" i="17"/>
  <c r="M317" i="17"/>
  <c r="L317" i="17"/>
  <c r="K317" i="17"/>
  <c r="I317" i="17"/>
  <c r="H317" i="17"/>
  <c r="D317" i="17"/>
  <c r="N317" i="17" s="1"/>
  <c r="AL316" i="17"/>
  <c r="AJ316" i="17"/>
  <c r="AF316" i="17"/>
  <c r="AE316" i="17"/>
  <c r="AD316" i="17"/>
  <c r="AC316" i="17"/>
  <c r="AB316" i="17"/>
  <c r="AA316" i="17"/>
  <c r="Y316" i="17"/>
  <c r="X316" i="17"/>
  <c r="W316" i="17"/>
  <c r="V316" i="17"/>
  <c r="U316" i="17"/>
  <c r="R316" i="17"/>
  <c r="S317" i="17" s="1"/>
  <c r="T317" i="17" s="1"/>
  <c r="M316" i="17"/>
  <c r="L316" i="17"/>
  <c r="K316" i="17"/>
  <c r="I316" i="17"/>
  <c r="H316" i="17"/>
  <c r="S316" i="17" s="1"/>
  <c r="T316" i="17" s="1"/>
  <c r="D316" i="17"/>
  <c r="N316" i="17" s="1"/>
  <c r="AL315" i="17"/>
  <c r="AJ315" i="17"/>
  <c r="AF315" i="17"/>
  <c r="AE315" i="17"/>
  <c r="AD315" i="17"/>
  <c r="AC315" i="17"/>
  <c r="AB315" i="17"/>
  <c r="AA315" i="17"/>
  <c r="Y315" i="17"/>
  <c r="X315" i="17"/>
  <c r="W315" i="17"/>
  <c r="V315" i="17"/>
  <c r="U315" i="17"/>
  <c r="R315" i="17"/>
  <c r="N315" i="17"/>
  <c r="M315" i="17"/>
  <c r="L315" i="17"/>
  <c r="K315" i="17"/>
  <c r="I315" i="17"/>
  <c r="H315" i="17"/>
  <c r="D315" i="17"/>
  <c r="AL314" i="17"/>
  <c r="AJ314" i="17"/>
  <c r="AF314" i="17"/>
  <c r="AE314" i="17"/>
  <c r="AD314" i="17"/>
  <c r="AC314" i="17"/>
  <c r="AB314" i="17"/>
  <c r="AA314" i="17"/>
  <c r="Y314" i="17"/>
  <c r="X314" i="17"/>
  <c r="W314" i="17"/>
  <c r="V314" i="17"/>
  <c r="U314" i="17"/>
  <c r="R314" i="17"/>
  <c r="S315" i="17" s="1"/>
  <c r="T315" i="17" s="1"/>
  <c r="M314" i="17"/>
  <c r="L314" i="17"/>
  <c r="K314" i="17"/>
  <c r="I314" i="17"/>
  <c r="N314" i="17" s="1"/>
  <c r="H314" i="17"/>
  <c r="S314" i="17" s="1"/>
  <c r="T314" i="17" s="1"/>
  <c r="D314" i="17"/>
  <c r="AL313" i="17"/>
  <c r="AJ313" i="17"/>
  <c r="AF313" i="17"/>
  <c r="AE313" i="17"/>
  <c r="AD313" i="17"/>
  <c r="AC313" i="17"/>
  <c r="AB313" i="17"/>
  <c r="AA313" i="17"/>
  <c r="Y313" i="17"/>
  <c r="X313" i="17"/>
  <c r="W313" i="17"/>
  <c r="V313" i="17"/>
  <c r="U313" i="17"/>
  <c r="R313" i="17"/>
  <c r="N313" i="17"/>
  <c r="M313" i="17"/>
  <c r="L313" i="17"/>
  <c r="K313" i="17"/>
  <c r="I313" i="17"/>
  <c r="H313" i="17"/>
  <c r="S313" i="17" s="1"/>
  <c r="T313" i="17" s="1"/>
  <c r="D313" i="17"/>
  <c r="AL312" i="17"/>
  <c r="AJ312" i="17"/>
  <c r="AF312" i="17"/>
  <c r="AE312" i="17"/>
  <c r="AD312" i="17"/>
  <c r="AC312" i="17"/>
  <c r="AB312" i="17"/>
  <c r="AA312" i="17"/>
  <c r="Y312" i="17"/>
  <c r="X312" i="17"/>
  <c r="W312" i="17"/>
  <c r="V312" i="17"/>
  <c r="U312" i="17"/>
  <c r="R312" i="17"/>
  <c r="M312" i="17"/>
  <c r="L312" i="17"/>
  <c r="K312" i="17"/>
  <c r="I312" i="17"/>
  <c r="H312" i="17"/>
  <c r="D312" i="17"/>
  <c r="N312" i="17" s="1"/>
  <c r="AL311" i="17"/>
  <c r="AJ311" i="17"/>
  <c r="AF311" i="17"/>
  <c r="AE311" i="17"/>
  <c r="AD311" i="17"/>
  <c r="AC311" i="17"/>
  <c r="AB311" i="17"/>
  <c r="AA311" i="17"/>
  <c r="Y311" i="17"/>
  <c r="X311" i="17"/>
  <c r="W311" i="17"/>
  <c r="V311" i="17"/>
  <c r="U311" i="17"/>
  <c r="R311" i="17"/>
  <c r="S311" i="17" s="1"/>
  <c r="T311" i="17" s="1"/>
  <c r="M311" i="17"/>
  <c r="L311" i="17"/>
  <c r="K311" i="17"/>
  <c r="I311" i="17"/>
  <c r="H311" i="17"/>
  <c r="D311" i="17"/>
  <c r="N311" i="17" s="1"/>
  <c r="AL310" i="17"/>
  <c r="AJ310" i="17"/>
  <c r="AF310" i="17"/>
  <c r="AE310" i="17"/>
  <c r="AD310" i="17"/>
  <c r="AC310" i="17"/>
  <c r="AB310" i="17"/>
  <c r="AA310" i="17"/>
  <c r="Y310" i="17"/>
  <c r="X310" i="17"/>
  <c r="W310" i="17"/>
  <c r="V310" i="17"/>
  <c r="U310" i="17"/>
  <c r="R310" i="17"/>
  <c r="N310" i="17"/>
  <c r="M310" i="17"/>
  <c r="L310" i="17"/>
  <c r="K310" i="17"/>
  <c r="I310" i="17"/>
  <c r="H310" i="17"/>
  <c r="S310" i="17" s="1"/>
  <c r="T310" i="17" s="1"/>
  <c r="D310" i="17"/>
  <c r="AL309" i="17"/>
  <c r="AJ309" i="17"/>
  <c r="AF309" i="17"/>
  <c r="AE309" i="17"/>
  <c r="AD309" i="17"/>
  <c r="AC309" i="17"/>
  <c r="AB309" i="17"/>
  <c r="AA309" i="17"/>
  <c r="Y309" i="17"/>
  <c r="X309" i="17"/>
  <c r="W309" i="17"/>
  <c r="V309" i="17"/>
  <c r="U309" i="17"/>
  <c r="R309" i="17"/>
  <c r="M309" i="17"/>
  <c r="L309" i="17"/>
  <c r="K309" i="17"/>
  <c r="I309" i="17"/>
  <c r="H309" i="17"/>
  <c r="D309" i="17"/>
  <c r="N309" i="17" s="1"/>
  <c r="AL308" i="17"/>
  <c r="AJ308" i="17"/>
  <c r="AF308" i="17"/>
  <c r="AE308" i="17"/>
  <c r="AD308" i="17"/>
  <c r="AC308" i="17"/>
  <c r="AB308" i="17"/>
  <c r="AA308" i="17"/>
  <c r="Y308" i="17"/>
  <c r="X308" i="17"/>
  <c r="W308" i="17"/>
  <c r="V308" i="17"/>
  <c r="U308" i="17"/>
  <c r="R308" i="17"/>
  <c r="S309" i="17" s="1"/>
  <c r="T309" i="17" s="1"/>
  <c r="M308" i="17"/>
  <c r="L308" i="17"/>
  <c r="K308" i="17"/>
  <c r="H308" i="17"/>
  <c r="S308" i="17" s="1"/>
  <c r="T308" i="17" s="1"/>
  <c r="D308" i="17"/>
  <c r="N308" i="17" s="1"/>
  <c r="AL307" i="17"/>
  <c r="AJ307" i="17"/>
  <c r="AF307" i="17"/>
  <c r="AE307" i="17"/>
  <c r="AD307" i="17"/>
  <c r="AC307" i="17"/>
  <c r="AB307" i="17"/>
  <c r="AA307" i="17"/>
  <c r="Y307" i="17"/>
  <c r="X307" i="17"/>
  <c r="W307" i="17"/>
  <c r="V307" i="17"/>
  <c r="U307" i="17"/>
  <c r="R307" i="17"/>
  <c r="M307" i="17"/>
  <c r="L307" i="17"/>
  <c r="K307" i="17"/>
  <c r="J307" i="17"/>
  <c r="I308" i="17" s="1"/>
  <c r="H307" i="17"/>
  <c r="S307" i="17" s="1"/>
  <c r="T307" i="17" s="1"/>
  <c r="D307" i="17"/>
  <c r="AL306" i="17"/>
  <c r="AJ306" i="17"/>
  <c r="AF306" i="17"/>
  <c r="AE306" i="17"/>
  <c r="AD306" i="17"/>
  <c r="AC306" i="17"/>
  <c r="AB306" i="17"/>
  <c r="AA306" i="17"/>
  <c r="Y306" i="17"/>
  <c r="X306" i="17"/>
  <c r="W306" i="17"/>
  <c r="V306" i="17"/>
  <c r="U306" i="17"/>
  <c r="R306" i="17"/>
  <c r="N306" i="17"/>
  <c r="M306" i="17"/>
  <c r="L306" i="17"/>
  <c r="K306" i="17"/>
  <c r="I306" i="17"/>
  <c r="H306" i="17"/>
  <c r="D306" i="17"/>
  <c r="AL305" i="17"/>
  <c r="AJ305" i="17"/>
  <c r="AF305" i="17"/>
  <c r="AE305" i="17"/>
  <c r="AD305" i="17"/>
  <c r="AC305" i="17"/>
  <c r="AB305" i="17"/>
  <c r="AA305" i="17"/>
  <c r="Y305" i="17"/>
  <c r="X305" i="17"/>
  <c r="W305" i="17"/>
  <c r="V305" i="17"/>
  <c r="U305" i="17"/>
  <c r="R305" i="17"/>
  <c r="S306" i="17" s="1"/>
  <c r="T306" i="17" s="1"/>
  <c r="M305" i="17"/>
  <c r="L305" i="17"/>
  <c r="K305" i="17"/>
  <c r="I305" i="17"/>
  <c r="N305" i="17" s="1"/>
  <c r="H305" i="17"/>
  <c r="S305" i="17" s="1"/>
  <c r="T305" i="17" s="1"/>
  <c r="D305" i="17"/>
  <c r="AL304" i="17"/>
  <c r="AJ304" i="17"/>
  <c r="AF304" i="17"/>
  <c r="AE304" i="17"/>
  <c r="AD304" i="17"/>
  <c r="AC304" i="17"/>
  <c r="AB304" i="17"/>
  <c r="AA304" i="17"/>
  <c r="Y304" i="17"/>
  <c r="X304" i="17"/>
  <c r="W304" i="17"/>
  <c r="V304" i="17"/>
  <c r="U304" i="17"/>
  <c r="R304" i="17"/>
  <c r="N304" i="17"/>
  <c r="M304" i="17"/>
  <c r="L304" i="17"/>
  <c r="K304" i="17"/>
  <c r="I304" i="17"/>
  <c r="H304" i="17"/>
  <c r="S304" i="17" s="1"/>
  <c r="T304" i="17" s="1"/>
  <c r="D304" i="17"/>
  <c r="AL303" i="17"/>
  <c r="AJ303" i="17"/>
  <c r="AF303" i="17"/>
  <c r="AE303" i="17"/>
  <c r="AD303" i="17"/>
  <c r="AC303" i="17"/>
  <c r="AB303" i="17"/>
  <c r="AA303" i="17"/>
  <c r="Y303" i="17"/>
  <c r="X303" i="17"/>
  <c r="W303" i="17"/>
  <c r="V303" i="17"/>
  <c r="U303" i="17"/>
  <c r="R303" i="17"/>
  <c r="M303" i="17"/>
  <c r="L303" i="17"/>
  <c r="K303" i="17"/>
  <c r="I303" i="17"/>
  <c r="H303" i="17"/>
  <c r="D303" i="17"/>
  <c r="N303" i="17" s="1"/>
  <c r="AL302" i="17"/>
  <c r="AJ302" i="17"/>
  <c r="AF302" i="17"/>
  <c r="AE302" i="17"/>
  <c r="AD302" i="17"/>
  <c r="AC302" i="17"/>
  <c r="AB302" i="17"/>
  <c r="AA302" i="17"/>
  <c r="Y302" i="17"/>
  <c r="X302" i="17"/>
  <c r="W302" i="17"/>
  <c r="V302" i="17"/>
  <c r="U302" i="17"/>
  <c r="R302" i="17"/>
  <c r="S302" i="17" s="1"/>
  <c r="T302" i="17" s="1"/>
  <c r="M302" i="17"/>
  <c r="L302" i="17"/>
  <c r="K302" i="17"/>
  <c r="I302" i="17"/>
  <c r="H302" i="17"/>
  <c r="D302" i="17"/>
  <c r="N302" i="17" s="1"/>
  <c r="AL301" i="17"/>
  <c r="AJ301" i="17"/>
  <c r="AF301" i="17"/>
  <c r="AE301" i="17"/>
  <c r="AD301" i="17"/>
  <c r="AC301" i="17"/>
  <c r="AB301" i="17"/>
  <c r="AA301" i="17"/>
  <c r="Y301" i="17"/>
  <c r="X301" i="17"/>
  <c r="W301" i="17"/>
  <c r="V301" i="17"/>
  <c r="U301" i="17"/>
  <c r="R301" i="17"/>
  <c r="N301" i="17"/>
  <c r="M301" i="17"/>
  <c r="L301" i="17"/>
  <c r="K301" i="17"/>
  <c r="I301" i="17"/>
  <c r="H301" i="17"/>
  <c r="S301" i="17" s="1"/>
  <c r="T301" i="17" s="1"/>
  <c r="D301" i="17"/>
  <c r="AL300" i="17"/>
  <c r="AJ300" i="17"/>
  <c r="AF300" i="17"/>
  <c r="AE300" i="17"/>
  <c r="AD300" i="17"/>
  <c r="AC300" i="17"/>
  <c r="AB300" i="17"/>
  <c r="AA300" i="17"/>
  <c r="Y300" i="17"/>
  <c r="X300" i="17"/>
  <c r="W300" i="17"/>
  <c r="V300" i="17"/>
  <c r="U300" i="17"/>
  <c r="R300" i="17"/>
  <c r="M300" i="17"/>
  <c r="L300" i="17"/>
  <c r="K300" i="17"/>
  <c r="I300" i="17"/>
  <c r="H300" i="17"/>
  <c r="D300" i="17"/>
  <c r="N300" i="17" s="1"/>
  <c r="AL299" i="17"/>
  <c r="AJ299" i="17"/>
  <c r="AF299" i="17"/>
  <c r="AE299" i="17"/>
  <c r="AD299" i="17"/>
  <c r="AC299" i="17"/>
  <c r="AB299" i="17"/>
  <c r="AA299" i="17"/>
  <c r="Y299" i="17"/>
  <c r="X299" i="17"/>
  <c r="W299" i="17"/>
  <c r="V299" i="17"/>
  <c r="U299" i="17"/>
  <c r="R299" i="17"/>
  <c r="S300" i="17" s="1"/>
  <c r="T300" i="17" s="1"/>
  <c r="M299" i="17"/>
  <c r="L299" i="17"/>
  <c r="K299" i="17"/>
  <c r="I299" i="17"/>
  <c r="H299" i="17"/>
  <c r="S299" i="17" s="1"/>
  <c r="T299" i="17" s="1"/>
  <c r="D299" i="17"/>
  <c r="N299" i="17" s="1"/>
  <c r="AL298" i="17"/>
  <c r="AJ298" i="17"/>
  <c r="AF298" i="17"/>
  <c r="AE298" i="17"/>
  <c r="AD298" i="17"/>
  <c r="AC298" i="17"/>
  <c r="AB298" i="17"/>
  <c r="AA298" i="17"/>
  <c r="Y298" i="17"/>
  <c r="X298" i="17"/>
  <c r="W298" i="17"/>
  <c r="V298" i="17"/>
  <c r="U298" i="17"/>
  <c r="R298" i="17"/>
  <c r="N298" i="17"/>
  <c r="M298" i="17"/>
  <c r="L298" i="17"/>
  <c r="K298" i="17"/>
  <c r="I298" i="17"/>
  <c r="H298" i="17"/>
  <c r="D298" i="17"/>
  <c r="AL297" i="17"/>
  <c r="AJ297" i="17"/>
  <c r="AF297" i="17"/>
  <c r="AE297" i="17"/>
  <c r="AD297" i="17"/>
  <c r="AC297" i="17"/>
  <c r="AB297" i="17"/>
  <c r="AA297" i="17"/>
  <c r="Y297" i="17"/>
  <c r="X297" i="17"/>
  <c r="W297" i="17"/>
  <c r="V297" i="17"/>
  <c r="U297" i="17"/>
  <c r="R297" i="17"/>
  <c r="S298" i="17" s="1"/>
  <c r="T298" i="17" s="1"/>
  <c r="M297" i="17"/>
  <c r="L297" i="17"/>
  <c r="K297" i="17"/>
  <c r="I297" i="17"/>
  <c r="N297" i="17" s="1"/>
  <c r="H297" i="17"/>
  <c r="S297" i="17" s="1"/>
  <c r="T297" i="17" s="1"/>
  <c r="D297" i="17"/>
  <c r="AL296" i="17"/>
  <c r="AJ296" i="17"/>
  <c r="AF296" i="17"/>
  <c r="AE296" i="17"/>
  <c r="AD296" i="17"/>
  <c r="AC296" i="17"/>
  <c r="AB296" i="17"/>
  <c r="AA296" i="17"/>
  <c r="Y296" i="17"/>
  <c r="X296" i="17"/>
  <c r="W296" i="17"/>
  <c r="V296" i="17"/>
  <c r="U296" i="17"/>
  <c r="R296" i="17"/>
  <c r="N296" i="17"/>
  <c r="M296" i="17"/>
  <c r="L296" i="17"/>
  <c r="K296" i="17"/>
  <c r="I296" i="17"/>
  <c r="H296" i="17"/>
  <c r="S296" i="17" s="1"/>
  <c r="T296" i="17" s="1"/>
  <c r="D296" i="17"/>
  <c r="AL295" i="17"/>
  <c r="AJ295" i="17"/>
  <c r="AF295" i="17"/>
  <c r="AE295" i="17"/>
  <c r="AD295" i="17"/>
  <c r="AC295" i="17"/>
  <c r="AB295" i="17"/>
  <c r="AA295" i="17"/>
  <c r="Y295" i="17"/>
  <c r="X295" i="17"/>
  <c r="W295" i="17"/>
  <c r="V295" i="17"/>
  <c r="U295" i="17"/>
  <c r="R295" i="17"/>
  <c r="M295" i="17"/>
  <c r="L295" i="17"/>
  <c r="K295" i="17"/>
  <c r="I295" i="17"/>
  <c r="H295" i="17"/>
  <c r="D295" i="17"/>
  <c r="N295" i="17" s="1"/>
  <c r="AL294" i="17"/>
  <c r="AJ294" i="17"/>
  <c r="AF294" i="17"/>
  <c r="AE294" i="17"/>
  <c r="AD294" i="17"/>
  <c r="AC294" i="17"/>
  <c r="AB294" i="17"/>
  <c r="AA294" i="17"/>
  <c r="Y294" i="17"/>
  <c r="X294" i="17"/>
  <c r="W294" i="17"/>
  <c r="V294" i="17"/>
  <c r="U294" i="17"/>
  <c r="R294" i="17"/>
  <c r="S294" i="17" s="1"/>
  <c r="T294" i="17" s="1"/>
  <c r="M294" i="17"/>
  <c r="L294" i="17"/>
  <c r="K294" i="17"/>
  <c r="I294" i="17"/>
  <c r="H294" i="17"/>
  <c r="D294" i="17"/>
  <c r="N294" i="17" s="1"/>
  <c r="AL293" i="17"/>
  <c r="AJ293" i="17"/>
  <c r="AF293" i="17"/>
  <c r="AE293" i="17"/>
  <c r="AD293" i="17"/>
  <c r="AC293" i="17"/>
  <c r="AB293" i="17"/>
  <c r="AA293" i="17"/>
  <c r="Y293" i="17"/>
  <c r="X293" i="17"/>
  <c r="W293" i="17"/>
  <c r="V293" i="17"/>
  <c r="U293" i="17"/>
  <c r="R293" i="17"/>
  <c r="N293" i="17"/>
  <c r="M293" i="17"/>
  <c r="L293" i="17"/>
  <c r="K293" i="17"/>
  <c r="I293" i="17"/>
  <c r="H293" i="17"/>
  <c r="S293" i="17" s="1"/>
  <c r="T293" i="17" s="1"/>
  <c r="D293" i="17"/>
  <c r="AL292" i="17"/>
  <c r="AJ292" i="17"/>
  <c r="AF292" i="17"/>
  <c r="AE292" i="17"/>
  <c r="AD292" i="17"/>
  <c r="AC292" i="17"/>
  <c r="AB292" i="17"/>
  <c r="AA292" i="17"/>
  <c r="Y292" i="17"/>
  <c r="X292" i="17"/>
  <c r="W292" i="17"/>
  <c r="V292" i="17"/>
  <c r="U292" i="17"/>
  <c r="S292" i="17"/>
  <c r="T292" i="17" s="1"/>
  <c r="R292" i="17"/>
  <c r="M292" i="17"/>
  <c r="L292" i="17"/>
  <c r="K292" i="17"/>
  <c r="I292" i="17"/>
  <c r="H292" i="17"/>
  <c r="D292" i="17"/>
  <c r="N292" i="17" s="1"/>
  <c r="AL291" i="17"/>
  <c r="AJ291" i="17"/>
  <c r="AF291" i="17"/>
  <c r="AE291" i="17"/>
  <c r="AD291" i="17"/>
  <c r="AC291" i="17"/>
  <c r="AB291" i="17"/>
  <c r="AA291" i="17"/>
  <c r="Y291" i="17"/>
  <c r="X291" i="17"/>
  <c r="W291" i="17"/>
  <c r="V291" i="17"/>
  <c r="U291" i="17"/>
  <c r="R291" i="17"/>
  <c r="M291" i="17"/>
  <c r="L291" i="17"/>
  <c r="K291" i="17"/>
  <c r="I291" i="17"/>
  <c r="H291" i="17"/>
  <c r="S291" i="17" s="1"/>
  <c r="T291" i="17" s="1"/>
  <c r="D291" i="17"/>
  <c r="N291" i="17" s="1"/>
  <c r="AL290" i="17"/>
  <c r="AJ290" i="17"/>
  <c r="AF290" i="17"/>
  <c r="AE290" i="17"/>
  <c r="AD290" i="17"/>
  <c r="AC290" i="17"/>
  <c r="AB290" i="17"/>
  <c r="AA290" i="17"/>
  <c r="Y290" i="17"/>
  <c r="X290" i="17"/>
  <c r="W290" i="17"/>
  <c r="V290" i="17"/>
  <c r="U290" i="17"/>
  <c r="R290" i="17"/>
  <c r="N290" i="17"/>
  <c r="M290" i="17"/>
  <c r="L290" i="17"/>
  <c r="K290" i="17"/>
  <c r="I290" i="17"/>
  <c r="H290" i="17"/>
  <c r="D290" i="17"/>
  <c r="AL289" i="17"/>
  <c r="AJ289" i="17"/>
  <c r="AF289" i="17"/>
  <c r="AE289" i="17"/>
  <c r="AD289" i="17"/>
  <c r="AC289" i="17"/>
  <c r="AB289" i="17"/>
  <c r="AA289" i="17"/>
  <c r="Y289" i="17"/>
  <c r="X289" i="17"/>
  <c r="W289" i="17"/>
  <c r="V289" i="17"/>
  <c r="U289" i="17"/>
  <c r="R289" i="17"/>
  <c r="S290" i="17" s="1"/>
  <c r="T290" i="17" s="1"/>
  <c r="M289" i="17"/>
  <c r="L289" i="17"/>
  <c r="K289" i="17"/>
  <c r="I289" i="17"/>
  <c r="N289" i="17" s="1"/>
  <c r="H289" i="17"/>
  <c r="S289" i="17" s="1"/>
  <c r="T289" i="17" s="1"/>
  <c r="D289" i="17"/>
  <c r="AL288" i="17"/>
  <c r="AJ288" i="17"/>
  <c r="AF288" i="17"/>
  <c r="AE288" i="17"/>
  <c r="AD288" i="17"/>
  <c r="AC288" i="17"/>
  <c r="AB288" i="17"/>
  <c r="AA288" i="17"/>
  <c r="Y288" i="17"/>
  <c r="X288" i="17"/>
  <c r="W288" i="17"/>
  <c r="V288" i="17"/>
  <c r="U288" i="17"/>
  <c r="R288" i="17"/>
  <c r="N288" i="17"/>
  <c r="M288" i="17"/>
  <c r="L288" i="17"/>
  <c r="K288" i="17"/>
  <c r="I288" i="17"/>
  <c r="H288" i="17"/>
  <c r="S288" i="17" s="1"/>
  <c r="T288" i="17" s="1"/>
  <c r="D288" i="17"/>
  <c r="AL287" i="17"/>
  <c r="AJ287" i="17"/>
  <c r="AF287" i="17"/>
  <c r="AE287" i="17"/>
  <c r="AD287" i="17"/>
  <c r="AC287" i="17"/>
  <c r="AB287" i="17"/>
  <c r="AA287" i="17"/>
  <c r="Y287" i="17"/>
  <c r="X287" i="17"/>
  <c r="W287" i="17"/>
  <c r="V287" i="17"/>
  <c r="U287" i="17"/>
  <c r="R287" i="17"/>
  <c r="M287" i="17"/>
  <c r="L287" i="17"/>
  <c r="K287" i="17"/>
  <c r="I287" i="17"/>
  <c r="H287" i="17"/>
  <c r="D287" i="17"/>
  <c r="N287" i="17" s="1"/>
  <c r="AL286" i="17"/>
  <c r="AJ286" i="17"/>
  <c r="AF286" i="17"/>
  <c r="AE286" i="17"/>
  <c r="AD286" i="17"/>
  <c r="AC286" i="17"/>
  <c r="AB286" i="17"/>
  <c r="AA286" i="17"/>
  <c r="Y286" i="17"/>
  <c r="X286" i="17"/>
  <c r="W286" i="17"/>
  <c r="V286" i="17"/>
  <c r="U286" i="17"/>
  <c r="R286" i="17"/>
  <c r="S286" i="17" s="1"/>
  <c r="T286" i="17" s="1"/>
  <c r="M286" i="17"/>
  <c r="L286" i="17"/>
  <c r="K286" i="17"/>
  <c r="I286" i="17"/>
  <c r="H286" i="17"/>
  <c r="D286" i="17"/>
  <c r="N286" i="17" s="1"/>
  <c r="AL285" i="17"/>
  <c r="AJ285" i="17"/>
  <c r="AF285" i="17"/>
  <c r="AE285" i="17"/>
  <c r="AD285" i="17"/>
  <c r="AC285" i="17"/>
  <c r="AB285" i="17"/>
  <c r="AA285" i="17"/>
  <c r="Y285" i="17"/>
  <c r="X285" i="17"/>
  <c r="W285" i="17"/>
  <c r="V285" i="17"/>
  <c r="U285" i="17"/>
  <c r="R285" i="17"/>
  <c r="N285" i="17"/>
  <c r="M285" i="17"/>
  <c r="L285" i="17"/>
  <c r="K285" i="17"/>
  <c r="I285" i="17"/>
  <c r="H285" i="17"/>
  <c r="S285" i="17" s="1"/>
  <c r="T285" i="17" s="1"/>
  <c r="D285" i="17"/>
  <c r="AL284" i="17"/>
  <c r="AJ284" i="17"/>
  <c r="AF284" i="17"/>
  <c r="AE284" i="17"/>
  <c r="AD284" i="17"/>
  <c r="AC284" i="17"/>
  <c r="AB284" i="17"/>
  <c r="AA284" i="17"/>
  <c r="Y284" i="17"/>
  <c r="X284" i="17"/>
  <c r="W284" i="17"/>
  <c r="V284" i="17"/>
  <c r="U284" i="17"/>
  <c r="S284" i="17"/>
  <c r="T284" i="17" s="1"/>
  <c r="R284" i="17"/>
  <c r="M284" i="17"/>
  <c r="L284" i="17"/>
  <c r="K284" i="17"/>
  <c r="I284" i="17"/>
  <c r="H284" i="17"/>
  <c r="D284" i="17"/>
  <c r="N284" i="17" s="1"/>
  <c r="AL283" i="17"/>
  <c r="AJ283" i="17"/>
  <c r="AF283" i="17"/>
  <c r="AE283" i="17"/>
  <c r="AD283" i="17"/>
  <c r="AC283" i="17"/>
  <c r="AB283" i="17"/>
  <c r="AA283" i="17"/>
  <c r="Y283" i="17"/>
  <c r="X283" i="17"/>
  <c r="W283" i="17"/>
  <c r="V283" i="17"/>
  <c r="U283" i="17"/>
  <c r="R283" i="17"/>
  <c r="M283" i="17"/>
  <c r="L283" i="17"/>
  <c r="K283" i="17"/>
  <c r="I283" i="17"/>
  <c r="H283" i="17"/>
  <c r="S283" i="17" s="1"/>
  <c r="T283" i="17" s="1"/>
  <c r="D283" i="17"/>
  <c r="N283" i="17" s="1"/>
  <c r="AL282" i="17"/>
  <c r="AJ282" i="17"/>
  <c r="AF282" i="17"/>
  <c r="AE282" i="17"/>
  <c r="AD282" i="17"/>
  <c r="AC282" i="17"/>
  <c r="AB282" i="17"/>
  <c r="AA282" i="17"/>
  <c r="Y282" i="17"/>
  <c r="X282" i="17"/>
  <c r="W282" i="17"/>
  <c r="V282" i="17"/>
  <c r="U282" i="17"/>
  <c r="R282" i="17"/>
  <c r="N282" i="17"/>
  <c r="M282" i="17"/>
  <c r="L282" i="17"/>
  <c r="K282" i="17"/>
  <c r="I282" i="17"/>
  <c r="H282" i="17"/>
  <c r="D282" i="17"/>
  <c r="AL281" i="17"/>
  <c r="AJ281" i="17"/>
  <c r="AF281" i="17"/>
  <c r="AE281" i="17"/>
  <c r="AD281" i="17"/>
  <c r="AC281" i="17"/>
  <c r="AB281" i="17"/>
  <c r="AA281" i="17"/>
  <c r="Y281" i="17"/>
  <c r="X281" i="17"/>
  <c r="W281" i="17"/>
  <c r="V281" i="17"/>
  <c r="U281" i="17"/>
  <c r="R281" i="17"/>
  <c r="S282" i="17" s="1"/>
  <c r="T282" i="17" s="1"/>
  <c r="M281" i="17"/>
  <c r="L281" i="17"/>
  <c r="K281" i="17"/>
  <c r="I281" i="17"/>
  <c r="N281" i="17" s="1"/>
  <c r="H281" i="17"/>
  <c r="S281" i="17" s="1"/>
  <c r="T281" i="17" s="1"/>
  <c r="D281" i="17"/>
  <c r="AL280" i="17"/>
  <c r="AJ280" i="17"/>
  <c r="AF280" i="17"/>
  <c r="AE280" i="17"/>
  <c r="AD280" i="17"/>
  <c r="AC280" i="17"/>
  <c r="AB280" i="17"/>
  <c r="AA280" i="17"/>
  <c r="Y280" i="17"/>
  <c r="X280" i="17"/>
  <c r="W280" i="17"/>
  <c r="V280" i="17"/>
  <c r="U280" i="17"/>
  <c r="R280" i="17"/>
  <c r="N280" i="17"/>
  <c r="M280" i="17"/>
  <c r="L280" i="17"/>
  <c r="K280" i="17"/>
  <c r="I280" i="17"/>
  <c r="H280" i="17"/>
  <c r="S280" i="17" s="1"/>
  <c r="T280" i="17" s="1"/>
  <c r="D280" i="17"/>
  <c r="AL279" i="17"/>
  <c r="AJ279" i="17"/>
  <c r="AF279" i="17"/>
  <c r="AE279" i="17"/>
  <c r="AD279" i="17"/>
  <c r="AC279" i="17"/>
  <c r="AB279" i="17"/>
  <c r="AA279" i="17"/>
  <c r="Y279" i="17"/>
  <c r="X279" i="17"/>
  <c r="W279" i="17"/>
  <c r="V279" i="17"/>
  <c r="U279" i="17"/>
  <c r="R279" i="17"/>
  <c r="M279" i="17"/>
  <c r="L279" i="17"/>
  <c r="K279" i="17"/>
  <c r="I279" i="17"/>
  <c r="H279" i="17"/>
  <c r="D279" i="17"/>
  <c r="N279" i="17" s="1"/>
  <c r="AL278" i="17"/>
  <c r="AJ278" i="17"/>
  <c r="AF278" i="17"/>
  <c r="AE278" i="17"/>
  <c r="AD278" i="17"/>
  <c r="AC278" i="17"/>
  <c r="AB278" i="17"/>
  <c r="AA278" i="17"/>
  <c r="Y278" i="17"/>
  <c r="X278" i="17"/>
  <c r="W278" i="17"/>
  <c r="V278" i="17"/>
  <c r="U278" i="17"/>
  <c r="R278" i="17"/>
  <c r="S278" i="17" s="1"/>
  <c r="T278" i="17" s="1"/>
  <c r="M278" i="17"/>
  <c r="L278" i="17"/>
  <c r="K278" i="17"/>
  <c r="I278" i="17"/>
  <c r="H278" i="17"/>
  <c r="D278" i="17"/>
  <c r="N278" i="17" s="1"/>
  <c r="AL277" i="17"/>
  <c r="AJ277" i="17"/>
  <c r="AF277" i="17"/>
  <c r="AE277" i="17"/>
  <c r="AD277" i="17"/>
  <c r="AC277" i="17"/>
  <c r="AB277" i="17"/>
  <c r="AA277" i="17"/>
  <c r="Y277" i="17"/>
  <c r="X277" i="17"/>
  <c r="W277" i="17"/>
  <c r="V277" i="17"/>
  <c r="U277" i="17"/>
  <c r="R277" i="17"/>
  <c r="N277" i="17"/>
  <c r="M277" i="17"/>
  <c r="L277" i="17"/>
  <c r="K277" i="17"/>
  <c r="I277" i="17"/>
  <c r="H277" i="17"/>
  <c r="S277" i="17" s="1"/>
  <c r="T277" i="17" s="1"/>
  <c r="D277" i="17"/>
  <c r="AL276" i="17"/>
  <c r="AJ276" i="17"/>
  <c r="AF276" i="17"/>
  <c r="AE276" i="17"/>
  <c r="AD276" i="17"/>
  <c r="AC276" i="17"/>
  <c r="AB276" i="17"/>
  <c r="AA276" i="17"/>
  <c r="Y276" i="17"/>
  <c r="X276" i="17"/>
  <c r="W276" i="17"/>
  <c r="V276" i="17"/>
  <c r="U276" i="17"/>
  <c r="R276" i="17"/>
  <c r="M276" i="17"/>
  <c r="L276" i="17"/>
  <c r="K276" i="17"/>
  <c r="I276" i="17"/>
  <c r="H276" i="17"/>
  <c r="D276" i="17"/>
  <c r="N276" i="17" s="1"/>
  <c r="AL275" i="17"/>
  <c r="AJ275" i="17"/>
  <c r="AF275" i="17"/>
  <c r="AE275" i="17"/>
  <c r="AD275" i="17"/>
  <c r="AC275" i="17"/>
  <c r="AB275" i="17"/>
  <c r="AA275" i="17"/>
  <c r="Y275" i="17"/>
  <c r="X275" i="17"/>
  <c r="W275" i="17"/>
  <c r="V275" i="17"/>
  <c r="U275" i="17"/>
  <c r="R275" i="17"/>
  <c r="S276" i="17" s="1"/>
  <c r="T276" i="17" s="1"/>
  <c r="M275" i="17"/>
  <c r="L275" i="17"/>
  <c r="K275" i="17"/>
  <c r="I275" i="17"/>
  <c r="H275" i="17"/>
  <c r="S275" i="17" s="1"/>
  <c r="T275" i="17" s="1"/>
  <c r="D275" i="17"/>
  <c r="N275" i="17" s="1"/>
  <c r="AL274" i="17"/>
  <c r="AJ274" i="17"/>
  <c r="AF274" i="17"/>
  <c r="AE274" i="17"/>
  <c r="AD274" i="17"/>
  <c r="AC274" i="17"/>
  <c r="AB274" i="17"/>
  <c r="AA274" i="17"/>
  <c r="Y274" i="17"/>
  <c r="X274" i="17"/>
  <c r="W274" i="17"/>
  <c r="V274" i="17"/>
  <c r="U274" i="17"/>
  <c r="R274" i="17"/>
  <c r="N274" i="17"/>
  <c r="M274" i="17"/>
  <c r="L274" i="17"/>
  <c r="K274" i="17"/>
  <c r="I274" i="17"/>
  <c r="H274" i="17"/>
  <c r="D274" i="17"/>
  <c r="AL273" i="17"/>
  <c r="AJ273" i="17"/>
  <c r="AF273" i="17"/>
  <c r="AE273" i="17"/>
  <c r="AD273" i="17"/>
  <c r="AC273" i="17"/>
  <c r="AB273" i="17"/>
  <c r="AA273" i="17"/>
  <c r="Y273" i="17"/>
  <c r="X273" i="17"/>
  <c r="W273" i="17"/>
  <c r="V273" i="17"/>
  <c r="U273" i="17"/>
  <c r="R273" i="17"/>
  <c r="S274" i="17" s="1"/>
  <c r="T274" i="17" s="1"/>
  <c r="M273" i="17"/>
  <c r="L273" i="17"/>
  <c r="K273" i="17"/>
  <c r="I273" i="17"/>
  <c r="N273" i="17" s="1"/>
  <c r="H273" i="17"/>
  <c r="S273" i="17" s="1"/>
  <c r="T273" i="17" s="1"/>
  <c r="D273" i="17"/>
  <c r="AL272" i="17"/>
  <c r="AJ272" i="17"/>
  <c r="AF272" i="17"/>
  <c r="AE272" i="17"/>
  <c r="AD272" i="17"/>
  <c r="AC272" i="17"/>
  <c r="AB272" i="17"/>
  <c r="AA272" i="17"/>
  <c r="Y272" i="17"/>
  <c r="X272" i="17"/>
  <c r="W272" i="17"/>
  <c r="V272" i="17"/>
  <c r="U272" i="17"/>
  <c r="R272" i="17"/>
  <c r="N272" i="17"/>
  <c r="M272" i="17"/>
  <c r="L272" i="17"/>
  <c r="K272" i="17"/>
  <c r="I272" i="17"/>
  <c r="H272" i="17"/>
  <c r="S272" i="17" s="1"/>
  <c r="T272" i="17" s="1"/>
  <c r="D272" i="17"/>
  <c r="AL271" i="17"/>
  <c r="AJ271" i="17"/>
  <c r="AF271" i="17"/>
  <c r="AE271" i="17"/>
  <c r="AD271" i="17"/>
  <c r="AC271" i="17"/>
  <c r="AB271" i="17"/>
  <c r="AA271" i="17"/>
  <c r="Y271" i="17"/>
  <c r="X271" i="17"/>
  <c r="W271" i="17"/>
  <c r="V271" i="17"/>
  <c r="U271" i="17"/>
  <c r="R271" i="17"/>
  <c r="M271" i="17"/>
  <c r="L271" i="17"/>
  <c r="K271" i="17"/>
  <c r="I271" i="17"/>
  <c r="H271" i="17"/>
  <c r="D271" i="17"/>
  <c r="N271" i="17" s="1"/>
  <c r="AL270" i="17"/>
  <c r="AJ270" i="17"/>
  <c r="AF270" i="17"/>
  <c r="AE270" i="17"/>
  <c r="AD270" i="17"/>
  <c r="AC270" i="17"/>
  <c r="AB270" i="17"/>
  <c r="AA270" i="17"/>
  <c r="Y270" i="17"/>
  <c r="X270" i="17"/>
  <c r="W270" i="17"/>
  <c r="V270" i="17"/>
  <c r="U270" i="17"/>
  <c r="R270" i="17"/>
  <c r="S270" i="17" s="1"/>
  <c r="T270" i="17" s="1"/>
  <c r="M270" i="17"/>
  <c r="L270" i="17"/>
  <c r="K270" i="17"/>
  <c r="I270" i="17"/>
  <c r="H270" i="17"/>
  <c r="D270" i="17"/>
  <c r="N270" i="17" s="1"/>
  <c r="AL269" i="17"/>
  <c r="AJ269" i="17"/>
  <c r="AF269" i="17"/>
  <c r="AE269" i="17"/>
  <c r="AD269" i="17"/>
  <c r="AC269" i="17"/>
  <c r="AB269" i="17"/>
  <c r="AA269" i="17"/>
  <c r="Y269" i="17"/>
  <c r="X269" i="17"/>
  <c r="W269" i="17"/>
  <c r="V269" i="17"/>
  <c r="U269" i="17"/>
  <c r="R269" i="17"/>
  <c r="N269" i="17"/>
  <c r="M269" i="17"/>
  <c r="L269" i="17"/>
  <c r="K269" i="17"/>
  <c r="I269" i="17"/>
  <c r="H269" i="17"/>
  <c r="S269" i="17" s="1"/>
  <c r="T269" i="17" s="1"/>
  <c r="D269" i="17"/>
  <c r="AL268" i="17"/>
  <c r="AJ268" i="17"/>
  <c r="AF268" i="17"/>
  <c r="AE268" i="17"/>
  <c r="AD268" i="17"/>
  <c r="AC268" i="17"/>
  <c r="AB268" i="17"/>
  <c r="AA268" i="17"/>
  <c r="Y268" i="17"/>
  <c r="X268" i="17"/>
  <c r="W268" i="17"/>
  <c r="V268" i="17"/>
  <c r="U268" i="17"/>
  <c r="R268" i="17"/>
  <c r="M268" i="17"/>
  <c r="L268" i="17"/>
  <c r="K268" i="17"/>
  <c r="I268" i="17"/>
  <c r="H268" i="17"/>
  <c r="D268" i="17"/>
  <c r="N268" i="17" s="1"/>
  <c r="AL267" i="17"/>
  <c r="AJ267" i="17"/>
  <c r="AF267" i="17"/>
  <c r="AE267" i="17"/>
  <c r="AD267" i="17"/>
  <c r="AC267" i="17"/>
  <c r="AB267" i="17"/>
  <c r="AA267" i="17"/>
  <c r="Y267" i="17"/>
  <c r="X267" i="17"/>
  <c r="W267" i="17"/>
  <c r="V267" i="17"/>
  <c r="U267" i="17"/>
  <c r="R267" i="17"/>
  <c r="S268" i="17" s="1"/>
  <c r="T268" i="17" s="1"/>
  <c r="M267" i="17"/>
  <c r="L267" i="17"/>
  <c r="K267" i="17"/>
  <c r="I267" i="17"/>
  <c r="H267" i="17"/>
  <c r="S267" i="17" s="1"/>
  <c r="T267" i="17" s="1"/>
  <c r="D267" i="17"/>
  <c r="N267" i="17" s="1"/>
  <c r="AL266" i="17"/>
  <c r="AJ266" i="17"/>
  <c r="AF266" i="17"/>
  <c r="AE266" i="17"/>
  <c r="AD266" i="17"/>
  <c r="AC266" i="17"/>
  <c r="AB266" i="17"/>
  <c r="AA266" i="17"/>
  <c r="Y266" i="17"/>
  <c r="X266" i="17"/>
  <c r="W266" i="17"/>
  <c r="V266" i="17"/>
  <c r="U266" i="17"/>
  <c r="R266" i="17"/>
  <c r="N266" i="17"/>
  <c r="M266" i="17"/>
  <c r="L266" i="17"/>
  <c r="K266" i="17"/>
  <c r="I266" i="17"/>
  <c r="H266" i="17"/>
  <c r="D266" i="17"/>
  <c r="AL265" i="17"/>
  <c r="AJ265" i="17"/>
  <c r="AF265" i="17"/>
  <c r="AE265" i="17"/>
  <c r="AD265" i="17"/>
  <c r="AC265" i="17"/>
  <c r="AB265" i="17"/>
  <c r="AA265" i="17"/>
  <c r="Y265" i="17"/>
  <c r="X265" i="17"/>
  <c r="W265" i="17"/>
  <c r="V265" i="17"/>
  <c r="U265" i="17"/>
  <c r="R265" i="17"/>
  <c r="S266" i="17" s="1"/>
  <c r="T266" i="17" s="1"/>
  <c r="M265" i="17"/>
  <c r="L265" i="17"/>
  <c r="K265" i="17"/>
  <c r="I265" i="17"/>
  <c r="N265" i="17" s="1"/>
  <c r="H265" i="17"/>
  <c r="S265" i="17" s="1"/>
  <c r="T265" i="17" s="1"/>
  <c r="D265" i="17"/>
  <c r="AL264" i="17"/>
  <c r="AJ264" i="17"/>
  <c r="AF264" i="17"/>
  <c r="AE264" i="17"/>
  <c r="AD264" i="17"/>
  <c r="AC264" i="17"/>
  <c r="AB264" i="17"/>
  <c r="AA264" i="17"/>
  <c r="Y264" i="17"/>
  <c r="X264" i="17"/>
  <c r="W264" i="17"/>
  <c r="V264" i="17"/>
  <c r="U264" i="17"/>
  <c r="R264" i="17"/>
  <c r="N264" i="17"/>
  <c r="M264" i="17"/>
  <c r="L264" i="17"/>
  <c r="K264" i="17"/>
  <c r="I264" i="17"/>
  <c r="H264" i="17"/>
  <c r="S264" i="17" s="1"/>
  <c r="T264" i="17" s="1"/>
  <c r="D264" i="17"/>
  <c r="AL263" i="17"/>
  <c r="AJ263" i="17"/>
  <c r="AF263" i="17"/>
  <c r="AE263" i="17"/>
  <c r="AD263" i="17"/>
  <c r="AC263" i="17"/>
  <c r="AB263" i="17"/>
  <c r="AA263" i="17"/>
  <c r="Y263" i="17"/>
  <c r="X263" i="17"/>
  <c r="W263" i="17"/>
  <c r="V263" i="17"/>
  <c r="U263" i="17"/>
  <c r="R263" i="17"/>
  <c r="M263" i="17"/>
  <c r="L263" i="17"/>
  <c r="K263" i="17"/>
  <c r="I263" i="17"/>
  <c r="H263" i="17"/>
  <c r="D263" i="17"/>
  <c r="N263" i="17" s="1"/>
  <c r="AL262" i="17"/>
  <c r="AJ262" i="17"/>
  <c r="AF262" i="17"/>
  <c r="AE262" i="17"/>
  <c r="AD262" i="17"/>
  <c r="AC262" i="17"/>
  <c r="AB262" i="17"/>
  <c r="AA262" i="17"/>
  <c r="Y262" i="17"/>
  <c r="X262" i="17"/>
  <c r="W262" i="17"/>
  <c r="V262" i="17"/>
  <c r="U262" i="17"/>
  <c r="R262" i="17"/>
  <c r="S262" i="17" s="1"/>
  <c r="T262" i="17" s="1"/>
  <c r="M262" i="17"/>
  <c r="L262" i="17"/>
  <c r="K262" i="17"/>
  <c r="I262" i="17"/>
  <c r="H262" i="17"/>
  <c r="D262" i="17"/>
  <c r="N262" i="17" s="1"/>
  <c r="AL261" i="17"/>
  <c r="AJ261" i="17"/>
  <c r="AF261" i="17"/>
  <c r="AE261" i="17"/>
  <c r="AD261" i="17"/>
  <c r="AC261" i="17"/>
  <c r="AB261" i="17"/>
  <c r="AA261" i="17"/>
  <c r="Y261" i="17"/>
  <c r="X261" i="17"/>
  <c r="W261" i="17"/>
  <c r="V261" i="17"/>
  <c r="U261" i="17"/>
  <c r="R261" i="17"/>
  <c r="N261" i="17"/>
  <c r="M261" i="17"/>
  <c r="L261" i="17"/>
  <c r="K261" i="17"/>
  <c r="I261" i="17"/>
  <c r="H261" i="17"/>
  <c r="S261" i="17" s="1"/>
  <c r="T261" i="17" s="1"/>
  <c r="D261" i="17"/>
  <c r="AL260" i="17"/>
  <c r="AJ260" i="17"/>
  <c r="AF260" i="17"/>
  <c r="AE260" i="17"/>
  <c r="AD260" i="17"/>
  <c r="AC260" i="17"/>
  <c r="AB260" i="17"/>
  <c r="AA260" i="17"/>
  <c r="Y260" i="17"/>
  <c r="X260" i="17"/>
  <c r="W260" i="17"/>
  <c r="V260" i="17"/>
  <c r="U260" i="17"/>
  <c r="R260" i="17"/>
  <c r="M260" i="17"/>
  <c r="L260" i="17"/>
  <c r="K260" i="17"/>
  <c r="I260" i="17"/>
  <c r="H260" i="17"/>
  <c r="D260" i="17"/>
  <c r="N260" i="17" s="1"/>
  <c r="AL259" i="17"/>
  <c r="AJ259" i="17"/>
  <c r="AF259" i="17"/>
  <c r="AE259" i="17"/>
  <c r="AD259" i="17"/>
  <c r="AC259" i="17"/>
  <c r="AB259" i="17"/>
  <c r="AA259" i="17"/>
  <c r="Y259" i="17"/>
  <c r="X259" i="17"/>
  <c r="W259" i="17"/>
  <c r="V259" i="17"/>
  <c r="U259" i="17"/>
  <c r="R259" i="17"/>
  <c r="S260" i="17" s="1"/>
  <c r="T260" i="17" s="1"/>
  <c r="M259" i="17"/>
  <c r="L259" i="17"/>
  <c r="K259" i="17"/>
  <c r="I259" i="17"/>
  <c r="H259" i="17"/>
  <c r="S259" i="17" s="1"/>
  <c r="T259" i="17" s="1"/>
  <c r="D259" i="17"/>
  <c r="N259" i="17" s="1"/>
  <c r="AL258" i="17"/>
  <c r="AJ258" i="17"/>
  <c r="AF258" i="17"/>
  <c r="AE258" i="17"/>
  <c r="AD258" i="17"/>
  <c r="AC258" i="17"/>
  <c r="AB258" i="17"/>
  <c r="AA258" i="17"/>
  <c r="Y258" i="17"/>
  <c r="X258" i="17"/>
  <c r="W258" i="17"/>
  <c r="V258" i="17"/>
  <c r="U258" i="17"/>
  <c r="S258" i="17"/>
  <c r="T258" i="17" s="1"/>
  <c r="R258" i="17"/>
  <c r="N258" i="17"/>
  <c r="M258" i="17"/>
  <c r="L258" i="17"/>
  <c r="K258" i="17"/>
  <c r="I258" i="17"/>
  <c r="H258" i="17"/>
  <c r="D258" i="17"/>
  <c r="AL257" i="17"/>
  <c r="AJ257" i="17"/>
  <c r="AF257" i="17"/>
  <c r="AE257" i="17"/>
  <c r="AD257" i="17"/>
  <c r="AC257" i="17"/>
  <c r="AB257" i="17"/>
  <c r="AA257" i="17"/>
  <c r="Y257" i="17"/>
  <c r="X257" i="17"/>
  <c r="W257" i="17"/>
  <c r="V257" i="17"/>
  <c r="U257" i="17"/>
  <c r="R257" i="17"/>
  <c r="M257" i="17"/>
  <c r="L257" i="17"/>
  <c r="K257" i="17"/>
  <c r="I257" i="17"/>
  <c r="H257" i="17"/>
  <c r="S257" i="17" s="1"/>
  <c r="T257" i="17" s="1"/>
  <c r="D257" i="17"/>
  <c r="N257" i="17" s="1"/>
  <c r="AL256" i="17"/>
  <c r="AJ256" i="17"/>
  <c r="AF256" i="17"/>
  <c r="AE256" i="17"/>
  <c r="AD256" i="17"/>
  <c r="AC256" i="17"/>
  <c r="AB256" i="17"/>
  <c r="AA256" i="17"/>
  <c r="Y256" i="17"/>
  <c r="X256" i="17"/>
  <c r="W256" i="17"/>
  <c r="V256" i="17"/>
  <c r="U256" i="17"/>
  <c r="R256" i="17"/>
  <c r="N256" i="17"/>
  <c r="M256" i="17"/>
  <c r="L256" i="17"/>
  <c r="K256" i="17"/>
  <c r="I256" i="17"/>
  <c r="H256" i="17"/>
  <c r="S256" i="17" s="1"/>
  <c r="T256" i="17" s="1"/>
  <c r="D256" i="17"/>
  <c r="AL255" i="17"/>
  <c r="AJ255" i="17"/>
  <c r="AF255" i="17"/>
  <c r="AE255" i="17"/>
  <c r="AD255" i="17"/>
  <c r="AC255" i="17"/>
  <c r="AB255" i="17"/>
  <c r="AA255" i="17"/>
  <c r="Y255" i="17"/>
  <c r="X255" i="17"/>
  <c r="W255" i="17"/>
  <c r="V255" i="17"/>
  <c r="U255" i="17"/>
  <c r="R255" i="17"/>
  <c r="M255" i="17"/>
  <c r="L255" i="17"/>
  <c r="K255" i="17"/>
  <c r="I255" i="17"/>
  <c r="H255" i="17"/>
  <c r="D255" i="17"/>
  <c r="N255" i="17" s="1"/>
  <c r="AL254" i="17"/>
  <c r="AJ254" i="17"/>
  <c r="AF254" i="17"/>
  <c r="AE254" i="17"/>
  <c r="AD254" i="17"/>
  <c r="AC254" i="17"/>
  <c r="AB254" i="17"/>
  <c r="AA254" i="17"/>
  <c r="Y254" i="17"/>
  <c r="X254" i="17"/>
  <c r="W254" i="17"/>
  <c r="V254" i="17"/>
  <c r="U254" i="17"/>
  <c r="R254" i="17"/>
  <c r="S254" i="17" s="1"/>
  <c r="T254" i="17" s="1"/>
  <c r="M254" i="17"/>
  <c r="L254" i="17"/>
  <c r="K254" i="17"/>
  <c r="I254" i="17"/>
  <c r="H254" i="17"/>
  <c r="D254" i="17"/>
  <c r="N254" i="17" s="1"/>
  <c r="AL253" i="17"/>
  <c r="AJ253" i="17"/>
  <c r="AF253" i="17"/>
  <c r="AE253" i="17"/>
  <c r="AD253" i="17"/>
  <c r="AC253" i="17"/>
  <c r="AB253" i="17"/>
  <c r="AA253" i="17"/>
  <c r="Y253" i="17"/>
  <c r="X253" i="17"/>
  <c r="W253" i="17"/>
  <c r="V253" i="17"/>
  <c r="U253" i="17"/>
  <c r="R253" i="17"/>
  <c r="N253" i="17"/>
  <c r="M253" i="17"/>
  <c r="L253" i="17"/>
  <c r="K253" i="17"/>
  <c r="I253" i="17"/>
  <c r="H253" i="17"/>
  <c r="S253" i="17" s="1"/>
  <c r="T253" i="17" s="1"/>
  <c r="D253" i="17"/>
  <c r="AL252" i="17"/>
  <c r="AJ252" i="17"/>
  <c r="AF252" i="17"/>
  <c r="AE252" i="17"/>
  <c r="AD252" i="17"/>
  <c r="AC252" i="17"/>
  <c r="AB252" i="17"/>
  <c r="AA252" i="17"/>
  <c r="Y252" i="17"/>
  <c r="X252" i="17"/>
  <c r="W252" i="17"/>
  <c r="V252" i="17"/>
  <c r="U252" i="17"/>
  <c r="R252" i="17"/>
  <c r="M252" i="17"/>
  <c r="L252" i="17"/>
  <c r="K252" i="17"/>
  <c r="I252" i="17"/>
  <c r="H252" i="17"/>
  <c r="D252" i="17"/>
  <c r="N252" i="17" s="1"/>
  <c r="AL251" i="17"/>
  <c r="AJ251" i="17"/>
  <c r="AF251" i="17"/>
  <c r="AE251" i="17"/>
  <c r="AD251" i="17"/>
  <c r="AC251" i="17"/>
  <c r="AB251" i="17"/>
  <c r="AA251" i="17"/>
  <c r="Y251" i="17"/>
  <c r="X251" i="17"/>
  <c r="W251" i="17"/>
  <c r="V251" i="17"/>
  <c r="U251" i="17"/>
  <c r="R251" i="17"/>
  <c r="S252" i="17" s="1"/>
  <c r="T252" i="17" s="1"/>
  <c r="M251" i="17"/>
  <c r="L251" i="17"/>
  <c r="K251" i="17"/>
  <c r="I251" i="17"/>
  <c r="H251" i="17"/>
  <c r="S251" i="17" s="1"/>
  <c r="T251" i="17" s="1"/>
  <c r="D251" i="17"/>
  <c r="N251" i="17" s="1"/>
  <c r="AL250" i="17"/>
  <c r="AJ250" i="17"/>
  <c r="AF250" i="17"/>
  <c r="AE250" i="17"/>
  <c r="AD250" i="17"/>
  <c r="AC250" i="17"/>
  <c r="AB250" i="17"/>
  <c r="AA250" i="17"/>
  <c r="Y250" i="17"/>
  <c r="X250" i="17"/>
  <c r="W250" i="17"/>
  <c r="V250" i="17"/>
  <c r="U250" i="17"/>
  <c r="R250" i="17"/>
  <c r="N250" i="17"/>
  <c r="M250" i="17"/>
  <c r="L250" i="17"/>
  <c r="K250" i="17"/>
  <c r="I250" i="17"/>
  <c r="H250" i="17"/>
  <c r="D250" i="17"/>
  <c r="AL249" i="17"/>
  <c r="AJ249" i="17"/>
  <c r="AF249" i="17"/>
  <c r="AE249" i="17"/>
  <c r="AD249" i="17"/>
  <c r="AC249" i="17"/>
  <c r="AB249" i="17"/>
  <c r="AA249" i="17"/>
  <c r="Y249" i="17"/>
  <c r="X249" i="17"/>
  <c r="W249" i="17"/>
  <c r="V249" i="17"/>
  <c r="U249" i="17"/>
  <c r="R249" i="17"/>
  <c r="S250" i="17" s="1"/>
  <c r="T250" i="17" s="1"/>
  <c r="M249" i="17"/>
  <c r="L249" i="17"/>
  <c r="K249" i="17"/>
  <c r="I249" i="17"/>
  <c r="H249" i="17"/>
  <c r="S249" i="17" s="1"/>
  <c r="T249" i="17" s="1"/>
  <c r="D249" i="17"/>
  <c r="N249" i="17" s="1"/>
  <c r="AL248" i="17"/>
  <c r="AJ248" i="17"/>
  <c r="AF248" i="17"/>
  <c r="AE248" i="17"/>
  <c r="AD248" i="17"/>
  <c r="AC248" i="17"/>
  <c r="AB248" i="17"/>
  <c r="AA248" i="17"/>
  <c r="Y248" i="17"/>
  <c r="X248" i="17"/>
  <c r="W248" i="17"/>
  <c r="V248" i="17"/>
  <c r="U248" i="17"/>
  <c r="R248" i="17"/>
  <c r="N248" i="17"/>
  <c r="M248" i="17"/>
  <c r="L248" i="17"/>
  <c r="K248" i="17"/>
  <c r="I248" i="17"/>
  <c r="H248" i="17"/>
  <c r="S248" i="17" s="1"/>
  <c r="T248" i="17" s="1"/>
  <c r="D248" i="17"/>
  <c r="AL247" i="17"/>
  <c r="AJ247" i="17"/>
  <c r="AF247" i="17"/>
  <c r="AE247" i="17"/>
  <c r="AD247" i="17"/>
  <c r="AC247" i="17"/>
  <c r="AB247" i="17"/>
  <c r="AA247" i="17"/>
  <c r="Y247" i="17"/>
  <c r="X247" i="17"/>
  <c r="W247" i="17"/>
  <c r="V247" i="17"/>
  <c r="U247" i="17"/>
  <c r="R247" i="17"/>
  <c r="M247" i="17"/>
  <c r="L247" i="17"/>
  <c r="K247" i="17"/>
  <c r="I247" i="17"/>
  <c r="H247" i="17"/>
  <c r="D247" i="17"/>
  <c r="N247" i="17" s="1"/>
  <c r="AL246" i="17"/>
  <c r="AJ246" i="17"/>
  <c r="AF246" i="17"/>
  <c r="AE246" i="17"/>
  <c r="AD246" i="17"/>
  <c r="AC246" i="17"/>
  <c r="AB246" i="17"/>
  <c r="AA246" i="17"/>
  <c r="Y246" i="17"/>
  <c r="X246" i="17"/>
  <c r="W246" i="17"/>
  <c r="V246" i="17"/>
  <c r="U246" i="17"/>
  <c r="R246" i="17"/>
  <c r="S246" i="17" s="1"/>
  <c r="T246" i="17" s="1"/>
  <c r="M246" i="17"/>
  <c r="L246" i="17"/>
  <c r="K246" i="17"/>
  <c r="I246" i="17"/>
  <c r="H246" i="17"/>
  <c r="D246" i="17"/>
  <c r="N246" i="17" s="1"/>
  <c r="AL245" i="17"/>
  <c r="AJ245" i="17"/>
  <c r="AF245" i="17"/>
  <c r="AE245" i="17"/>
  <c r="AD245" i="17"/>
  <c r="AC245" i="17"/>
  <c r="AB245" i="17"/>
  <c r="AA245" i="17"/>
  <c r="Y245" i="17"/>
  <c r="X245" i="17"/>
  <c r="W245" i="17"/>
  <c r="V245" i="17"/>
  <c r="U245" i="17"/>
  <c r="R245" i="17"/>
  <c r="N245" i="17"/>
  <c r="M245" i="17"/>
  <c r="L245" i="17"/>
  <c r="K245" i="17"/>
  <c r="I245" i="17"/>
  <c r="H245" i="17"/>
  <c r="S245" i="17" s="1"/>
  <c r="T245" i="17" s="1"/>
  <c r="D245" i="17"/>
  <c r="AL244" i="17"/>
  <c r="AJ244" i="17"/>
  <c r="AF244" i="17"/>
  <c r="AE244" i="17"/>
  <c r="AD244" i="17"/>
  <c r="AC244" i="17"/>
  <c r="AB244" i="17"/>
  <c r="AA244" i="17"/>
  <c r="Y244" i="17"/>
  <c r="X244" i="17"/>
  <c r="W244" i="17"/>
  <c r="V244" i="17"/>
  <c r="U244" i="17"/>
  <c r="R244" i="17"/>
  <c r="M244" i="17"/>
  <c r="L244" i="17"/>
  <c r="K244" i="17"/>
  <c r="I244" i="17"/>
  <c r="H244" i="17"/>
  <c r="D244" i="17"/>
  <c r="N244" i="17" s="1"/>
  <c r="AL243" i="17"/>
  <c r="AJ243" i="17"/>
  <c r="AF243" i="17"/>
  <c r="AE243" i="17"/>
  <c r="AD243" i="17"/>
  <c r="AC243" i="17"/>
  <c r="AB243" i="17"/>
  <c r="AA243" i="17"/>
  <c r="Y243" i="17"/>
  <c r="X243" i="17"/>
  <c r="W243" i="17"/>
  <c r="V243" i="17"/>
  <c r="U243" i="17"/>
  <c r="R243" i="17"/>
  <c r="S244" i="17" s="1"/>
  <c r="T244" i="17" s="1"/>
  <c r="M243" i="17"/>
  <c r="L243" i="17"/>
  <c r="K243" i="17"/>
  <c r="I243" i="17"/>
  <c r="H243" i="17"/>
  <c r="S243" i="17" s="1"/>
  <c r="T243" i="17" s="1"/>
  <c r="D243" i="17"/>
  <c r="N243" i="17" s="1"/>
  <c r="AL242" i="17"/>
  <c r="AJ242" i="17"/>
  <c r="AF242" i="17"/>
  <c r="AE242" i="17"/>
  <c r="AD242" i="17"/>
  <c r="AC242" i="17"/>
  <c r="AB242" i="17"/>
  <c r="AA242" i="17"/>
  <c r="Y242" i="17"/>
  <c r="X242" i="17"/>
  <c r="W242" i="17"/>
  <c r="V242" i="17"/>
  <c r="U242" i="17"/>
  <c r="R242" i="17"/>
  <c r="N242" i="17"/>
  <c r="M242" i="17"/>
  <c r="L242" i="17"/>
  <c r="K242" i="17"/>
  <c r="I242" i="17"/>
  <c r="H242" i="17"/>
  <c r="D242" i="17"/>
  <c r="AL241" i="17"/>
  <c r="AJ241" i="17"/>
  <c r="AF241" i="17"/>
  <c r="AE241" i="17"/>
  <c r="AD241" i="17"/>
  <c r="AC241" i="17"/>
  <c r="AB241" i="17"/>
  <c r="AA241" i="17"/>
  <c r="Y241" i="17"/>
  <c r="X241" i="17"/>
  <c r="W241" i="17"/>
  <c r="V241" i="17"/>
  <c r="U241" i="17"/>
  <c r="R241" i="17"/>
  <c r="S242" i="17" s="1"/>
  <c r="T242" i="17" s="1"/>
  <c r="M241" i="17"/>
  <c r="L241" i="17"/>
  <c r="K241" i="17"/>
  <c r="I241" i="17"/>
  <c r="H241" i="17"/>
  <c r="S241" i="17" s="1"/>
  <c r="T241" i="17" s="1"/>
  <c r="D241" i="17"/>
  <c r="N241" i="17" s="1"/>
  <c r="AL240" i="17"/>
  <c r="AJ240" i="17"/>
  <c r="AF240" i="17"/>
  <c r="AE240" i="17"/>
  <c r="AD240" i="17"/>
  <c r="AC240" i="17"/>
  <c r="AB240" i="17"/>
  <c r="AA240" i="17"/>
  <c r="Y240" i="17"/>
  <c r="X240" i="17"/>
  <c r="W240" i="17"/>
  <c r="V240" i="17"/>
  <c r="U240" i="17"/>
  <c r="R240" i="17"/>
  <c r="N240" i="17"/>
  <c r="M240" i="17"/>
  <c r="L240" i="17"/>
  <c r="K240" i="17"/>
  <c r="I240" i="17"/>
  <c r="H240" i="17"/>
  <c r="S240" i="17" s="1"/>
  <c r="T240" i="17" s="1"/>
  <c r="D240" i="17"/>
  <c r="AL239" i="17"/>
  <c r="AJ239" i="17"/>
  <c r="AF239" i="17"/>
  <c r="AE239" i="17"/>
  <c r="AD239" i="17"/>
  <c r="AC239" i="17"/>
  <c r="AB239" i="17"/>
  <c r="AA239" i="17"/>
  <c r="Y239" i="17"/>
  <c r="X239" i="17"/>
  <c r="W239" i="17"/>
  <c r="V239" i="17"/>
  <c r="U239" i="17"/>
  <c r="R239" i="17"/>
  <c r="M239" i="17"/>
  <c r="L239" i="17"/>
  <c r="K239" i="17"/>
  <c r="I239" i="17"/>
  <c r="H239" i="17"/>
  <c r="D239" i="17"/>
  <c r="N239" i="17" s="1"/>
  <c r="AL238" i="17"/>
  <c r="AJ238" i="17"/>
  <c r="AF238" i="17"/>
  <c r="AE238" i="17"/>
  <c r="AD238" i="17"/>
  <c r="AC238" i="17"/>
  <c r="AB238" i="17"/>
  <c r="AA238" i="17"/>
  <c r="Y238" i="17"/>
  <c r="X238" i="17"/>
  <c r="W238" i="17"/>
  <c r="V238" i="17"/>
  <c r="U238" i="17"/>
  <c r="R238" i="17"/>
  <c r="S238" i="17" s="1"/>
  <c r="T238" i="17" s="1"/>
  <c r="M238" i="17"/>
  <c r="L238" i="17"/>
  <c r="K238" i="17"/>
  <c r="I238" i="17"/>
  <c r="H238" i="17"/>
  <c r="D238" i="17"/>
  <c r="N238" i="17" s="1"/>
  <c r="AL237" i="17"/>
  <c r="AJ237" i="17"/>
  <c r="AF237" i="17"/>
  <c r="AE237" i="17"/>
  <c r="AD237" i="17"/>
  <c r="AC237" i="17"/>
  <c r="AB237" i="17"/>
  <c r="AA237" i="17"/>
  <c r="Y237" i="17"/>
  <c r="X237" i="17"/>
  <c r="W237" i="17"/>
  <c r="V237" i="17"/>
  <c r="U237" i="17"/>
  <c r="R237" i="17"/>
  <c r="N237" i="17"/>
  <c r="M237" i="17"/>
  <c r="L237" i="17"/>
  <c r="K237" i="17"/>
  <c r="I237" i="17"/>
  <c r="H237" i="17"/>
  <c r="S237" i="17" s="1"/>
  <c r="T237" i="17" s="1"/>
  <c r="D237" i="17"/>
  <c r="AL236" i="17"/>
  <c r="AJ236" i="17"/>
  <c r="AF236" i="17"/>
  <c r="AE236" i="17"/>
  <c r="AD236" i="17"/>
  <c r="AC236" i="17"/>
  <c r="AB236" i="17"/>
  <c r="AA236" i="17"/>
  <c r="Y236" i="17"/>
  <c r="X236" i="17"/>
  <c r="W236" i="17"/>
  <c r="V236" i="17"/>
  <c r="U236" i="17"/>
  <c r="R236" i="17"/>
  <c r="M236" i="17"/>
  <c r="L236" i="17"/>
  <c r="K236" i="17"/>
  <c r="I236" i="17"/>
  <c r="H236" i="17"/>
  <c r="D236" i="17"/>
  <c r="N236" i="17" s="1"/>
  <c r="AL235" i="17"/>
  <c r="AJ235" i="17"/>
  <c r="AF235" i="17"/>
  <c r="AE235" i="17"/>
  <c r="AD235" i="17"/>
  <c r="AC235" i="17"/>
  <c r="AB235" i="17"/>
  <c r="AA235" i="17"/>
  <c r="Y235" i="17"/>
  <c r="X235" i="17"/>
  <c r="W235" i="17"/>
  <c r="V235" i="17"/>
  <c r="U235" i="17"/>
  <c r="R235" i="17"/>
  <c r="S236" i="17" s="1"/>
  <c r="T236" i="17" s="1"/>
  <c r="M235" i="17"/>
  <c r="L235" i="17"/>
  <c r="K235" i="17"/>
  <c r="I235" i="17"/>
  <c r="H235" i="17"/>
  <c r="S235" i="17" s="1"/>
  <c r="T235" i="17" s="1"/>
  <c r="D235" i="17"/>
  <c r="N235" i="17" s="1"/>
  <c r="AL234" i="17"/>
  <c r="AJ234" i="17"/>
  <c r="AF234" i="17"/>
  <c r="AE234" i="17"/>
  <c r="AD234" i="17"/>
  <c r="AC234" i="17"/>
  <c r="AB234" i="17"/>
  <c r="AA234" i="17"/>
  <c r="Y234" i="17"/>
  <c r="X234" i="17"/>
  <c r="W234" i="17"/>
  <c r="V234" i="17"/>
  <c r="U234" i="17"/>
  <c r="R234" i="17"/>
  <c r="N234" i="17"/>
  <c r="M234" i="17"/>
  <c r="L234" i="17"/>
  <c r="K234" i="17"/>
  <c r="I234" i="17"/>
  <c r="H234" i="17"/>
  <c r="D234" i="17"/>
  <c r="AL233" i="17"/>
  <c r="AJ233" i="17"/>
  <c r="AF233" i="17"/>
  <c r="AE233" i="17"/>
  <c r="AD233" i="17"/>
  <c r="AC233" i="17"/>
  <c r="AB233" i="17"/>
  <c r="AA233" i="17"/>
  <c r="Y233" i="17"/>
  <c r="X233" i="17"/>
  <c r="W233" i="17"/>
  <c r="V233" i="17"/>
  <c r="U233" i="17"/>
  <c r="R233" i="17"/>
  <c r="S234" i="17" s="1"/>
  <c r="T234" i="17" s="1"/>
  <c r="M233" i="17"/>
  <c r="L233" i="17"/>
  <c r="K233" i="17"/>
  <c r="I233" i="17"/>
  <c r="H233" i="17"/>
  <c r="S233" i="17" s="1"/>
  <c r="T233" i="17" s="1"/>
  <c r="D233" i="17"/>
  <c r="N233" i="17" s="1"/>
  <c r="AL232" i="17"/>
  <c r="AJ232" i="17"/>
  <c r="AF232" i="17"/>
  <c r="AE232" i="17"/>
  <c r="AD232" i="17"/>
  <c r="AC232" i="17"/>
  <c r="AB232" i="17"/>
  <c r="AA232" i="17"/>
  <c r="Y232" i="17"/>
  <c r="X232" i="17"/>
  <c r="W232" i="17"/>
  <c r="V232" i="17"/>
  <c r="U232" i="17"/>
  <c r="R232" i="17"/>
  <c r="N232" i="17"/>
  <c r="M232" i="17"/>
  <c r="L232" i="17"/>
  <c r="K232" i="17"/>
  <c r="I232" i="17"/>
  <c r="H232" i="17"/>
  <c r="S232" i="17" s="1"/>
  <c r="T232" i="17" s="1"/>
  <c r="D232" i="17"/>
  <c r="AL231" i="17"/>
  <c r="AJ231" i="17"/>
  <c r="AF231" i="17"/>
  <c r="AE231" i="17"/>
  <c r="AD231" i="17"/>
  <c r="AC231" i="17"/>
  <c r="AB231" i="17"/>
  <c r="AA231" i="17"/>
  <c r="Y231" i="17"/>
  <c r="X231" i="17"/>
  <c r="W231" i="17"/>
  <c r="V231" i="17"/>
  <c r="U231" i="17"/>
  <c r="R231" i="17"/>
  <c r="M231" i="17"/>
  <c r="L231" i="17"/>
  <c r="K231" i="17"/>
  <c r="I231" i="17"/>
  <c r="H231" i="17"/>
  <c r="D231" i="17"/>
  <c r="N231" i="17" s="1"/>
  <c r="AL230" i="17"/>
  <c r="AJ230" i="17"/>
  <c r="AF230" i="17"/>
  <c r="AE230" i="17"/>
  <c r="AD230" i="17"/>
  <c r="AC230" i="17"/>
  <c r="AB230" i="17"/>
  <c r="AA230" i="17"/>
  <c r="Y230" i="17"/>
  <c r="X230" i="17"/>
  <c r="W230" i="17"/>
  <c r="V230" i="17"/>
  <c r="U230" i="17"/>
  <c r="R230" i="17"/>
  <c r="S230" i="17" s="1"/>
  <c r="T230" i="17" s="1"/>
  <c r="M230" i="17"/>
  <c r="L230" i="17"/>
  <c r="K230" i="17"/>
  <c r="I230" i="17"/>
  <c r="N230" i="17" s="1"/>
  <c r="H230" i="17"/>
  <c r="D230" i="17"/>
  <c r="AL229" i="17"/>
  <c r="AJ229" i="17"/>
  <c r="AF229" i="17"/>
  <c r="AE229" i="17"/>
  <c r="AD229" i="17"/>
  <c r="AC229" i="17"/>
  <c r="AB229" i="17"/>
  <c r="AA229" i="17"/>
  <c r="Y229" i="17"/>
  <c r="X229" i="17"/>
  <c r="W229" i="17"/>
  <c r="V229" i="17"/>
  <c r="U229" i="17"/>
  <c r="R229" i="17"/>
  <c r="N229" i="17"/>
  <c r="M229" i="17"/>
  <c r="L229" i="17"/>
  <c r="K229" i="17"/>
  <c r="I229" i="17"/>
  <c r="H229" i="17"/>
  <c r="S229" i="17" s="1"/>
  <c r="T229" i="17" s="1"/>
  <c r="D229" i="17"/>
  <c r="AL228" i="17"/>
  <c r="AJ228" i="17"/>
  <c r="AF228" i="17"/>
  <c r="AE228" i="17"/>
  <c r="AD228" i="17"/>
  <c r="AC228" i="17"/>
  <c r="AB228" i="17"/>
  <c r="AA228" i="17"/>
  <c r="Y228" i="17"/>
  <c r="X228" i="17"/>
  <c r="W228" i="17"/>
  <c r="V228" i="17"/>
  <c r="U228" i="17"/>
  <c r="R228" i="17"/>
  <c r="M228" i="17"/>
  <c r="L228" i="17"/>
  <c r="K228" i="17"/>
  <c r="I228" i="17"/>
  <c r="H228" i="17"/>
  <c r="D228" i="17"/>
  <c r="N228" i="17" s="1"/>
  <c r="AL227" i="17"/>
  <c r="AJ227" i="17"/>
  <c r="AF227" i="17"/>
  <c r="AE227" i="17"/>
  <c r="AD227" i="17"/>
  <c r="AC227" i="17"/>
  <c r="AB227" i="17"/>
  <c r="AA227" i="17"/>
  <c r="Y227" i="17"/>
  <c r="X227" i="17"/>
  <c r="W227" i="17"/>
  <c r="V227" i="17"/>
  <c r="U227" i="17"/>
  <c r="R227" i="17"/>
  <c r="S228" i="17" s="1"/>
  <c r="T228" i="17" s="1"/>
  <c r="M227" i="17"/>
  <c r="L227" i="17"/>
  <c r="K227" i="17"/>
  <c r="I227" i="17"/>
  <c r="H227" i="17"/>
  <c r="S227" i="17" s="1"/>
  <c r="T227" i="17" s="1"/>
  <c r="D227" i="17"/>
  <c r="N227" i="17" s="1"/>
  <c r="AL226" i="17"/>
  <c r="AJ226" i="17"/>
  <c r="AF226" i="17"/>
  <c r="AE226" i="17"/>
  <c r="AD226" i="17"/>
  <c r="AC226" i="17"/>
  <c r="AB226" i="17"/>
  <c r="AA226" i="17"/>
  <c r="Y226" i="17"/>
  <c r="X226" i="17"/>
  <c r="W226" i="17"/>
  <c r="V226" i="17"/>
  <c r="U226" i="17"/>
  <c r="R226" i="17"/>
  <c r="N226" i="17"/>
  <c r="M226" i="17"/>
  <c r="L226" i="17"/>
  <c r="K226" i="17"/>
  <c r="I226" i="17"/>
  <c r="H226" i="17"/>
  <c r="D226" i="17"/>
  <c r="AL225" i="17"/>
  <c r="AJ225" i="17"/>
  <c r="AF225" i="17"/>
  <c r="AE225" i="17"/>
  <c r="AD225" i="17"/>
  <c r="AC225" i="17"/>
  <c r="AB225" i="17"/>
  <c r="AA225" i="17"/>
  <c r="Y225" i="17"/>
  <c r="X225" i="17"/>
  <c r="W225" i="17"/>
  <c r="V225" i="17"/>
  <c r="U225" i="17"/>
  <c r="R225" i="17"/>
  <c r="S226" i="17" s="1"/>
  <c r="T226" i="17" s="1"/>
  <c r="M225" i="17"/>
  <c r="L225" i="17"/>
  <c r="K225" i="17"/>
  <c r="I225" i="17"/>
  <c r="H225" i="17"/>
  <c r="S225" i="17" s="1"/>
  <c r="T225" i="17" s="1"/>
  <c r="D225" i="17"/>
  <c r="N225" i="17" s="1"/>
  <c r="AL224" i="17"/>
  <c r="AJ224" i="17"/>
  <c r="AF224" i="17"/>
  <c r="AE224" i="17"/>
  <c r="AD224" i="17"/>
  <c r="AC224" i="17"/>
  <c r="AB224" i="17"/>
  <c r="AA224" i="17"/>
  <c r="Y224" i="17"/>
  <c r="X224" i="17"/>
  <c r="W224" i="17"/>
  <c r="V224" i="17"/>
  <c r="U224" i="17"/>
  <c r="R224" i="17"/>
  <c r="N224" i="17"/>
  <c r="M224" i="17"/>
  <c r="L224" i="17"/>
  <c r="K224" i="17"/>
  <c r="I224" i="17"/>
  <c r="H224" i="17"/>
  <c r="S224" i="17" s="1"/>
  <c r="T224" i="17" s="1"/>
  <c r="D224" i="17"/>
  <c r="AL223" i="17"/>
  <c r="AJ223" i="17"/>
  <c r="AF223" i="17"/>
  <c r="AE223" i="17"/>
  <c r="AD223" i="17"/>
  <c r="AC223" i="17"/>
  <c r="AB223" i="17"/>
  <c r="AA223" i="17"/>
  <c r="Y223" i="17"/>
  <c r="X223" i="17"/>
  <c r="W223" i="17"/>
  <c r="V223" i="17"/>
  <c r="U223" i="17"/>
  <c r="R223" i="17"/>
  <c r="M223" i="17"/>
  <c r="L223" i="17"/>
  <c r="K223" i="17"/>
  <c r="I223" i="17"/>
  <c r="H223" i="17"/>
  <c r="D223" i="17"/>
  <c r="N223" i="17" s="1"/>
  <c r="AL222" i="17"/>
  <c r="AJ222" i="17"/>
  <c r="AF222" i="17"/>
  <c r="AE222" i="17"/>
  <c r="AD222" i="17"/>
  <c r="AC222" i="17"/>
  <c r="AB222" i="17"/>
  <c r="AA222" i="17"/>
  <c r="Y222" i="17"/>
  <c r="X222" i="17"/>
  <c r="W222" i="17"/>
  <c r="V222" i="17"/>
  <c r="U222" i="17"/>
  <c r="R222" i="17"/>
  <c r="S222" i="17" s="1"/>
  <c r="T222" i="17" s="1"/>
  <c r="M222" i="17"/>
  <c r="L222" i="17"/>
  <c r="K222" i="17"/>
  <c r="I222" i="17"/>
  <c r="N222" i="17" s="1"/>
  <c r="H222" i="17"/>
  <c r="D222" i="17"/>
  <c r="AL221" i="17"/>
  <c r="AJ221" i="17"/>
  <c r="AF221" i="17"/>
  <c r="AE221" i="17"/>
  <c r="AD221" i="17"/>
  <c r="AC221" i="17"/>
  <c r="AB221" i="17"/>
  <c r="AA221" i="17"/>
  <c r="Y221" i="17"/>
  <c r="X221" i="17"/>
  <c r="W221" i="17"/>
  <c r="V221" i="17"/>
  <c r="U221" i="17"/>
  <c r="R221" i="17"/>
  <c r="N221" i="17"/>
  <c r="M221" i="17"/>
  <c r="L221" i="17"/>
  <c r="K221" i="17"/>
  <c r="I221" i="17"/>
  <c r="H221" i="17"/>
  <c r="S221" i="17" s="1"/>
  <c r="T221" i="17" s="1"/>
  <c r="D221" i="17"/>
  <c r="AL220" i="17"/>
  <c r="AJ220" i="17"/>
  <c r="AF220" i="17"/>
  <c r="AE220" i="17"/>
  <c r="AD220" i="17"/>
  <c r="AC220" i="17"/>
  <c r="AB220" i="17"/>
  <c r="AA220" i="17"/>
  <c r="Y220" i="17"/>
  <c r="X220" i="17"/>
  <c r="W220" i="17"/>
  <c r="V220" i="17"/>
  <c r="U220" i="17"/>
  <c r="R220" i="17"/>
  <c r="M220" i="17"/>
  <c r="L220" i="17"/>
  <c r="K220" i="17"/>
  <c r="I220" i="17"/>
  <c r="H220" i="17"/>
  <c r="D220" i="17"/>
  <c r="N220" i="17" s="1"/>
  <c r="AL219" i="17"/>
  <c r="AJ219" i="17"/>
  <c r="AF219" i="17"/>
  <c r="AE219" i="17"/>
  <c r="AD219" i="17"/>
  <c r="AC219" i="17"/>
  <c r="AB219" i="17"/>
  <c r="AA219" i="17"/>
  <c r="Y219" i="17"/>
  <c r="X219" i="17"/>
  <c r="W219" i="17"/>
  <c r="V219" i="17"/>
  <c r="U219" i="17"/>
  <c r="R219" i="17"/>
  <c r="S220" i="17" s="1"/>
  <c r="T220" i="17" s="1"/>
  <c r="M219" i="17"/>
  <c r="L219" i="17"/>
  <c r="K219" i="17"/>
  <c r="I219" i="17"/>
  <c r="H219" i="17"/>
  <c r="S219" i="17" s="1"/>
  <c r="T219" i="17" s="1"/>
  <c r="D219" i="17"/>
  <c r="N219" i="17" s="1"/>
  <c r="AL218" i="17"/>
  <c r="AJ218" i="17"/>
  <c r="AF218" i="17"/>
  <c r="AE218" i="17"/>
  <c r="AD218" i="17"/>
  <c r="AC218" i="17"/>
  <c r="AB218" i="17"/>
  <c r="AA218" i="17"/>
  <c r="Y218" i="17"/>
  <c r="X218" i="17"/>
  <c r="W218" i="17"/>
  <c r="V218" i="17"/>
  <c r="U218" i="17"/>
  <c r="R218" i="17"/>
  <c r="N218" i="17"/>
  <c r="M218" i="17"/>
  <c r="L218" i="17"/>
  <c r="K218" i="17"/>
  <c r="I218" i="17"/>
  <c r="H218" i="17"/>
  <c r="D218" i="17"/>
  <c r="AL217" i="17"/>
  <c r="AJ217" i="17"/>
  <c r="AF217" i="17"/>
  <c r="AE217" i="17"/>
  <c r="AD217" i="17"/>
  <c r="AC217" i="17"/>
  <c r="AB217" i="17"/>
  <c r="AA217" i="17"/>
  <c r="Y217" i="17"/>
  <c r="X217" i="17"/>
  <c r="W217" i="17"/>
  <c r="V217" i="17"/>
  <c r="U217" i="17"/>
  <c r="R217" i="17"/>
  <c r="S218" i="17" s="1"/>
  <c r="T218" i="17" s="1"/>
  <c r="M217" i="17"/>
  <c r="L217" i="17"/>
  <c r="K217" i="17"/>
  <c r="I217" i="17"/>
  <c r="H217" i="17"/>
  <c r="S217" i="17" s="1"/>
  <c r="T217" i="17" s="1"/>
  <c r="D217" i="17"/>
  <c r="N217" i="17" s="1"/>
  <c r="AL216" i="17"/>
  <c r="AJ216" i="17"/>
  <c r="AF216" i="17"/>
  <c r="AE216" i="17"/>
  <c r="AD216" i="17"/>
  <c r="AC216" i="17"/>
  <c r="AB216" i="17"/>
  <c r="AA216" i="17"/>
  <c r="Y216" i="17"/>
  <c r="X216" i="17"/>
  <c r="W216" i="17"/>
  <c r="V216" i="17"/>
  <c r="U216" i="17"/>
  <c r="R216" i="17"/>
  <c r="N216" i="17"/>
  <c r="M216" i="17"/>
  <c r="L216" i="17"/>
  <c r="K216" i="17"/>
  <c r="I216" i="17"/>
  <c r="H216" i="17"/>
  <c r="S216" i="17" s="1"/>
  <c r="T216" i="17" s="1"/>
  <c r="D216" i="17"/>
  <c r="AL215" i="17"/>
  <c r="AJ215" i="17"/>
  <c r="AF215" i="17"/>
  <c r="AE215" i="17"/>
  <c r="AD215" i="17"/>
  <c r="AC215" i="17"/>
  <c r="AB215" i="17"/>
  <c r="AA215" i="17"/>
  <c r="Y215" i="17"/>
  <c r="X215" i="17"/>
  <c r="W215" i="17"/>
  <c r="V215" i="17"/>
  <c r="U215" i="17"/>
  <c r="R215" i="17"/>
  <c r="M215" i="17"/>
  <c r="L215" i="17"/>
  <c r="K215" i="17"/>
  <c r="I215" i="17"/>
  <c r="H215" i="17"/>
  <c r="D215" i="17"/>
  <c r="N215" i="17" s="1"/>
  <c r="AL214" i="17"/>
  <c r="AJ214" i="17"/>
  <c r="AF214" i="17"/>
  <c r="AE214" i="17"/>
  <c r="AD214" i="17"/>
  <c r="AC214" i="17"/>
  <c r="AB214" i="17"/>
  <c r="AA214" i="17"/>
  <c r="Y214" i="17"/>
  <c r="X214" i="17"/>
  <c r="W214" i="17"/>
  <c r="V214" i="17"/>
  <c r="U214" i="17"/>
  <c r="R214" i="17"/>
  <c r="S214" i="17" s="1"/>
  <c r="T214" i="17" s="1"/>
  <c r="M214" i="17"/>
  <c r="L214" i="17"/>
  <c r="K214" i="17"/>
  <c r="I214" i="17"/>
  <c r="N214" i="17" s="1"/>
  <c r="H214" i="17"/>
  <c r="D214" i="17"/>
  <c r="AL213" i="17"/>
  <c r="AJ213" i="17"/>
  <c r="AF213" i="17"/>
  <c r="AE213" i="17"/>
  <c r="AD213" i="17"/>
  <c r="AC213" i="17"/>
  <c r="AB213" i="17"/>
  <c r="AA213" i="17"/>
  <c r="Y213" i="17"/>
  <c r="X213" i="17"/>
  <c r="W213" i="17"/>
  <c r="V213" i="17"/>
  <c r="U213" i="17"/>
  <c r="R213" i="17"/>
  <c r="N213" i="17"/>
  <c r="M213" i="17"/>
  <c r="L213" i="17"/>
  <c r="K213" i="17"/>
  <c r="I213" i="17"/>
  <c r="H213" i="17"/>
  <c r="S213" i="17" s="1"/>
  <c r="T213" i="17" s="1"/>
  <c r="D213" i="17"/>
  <c r="AL212" i="17"/>
  <c r="AJ212" i="17"/>
  <c r="AF212" i="17"/>
  <c r="AE212" i="17"/>
  <c r="AD212" i="17"/>
  <c r="AC212" i="17"/>
  <c r="AB212" i="17"/>
  <c r="AA212" i="17"/>
  <c r="Y212" i="17"/>
  <c r="X212" i="17"/>
  <c r="W212" i="17"/>
  <c r="V212" i="17"/>
  <c r="U212" i="17"/>
  <c r="R212" i="17"/>
  <c r="M212" i="17"/>
  <c r="L212" i="17"/>
  <c r="K212" i="17"/>
  <c r="I212" i="17"/>
  <c r="H212" i="17"/>
  <c r="D212" i="17"/>
  <c r="N212" i="17" s="1"/>
  <c r="AL211" i="17"/>
  <c r="AJ211" i="17"/>
  <c r="AF211" i="17"/>
  <c r="AE211" i="17"/>
  <c r="AD211" i="17"/>
  <c r="AC211" i="17"/>
  <c r="AB211" i="17"/>
  <c r="AA211" i="17"/>
  <c r="Y211" i="17"/>
  <c r="X211" i="17"/>
  <c r="W211" i="17"/>
  <c r="V211" i="17"/>
  <c r="U211" i="17"/>
  <c r="R211" i="17"/>
  <c r="S212" i="17" s="1"/>
  <c r="T212" i="17" s="1"/>
  <c r="M211" i="17"/>
  <c r="L211" i="17"/>
  <c r="K211" i="17"/>
  <c r="I211" i="17"/>
  <c r="H211" i="17"/>
  <c r="S211" i="17" s="1"/>
  <c r="T211" i="17" s="1"/>
  <c r="D211" i="17"/>
  <c r="N211" i="17" s="1"/>
  <c r="AL210" i="17"/>
  <c r="AJ210" i="17"/>
  <c r="AF210" i="17"/>
  <c r="AE210" i="17"/>
  <c r="AD210" i="17"/>
  <c r="AC210" i="17"/>
  <c r="AB210" i="17"/>
  <c r="AA210" i="17"/>
  <c r="Y210" i="17"/>
  <c r="X210" i="17"/>
  <c r="W210" i="17"/>
  <c r="V210" i="17"/>
  <c r="U210" i="17"/>
  <c r="R210" i="17"/>
  <c r="N210" i="17"/>
  <c r="M210" i="17"/>
  <c r="L210" i="17"/>
  <c r="K210" i="17"/>
  <c r="I210" i="17"/>
  <c r="H210" i="17"/>
  <c r="D210" i="17"/>
  <c r="AL209" i="17"/>
  <c r="AJ209" i="17"/>
  <c r="AF209" i="17"/>
  <c r="AE209" i="17"/>
  <c r="AD209" i="17"/>
  <c r="AC209" i="17"/>
  <c r="AB209" i="17"/>
  <c r="AA209" i="17"/>
  <c r="Y209" i="17"/>
  <c r="X209" i="17"/>
  <c r="W209" i="17"/>
  <c r="V209" i="17"/>
  <c r="U209" i="17"/>
  <c r="R209" i="17"/>
  <c r="S210" i="17" s="1"/>
  <c r="T210" i="17" s="1"/>
  <c r="M209" i="17"/>
  <c r="L209" i="17"/>
  <c r="K209" i="17"/>
  <c r="I209" i="17"/>
  <c r="H209" i="17"/>
  <c r="S209" i="17" s="1"/>
  <c r="T209" i="17" s="1"/>
  <c r="D209" i="17"/>
  <c r="N209" i="17" s="1"/>
  <c r="AL208" i="17"/>
  <c r="AJ208" i="17"/>
  <c r="AF208" i="17"/>
  <c r="AE208" i="17"/>
  <c r="AD208" i="17"/>
  <c r="AC208" i="17"/>
  <c r="AB208" i="17"/>
  <c r="AA208" i="17"/>
  <c r="Y208" i="17"/>
  <c r="X208" i="17"/>
  <c r="W208" i="17"/>
  <c r="V208" i="17"/>
  <c r="U208" i="17"/>
  <c r="R208" i="17"/>
  <c r="N208" i="17"/>
  <c r="M208" i="17"/>
  <c r="L208" i="17"/>
  <c r="K208" i="17"/>
  <c r="I208" i="17"/>
  <c r="H208" i="17"/>
  <c r="S208" i="17" s="1"/>
  <c r="T208" i="17" s="1"/>
  <c r="D208" i="17"/>
  <c r="AL207" i="17"/>
  <c r="AJ207" i="17"/>
  <c r="AF207" i="17"/>
  <c r="AE207" i="17"/>
  <c r="AD207" i="17"/>
  <c r="AC207" i="17"/>
  <c r="AB207" i="17"/>
  <c r="AA207" i="17"/>
  <c r="Y207" i="17"/>
  <c r="X207" i="17"/>
  <c r="W207" i="17"/>
  <c r="V207" i="17"/>
  <c r="U207" i="17"/>
  <c r="R207" i="17"/>
  <c r="M207" i="17"/>
  <c r="L207" i="17"/>
  <c r="K207" i="17"/>
  <c r="I207" i="17"/>
  <c r="H207" i="17"/>
  <c r="D207" i="17"/>
  <c r="N207" i="17" s="1"/>
  <c r="AL206" i="17"/>
  <c r="AJ206" i="17"/>
  <c r="AF206" i="17"/>
  <c r="AE206" i="17"/>
  <c r="AD206" i="17"/>
  <c r="AC206" i="17"/>
  <c r="AB206" i="17"/>
  <c r="AA206" i="17"/>
  <c r="Y206" i="17"/>
  <c r="X206" i="17"/>
  <c r="W206" i="17"/>
  <c r="V206" i="17"/>
  <c r="U206" i="17"/>
  <c r="R206" i="17"/>
  <c r="S206" i="17" s="1"/>
  <c r="T206" i="17" s="1"/>
  <c r="M206" i="17"/>
  <c r="L206" i="17"/>
  <c r="K206" i="17"/>
  <c r="I206" i="17"/>
  <c r="N206" i="17" s="1"/>
  <c r="H206" i="17"/>
  <c r="D206" i="17"/>
  <c r="AL205" i="17"/>
  <c r="AJ205" i="17"/>
  <c r="AF205" i="17"/>
  <c r="AE205" i="17"/>
  <c r="AD205" i="17"/>
  <c r="AC205" i="17"/>
  <c r="AB205" i="17"/>
  <c r="AA205" i="17"/>
  <c r="Y205" i="17"/>
  <c r="X205" i="17"/>
  <c r="W205" i="17"/>
  <c r="V205" i="17"/>
  <c r="U205" i="17"/>
  <c r="R205" i="17"/>
  <c r="N205" i="17"/>
  <c r="M205" i="17"/>
  <c r="L205" i="17"/>
  <c r="K205" i="17"/>
  <c r="I205" i="17"/>
  <c r="H205" i="17"/>
  <c r="S205" i="17" s="1"/>
  <c r="T205" i="17" s="1"/>
  <c r="D205" i="17"/>
  <c r="AL204" i="17"/>
  <c r="AJ204" i="17"/>
  <c r="AF204" i="17"/>
  <c r="AE204" i="17"/>
  <c r="AD204" i="17"/>
  <c r="AC204" i="17"/>
  <c r="AB204" i="17"/>
  <c r="AA204" i="17"/>
  <c r="Y204" i="17"/>
  <c r="X204" i="17"/>
  <c r="W204" i="17"/>
  <c r="V204" i="17"/>
  <c r="U204" i="17"/>
  <c r="R204" i="17"/>
  <c r="M204" i="17"/>
  <c r="L204" i="17"/>
  <c r="K204" i="17"/>
  <c r="I204" i="17"/>
  <c r="H204" i="17"/>
  <c r="D204" i="17"/>
  <c r="N204" i="17" s="1"/>
  <c r="AL203" i="17"/>
  <c r="AJ203" i="17"/>
  <c r="AF203" i="17"/>
  <c r="AB203" i="17"/>
  <c r="AA203" i="17"/>
  <c r="Y203" i="17"/>
  <c r="X203" i="17"/>
  <c r="W203" i="17"/>
  <c r="V203" i="17"/>
  <c r="U203" i="17"/>
  <c r="R203" i="17"/>
  <c r="N203" i="17"/>
  <c r="M203" i="17"/>
  <c r="L203" i="17"/>
  <c r="K203" i="17"/>
  <c r="I203" i="17"/>
  <c r="H203" i="17"/>
  <c r="S203" i="17" s="1"/>
  <c r="T203" i="17" s="1"/>
  <c r="D203" i="17"/>
  <c r="AL202" i="17"/>
  <c r="AJ202" i="17"/>
  <c r="AF202" i="17"/>
  <c r="AB202" i="17"/>
  <c r="AA202" i="17"/>
  <c r="Y202" i="17"/>
  <c r="X202" i="17"/>
  <c r="W202" i="17"/>
  <c r="V202" i="17"/>
  <c r="U202" i="17"/>
  <c r="R202" i="17"/>
  <c r="M202" i="17"/>
  <c r="L202" i="17"/>
  <c r="K202" i="17"/>
  <c r="I202" i="17"/>
  <c r="H202" i="17"/>
  <c r="D202" i="17"/>
  <c r="N202" i="17" s="1"/>
  <c r="AL201" i="17"/>
  <c r="AJ201" i="17"/>
  <c r="AF201" i="17"/>
  <c r="AB201" i="17"/>
  <c r="AA201" i="17"/>
  <c r="Y201" i="17"/>
  <c r="X201" i="17"/>
  <c r="W201" i="17"/>
  <c r="V201" i="17"/>
  <c r="U201" i="17"/>
  <c r="R201" i="17"/>
  <c r="N201" i="17"/>
  <c r="M201" i="17"/>
  <c r="L201" i="17"/>
  <c r="K201" i="17"/>
  <c r="I201" i="17"/>
  <c r="H201" i="17"/>
  <c r="S201" i="17" s="1"/>
  <c r="T201" i="17" s="1"/>
  <c r="D201" i="17"/>
  <c r="AL200" i="17"/>
  <c r="AJ200" i="17"/>
  <c r="AF200" i="17"/>
  <c r="AB200" i="17"/>
  <c r="AA200" i="17"/>
  <c r="Y200" i="17"/>
  <c r="X200" i="17"/>
  <c r="W200" i="17"/>
  <c r="V200" i="17"/>
  <c r="U200" i="17"/>
  <c r="R200" i="17"/>
  <c r="M200" i="17"/>
  <c r="L200" i="17"/>
  <c r="K200" i="17"/>
  <c r="I200" i="17"/>
  <c r="H200" i="17"/>
  <c r="D200" i="17"/>
  <c r="N200" i="17" s="1"/>
  <c r="AL199" i="17"/>
  <c r="AJ199" i="17"/>
  <c r="AF199" i="17"/>
  <c r="AB199" i="17"/>
  <c r="AA199" i="17"/>
  <c r="Y199" i="17"/>
  <c r="X199" i="17"/>
  <c r="W199" i="17"/>
  <c r="V199" i="17"/>
  <c r="U199" i="17"/>
  <c r="R199" i="17"/>
  <c r="N199" i="17"/>
  <c r="M199" i="17"/>
  <c r="L199" i="17"/>
  <c r="K199" i="17"/>
  <c r="I199" i="17"/>
  <c r="H199" i="17"/>
  <c r="S199" i="17" s="1"/>
  <c r="T199" i="17" s="1"/>
  <c r="D199" i="17"/>
  <c r="AL198" i="17"/>
  <c r="AJ198" i="17"/>
  <c r="AF198" i="17"/>
  <c r="AB198" i="17"/>
  <c r="AA198" i="17"/>
  <c r="Y198" i="17"/>
  <c r="X198" i="17"/>
  <c r="W198" i="17"/>
  <c r="V198" i="17"/>
  <c r="U198" i="17"/>
  <c r="R198" i="17"/>
  <c r="M198" i="17"/>
  <c r="L198" i="17"/>
  <c r="K198" i="17"/>
  <c r="I198" i="17"/>
  <c r="H198" i="17"/>
  <c r="D198" i="17"/>
  <c r="N198" i="17" s="1"/>
  <c r="AL197" i="17"/>
  <c r="AJ197" i="17"/>
  <c r="AF197" i="17"/>
  <c r="AB197" i="17"/>
  <c r="AA197" i="17"/>
  <c r="Y197" i="17"/>
  <c r="X197" i="17"/>
  <c r="W197" i="17"/>
  <c r="V197" i="17"/>
  <c r="U197" i="17"/>
  <c r="R197" i="17"/>
  <c r="N197" i="17"/>
  <c r="M197" i="17"/>
  <c r="L197" i="17"/>
  <c r="K197" i="17"/>
  <c r="I197" i="17"/>
  <c r="H197" i="17"/>
  <c r="S197" i="17" s="1"/>
  <c r="T197" i="17" s="1"/>
  <c r="D197" i="17"/>
  <c r="AL196" i="17"/>
  <c r="AJ196" i="17"/>
  <c r="AF196" i="17"/>
  <c r="AB196" i="17"/>
  <c r="AA196" i="17"/>
  <c r="Y196" i="17"/>
  <c r="X196" i="17"/>
  <c r="W196" i="17"/>
  <c r="V196" i="17"/>
  <c r="U196" i="17"/>
  <c r="R196" i="17"/>
  <c r="M196" i="17"/>
  <c r="L196" i="17"/>
  <c r="K196" i="17"/>
  <c r="I196" i="17"/>
  <c r="H196" i="17"/>
  <c r="D196" i="17"/>
  <c r="N196" i="17" s="1"/>
  <c r="AL195" i="17"/>
  <c r="AJ195" i="17"/>
  <c r="AF195" i="17"/>
  <c r="AB195" i="17"/>
  <c r="AA195" i="17"/>
  <c r="Y195" i="17"/>
  <c r="X195" i="17"/>
  <c r="W195" i="17"/>
  <c r="V195" i="17"/>
  <c r="U195" i="17"/>
  <c r="R195" i="17"/>
  <c r="N195" i="17"/>
  <c r="M195" i="17"/>
  <c r="L195" i="17"/>
  <c r="K195" i="17"/>
  <c r="I195" i="17"/>
  <c r="H195" i="17"/>
  <c r="S195" i="17" s="1"/>
  <c r="T195" i="17" s="1"/>
  <c r="D195" i="17"/>
  <c r="AL194" i="17"/>
  <c r="AJ194" i="17"/>
  <c r="AF194" i="17"/>
  <c r="AB194" i="17"/>
  <c r="AA194" i="17"/>
  <c r="Y194" i="17"/>
  <c r="X194" i="17"/>
  <c r="W194" i="17"/>
  <c r="V194" i="17"/>
  <c r="U194" i="17"/>
  <c r="R194" i="17"/>
  <c r="M194" i="17"/>
  <c r="L194" i="17"/>
  <c r="K194" i="17"/>
  <c r="I194" i="17"/>
  <c r="H194" i="17"/>
  <c r="D194" i="17"/>
  <c r="N194" i="17" s="1"/>
  <c r="AL193" i="17"/>
  <c r="AJ193" i="17"/>
  <c r="AF193" i="17"/>
  <c r="AB193" i="17"/>
  <c r="AA193" i="17"/>
  <c r="Y193" i="17"/>
  <c r="X193" i="17"/>
  <c r="W193" i="17"/>
  <c r="V193" i="17"/>
  <c r="U193" i="17"/>
  <c r="R193" i="17"/>
  <c r="N193" i="17"/>
  <c r="M193" i="17"/>
  <c r="L193" i="17"/>
  <c r="K193" i="17"/>
  <c r="I193" i="17"/>
  <c r="H193" i="17"/>
  <c r="S193" i="17" s="1"/>
  <c r="T193" i="17" s="1"/>
  <c r="D193" i="17"/>
  <c r="AL192" i="17"/>
  <c r="AJ192" i="17"/>
  <c r="AF192" i="17"/>
  <c r="AB192" i="17"/>
  <c r="AA192" i="17"/>
  <c r="Y192" i="17"/>
  <c r="X192" i="17"/>
  <c r="W192" i="17"/>
  <c r="V192" i="17"/>
  <c r="U192" i="17"/>
  <c r="S192" i="17"/>
  <c r="T192" i="17" s="1"/>
  <c r="R192" i="17"/>
  <c r="M192" i="17"/>
  <c r="L192" i="17"/>
  <c r="K192" i="17"/>
  <c r="I192" i="17"/>
  <c r="H192" i="17"/>
  <c r="D192" i="17"/>
  <c r="N192" i="17" s="1"/>
  <c r="AL191" i="17"/>
  <c r="AJ191" i="17"/>
  <c r="AF191" i="17"/>
  <c r="AC191" i="17"/>
  <c r="AB191" i="17"/>
  <c r="AA191" i="17"/>
  <c r="Y191" i="17"/>
  <c r="X191" i="17"/>
  <c r="W191" i="17"/>
  <c r="V191" i="17"/>
  <c r="U191" i="17"/>
  <c r="R191" i="17"/>
  <c r="M191" i="17"/>
  <c r="L191" i="17"/>
  <c r="K191" i="17"/>
  <c r="I191" i="17"/>
  <c r="H191" i="17"/>
  <c r="S191" i="17" s="1"/>
  <c r="T191" i="17" s="1"/>
  <c r="D191" i="17"/>
  <c r="N191" i="17" s="1"/>
  <c r="AL190" i="17"/>
  <c r="AJ190" i="17"/>
  <c r="AF190" i="17"/>
  <c r="AC190" i="17"/>
  <c r="AB190" i="17"/>
  <c r="AA190" i="17"/>
  <c r="Y190" i="17"/>
  <c r="X190" i="17"/>
  <c r="W190" i="17"/>
  <c r="V190" i="17"/>
  <c r="U190" i="17"/>
  <c r="R190" i="17"/>
  <c r="S190" i="17" s="1"/>
  <c r="T190" i="17" s="1"/>
  <c r="M190" i="17"/>
  <c r="L190" i="17"/>
  <c r="K190" i="17"/>
  <c r="I190" i="17"/>
  <c r="N190" i="17" s="1"/>
  <c r="H190" i="17"/>
  <c r="D190" i="17"/>
  <c r="AL189" i="17"/>
  <c r="AJ189" i="17"/>
  <c r="AF189" i="17"/>
  <c r="AC189" i="17"/>
  <c r="AB189" i="17"/>
  <c r="AA189" i="17"/>
  <c r="Y189" i="17"/>
  <c r="X189" i="17"/>
  <c r="W189" i="17"/>
  <c r="V189" i="17"/>
  <c r="U189" i="17"/>
  <c r="R189" i="17"/>
  <c r="M189" i="17"/>
  <c r="L189" i="17"/>
  <c r="K189" i="17"/>
  <c r="I189" i="17"/>
  <c r="H189" i="17"/>
  <c r="S189" i="17" s="1"/>
  <c r="T189" i="17" s="1"/>
  <c r="D189" i="17"/>
  <c r="N189" i="17" s="1"/>
  <c r="AL188" i="17"/>
  <c r="AJ188" i="17"/>
  <c r="AF188" i="17"/>
  <c r="AC188" i="17"/>
  <c r="AB188" i="17"/>
  <c r="AA188" i="17"/>
  <c r="Y188" i="17"/>
  <c r="X188" i="17"/>
  <c r="W188" i="17"/>
  <c r="V188" i="17"/>
  <c r="U188" i="17"/>
  <c r="R188" i="17"/>
  <c r="N188" i="17"/>
  <c r="M188" i="17"/>
  <c r="L188" i="17"/>
  <c r="K188" i="17"/>
  <c r="I188" i="17"/>
  <c r="H188" i="17"/>
  <c r="S188" i="17" s="1"/>
  <c r="T188" i="17" s="1"/>
  <c r="D188" i="17"/>
  <c r="AL187" i="17"/>
  <c r="AJ187" i="17"/>
  <c r="AF187" i="17"/>
  <c r="AC187" i="17"/>
  <c r="AB187" i="17"/>
  <c r="AA187" i="17"/>
  <c r="Y187" i="17"/>
  <c r="X187" i="17"/>
  <c r="W187" i="17"/>
  <c r="V187" i="17"/>
  <c r="U187" i="17"/>
  <c r="R187" i="17"/>
  <c r="N187" i="17"/>
  <c r="M187" i="17"/>
  <c r="L187" i="17"/>
  <c r="K187" i="17"/>
  <c r="I187" i="17"/>
  <c r="H187" i="17"/>
  <c r="S187" i="17" s="1"/>
  <c r="T187" i="17" s="1"/>
  <c r="D187" i="17"/>
  <c r="AL186" i="17"/>
  <c r="AJ186" i="17"/>
  <c r="AF186" i="17"/>
  <c r="AC186" i="17"/>
  <c r="AB186" i="17"/>
  <c r="AA186" i="17"/>
  <c r="Y186" i="17"/>
  <c r="X186" i="17"/>
  <c r="W186" i="17"/>
  <c r="V186" i="17"/>
  <c r="U186" i="17"/>
  <c r="S186" i="17"/>
  <c r="T186" i="17" s="1"/>
  <c r="R186" i="17"/>
  <c r="N186" i="17"/>
  <c r="M186" i="17"/>
  <c r="L186" i="17"/>
  <c r="K186" i="17"/>
  <c r="I186" i="17"/>
  <c r="H186" i="17"/>
  <c r="D186" i="17"/>
  <c r="AL185" i="17"/>
  <c r="AJ185" i="17"/>
  <c r="AF185" i="17"/>
  <c r="AC185" i="17"/>
  <c r="AB185" i="17"/>
  <c r="AA185" i="17"/>
  <c r="Y185" i="17"/>
  <c r="X185" i="17"/>
  <c r="W185" i="17"/>
  <c r="V185" i="17"/>
  <c r="U185" i="17"/>
  <c r="S185" i="17"/>
  <c r="T185" i="17" s="1"/>
  <c r="R185" i="17"/>
  <c r="M185" i="17"/>
  <c r="L185" i="17"/>
  <c r="K185" i="17"/>
  <c r="I185" i="17"/>
  <c r="H185" i="17"/>
  <c r="D185" i="17"/>
  <c r="N185" i="17" s="1"/>
  <c r="AL184" i="17"/>
  <c r="AJ184" i="17"/>
  <c r="AF184" i="17"/>
  <c r="AC184" i="17"/>
  <c r="AB184" i="17"/>
  <c r="AA184" i="17"/>
  <c r="Y184" i="17"/>
  <c r="X184" i="17"/>
  <c r="W184" i="17"/>
  <c r="V184" i="17"/>
  <c r="U184" i="17"/>
  <c r="S184" i="17"/>
  <c r="T184" i="17" s="1"/>
  <c r="R184" i="17"/>
  <c r="M184" i="17"/>
  <c r="L184" i="17"/>
  <c r="K184" i="17"/>
  <c r="I184" i="17"/>
  <c r="H184" i="17"/>
  <c r="D184" i="17"/>
  <c r="N184" i="17" s="1"/>
  <c r="AL183" i="17"/>
  <c r="AJ183" i="17"/>
  <c r="AF183" i="17"/>
  <c r="AC183" i="17"/>
  <c r="AB183" i="17"/>
  <c r="AA183" i="17"/>
  <c r="Y183" i="17"/>
  <c r="X183" i="17"/>
  <c r="W183" i="17"/>
  <c r="V183" i="17"/>
  <c r="U183" i="17"/>
  <c r="R183" i="17"/>
  <c r="M183" i="17"/>
  <c r="L183" i="17"/>
  <c r="K183" i="17"/>
  <c r="I183" i="17"/>
  <c r="H183" i="17"/>
  <c r="S183" i="17" s="1"/>
  <c r="T183" i="17" s="1"/>
  <c r="D183" i="17"/>
  <c r="N183" i="17" s="1"/>
  <c r="AL182" i="17"/>
  <c r="AJ182" i="17"/>
  <c r="AF182" i="17"/>
  <c r="AC182" i="17"/>
  <c r="AB182" i="17"/>
  <c r="AA182" i="17"/>
  <c r="Y182" i="17"/>
  <c r="X182" i="17"/>
  <c r="W182" i="17"/>
  <c r="V182" i="17"/>
  <c r="U182" i="17"/>
  <c r="R182" i="17"/>
  <c r="S182" i="17" s="1"/>
  <c r="T182" i="17" s="1"/>
  <c r="M182" i="17"/>
  <c r="L182" i="17"/>
  <c r="K182" i="17"/>
  <c r="I182" i="17"/>
  <c r="N182" i="17" s="1"/>
  <c r="H182" i="17"/>
  <c r="D182" i="17"/>
  <c r="AL181" i="17"/>
  <c r="AJ181" i="17"/>
  <c r="AF181" i="17"/>
  <c r="AC181" i="17"/>
  <c r="AB181" i="17"/>
  <c r="AA181" i="17"/>
  <c r="Y181" i="17"/>
  <c r="X181" i="17"/>
  <c r="W181" i="17"/>
  <c r="V181" i="17"/>
  <c r="U181" i="17"/>
  <c r="R181" i="17"/>
  <c r="M181" i="17"/>
  <c r="L181" i="17"/>
  <c r="K181" i="17"/>
  <c r="I181" i="17"/>
  <c r="H181" i="17"/>
  <c r="S181" i="17" s="1"/>
  <c r="T181" i="17" s="1"/>
  <c r="D181" i="17"/>
  <c r="N181" i="17" s="1"/>
  <c r="AL180" i="17"/>
  <c r="AJ180" i="17"/>
  <c r="AF180" i="17"/>
  <c r="AC180" i="17"/>
  <c r="AB180" i="17"/>
  <c r="AA180" i="17"/>
  <c r="Y180" i="17"/>
  <c r="X180" i="17"/>
  <c r="W180" i="17"/>
  <c r="V180" i="17"/>
  <c r="U180" i="17"/>
  <c r="R180" i="17"/>
  <c r="N180" i="17"/>
  <c r="M180" i="17"/>
  <c r="L180" i="17"/>
  <c r="K180" i="17"/>
  <c r="I180" i="17"/>
  <c r="H180" i="17"/>
  <c r="S180" i="17" s="1"/>
  <c r="T180" i="17" s="1"/>
  <c r="D180" i="17"/>
  <c r="AL179" i="17"/>
  <c r="AJ179" i="17"/>
  <c r="AF179" i="17"/>
  <c r="AC179" i="17"/>
  <c r="AB179" i="17"/>
  <c r="AA179" i="17"/>
  <c r="Y179" i="17"/>
  <c r="X179" i="17"/>
  <c r="W179" i="17"/>
  <c r="V179" i="17"/>
  <c r="U179" i="17"/>
  <c r="R179" i="17"/>
  <c r="N179" i="17"/>
  <c r="M179" i="17"/>
  <c r="L179" i="17"/>
  <c r="K179" i="17"/>
  <c r="I179" i="17"/>
  <c r="H179" i="17"/>
  <c r="S179" i="17" s="1"/>
  <c r="T179" i="17" s="1"/>
  <c r="D179" i="17"/>
  <c r="AL178" i="17"/>
  <c r="AJ178" i="17"/>
  <c r="AF178" i="17"/>
  <c r="AC178" i="17"/>
  <c r="AB178" i="17"/>
  <c r="AA178" i="17"/>
  <c r="Y178" i="17"/>
  <c r="X178" i="17"/>
  <c r="W178" i="17"/>
  <c r="V178" i="17"/>
  <c r="U178" i="17"/>
  <c r="S178" i="17"/>
  <c r="T178" i="17" s="1"/>
  <c r="R178" i="17"/>
  <c r="N178" i="17"/>
  <c r="M178" i="17"/>
  <c r="L178" i="17"/>
  <c r="K178" i="17"/>
  <c r="I178" i="17"/>
  <c r="H178" i="17"/>
  <c r="D178" i="17"/>
  <c r="AL177" i="17"/>
  <c r="AJ177" i="17"/>
  <c r="AF177" i="17"/>
  <c r="AC177" i="17"/>
  <c r="AB177" i="17"/>
  <c r="AA177" i="17"/>
  <c r="Y177" i="17"/>
  <c r="X177" i="17"/>
  <c r="W177" i="17"/>
  <c r="V177" i="17"/>
  <c r="U177" i="17"/>
  <c r="S177" i="17"/>
  <c r="T177" i="17" s="1"/>
  <c r="R177" i="17"/>
  <c r="M177" i="17"/>
  <c r="L177" i="17"/>
  <c r="K177" i="17"/>
  <c r="I177" i="17"/>
  <c r="H177" i="17"/>
  <c r="D177" i="17"/>
  <c r="N177" i="17" s="1"/>
  <c r="AL176" i="17"/>
  <c r="AJ176" i="17"/>
  <c r="AF176" i="17"/>
  <c r="AC176" i="17"/>
  <c r="AB176" i="17"/>
  <c r="AA176" i="17"/>
  <c r="Y176" i="17"/>
  <c r="X176" i="17"/>
  <c r="W176" i="17"/>
  <c r="V176" i="17"/>
  <c r="U176" i="17"/>
  <c r="S176" i="17"/>
  <c r="T176" i="17" s="1"/>
  <c r="R176" i="17"/>
  <c r="M176" i="17"/>
  <c r="L176" i="17"/>
  <c r="K176" i="17"/>
  <c r="I176" i="17"/>
  <c r="H176" i="17"/>
  <c r="D176" i="17"/>
  <c r="N176" i="17" s="1"/>
  <c r="AL175" i="17"/>
  <c r="AJ175" i="17"/>
  <c r="AF175" i="17"/>
  <c r="AC175" i="17"/>
  <c r="AB175" i="17"/>
  <c r="AA175" i="17"/>
  <c r="Y175" i="17"/>
  <c r="X175" i="17"/>
  <c r="W175" i="17"/>
  <c r="V175" i="17"/>
  <c r="U175" i="17"/>
  <c r="R175" i="17"/>
  <c r="M175" i="17"/>
  <c r="L175" i="17"/>
  <c r="K175" i="17"/>
  <c r="I175" i="17"/>
  <c r="H175" i="17"/>
  <c r="S175" i="17" s="1"/>
  <c r="T175" i="17" s="1"/>
  <c r="D175" i="17"/>
  <c r="N175" i="17" s="1"/>
  <c r="AL174" i="17"/>
  <c r="AJ174" i="17"/>
  <c r="AF174" i="17"/>
  <c r="AC174" i="17"/>
  <c r="AB174" i="17"/>
  <c r="AA174" i="17"/>
  <c r="Y174" i="17"/>
  <c r="X174" i="17"/>
  <c r="W174" i="17"/>
  <c r="V174" i="17"/>
  <c r="U174" i="17"/>
  <c r="R174" i="17"/>
  <c r="S174" i="17" s="1"/>
  <c r="T174" i="17" s="1"/>
  <c r="M174" i="17"/>
  <c r="L174" i="17"/>
  <c r="K174" i="17"/>
  <c r="I174" i="17"/>
  <c r="N174" i="17" s="1"/>
  <c r="H174" i="17"/>
  <c r="D174" i="17"/>
  <c r="AL173" i="17"/>
  <c r="AJ173" i="17"/>
  <c r="AF173" i="17"/>
  <c r="AC173" i="17"/>
  <c r="AB173" i="17"/>
  <c r="AA173" i="17"/>
  <c r="Y173" i="17"/>
  <c r="X173" i="17"/>
  <c r="W173" i="17"/>
  <c r="V173" i="17"/>
  <c r="U173" i="17"/>
  <c r="R173" i="17"/>
  <c r="M173" i="17"/>
  <c r="L173" i="17"/>
  <c r="K173" i="17"/>
  <c r="I173" i="17"/>
  <c r="H173" i="17"/>
  <c r="S173" i="17" s="1"/>
  <c r="T173" i="17" s="1"/>
  <c r="D173" i="17"/>
  <c r="N173" i="17" s="1"/>
  <c r="AL172" i="17"/>
  <c r="AJ172" i="17"/>
  <c r="AF172" i="17"/>
  <c r="AC172" i="17"/>
  <c r="AB172" i="17"/>
  <c r="AA172" i="17"/>
  <c r="Y172" i="17"/>
  <c r="X172" i="17"/>
  <c r="W172" i="17"/>
  <c r="V172" i="17"/>
  <c r="U172" i="17"/>
  <c r="R172" i="17"/>
  <c r="N172" i="17"/>
  <c r="M172" i="17"/>
  <c r="L172" i="17"/>
  <c r="K172" i="17"/>
  <c r="I172" i="17"/>
  <c r="H172" i="17"/>
  <c r="S172" i="17" s="1"/>
  <c r="T172" i="17" s="1"/>
  <c r="D172" i="17"/>
  <c r="AL171" i="17"/>
  <c r="AJ171" i="17"/>
  <c r="AF171" i="17"/>
  <c r="AC171" i="17"/>
  <c r="AB171" i="17"/>
  <c r="AA171" i="17"/>
  <c r="Y171" i="17"/>
  <c r="X171" i="17"/>
  <c r="W171" i="17"/>
  <c r="V171" i="17"/>
  <c r="U171" i="17"/>
  <c r="R171" i="17"/>
  <c r="N171" i="17"/>
  <c r="M171" i="17"/>
  <c r="L171" i="17"/>
  <c r="K171" i="17"/>
  <c r="I171" i="17"/>
  <c r="H171" i="17"/>
  <c r="S171" i="17" s="1"/>
  <c r="T171" i="17" s="1"/>
  <c r="D171" i="17"/>
  <c r="AL170" i="17"/>
  <c r="AJ170" i="17"/>
  <c r="AF170" i="17"/>
  <c r="AC170" i="17"/>
  <c r="AB170" i="17"/>
  <c r="AA170" i="17"/>
  <c r="Y170" i="17"/>
  <c r="X170" i="17"/>
  <c r="W170" i="17"/>
  <c r="V170" i="17"/>
  <c r="U170" i="17"/>
  <c r="R170" i="17"/>
  <c r="N170" i="17"/>
  <c r="M170" i="17"/>
  <c r="L170" i="17"/>
  <c r="K170" i="17"/>
  <c r="I170" i="17"/>
  <c r="H170" i="17"/>
  <c r="D170" i="17"/>
  <c r="AL169" i="17"/>
  <c r="AJ169" i="17"/>
  <c r="AF169" i="17"/>
  <c r="AB169" i="17"/>
  <c r="AA169" i="17"/>
  <c r="Y169" i="17"/>
  <c r="X169" i="17"/>
  <c r="W169" i="17"/>
  <c r="V169" i="17"/>
  <c r="U169" i="17"/>
  <c r="R169" i="17"/>
  <c r="S169" i="17" s="1"/>
  <c r="T169" i="17" s="1"/>
  <c r="M169" i="17"/>
  <c r="L169" i="17"/>
  <c r="K169" i="17"/>
  <c r="I169" i="17"/>
  <c r="N169" i="17" s="1"/>
  <c r="H169" i="17"/>
  <c r="D169" i="17"/>
  <c r="AL168" i="17"/>
  <c r="AJ168" i="17"/>
  <c r="AF168" i="17"/>
  <c r="AB168" i="17"/>
  <c r="AA168" i="17"/>
  <c r="Y168" i="17"/>
  <c r="X168" i="17"/>
  <c r="W168" i="17"/>
  <c r="V168" i="17"/>
  <c r="U168" i="17"/>
  <c r="R168" i="17"/>
  <c r="N168" i="17"/>
  <c r="M168" i="17"/>
  <c r="L168" i="17"/>
  <c r="K168" i="17"/>
  <c r="I168" i="17"/>
  <c r="H168" i="17"/>
  <c r="D168" i="17"/>
  <c r="AL167" i="17"/>
  <c r="AJ167" i="17"/>
  <c r="AF167" i="17"/>
  <c r="AB167" i="17"/>
  <c r="AA167" i="17"/>
  <c r="Y167" i="17"/>
  <c r="X167" i="17"/>
  <c r="W167" i="17"/>
  <c r="V167" i="17"/>
  <c r="U167" i="17"/>
  <c r="R167" i="17"/>
  <c r="S167" i="17" s="1"/>
  <c r="T167" i="17" s="1"/>
  <c r="M167" i="17"/>
  <c r="L167" i="17"/>
  <c r="K167" i="17"/>
  <c r="I167" i="17"/>
  <c r="N167" i="17" s="1"/>
  <c r="H167" i="17"/>
  <c r="D167" i="17"/>
  <c r="AL166" i="17"/>
  <c r="AJ166" i="17"/>
  <c r="AF166" i="17"/>
  <c r="AB166" i="17"/>
  <c r="AA166" i="17"/>
  <c r="Y166" i="17"/>
  <c r="X166" i="17"/>
  <c r="W166" i="17"/>
  <c r="V166" i="17"/>
  <c r="U166" i="17"/>
  <c r="R166" i="17"/>
  <c r="N166" i="17"/>
  <c r="M166" i="17"/>
  <c r="L166" i="17"/>
  <c r="K166" i="17"/>
  <c r="I166" i="17"/>
  <c r="H166" i="17"/>
  <c r="D166" i="17"/>
  <c r="AL165" i="17"/>
  <c r="AJ165" i="17"/>
  <c r="AF165" i="17"/>
  <c r="AB165" i="17"/>
  <c r="AA165" i="17"/>
  <c r="Y165" i="17"/>
  <c r="X165" i="17"/>
  <c r="W165" i="17"/>
  <c r="V165" i="17"/>
  <c r="U165" i="17"/>
  <c r="R165" i="17"/>
  <c r="S165" i="17" s="1"/>
  <c r="T165" i="17" s="1"/>
  <c r="M165" i="17"/>
  <c r="L165" i="17"/>
  <c r="K165" i="17"/>
  <c r="I165" i="17"/>
  <c r="N165" i="17" s="1"/>
  <c r="H165" i="17"/>
  <c r="D165" i="17"/>
  <c r="AL164" i="17"/>
  <c r="AJ164" i="17"/>
  <c r="AF164" i="17"/>
  <c r="AB164" i="17"/>
  <c r="AA164" i="17"/>
  <c r="Y164" i="17"/>
  <c r="X164" i="17"/>
  <c r="W164" i="17"/>
  <c r="V164" i="17"/>
  <c r="U164" i="17"/>
  <c r="R164" i="17"/>
  <c r="N164" i="17"/>
  <c r="M164" i="17"/>
  <c r="L164" i="17"/>
  <c r="K164" i="17"/>
  <c r="I164" i="17"/>
  <c r="H164" i="17"/>
  <c r="D164" i="17"/>
  <c r="AL163" i="17"/>
  <c r="AJ163" i="17"/>
  <c r="AF163" i="17"/>
  <c r="AB163" i="17"/>
  <c r="AA163" i="17"/>
  <c r="Y163" i="17"/>
  <c r="X163" i="17"/>
  <c r="W163" i="17"/>
  <c r="V163" i="17"/>
  <c r="U163" i="17"/>
  <c r="R163" i="17"/>
  <c r="S163" i="17" s="1"/>
  <c r="T163" i="17" s="1"/>
  <c r="M163" i="17"/>
  <c r="L163" i="17"/>
  <c r="K163" i="17"/>
  <c r="I163" i="17"/>
  <c r="N163" i="17" s="1"/>
  <c r="H163" i="17"/>
  <c r="D163" i="17"/>
  <c r="AL162" i="17"/>
  <c r="AJ162" i="17"/>
  <c r="AF162" i="17"/>
  <c r="AB162" i="17"/>
  <c r="AA162" i="17"/>
  <c r="Y162" i="17"/>
  <c r="X162" i="17"/>
  <c r="W162" i="17"/>
  <c r="V162" i="17"/>
  <c r="U162" i="17"/>
  <c r="R162" i="17"/>
  <c r="N162" i="17"/>
  <c r="M162" i="17"/>
  <c r="L162" i="17"/>
  <c r="K162" i="17"/>
  <c r="I162" i="17"/>
  <c r="H162" i="17"/>
  <c r="D162" i="17"/>
  <c r="AL161" i="17"/>
  <c r="AJ161" i="17"/>
  <c r="AF161" i="17"/>
  <c r="AB161" i="17"/>
  <c r="AA161" i="17"/>
  <c r="Y161" i="17"/>
  <c r="X161" i="17"/>
  <c r="W161" i="17"/>
  <c r="V161" i="17"/>
  <c r="U161" i="17"/>
  <c r="R161" i="17"/>
  <c r="S161" i="17" s="1"/>
  <c r="T161" i="17" s="1"/>
  <c r="M161" i="17"/>
  <c r="L161" i="17"/>
  <c r="K161" i="17"/>
  <c r="I161" i="17"/>
  <c r="N161" i="17" s="1"/>
  <c r="H161" i="17"/>
  <c r="D161" i="17"/>
  <c r="AL160" i="17"/>
  <c r="AJ160" i="17"/>
  <c r="AF160" i="17"/>
  <c r="AB160" i="17"/>
  <c r="AA160" i="17"/>
  <c r="Y160" i="17"/>
  <c r="X160" i="17"/>
  <c r="W160" i="17"/>
  <c r="V160" i="17"/>
  <c r="U160" i="17"/>
  <c r="R160" i="17"/>
  <c r="N160" i="17"/>
  <c r="M160" i="17"/>
  <c r="L160" i="17"/>
  <c r="K160" i="17"/>
  <c r="I160" i="17"/>
  <c r="H160" i="17"/>
  <c r="D160" i="17"/>
  <c r="AL159" i="17"/>
  <c r="AJ159" i="17"/>
  <c r="AF159" i="17"/>
  <c r="AB159" i="17"/>
  <c r="AA159" i="17"/>
  <c r="Y159" i="17"/>
  <c r="X159" i="17"/>
  <c r="W159" i="17"/>
  <c r="V159" i="17"/>
  <c r="U159" i="17"/>
  <c r="R159" i="17"/>
  <c r="S159" i="17" s="1"/>
  <c r="T159" i="17" s="1"/>
  <c r="M159" i="17"/>
  <c r="L159" i="17"/>
  <c r="K159" i="17"/>
  <c r="I159" i="17"/>
  <c r="N159" i="17" s="1"/>
  <c r="H159" i="17"/>
  <c r="D159" i="17"/>
  <c r="AL158" i="17"/>
  <c r="AJ158" i="17"/>
  <c r="AF158" i="17"/>
  <c r="AB158" i="17"/>
  <c r="AA158" i="17"/>
  <c r="Y158" i="17"/>
  <c r="X158" i="17"/>
  <c r="W158" i="17"/>
  <c r="V158" i="17"/>
  <c r="U158" i="17"/>
  <c r="R158" i="17"/>
  <c r="N158" i="17"/>
  <c r="M158" i="17"/>
  <c r="L158" i="17"/>
  <c r="K158" i="17"/>
  <c r="I158" i="17"/>
  <c r="H158" i="17"/>
  <c r="D158" i="17"/>
  <c r="AL157" i="17"/>
  <c r="AJ157" i="17"/>
  <c r="AF157" i="17"/>
  <c r="AB157" i="17"/>
  <c r="AA157" i="17"/>
  <c r="Y157" i="17"/>
  <c r="X157" i="17"/>
  <c r="W157" i="17"/>
  <c r="V157" i="17"/>
  <c r="U157" i="17"/>
  <c r="R157" i="17"/>
  <c r="S157" i="17" s="1"/>
  <c r="T157" i="17" s="1"/>
  <c r="M157" i="17"/>
  <c r="L157" i="17"/>
  <c r="K157" i="17"/>
  <c r="I157" i="17"/>
  <c r="N157" i="17" s="1"/>
  <c r="H157" i="17"/>
  <c r="D157" i="17"/>
  <c r="AL156" i="17"/>
  <c r="AJ156" i="17"/>
  <c r="AF156" i="17"/>
  <c r="AB156" i="17"/>
  <c r="AA156" i="17"/>
  <c r="Y156" i="17"/>
  <c r="X156" i="17"/>
  <c r="W156" i="17"/>
  <c r="V156" i="17"/>
  <c r="U156" i="17"/>
  <c r="R156" i="17"/>
  <c r="N156" i="17"/>
  <c r="M156" i="17"/>
  <c r="L156" i="17"/>
  <c r="K156" i="17"/>
  <c r="I156" i="17"/>
  <c r="H156" i="17"/>
  <c r="D156" i="17"/>
  <c r="AL155" i="17"/>
  <c r="AJ155" i="17"/>
  <c r="AF155" i="17"/>
  <c r="AB155" i="17"/>
  <c r="AA155" i="17"/>
  <c r="Y155" i="17"/>
  <c r="X155" i="17"/>
  <c r="W155" i="17"/>
  <c r="V155" i="17"/>
  <c r="U155" i="17"/>
  <c r="R155" i="17"/>
  <c r="M155" i="17"/>
  <c r="L155" i="17"/>
  <c r="K155" i="17"/>
  <c r="I155" i="17"/>
  <c r="N155" i="17" s="1"/>
  <c r="H155" i="17"/>
  <c r="D155" i="17"/>
  <c r="AL154" i="17"/>
  <c r="AJ154" i="17"/>
  <c r="AF154" i="17"/>
  <c r="AB154" i="17"/>
  <c r="AA154" i="17"/>
  <c r="Y154" i="17"/>
  <c r="X154" i="17"/>
  <c r="W154" i="17"/>
  <c r="V154" i="17"/>
  <c r="U154" i="17"/>
  <c r="R154" i="17"/>
  <c r="N154" i="17"/>
  <c r="M154" i="17"/>
  <c r="L154" i="17"/>
  <c r="K154" i="17"/>
  <c r="I154" i="17"/>
  <c r="H154" i="17"/>
  <c r="D154" i="17"/>
  <c r="AL153" i="17"/>
  <c r="AJ153" i="17"/>
  <c r="AF153" i="17"/>
  <c r="AB153" i="17"/>
  <c r="AA153" i="17"/>
  <c r="Y153" i="17"/>
  <c r="X153" i="17"/>
  <c r="W153" i="17"/>
  <c r="V153" i="17"/>
  <c r="U153" i="17"/>
  <c r="R153" i="17"/>
  <c r="M153" i="17"/>
  <c r="L153" i="17"/>
  <c r="K153" i="17"/>
  <c r="I153" i="17"/>
  <c r="N153" i="17" s="1"/>
  <c r="H153" i="17"/>
  <c r="D153" i="17"/>
  <c r="AL152" i="17"/>
  <c r="AJ152" i="17"/>
  <c r="AF152" i="17"/>
  <c r="AB152" i="17"/>
  <c r="AA152" i="17"/>
  <c r="Y152" i="17"/>
  <c r="X152" i="17"/>
  <c r="W152" i="17"/>
  <c r="V152" i="17"/>
  <c r="U152" i="17"/>
  <c r="R152" i="17"/>
  <c r="N152" i="17"/>
  <c r="M152" i="17"/>
  <c r="L152" i="17"/>
  <c r="K152" i="17"/>
  <c r="I152" i="17"/>
  <c r="H152" i="17"/>
  <c r="D152" i="17"/>
  <c r="AL151" i="17"/>
  <c r="AJ151" i="17"/>
  <c r="AF151" i="17"/>
  <c r="AB151" i="17"/>
  <c r="AA151" i="17"/>
  <c r="Y151" i="17"/>
  <c r="X151" i="17"/>
  <c r="W151" i="17"/>
  <c r="V151" i="17"/>
  <c r="U151" i="17"/>
  <c r="R151" i="17"/>
  <c r="M151" i="17"/>
  <c r="L151" i="17"/>
  <c r="K151" i="17"/>
  <c r="I151" i="17"/>
  <c r="N151" i="17" s="1"/>
  <c r="H151" i="17"/>
  <c r="D151" i="17"/>
  <c r="AL150" i="17"/>
  <c r="AJ150" i="17"/>
  <c r="AF150" i="17"/>
  <c r="AB150" i="17"/>
  <c r="AA150" i="17"/>
  <c r="Y150" i="17"/>
  <c r="X150" i="17"/>
  <c r="W150" i="17"/>
  <c r="V150" i="17"/>
  <c r="U150" i="17"/>
  <c r="R150" i="17"/>
  <c r="N150" i="17"/>
  <c r="M150" i="17"/>
  <c r="L150" i="17"/>
  <c r="K150" i="17"/>
  <c r="I150" i="17"/>
  <c r="H150" i="17"/>
  <c r="D150" i="17"/>
  <c r="AL149" i="17"/>
  <c r="AJ149" i="17"/>
  <c r="AF149" i="17"/>
  <c r="AB149" i="17"/>
  <c r="AA149" i="17"/>
  <c r="Y149" i="17"/>
  <c r="X149" i="17"/>
  <c r="W149" i="17"/>
  <c r="V149" i="17"/>
  <c r="U149" i="17"/>
  <c r="R149" i="17"/>
  <c r="M149" i="17"/>
  <c r="L149" i="17"/>
  <c r="K149" i="17"/>
  <c r="I149" i="17"/>
  <c r="N149" i="17" s="1"/>
  <c r="H149" i="17"/>
  <c r="D149" i="17"/>
  <c r="AL148" i="17"/>
  <c r="AJ148" i="17"/>
  <c r="AF148" i="17"/>
  <c r="AB148" i="17"/>
  <c r="AA148" i="17"/>
  <c r="Y148" i="17"/>
  <c r="X148" i="17"/>
  <c r="W148" i="17"/>
  <c r="V148" i="17"/>
  <c r="U148" i="17"/>
  <c r="R148" i="17"/>
  <c r="N148" i="17"/>
  <c r="M148" i="17"/>
  <c r="L148" i="17"/>
  <c r="K148" i="17"/>
  <c r="I148" i="17"/>
  <c r="H148" i="17"/>
  <c r="D148" i="17"/>
  <c r="AL147" i="17"/>
  <c r="AJ147" i="17"/>
  <c r="AF147" i="17"/>
  <c r="AB147" i="17"/>
  <c r="AA147" i="17"/>
  <c r="Y147" i="17"/>
  <c r="X147" i="17"/>
  <c r="W147" i="17"/>
  <c r="V147" i="17"/>
  <c r="U147" i="17"/>
  <c r="R147" i="17"/>
  <c r="M147" i="17"/>
  <c r="L147" i="17"/>
  <c r="K147" i="17"/>
  <c r="I147" i="17"/>
  <c r="N147" i="17" s="1"/>
  <c r="H147" i="17"/>
  <c r="D147" i="17"/>
  <c r="AL146" i="17"/>
  <c r="AJ146" i="17"/>
  <c r="AF146" i="17"/>
  <c r="AB146" i="17"/>
  <c r="AA146" i="17"/>
  <c r="Y146" i="17"/>
  <c r="X146" i="17"/>
  <c r="W146" i="17"/>
  <c r="V146" i="17"/>
  <c r="U146" i="17"/>
  <c r="R146" i="17"/>
  <c r="N146" i="17"/>
  <c r="M146" i="17"/>
  <c r="L146" i="17"/>
  <c r="K146" i="17"/>
  <c r="I146" i="17"/>
  <c r="H146" i="17"/>
  <c r="D146" i="17"/>
  <c r="AL145" i="17"/>
  <c r="AJ145" i="17"/>
  <c r="AF145" i="17"/>
  <c r="AB145" i="17"/>
  <c r="AA145" i="17"/>
  <c r="Y145" i="17"/>
  <c r="X145" i="17"/>
  <c r="W145" i="17"/>
  <c r="V145" i="17"/>
  <c r="U145" i="17"/>
  <c r="R145" i="17"/>
  <c r="M145" i="17"/>
  <c r="L145" i="17"/>
  <c r="K145" i="17"/>
  <c r="I145" i="17"/>
  <c r="N145" i="17" s="1"/>
  <c r="H145" i="17"/>
  <c r="D145" i="17"/>
  <c r="AL144" i="17"/>
  <c r="AJ144" i="17"/>
  <c r="AF144" i="17"/>
  <c r="AB144" i="17"/>
  <c r="AA144" i="17"/>
  <c r="Y144" i="17"/>
  <c r="X144" i="17"/>
  <c r="W144" i="17"/>
  <c r="V144" i="17"/>
  <c r="U144" i="17"/>
  <c r="R144" i="17"/>
  <c r="N144" i="17"/>
  <c r="M144" i="17"/>
  <c r="L144" i="17"/>
  <c r="K144" i="17"/>
  <c r="I144" i="17"/>
  <c r="H144" i="17"/>
  <c r="D144" i="17"/>
  <c r="AL143" i="17"/>
  <c r="AJ143" i="17"/>
  <c r="AF143" i="17"/>
  <c r="AB143" i="17"/>
  <c r="AA143" i="17"/>
  <c r="Y143" i="17"/>
  <c r="X143" i="17"/>
  <c r="W143" i="17"/>
  <c r="V143" i="17"/>
  <c r="U143" i="17"/>
  <c r="R143" i="17"/>
  <c r="M143" i="17"/>
  <c r="L143" i="17"/>
  <c r="K143" i="17"/>
  <c r="I143" i="17"/>
  <c r="N143" i="17" s="1"/>
  <c r="H143" i="17"/>
  <c r="D143" i="17"/>
  <c r="AL142" i="17"/>
  <c r="AJ142" i="17"/>
  <c r="AF142" i="17"/>
  <c r="AB142" i="17"/>
  <c r="AA142" i="17"/>
  <c r="Y142" i="17"/>
  <c r="X142" i="17"/>
  <c r="W142" i="17"/>
  <c r="V142" i="17"/>
  <c r="U142" i="17"/>
  <c r="R142" i="17"/>
  <c r="N142" i="17"/>
  <c r="M142" i="17"/>
  <c r="L142" i="17"/>
  <c r="K142" i="17"/>
  <c r="I142" i="17"/>
  <c r="H142" i="17"/>
  <c r="D142" i="17"/>
  <c r="AL141" i="17"/>
  <c r="AJ141" i="17"/>
  <c r="AF141" i="17"/>
  <c r="AB141" i="17"/>
  <c r="AA141" i="17"/>
  <c r="Y141" i="17"/>
  <c r="X141" i="17"/>
  <c r="W141" i="17"/>
  <c r="V141" i="17"/>
  <c r="U141" i="17"/>
  <c r="R141" i="17"/>
  <c r="M141" i="17"/>
  <c r="L141" i="17"/>
  <c r="K141" i="17"/>
  <c r="I141" i="17"/>
  <c r="N141" i="17" s="1"/>
  <c r="H141" i="17"/>
  <c r="D141" i="17"/>
  <c r="AL140" i="17"/>
  <c r="AJ140" i="17"/>
  <c r="AF140" i="17"/>
  <c r="AB140" i="17"/>
  <c r="AA140" i="17"/>
  <c r="Y140" i="17"/>
  <c r="X140" i="17"/>
  <c r="W140" i="17"/>
  <c r="V140" i="17"/>
  <c r="U140" i="17"/>
  <c r="R140" i="17"/>
  <c r="N140" i="17"/>
  <c r="M140" i="17"/>
  <c r="L140" i="17"/>
  <c r="K140" i="17"/>
  <c r="I140" i="17"/>
  <c r="H140" i="17"/>
  <c r="D140" i="17"/>
  <c r="AL139" i="17"/>
  <c r="AJ139" i="17"/>
  <c r="AF139" i="17"/>
  <c r="AB139" i="17"/>
  <c r="AA139" i="17"/>
  <c r="Y139" i="17"/>
  <c r="X139" i="17"/>
  <c r="W139" i="17"/>
  <c r="V139" i="17"/>
  <c r="U139" i="17"/>
  <c r="R139" i="17"/>
  <c r="M139" i="17"/>
  <c r="L139" i="17"/>
  <c r="K139" i="17"/>
  <c r="I139" i="17"/>
  <c r="N139" i="17" s="1"/>
  <c r="H139" i="17"/>
  <c r="D139" i="17"/>
  <c r="AL138" i="17"/>
  <c r="AJ138" i="17"/>
  <c r="AF138" i="17"/>
  <c r="AB138" i="17"/>
  <c r="AA138" i="17"/>
  <c r="Y138" i="17"/>
  <c r="X138" i="17"/>
  <c r="W138" i="17"/>
  <c r="V138" i="17"/>
  <c r="U138" i="17"/>
  <c r="R138" i="17"/>
  <c r="N138" i="17"/>
  <c r="M138" i="17"/>
  <c r="L138" i="17"/>
  <c r="K138" i="17"/>
  <c r="I138" i="17"/>
  <c r="H138" i="17"/>
  <c r="D138" i="17"/>
  <c r="AL137" i="17"/>
  <c r="AJ137" i="17"/>
  <c r="AF137" i="17"/>
  <c r="AB137" i="17"/>
  <c r="AA137" i="17"/>
  <c r="Y137" i="17"/>
  <c r="X137" i="17"/>
  <c r="W137" i="17"/>
  <c r="V137" i="17"/>
  <c r="U137" i="17"/>
  <c r="R137" i="17"/>
  <c r="M137" i="17"/>
  <c r="L137" i="17"/>
  <c r="K137" i="17"/>
  <c r="I137" i="17"/>
  <c r="N137" i="17" s="1"/>
  <c r="H137" i="17"/>
  <c r="D137" i="17"/>
  <c r="AL136" i="17"/>
  <c r="AJ136" i="17"/>
  <c r="AF136" i="17"/>
  <c r="AB136" i="17"/>
  <c r="AA136" i="17"/>
  <c r="Y136" i="17"/>
  <c r="X136" i="17"/>
  <c r="W136" i="17"/>
  <c r="V136" i="17"/>
  <c r="U136" i="17"/>
  <c r="R136" i="17"/>
  <c r="N136" i="17"/>
  <c r="M136" i="17"/>
  <c r="L136" i="17"/>
  <c r="K136" i="17"/>
  <c r="I136" i="17"/>
  <c r="H136" i="17"/>
  <c r="D136" i="17"/>
  <c r="AL135" i="17"/>
  <c r="AJ135" i="17"/>
  <c r="AF135" i="17"/>
  <c r="AB135" i="17"/>
  <c r="AA135" i="17"/>
  <c r="Y135" i="17"/>
  <c r="X135" i="17"/>
  <c r="W135" i="17"/>
  <c r="V135" i="17"/>
  <c r="U135" i="17"/>
  <c r="R135" i="17"/>
  <c r="M135" i="17"/>
  <c r="L135" i="17"/>
  <c r="K135" i="17"/>
  <c r="I135" i="17"/>
  <c r="N135" i="17" s="1"/>
  <c r="H135" i="17"/>
  <c r="D135" i="17"/>
  <c r="AL134" i="17"/>
  <c r="AJ134" i="17"/>
  <c r="AF134" i="17"/>
  <c r="AB134" i="17"/>
  <c r="AA134" i="17"/>
  <c r="Y134" i="17"/>
  <c r="X134" i="17"/>
  <c r="W134" i="17"/>
  <c r="V134" i="17"/>
  <c r="U134" i="17"/>
  <c r="R134" i="17"/>
  <c r="N134" i="17"/>
  <c r="M134" i="17"/>
  <c r="L134" i="17"/>
  <c r="K134" i="17"/>
  <c r="I134" i="17"/>
  <c r="H134" i="17"/>
  <c r="D134" i="17"/>
  <c r="AL133" i="17"/>
  <c r="AJ133" i="17"/>
  <c r="AF133" i="17"/>
  <c r="AB133" i="17"/>
  <c r="AA133" i="17"/>
  <c r="Y133" i="17"/>
  <c r="X133" i="17"/>
  <c r="W133" i="17"/>
  <c r="V133" i="17"/>
  <c r="U133" i="17"/>
  <c r="R133" i="17"/>
  <c r="M133" i="17"/>
  <c r="L133" i="17"/>
  <c r="K133" i="17"/>
  <c r="I133" i="17"/>
  <c r="N133" i="17" s="1"/>
  <c r="H133" i="17"/>
  <c r="D133" i="17"/>
  <c r="AL132" i="17"/>
  <c r="AJ132" i="17"/>
  <c r="AF132" i="17"/>
  <c r="AB132" i="17"/>
  <c r="AA132" i="17"/>
  <c r="Y132" i="17"/>
  <c r="X132" i="17"/>
  <c r="W132" i="17"/>
  <c r="V132" i="17"/>
  <c r="U132" i="17"/>
  <c r="R132" i="17"/>
  <c r="N132" i="17"/>
  <c r="M132" i="17"/>
  <c r="L132" i="17"/>
  <c r="K132" i="17"/>
  <c r="I132" i="17"/>
  <c r="H132" i="17"/>
  <c r="D132" i="17"/>
  <c r="AL131" i="17"/>
  <c r="AJ131" i="17"/>
  <c r="AF131" i="17"/>
  <c r="AB131" i="17"/>
  <c r="AA131" i="17"/>
  <c r="Y131" i="17"/>
  <c r="X131" i="17"/>
  <c r="W131" i="17"/>
  <c r="V131" i="17"/>
  <c r="U131" i="17"/>
  <c r="R131" i="17"/>
  <c r="M131" i="17"/>
  <c r="L131" i="17"/>
  <c r="K131" i="17"/>
  <c r="I131" i="17"/>
  <c r="N131" i="17" s="1"/>
  <c r="H131" i="17"/>
  <c r="D131" i="17"/>
  <c r="AL130" i="17"/>
  <c r="AJ130" i="17"/>
  <c r="AF130" i="17"/>
  <c r="AB130" i="17"/>
  <c r="AA130" i="17"/>
  <c r="Y130" i="17"/>
  <c r="X130" i="17"/>
  <c r="W130" i="17"/>
  <c r="V130" i="17"/>
  <c r="U130" i="17"/>
  <c r="R130" i="17"/>
  <c r="N130" i="17"/>
  <c r="M130" i="17"/>
  <c r="L130" i="17"/>
  <c r="K130" i="17"/>
  <c r="I130" i="17"/>
  <c r="H130" i="17"/>
  <c r="D130" i="17"/>
  <c r="AL129" i="17"/>
  <c r="AJ129" i="17"/>
  <c r="AF129" i="17"/>
  <c r="AB129" i="17"/>
  <c r="AA129" i="17"/>
  <c r="Y129" i="17"/>
  <c r="X129" i="17"/>
  <c r="W129" i="17"/>
  <c r="V129" i="17"/>
  <c r="U129" i="17"/>
  <c r="R129" i="17"/>
  <c r="M129" i="17"/>
  <c r="L129" i="17"/>
  <c r="K129" i="17"/>
  <c r="I129" i="17"/>
  <c r="N129" i="17" s="1"/>
  <c r="H129" i="17"/>
  <c r="D129" i="17"/>
  <c r="AL128" i="17"/>
  <c r="AJ128" i="17"/>
  <c r="AF128" i="17"/>
  <c r="AB128" i="17"/>
  <c r="AA128" i="17"/>
  <c r="Y128" i="17"/>
  <c r="X128" i="17"/>
  <c r="W128" i="17"/>
  <c r="V128" i="17"/>
  <c r="U128" i="17"/>
  <c r="R128" i="17"/>
  <c r="N128" i="17"/>
  <c r="M128" i="17"/>
  <c r="L128" i="17"/>
  <c r="K128" i="17"/>
  <c r="I128" i="17"/>
  <c r="H128" i="17"/>
  <c r="D128" i="17"/>
  <c r="AL127" i="17"/>
  <c r="AJ127" i="17"/>
  <c r="AF127" i="17"/>
  <c r="AB127" i="17"/>
  <c r="AA127" i="17"/>
  <c r="Y127" i="17"/>
  <c r="X127" i="17"/>
  <c r="W127" i="17"/>
  <c r="V127" i="17"/>
  <c r="U127" i="17"/>
  <c r="R127" i="17"/>
  <c r="S128" i="17" s="1"/>
  <c r="T128" i="17" s="1"/>
  <c r="M127" i="17"/>
  <c r="L127" i="17"/>
  <c r="K127" i="17"/>
  <c r="I127" i="17"/>
  <c r="N127" i="17" s="1"/>
  <c r="H127" i="17"/>
  <c r="S127" i="17" s="1"/>
  <c r="T127" i="17" s="1"/>
  <c r="D127" i="17"/>
  <c r="AL126" i="17"/>
  <c r="AJ126" i="17"/>
  <c r="AF126" i="17"/>
  <c r="AB126" i="17"/>
  <c r="AA126" i="17"/>
  <c r="Y126" i="17"/>
  <c r="X126" i="17"/>
  <c r="W126" i="17"/>
  <c r="V126" i="17"/>
  <c r="U126" i="17"/>
  <c r="R126" i="17"/>
  <c r="N126" i="17"/>
  <c r="M126" i="17"/>
  <c r="L126" i="17"/>
  <c r="K126" i="17"/>
  <c r="I126" i="17"/>
  <c r="H126" i="17"/>
  <c r="D126" i="17"/>
  <c r="AL125" i="17"/>
  <c r="AJ125" i="17"/>
  <c r="AF125" i="17"/>
  <c r="AB125" i="17"/>
  <c r="AA125" i="17"/>
  <c r="Y125" i="17"/>
  <c r="X125" i="17"/>
  <c r="W125" i="17"/>
  <c r="V125" i="17"/>
  <c r="U125" i="17"/>
  <c r="R125" i="17"/>
  <c r="M125" i="17"/>
  <c r="L125" i="17"/>
  <c r="K125" i="17"/>
  <c r="I125" i="17"/>
  <c r="N125" i="17" s="1"/>
  <c r="H125" i="17"/>
  <c r="D125" i="17"/>
  <c r="AL124" i="17"/>
  <c r="AJ124" i="17"/>
  <c r="AF124" i="17"/>
  <c r="AB124" i="17"/>
  <c r="AA124" i="17"/>
  <c r="Y124" i="17"/>
  <c r="X124" i="17"/>
  <c r="W124" i="17"/>
  <c r="V124" i="17"/>
  <c r="U124" i="17"/>
  <c r="R124" i="17"/>
  <c r="N124" i="17"/>
  <c r="M124" i="17"/>
  <c r="L124" i="17"/>
  <c r="K124" i="17"/>
  <c r="I124" i="17"/>
  <c r="H124" i="17"/>
  <c r="D124" i="17"/>
  <c r="AL123" i="17"/>
  <c r="AJ123" i="17"/>
  <c r="AF123" i="17"/>
  <c r="AB123" i="17"/>
  <c r="AA123" i="17"/>
  <c r="Y123" i="17"/>
  <c r="X123" i="17"/>
  <c r="W123" i="17"/>
  <c r="V123" i="17"/>
  <c r="U123" i="17"/>
  <c r="R123" i="17"/>
  <c r="M123" i="17"/>
  <c r="L123" i="17"/>
  <c r="K123" i="17"/>
  <c r="I123" i="17"/>
  <c r="N123" i="17" s="1"/>
  <c r="H123" i="17"/>
  <c r="D123" i="17"/>
  <c r="AL122" i="17"/>
  <c r="AJ122" i="17"/>
  <c r="AF122" i="17"/>
  <c r="AB122" i="17"/>
  <c r="AA122" i="17"/>
  <c r="Y122" i="17"/>
  <c r="X122" i="17"/>
  <c r="W122" i="17"/>
  <c r="V122" i="17"/>
  <c r="U122" i="17"/>
  <c r="R122" i="17"/>
  <c r="N122" i="17"/>
  <c r="M122" i="17"/>
  <c r="L122" i="17"/>
  <c r="K122" i="17"/>
  <c r="I122" i="17"/>
  <c r="H122" i="17"/>
  <c r="D122" i="17"/>
  <c r="AL121" i="17"/>
  <c r="AJ121" i="17"/>
  <c r="AF121" i="17"/>
  <c r="AB121" i="17"/>
  <c r="AA121" i="17"/>
  <c r="Y121" i="17"/>
  <c r="X121" i="17"/>
  <c r="W121" i="17"/>
  <c r="V121" i="17"/>
  <c r="U121" i="17"/>
  <c r="R121" i="17"/>
  <c r="M121" i="17"/>
  <c r="L121" i="17"/>
  <c r="K121" i="17"/>
  <c r="I121" i="17"/>
  <c r="N121" i="17" s="1"/>
  <c r="H121" i="17"/>
  <c r="D121" i="17"/>
  <c r="AL120" i="17"/>
  <c r="AJ120" i="17"/>
  <c r="AF120" i="17"/>
  <c r="AB120" i="17"/>
  <c r="AA120" i="17"/>
  <c r="Y120" i="17"/>
  <c r="X120" i="17"/>
  <c r="W120" i="17"/>
  <c r="V120" i="17"/>
  <c r="U120" i="17"/>
  <c r="R120" i="17"/>
  <c r="N120" i="17"/>
  <c r="M120" i="17"/>
  <c r="L120" i="17"/>
  <c r="K120" i="17"/>
  <c r="I120" i="17"/>
  <c r="H120" i="17"/>
  <c r="D120" i="17"/>
  <c r="AL119" i="17"/>
  <c r="AJ119" i="17"/>
  <c r="AF119" i="17"/>
  <c r="AB119" i="17"/>
  <c r="AA119" i="17"/>
  <c r="Y119" i="17"/>
  <c r="X119" i="17"/>
  <c r="W119" i="17"/>
  <c r="V119" i="17"/>
  <c r="U119" i="17"/>
  <c r="R119" i="17"/>
  <c r="M119" i="17"/>
  <c r="L119" i="17"/>
  <c r="K119" i="17"/>
  <c r="I119" i="17"/>
  <c r="N119" i="17" s="1"/>
  <c r="H119" i="17"/>
  <c r="D119" i="17"/>
  <c r="AL118" i="17"/>
  <c r="AJ118" i="17"/>
  <c r="AF118" i="17"/>
  <c r="AB118" i="17"/>
  <c r="AA118" i="17"/>
  <c r="Y118" i="17"/>
  <c r="X118" i="17"/>
  <c r="W118" i="17"/>
  <c r="V118" i="17"/>
  <c r="U118" i="17"/>
  <c r="R118" i="17"/>
  <c r="N118" i="17"/>
  <c r="M118" i="17"/>
  <c r="L118" i="17"/>
  <c r="K118" i="17"/>
  <c r="I118" i="17"/>
  <c r="H118" i="17"/>
  <c r="D118" i="17"/>
  <c r="AL117" i="17"/>
  <c r="AJ117" i="17"/>
  <c r="AF117" i="17"/>
  <c r="AB117" i="17"/>
  <c r="AA117" i="17"/>
  <c r="Y117" i="17"/>
  <c r="X117" i="17"/>
  <c r="W117" i="17"/>
  <c r="V117" i="17"/>
  <c r="U117" i="17"/>
  <c r="R117" i="17"/>
  <c r="M117" i="17"/>
  <c r="L117" i="17"/>
  <c r="K117" i="17"/>
  <c r="I117" i="17"/>
  <c r="N117" i="17" s="1"/>
  <c r="H117" i="17"/>
  <c r="D117" i="17"/>
  <c r="AL116" i="17"/>
  <c r="AJ116" i="17"/>
  <c r="AF116" i="17"/>
  <c r="AB116" i="17"/>
  <c r="AA116" i="17"/>
  <c r="Y116" i="17"/>
  <c r="X116" i="17"/>
  <c r="W116" i="17"/>
  <c r="V116" i="17"/>
  <c r="U116" i="17"/>
  <c r="R116" i="17"/>
  <c r="N116" i="17"/>
  <c r="M116" i="17"/>
  <c r="L116" i="17"/>
  <c r="K116" i="17"/>
  <c r="I116" i="17"/>
  <c r="H116" i="17"/>
  <c r="D116" i="17"/>
  <c r="AL115" i="17"/>
  <c r="AJ115" i="17"/>
  <c r="AF115" i="17"/>
  <c r="AB115" i="17"/>
  <c r="AA115" i="17"/>
  <c r="Y115" i="17"/>
  <c r="X115" i="17"/>
  <c r="W115" i="17"/>
  <c r="V115" i="17"/>
  <c r="U115" i="17"/>
  <c r="R115" i="17"/>
  <c r="M115" i="17"/>
  <c r="L115" i="17"/>
  <c r="K115" i="17"/>
  <c r="I115" i="17"/>
  <c r="N115" i="17" s="1"/>
  <c r="H115" i="17"/>
  <c r="D115" i="17"/>
  <c r="AL114" i="17"/>
  <c r="AJ114" i="17"/>
  <c r="AF114" i="17"/>
  <c r="AB114" i="17"/>
  <c r="AA114" i="17"/>
  <c r="Y114" i="17"/>
  <c r="X114" i="17"/>
  <c r="W114" i="17"/>
  <c r="V114" i="17"/>
  <c r="U114" i="17"/>
  <c r="R114" i="17"/>
  <c r="N114" i="17"/>
  <c r="M114" i="17"/>
  <c r="L114" i="17"/>
  <c r="K114" i="17"/>
  <c r="I114" i="17"/>
  <c r="H114" i="17"/>
  <c r="D114" i="17"/>
  <c r="AL113" i="17"/>
  <c r="AJ113" i="17"/>
  <c r="AF113" i="17"/>
  <c r="AB113" i="17"/>
  <c r="AA113" i="17"/>
  <c r="Y113" i="17"/>
  <c r="X113" i="17"/>
  <c r="W113" i="17"/>
  <c r="V113" i="17"/>
  <c r="U113" i="17"/>
  <c r="R113" i="17"/>
  <c r="M113" i="17"/>
  <c r="L113" i="17"/>
  <c r="K113" i="17"/>
  <c r="I113" i="17"/>
  <c r="N113" i="17" s="1"/>
  <c r="H113" i="17"/>
  <c r="D113" i="17"/>
  <c r="AL112" i="17"/>
  <c r="AJ112" i="17"/>
  <c r="AF112" i="17"/>
  <c r="AB112" i="17"/>
  <c r="AA112" i="17"/>
  <c r="Y112" i="17"/>
  <c r="X112" i="17"/>
  <c r="W112" i="17"/>
  <c r="V112" i="17"/>
  <c r="U112" i="17"/>
  <c r="R112" i="17"/>
  <c r="N112" i="17"/>
  <c r="M112" i="17"/>
  <c r="L112" i="17"/>
  <c r="K112" i="17"/>
  <c r="I112" i="17"/>
  <c r="H112" i="17"/>
  <c r="D112" i="17"/>
  <c r="AL111" i="17"/>
  <c r="AJ111" i="17"/>
  <c r="AF111" i="17"/>
  <c r="AB111" i="17"/>
  <c r="AA111" i="17"/>
  <c r="Y111" i="17"/>
  <c r="X111" i="17"/>
  <c r="W111" i="17"/>
  <c r="V111" i="17"/>
  <c r="U111" i="17"/>
  <c r="R111" i="17"/>
  <c r="M111" i="17"/>
  <c r="L111" i="17"/>
  <c r="K111" i="17"/>
  <c r="I111" i="17"/>
  <c r="N111" i="17" s="1"/>
  <c r="H111" i="17"/>
  <c r="D111" i="17"/>
  <c r="AL110" i="17"/>
  <c r="AJ110" i="17"/>
  <c r="AF110" i="17"/>
  <c r="AB110" i="17"/>
  <c r="AA110" i="17"/>
  <c r="Y110" i="17"/>
  <c r="X110" i="17"/>
  <c r="W110" i="17"/>
  <c r="V110" i="17"/>
  <c r="U110" i="17"/>
  <c r="R110" i="17"/>
  <c r="N110" i="17"/>
  <c r="M110" i="17"/>
  <c r="L110" i="17"/>
  <c r="K110" i="17"/>
  <c r="I110" i="17"/>
  <c r="H110" i="17"/>
  <c r="D110" i="17"/>
  <c r="AL109" i="17"/>
  <c r="AJ109" i="17"/>
  <c r="AF109" i="17"/>
  <c r="AB109" i="17"/>
  <c r="AA109" i="17"/>
  <c r="Y109" i="17"/>
  <c r="X109" i="17"/>
  <c r="W109" i="17"/>
  <c r="V109" i="17"/>
  <c r="U109" i="17"/>
  <c r="R109" i="17"/>
  <c r="M109" i="17"/>
  <c r="L109" i="17"/>
  <c r="K109" i="17"/>
  <c r="I109" i="17"/>
  <c r="N109" i="17" s="1"/>
  <c r="H109" i="17"/>
  <c r="D109" i="17"/>
  <c r="AL108" i="17"/>
  <c r="AJ108" i="17"/>
  <c r="AF108" i="17"/>
  <c r="AB108" i="17"/>
  <c r="AA108" i="17"/>
  <c r="Y108" i="17"/>
  <c r="X108" i="17"/>
  <c r="W108" i="17"/>
  <c r="V108" i="17"/>
  <c r="U108" i="17"/>
  <c r="R108" i="17"/>
  <c r="N108" i="17"/>
  <c r="M108" i="17"/>
  <c r="L108" i="17"/>
  <c r="K108" i="17"/>
  <c r="I108" i="17"/>
  <c r="H108" i="17"/>
  <c r="D108" i="17"/>
  <c r="AL107" i="17"/>
  <c r="AJ107" i="17"/>
  <c r="AF107" i="17"/>
  <c r="AB107" i="17"/>
  <c r="AA107" i="17"/>
  <c r="Y107" i="17"/>
  <c r="X107" i="17"/>
  <c r="W107" i="17"/>
  <c r="V107" i="17"/>
  <c r="U107" i="17"/>
  <c r="R107" i="17"/>
  <c r="M107" i="17"/>
  <c r="L107" i="17"/>
  <c r="K107" i="17"/>
  <c r="I107" i="17"/>
  <c r="N107" i="17" s="1"/>
  <c r="H107" i="17"/>
  <c r="D107" i="17"/>
  <c r="AL106" i="17"/>
  <c r="AJ106" i="17"/>
  <c r="AF106" i="17"/>
  <c r="AB106" i="17"/>
  <c r="AA106" i="17"/>
  <c r="Y106" i="17"/>
  <c r="X106" i="17"/>
  <c r="W106" i="17"/>
  <c r="V106" i="17"/>
  <c r="U106" i="17"/>
  <c r="R106" i="17"/>
  <c r="N106" i="17"/>
  <c r="M106" i="17"/>
  <c r="L106" i="17"/>
  <c r="K106" i="17"/>
  <c r="H106" i="17"/>
  <c r="D106" i="17"/>
  <c r="AL105" i="17"/>
  <c r="AJ105" i="17"/>
  <c r="AF105" i="17"/>
  <c r="AB105" i="17"/>
  <c r="AA105" i="17"/>
  <c r="Y105" i="17"/>
  <c r="X105" i="17"/>
  <c r="W105" i="17"/>
  <c r="V105" i="17"/>
  <c r="U105" i="17"/>
  <c r="R105" i="17"/>
  <c r="N105" i="17"/>
  <c r="M105" i="17"/>
  <c r="L105" i="17"/>
  <c r="K105" i="17"/>
  <c r="I105" i="17"/>
  <c r="H105" i="17"/>
  <c r="S105" i="17" s="1"/>
  <c r="T105" i="17" s="1"/>
  <c r="D105" i="17"/>
  <c r="AL104" i="17"/>
  <c r="AJ104" i="17"/>
  <c r="AF104" i="17"/>
  <c r="AB104" i="17"/>
  <c r="AA104" i="17"/>
  <c r="Y104" i="17"/>
  <c r="X104" i="17"/>
  <c r="W104" i="17"/>
  <c r="V104" i="17"/>
  <c r="U104" i="17"/>
  <c r="R104" i="17"/>
  <c r="S104" i="17" s="1"/>
  <c r="T104" i="17" s="1"/>
  <c r="M104" i="17"/>
  <c r="L104" i="17"/>
  <c r="K104" i="17"/>
  <c r="I104" i="17"/>
  <c r="H104" i="17"/>
  <c r="D104" i="17"/>
  <c r="AL103" i="17"/>
  <c r="AJ103" i="17"/>
  <c r="AF103" i="17"/>
  <c r="AB103" i="17"/>
  <c r="AA103" i="17"/>
  <c r="Y103" i="17"/>
  <c r="X103" i="17"/>
  <c r="W103" i="17"/>
  <c r="V103" i="17"/>
  <c r="U103" i="17"/>
  <c r="R103" i="17"/>
  <c r="N103" i="17"/>
  <c r="M103" i="17"/>
  <c r="L103" i="17"/>
  <c r="K103" i="17"/>
  <c r="I103" i="17"/>
  <c r="H103" i="17"/>
  <c r="S103" i="17" s="1"/>
  <c r="T103" i="17" s="1"/>
  <c r="D103" i="17"/>
  <c r="AL102" i="17"/>
  <c r="AJ102" i="17"/>
  <c r="AF102" i="17"/>
  <c r="AB102" i="17"/>
  <c r="AA102" i="17"/>
  <c r="Y102" i="17"/>
  <c r="X102" i="17"/>
  <c r="W102" i="17"/>
  <c r="V102" i="17"/>
  <c r="U102" i="17"/>
  <c r="R102" i="17"/>
  <c r="S102" i="17" s="1"/>
  <c r="T102" i="17" s="1"/>
  <c r="M102" i="17"/>
  <c r="L102" i="17"/>
  <c r="K102" i="17"/>
  <c r="I102" i="17"/>
  <c r="H102" i="17"/>
  <c r="D102" i="17"/>
  <c r="AL101" i="17"/>
  <c r="AJ101" i="17"/>
  <c r="AF101" i="17"/>
  <c r="AB101" i="17"/>
  <c r="AA101" i="17"/>
  <c r="Y101" i="17"/>
  <c r="X101" i="17"/>
  <c r="W101" i="17"/>
  <c r="V101" i="17"/>
  <c r="U101" i="17"/>
  <c r="R101" i="17"/>
  <c r="N101" i="17"/>
  <c r="M101" i="17"/>
  <c r="L101" i="17"/>
  <c r="K101" i="17"/>
  <c r="I101" i="17"/>
  <c r="H101" i="17"/>
  <c r="S101" i="17" s="1"/>
  <c r="T101" i="17" s="1"/>
  <c r="D101" i="17"/>
  <c r="AL100" i="17"/>
  <c r="AJ100" i="17"/>
  <c r="AF100" i="17"/>
  <c r="AB100" i="17"/>
  <c r="AA100" i="17"/>
  <c r="Y100" i="17"/>
  <c r="X100" i="17"/>
  <c r="W100" i="17"/>
  <c r="V100" i="17"/>
  <c r="U100" i="17"/>
  <c r="R100" i="17"/>
  <c r="S100" i="17" s="1"/>
  <c r="T100" i="17" s="1"/>
  <c r="M100" i="17"/>
  <c r="L100" i="17"/>
  <c r="K100" i="17"/>
  <c r="I100" i="17"/>
  <c r="H100" i="17"/>
  <c r="D100" i="17"/>
  <c r="AL99" i="17"/>
  <c r="AJ99" i="17"/>
  <c r="AF99" i="17"/>
  <c r="AB99" i="17"/>
  <c r="AA99" i="17"/>
  <c r="Y99" i="17"/>
  <c r="X99" i="17"/>
  <c r="W99" i="17"/>
  <c r="V99" i="17"/>
  <c r="U99" i="17"/>
  <c r="R99" i="17"/>
  <c r="N99" i="17"/>
  <c r="M99" i="17"/>
  <c r="L99" i="17"/>
  <c r="K99" i="17"/>
  <c r="I99" i="17"/>
  <c r="H99" i="17"/>
  <c r="S99" i="17" s="1"/>
  <c r="T99" i="17" s="1"/>
  <c r="D99" i="17"/>
  <c r="AL98" i="17"/>
  <c r="AJ98" i="17"/>
  <c r="AF98" i="17"/>
  <c r="AB98" i="17"/>
  <c r="AA98" i="17"/>
  <c r="Y98" i="17"/>
  <c r="X98" i="17"/>
  <c r="W98" i="17"/>
  <c r="V98" i="17"/>
  <c r="U98" i="17"/>
  <c r="R98" i="17"/>
  <c r="S98" i="17" s="1"/>
  <c r="T98" i="17" s="1"/>
  <c r="M98" i="17"/>
  <c r="L98" i="17"/>
  <c r="K98" i="17"/>
  <c r="I98" i="17"/>
  <c r="H98" i="17"/>
  <c r="D98" i="17"/>
  <c r="N98" i="17" s="1"/>
  <c r="AL97" i="17"/>
  <c r="AJ97" i="17"/>
  <c r="AF97" i="17"/>
  <c r="AB97" i="17"/>
  <c r="AA97" i="17"/>
  <c r="Y97" i="17"/>
  <c r="X97" i="17"/>
  <c r="W97" i="17"/>
  <c r="V97" i="17"/>
  <c r="U97" i="17"/>
  <c r="R97" i="17"/>
  <c r="N97" i="17"/>
  <c r="M97" i="17"/>
  <c r="L97" i="17"/>
  <c r="K97" i="17"/>
  <c r="I97" i="17"/>
  <c r="H97" i="17"/>
  <c r="S97" i="17" s="1"/>
  <c r="T97" i="17" s="1"/>
  <c r="D97" i="17"/>
  <c r="AL96" i="17"/>
  <c r="AJ96" i="17"/>
  <c r="AF96" i="17"/>
  <c r="AB96" i="17"/>
  <c r="AA96" i="17"/>
  <c r="Y96" i="17"/>
  <c r="X96" i="17"/>
  <c r="W96" i="17"/>
  <c r="V96" i="17"/>
  <c r="U96" i="17"/>
  <c r="R96" i="17"/>
  <c r="S96" i="17" s="1"/>
  <c r="T96" i="17" s="1"/>
  <c r="M96" i="17"/>
  <c r="L96" i="17"/>
  <c r="K96" i="17"/>
  <c r="I96" i="17"/>
  <c r="H96" i="17"/>
  <c r="D96" i="17"/>
  <c r="N96" i="17" s="1"/>
  <c r="AL95" i="17"/>
  <c r="AJ95" i="17"/>
  <c r="AF95" i="17"/>
  <c r="AB95" i="17"/>
  <c r="AA95" i="17"/>
  <c r="Y95" i="17"/>
  <c r="X95" i="17"/>
  <c r="W95" i="17"/>
  <c r="V95" i="17"/>
  <c r="U95" i="17"/>
  <c r="R95" i="17"/>
  <c r="P95" i="17"/>
  <c r="M95" i="17"/>
  <c r="L95" i="17"/>
  <c r="K95" i="17"/>
  <c r="I95" i="17"/>
  <c r="N95" i="17" s="1"/>
  <c r="H95" i="17"/>
  <c r="S95" i="17" s="1"/>
  <c r="T95" i="17" s="1"/>
  <c r="D95" i="17"/>
  <c r="AL94" i="17"/>
  <c r="AJ94" i="17"/>
  <c r="AF94" i="17"/>
  <c r="AB94" i="17"/>
  <c r="AA94" i="17"/>
  <c r="Y94" i="17"/>
  <c r="X94" i="17"/>
  <c r="W94" i="17"/>
  <c r="V94" i="17"/>
  <c r="U94" i="17"/>
  <c r="R94" i="17"/>
  <c r="P94" i="17"/>
  <c r="M94" i="17"/>
  <c r="L94" i="17"/>
  <c r="K94" i="17"/>
  <c r="I94" i="17"/>
  <c r="H94" i="17"/>
  <c r="D94" i="17"/>
  <c r="N94" i="17" s="1"/>
  <c r="AL93" i="17"/>
  <c r="AJ93" i="17"/>
  <c r="AF93" i="17"/>
  <c r="AB93" i="17"/>
  <c r="AA93" i="17"/>
  <c r="Y93" i="17"/>
  <c r="X93" i="17"/>
  <c r="W93" i="17"/>
  <c r="V93" i="17"/>
  <c r="U93" i="17"/>
  <c r="R93" i="17"/>
  <c r="N93" i="17"/>
  <c r="M93" i="17"/>
  <c r="L93" i="17"/>
  <c r="K93" i="17"/>
  <c r="I93" i="17"/>
  <c r="H93" i="17"/>
  <c r="P93" i="17" s="1"/>
  <c r="D93" i="17"/>
  <c r="AL92" i="17"/>
  <c r="AJ92" i="17"/>
  <c r="AF92" i="17"/>
  <c r="AB92" i="17"/>
  <c r="AA92" i="17"/>
  <c r="Y92" i="17"/>
  <c r="X92" i="17"/>
  <c r="W92" i="17"/>
  <c r="V92" i="17"/>
  <c r="U92" i="17"/>
  <c r="R92" i="17"/>
  <c r="N92" i="17"/>
  <c r="M92" i="17"/>
  <c r="L92" i="17"/>
  <c r="K92" i="17"/>
  <c r="I92" i="17"/>
  <c r="H92" i="17"/>
  <c r="P92" i="17" s="1"/>
  <c r="D92" i="17"/>
  <c r="AL91" i="17"/>
  <c r="AJ91" i="17"/>
  <c r="AF91" i="17"/>
  <c r="AB91" i="17"/>
  <c r="AA91" i="17"/>
  <c r="Y91" i="17"/>
  <c r="X91" i="17"/>
  <c r="W91" i="17"/>
  <c r="V91" i="17"/>
  <c r="U91" i="17"/>
  <c r="R91" i="17"/>
  <c r="N91" i="17"/>
  <c r="M91" i="17"/>
  <c r="L91" i="17"/>
  <c r="K91" i="17"/>
  <c r="I91" i="17"/>
  <c r="H91" i="17"/>
  <c r="S91" i="17" s="1"/>
  <c r="T91" i="17" s="1"/>
  <c r="D91" i="17"/>
  <c r="AL90" i="17"/>
  <c r="AJ90" i="17"/>
  <c r="AF90" i="17"/>
  <c r="AB90" i="17"/>
  <c r="AA90" i="17"/>
  <c r="Y90" i="17"/>
  <c r="X90" i="17"/>
  <c r="W90" i="17"/>
  <c r="V90" i="17"/>
  <c r="U90" i="17"/>
  <c r="R90" i="17"/>
  <c r="P90" i="17"/>
  <c r="M90" i="17"/>
  <c r="L90" i="17"/>
  <c r="K90" i="17"/>
  <c r="I90" i="17"/>
  <c r="H90" i="17"/>
  <c r="D90" i="17"/>
  <c r="N90" i="17" s="1"/>
  <c r="AL89" i="17"/>
  <c r="AJ89" i="17"/>
  <c r="AF89" i="17"/>
  <c r="AB89" i="17"/>
  <c r="AA89" i="17"/>
  <c r="Y89" i="17"/>
  <c r="X89" i="17"/>
  <c r="W89" i="17"/>
  <c r="V89" i="17"/>
  <c r="U89" i="17"/>
  <c r="R89" i="17"/>
  <c r="M89" i="17"/>
  <c r="L89" i="17"/>
  <c r="K89" i="17"/>
  <c r="I89" i="17"/>
  <c r="H89" i="17"/>
  <c r="P89" i="17" s="1"/>
  <c r="D89" i="17"/>
  <c r="N89" i="17" s="1"/>
  <c r="AL88" i="17"/>
  <c r="AJ88" i="17"/>
  <c r="AF88" i="17"/>
  <c r="AB88" i="17"/>
  <c r="AA88" i="17"/>
  <c r="Y88" i="17"/>
  <c r="X88" i="17"/>
  <c r="W88" i="17"/>
  <c r="V88" i="17"/>
  <c r="U88" i="17"/>
  <c r="T88" i="17"/>
  <c r="R88" i="17"/>
  <c r="P88" i="17"/>
  <c r="M88" i="17"/>
  <c r="L88" i="17"/>
  <c r="K88" i="17"/>
  <c r="I88" i="17"/>
  <c r="H88" i="17"/>
  <c r="S88" i="17" s="1"/>
  <c r="D88" i="17"/>
  <c r="N88" i="17" s="1"/>
  <c r="AL87" i="17"/>
  <c r="AJ87" i="17"/>
  <c r="AF87" i="17"/>
  <c r="AB87" i="17"/>
  <c r="AA87" i="17"/>
  <c r="Y87" i="17"/>
  <c r="X87" i="17"/>
  <c r="W87" i="17"/>
  <c r="V87" i="17"/>
  <c r="U87" i="17"/>
  <c r="R87" i="17"/>
  <c r="P87" i="17"/>
  <c r="M87" i="17"/>
  <c r="L87" i="17"/>
  <c r="K87" i="17"/>
  <c r="I87" i="17"/>
  <c r="N87" i="17" s="1"/>
  <c r="H87" i="17"/>
  <c r="S87" i="17" s="1"/>
  <c r="T87" i="17" s="1"/>
  <c r="D87" i="17"/>
  <c r="AL86" i="17"/>
  <c r="AJ86" i="17"/>
  <c r="AF86" i="17"/>
  <c r="AB86" i="17"/>
  <c r="AA86" i="17"/>
  <c r="Y86" i="17"/>
  <c r="X86" i="17"/>
  <c r="W86" i="17"/>
  <c r="V86" i="17"/>
  <c r="U86" i="17"/>
  <c r="R86" i="17"/>
  <c r="P86" i="17"/>
  <c r="M86" i="17"/>
  <c r="L86" i="17"/>
  <c r="K86" i="17"/>
  <c r="I86" i="17"/>
  <c r="H86" i="17"/>
  <c r="D86" i="17"/>
  <c r="N86" i="17" s="1"/>
  <c r="AL85" i="17"/>
  <c r="AJ85" i="17"/>
  <c r="AF85" i="17"/>
  <c r="AB85" i="17"/>
  <c r="AA85" i="17"/>
  <c r="Y85" i="17"/>
  <c r="X85" i="17"/>
  <c r="W85" i="17"/>
  <c r="V85" i="17"/>
  <c r="U85" i="17"/>
  <c r="S85" i="17"/>
  <c r="T85" i="17" s="1"/>
  <c r="R85" i="17"/>
  <c r="N85" i="17"/>
  <c r="M85" i="17"/>
  <c r="L85" i="17"/>
  <c r="K85" i="17"/>
  <c r="I85" i="17"/>
  <c r="H85" i="17"/>
  <c r="P85" i="17" s="1"/>
  <c r="D85" i="17"/>
  <c r="AL84" i="17"/>
  <c r="AJ84" i="17"/>
  <c r="AF84" i="17"/>
  <c r="AB84" i="17"/>
  <c r="AA84" i="17"/>
  <c r="Y84" i="17"/>
  <c r="X84" i="17"/>
  <c r="W84" i="17"/>
  <c r="V84" i="17"/>
  <c r="U84" i="17"/>
  <c r="S84" i="17"/>
  <c r="T84" i="17" s="1"/>
  <c r="R84" i="17"/>
  <c r="N84" i="17"/>
  <c r="M84" i="17"/>
  <c r="L84" i="17"/>
  <c r="K84" i="17"/>
  <c r="I84" i="17"/>
  <c r="H84" i="17"/>
  <c r="P84" i="17" s="1"/>
  <c r="D84" i="17"/>
  <c r="AL83" i="17"/>
  <c r="AJ83" i="17"/>
  <c r="AF83" i="17"/>
  <c r="AB83" i="17"/>
  <c r="AA83" i="17"/>
  <c r="Y83" i="17"/>
  <c r="X83" i="17"/>
  <c r="W83" i="17"/>
  <c r="V83" i="17"/>
  <c r="U83" i="17"/>
  <c r="R83" i="17"/>
  <c r="N83" i="17"/>
  <c r="M83" i="17"/>
  <c r="L83" i="17"/>
  <c r="K83" i="17"/>
  <c r="I83" i="17"/>
  <c r="H83" i="17"/>
  <c r="D83" i="17"/>
  <c r="AL82" i="17"/>
  <c r="AJ82" i="17"/>
  <c r="AF82" i="17"/>
  <c r="AB82" i="17"/>
  <c r="AA82" i="17"/>
  <c r="Y82" i="17"/>
  <c r="X82" i="17"/>
  <c r="W82" i="17"/>
  <c r="V82" i="17"/>
  <c r="U82" i="17"/>
  <c r="R82" i="17"/>
  <c r="M82" i="17"/>
  <c r="L82" i="17"/>
  <c r="K82" i="17"/>
  <c r="I82" i="17"/>
  <c r="H82" i="17"/>
  <c r="D82" i="17"/>
  <c r="N82" i="17" s="1"/>
  <c r="AL81" i="17"/>
  <c r="AJ81" i="17"/>
  <c r="AF81" i="17"/>
  <c r="AB81" i="17"/>
  <c r="AA81" i="17"/>
  <c r="Y81" i="17"/>
  <c r="X81" i="17"/>
  <c r="W81" i="17"/>
  <c r="V81" i="17"/>
  <c r="U81" i="17"/>
  <c r="R81" i="17"/>
  <c r="M81" i="17"/>
  <c r="L81" i="17"/>
  <c r="K81" i="17"/>
  <c r="I81" i="17"/>
  <c r="H81" i="17"/>
  <c r="P81" i="17" s="1"/>
  <c r="D81" i="17"/>
  <c r="N81" i="17" s="1"/>
  <c r="AL80" i="17"/>
  <c r="AJ80" i="17"/>
  <c r="AF80" i="17"/>
  <c r="AB80" i="17"/>
  <c r="AA80" i="17"/>
  <c r="Y80" i="17"/>
  <c r="X80" i="17"/>
  <c r="W80" i="17"/>
  <c r="V80" i="17"/>
  <c r="U80" i="17"/>
  <c r="R80" i="17"/>
  <c r="P80" i="17"/>
  <c r="M80" i="17"/>
  <c r="L80" i="17"/>
  <c r="K80" i="17"/>
  <c r="I80" i="17"/>
  <c r="H80" i="17"/>
  <c r="S80" i="17" s="1"/>
  <c r="T80" i="17" s="1"/>
  <c r="D80" i="17"/>
  <c r="AL79" i="17"/>
  <c r="AJ79" i="17"/>
  <c r="AF79" i="17"/>
  <c r="AB79" i="17"/>
  <c r="AA79" i="17"/>
  <c r="Y79" i="17"/>
  <c r="X79" i="17"/>
  <c r="W79" i="17"/>
  <c r="V79" i="17"/>
  <c r="U79" i="17"/>
  <c r="R79" i="17"/>
  <c r="P79" i="17"/>
  <c r="M79" i="17"/>
  <c r="L79" i="17"/>
  <c r="K79" i="17"/>
  <c r="I79" i="17"/>
  <c r="H79" i="17"/>
  <c r="S79" i="17" s="1"/>
  <c r="T79" i="17" s="1"/>
  <c r="D79" i="17"/>
  <c r="N79" i="17" s="1"/>
  <c r="AL78" i="17"/>
  <c r="AJ78" i="17"/>
  <c r="AF78" i="17"/>
  <c r="AB78" i="17"/>
  <c r="AA78" i="17"/>
  <c r="Y78" i="17"/>
  <c r="X78" i="17"/>
  <c r="W78" i="17"/>
  <c r="V78" i="17"/>
  <c r="U78" i="17"/>
  <c r="R78" i="17"/>
  <c r="P78" i="17"/>
  <c r="M78" i="17"/>
  <c r="L78" i="17"/>
  <c r="K78" i="17"/>
  <c r="I78" i="17"/>
  <c r="H78" i="17"/>
  <c r="D78" i="17"/>
  <c r="N78" i="17" s="1"/>
  <c r="AL77" i="17"/>
  <c r="AJ77" i="17"/>
  <c r="AF77" i="17"/>
  <c r="AB77" i="17"/>
  <c r="AA77" i="17"/>
  <c r="Y77" i="17"/>
  <c r="X77" i="17"/>
  <c r="W77" i="17"/>
  <c r="V77" i="17"/>
  <c r="U77" i="17"/>
  <c r="S77" i="17"/>
  <c r="T77" i="17" s="1"/>
  <c r="R77" i="17"/>
  <c r="N77" i="17"/>
  <c r="M77" i="17"/>
  <c r="L77" i="17"/>
  <c r="K77" i="17"/>
  <c r="I77" i="17"/>
  <c r="H77" i="17"/>
  <c r="P77" i="17" s="1"/>
  <c r="D77" i="17"/>
  <c r="AL76" i="17"/>
  <c r="AJ76" i="17"/>
  <c r="AF76" i="17"/>
  <c r="AB76" i="17"/>
  <c r="AA76" i="17"/>
  <c r="Y76" i="17"/>
  <c r="X76" i="17"/>
  <c r="W76" i="17"/>
  <c r="V76" i="17"/>
  <c r="U76" i="17"/>
  <c r="R76" i="17"/>
  <c r="N76" i="17"/>
  <c r="M76" i="17"/>
  <c r="L76" i="17"/>
  <c r="K76" i="17"/>
  <c r="I76" i="17"/>
  <c r="H76" i="17"/>
  <c r="P76" i="17" s="1"/>
  <c r="D76" i="17"/>
  <c r="AL75" i="17"/>
  <c r="AJ75" i="17"/>
  <c r="AF75" i="17"/>
  <c r="AB75" i="17"/>
  <c r="AA75" i="17"/>
  <c r="Y75" i="17"/>
  <c r="X75" i="17"/>
  <c r="W75" i="17"/>
  <c r="V75" i="17"/>
  <c r="U75" i="17"/>
  <c r="R75" i="17"/>
  <c r="N75" i="17"/>
  <c r="M75" i="17"/>
  <c r="L75" i="17"/>
  <c r="K75" i="17"/>
  <c r="I75" i="17"/>
  <c r="H75" i="17"/>
  <c r="D75" i="17"/>
  <c r="AL74" i="17"/>
  <c r="AJ74" i="17"/>
  <c r="AF74" i="17"/>
  <c r="AB74" i="17"/>
  <c r="AA74" i="17"/>
  <c r="Y74" i="17"/>
  <c r="X74" i="17"/>
  <c r="W74" i="17"/>
  <c r="V74" i="17"/>
  <c r="U74" i="17"/>
  <c r="R74" i="17"/>
  <c r="M74" i="17"/>
  <c r="L74" i="17"/>
  <c r="K74" i="17"/>
  <c r="I74" i="17"/>
  <c r="H74" i="17"/>
  <c r="D74" i="17"/>
  <c r="N74" i="17" s="1"/>
  <c r="AL73" i="17"/>
  <c r="AJ73" i="17"/>
  <c r="AF73" i="17"/>
  <c r="AB73" i="17"/>
  <c r="AA73" i="17"/>
  <c r="Y73" i="17"/>
  <c r="X73" i="17"/>
  <c r="W73" i="17"/>
  <c r="V73" i="17"/>
  <c r="U73" i="17"/>
  <c r="R73" i="17"/>
  <c r="M73" i="17"/>
  <c r="L73" i="17"/>
  <c r="K73" i="17"/>
  <c r="I73" i="17"/>
  <c r="H73" i="17"/>
  <c r="P73" i="17" s="1"/>
  <c r="D73" i="17"/>
  <c r="N73" i="17" s="1"/>
  <c r="AL72" i="17"/>
  <c r="AJ72" i="17"/>
  <c r="AF72" i="17"/>
  <c r="AB72" i="17"/>
  <c r="AA72" i="17"/>
  <c r="Y72" i="17"/>
  <c r="X72" i="17"/>
  <c r="W72" i="17"/>
  <c r="V72" i="17"/>
  <c r="U72" i="17"/>
  <c r="R72" i="17"/>
  <c r="P72" i="17"/>
  <c r="M72" i="17"/>
  <c r="L72" i="17"/>
  <c r="K72" i="17"/>
  <c r="I72" i="17"/>
  <c r="H72" i="17"/>
  <c r="S72" i="17" s="1"/>
  <c r="T72" i="17" s="1"/>
  <c r="D72" i="17"/>
  <c r="AL71" i="17"/>
  <c r="AJ71" i="17"/>
  <c r="AF71" i="17"/>
  <c r="AB71" i="17"/>
  <c r="AA71" i="17"/>
  <c r="Y71" i="17"/>
  <c r="X71" i="17"/>
  <c r="W71" i="17"/>
  <c r="V71" i="17"/>
  <c r="U71" i="17"/>
  <c r="T71" i="17"/>
  <c r="R71" i="17"/>
  <c r="P71" i="17"/>
  <c r="M71" i="17"/>
  <c r="L71" i="17"/>
  <c r="K71" i="17"/>
  <c r="I71" i="17"/>
  <c r="H71" i="17"/>
  <c r="S71" i="17" s="1"/>
  <c r="D71" i="17"/>
  <c r="N71" i="17" s="1"/>
  <c r="AL70" i="17"/>
  <c r="AJ70" i="17"/>
  <c r="AF70" i="17"/>
  <c r="AB70" i="17"/>
  <c r="AA70" i="17"/>
  <c r="Y70" i="17"/>
  <c r="X70" i="17"/>
  <c r="W70" i="17"/>
  <c r="V70" i="17"/>
  <c r="U70" i="17"/>
  <c r="R70" i="17"/>
  <c r="P70" i="17"/>
  <c r="M70" i="17"/>
  <c r="L70" i="17"/>
  <c r="K70" i="17"/>
  <c r="I70" i="17"/>
  <c r="H70" i="17"/>
  <c r="D70" i="17"/>
  <c r="N70" i="17" s="1"/>
  <c r="AL69" i="17"/>
  <c r="AJ69" i="17"/>
  <c r="AF69" i="17"/>
  <c r="AB69" i="17"/>
  <c r="AA69" i="17"/>
  <c r="Y69" i="17"/>
  <c r="X69" i="17"/>
  <c r="W69" i="17"/>
  <c r="V69" i="17"/>
  <c r="U69" i="17"/>
  <c r="R69" i="17"/>
  <c r="N69" i="17"/>
  <c r="M69" i="17"/>
  <c r="L69" i="17"/>
  <c r="K69" i="17"/>
  <c r="I69" i="17"/>
  <c r="H69" i="17"/>
  <c r="P69" i="17" s="1"/>
  <c r="D69" i="17"/>
  <c r="AL68" i="17"/>
  <c r="AJ68" i="17"/>
  <c r="AF68" i="17"/>
  <c r="AB68" i="17"/>
  <c r="AA68" i="17"/>
  <c r="Y68" i="17"/>
  <c r="X68" i="17"/>
  <c r="W68" i="17"/>
  <c r="V68" i="17"/>
  <c r="U68" i="17"/>
  <c r="S68" i="17"/>
  <c r="T68" i="17" s="1"/>
  <c r="R68" i="17"/>
  <c r="N68" i="17"/>
  <c r="M68" i="17"/>
  <c r="L68" i="17"/>
  <c r="K68" i="17"/>
  <c r="I68" i="17"/>
  <c r="H68" i="17"/>
  <c r="P68" i="17" s="1"/>
  <c r="D68" i="17"/>
  <c r="AL67" i="17"/>
  <c r="AJ67" i="17"/>
  <c r="AF67" i="17"/>
  <c r="AB67" i="17"/>
  <c r="AA67" i="17"/>
  <c r="Y67" i="17"/>
  <c r="X67" i="17"/>
  <c r="W67" i="17"/>
  <c r="V67" i="17"/>
  <c r="U67" i="17"/>
  <c r="R67" i="17"/>
  <c r="N67" i="17"/>
  <c r="M67" i="17"/>
  <c r="L67" i="17"/>
  <c r="K67" i="17"/>
  <c r="I67" i="17"/>
  <c r="H67" i="17"/>
  <c r="D67" i="17"/>
  <c r="AL66" i="17"/>
  <c r="AJ66" i="17"/>
  <c r="AF66" i="17"/>
  <c r="AB66" i="17"/>
  <c r="AA66" i="17"/>
  <c r="Y66" i="17"/>
  <c r="X66" i="17"/>
  <c r="W66" i="17"/>
  <c r="V66" i="17"/>
  <c r="U66" i="17"/>
  <c r="R66" i="17"/>
  <c r="M66" i="17"/>
  <c r="L66" i="17"/>
  <c r="K66" i="17"/>
  <c r="I66" i="17"/>
  <c r="H66" i="17"/>
  <c r="D66" i="17"/>
  <c r="N66" i="17" s="1"/>
  <c r="AL65" i="17"/>
  <c r="AJ65" i="17"/>
  <c r="AF65" i="17"/>
  <c r="AB65" i="17"/>
  <c r="AA65" i="17"/>
  <c r="Y65" i="17"/>
  <c r="X65" i="17"/>
  <c r="W65" i="17"/>
  <c r="V65" i="17"/>
  <c r="U65" i="17"/>
  <c r="R65" i="17"/>
  <c r="M65" i="17"/>
  <c r="L65" i="17"/>
  <c r="K65" i="17"/>
  <c r="I65" i="17"/>
  <c r="H65" i="17"/>
  <c r="P65" i="17" s="1"/>
  <c r="D65" i="17"/>
  <c r="N65" i="17" s="1"/>
  <c r="AL64" i="17"/>
  <c r="AJ64" i="17"/>
  <c r="AF64" i="17"/>
  <c r="AB64" i="17"/>
  <c r="AA64" i="17"/>
  <c r="Y64" i="17"/>
  <c r="X64" i="17"/>
  <c r="W64" i="17"/>
  <c r="V64" i="17"/>
  <c r="U64" i="17"/>
  <c r="T64" i="17"/>
  <c r="R64" i="17"/>
  <c r="P64" i="17"/>
  <c r="M64" i="17"/>
  <c r="L64" i="17"/>
  <c r="K64" i="17"/>
  <c r="I64" i="17"/>
  <c r="H64" i="17"/>
  <c r="S64" i="17" s="1"/>
  <c r="D64" i="17"/>
  <c r="AL63" i="17"/>
  <c r="AJ63" i="17"/>
  <c r="AF63" i="17"/>
  <c r="AB63" i="17"/>
  <c r="AA63" i="17"/>
  <c r="Y63" i="17"/>
  <c r="X63" i="17"/>
  <c r="W63" i="17"/>
  <c r="V63" i="17"/>
  <c r="U63" i="17"/>
  <c r="R63" i="17"/>
  <c r="P63" i="17"/>
  <c r="M63" i="17"/>
  <c r="L63" i="17"/>
  <c r="K63" i="17"/>
  <c r="I63" i="17"/>
  <c r="H63" i="17"/>
  <c r="S63" i="17" s="1"/>
  <c r="T63" i="17" s="1"/>
  <c r="D63" i="17"/>
  <c r="AL62" i="17"/>
  <c r="AJ62" i="17"/>
  <c r="AF62" i="17"/>
  <c r="AB62" i="17"/>
  <c r="AA62" i="17"/>
  <c r="Y62" i="17"/>
  <c r="X62" i="17"/>
  <c r="W62" i="17"/>
  <c r="V62" i="17"/>
  <c r="U62" i="17"/>
  <c r="R62" i="17"/>
  <c r="P62" i="17"/>
  <c r="M62" i="17"/>
  <c r="L62" i="17"/>
  <c r="K62" i="17"/>
  <c r="I62" i="17"/>
  <c r="H62" i="17"/>
  <c r="S62" i="17" s="1"/>
  <c r="T62" i="17" s="1"/>
  <c r="D62" i="17"/>
  <c r="N62" i="17" s="1"/>
  <c r="AL61" i="17"/>
  <c r="AJ61" i="17"/>
  <c r="AF61" i="17"/>
  <c r="AB61" i="17"/>
  <c r="AA61" i="17"/>
  <c r="Y61" i="17"/>
  <c r="X61" i="17"/>
  <c r="W61" i="17"/>
  <c r="V61" i="17"/>
  <c r="U61" i="17"/>
  <c r="R61" i="17"/>
  <c r="N61" i="17"/>
  <c r="M61" i="17"/>
  <c r="L61" i="17"/>
  <c r="K61" i="17"/>
  <c r="I61" i="17"/>
  <c r="H61" i="17"/>
  <c r="P61" i="17" s="1"/>
  <c r="D61" i="17"/>
  <c r="AL60" i="17"/>
  <c r="AJ60" i="17"/>
  <c r="AF60" i="17"/>
  <c r="AB60" i="17"/>
  <c r="AA60" i="17"/>
  <c r="Y60" i="17"/>
  <c r="X60" i="17"/>
  <c r="W60" i="17"/>
  <c r="V60" i="17"/>
  <c r="U60" i="17"/>
  <c r="R60" i="17"/>
  <c r="N60" i="17"/>
  <c r="M60" i="17"/>
  <c r="L60" i="17"/>
  <c r="K60" i="17"/>
  <c r="I60" i="17"/>
  <c r="H60" i="17"/>
  <c r="P60" i="17" s="1"/>
  <c r="D60" i="17"/>
  <c r="AL59" i="17"/>
  <c r="AJ59" i="17"/>
  <c r="AF59" i="17"/>
  <c r="AB59" i="17"/>
  <c r="AA59" i="17"/>
  <c r="Y59" i="17"/>
  <c r="X59" i="17"/>
  <c r="W59" i="17"/>
  <c r="V59" i="17"/>
  <c r="U59" i="17"/>
  <c r="R59" i="17"/>
  <c r="N59" i="17"/>
  <c r="M59" i="17"/>
  <c r="L59" i="17"/>
  <c r="K59" i="17"/>
  <c r="I59" i="17"/>
  <c r="H59" i="17"/>
  <c r="S59" i="17" s="1"/>
  <c r="T59" i="17" s="1"/>
  <c r="D59" i="17"/>
  <c r="AL58" i="17"/>
  <c r="AJ58" i="17"/>
  <c r="AF58" i="17"/>
  <c r="AB58" i="17"/>
  <c r="AA58" i="17"/>
  <c r="Y58" i="17"/>
  <c r="X58" i="17"/>
  <c r="W58" i="17"/>
  <c r="V58" i="17"/>
  <c r="U58" i="17"/>
  <c r="R58" i="17"/>
  <c r="S58" i="17" s="1"/>
  <c r="T58" i="17" s="1"/>
  <c r="M58" i="17"/>
  <c r="L58" i="17"/>
  <c r="K58" i="17"/>
  <c r="I58" i="17"/>
  <c r="H58" i="17"/>
  <c r="D58" i="17"/>
  <c r="AL57" i="17"/>
  <c r="AJ57" i="17"/>
  <c r="AF57" i="17"/>
  <c r="AB57" i="17"/>
  <c r="AA57" i="17"/>
  <c r="Y57" i="17"/>
  <c r="X57" i="17"/>
  <c r="W57" i="17"/>
  <c r="V57" i="17"/>
  <c r="U57" i="17"/>
  <c r="R57" i="17"/>
  <c r="N57" i="17"/>
  <c r="M57" i="17"/>
  <c r="L57" i="17"/>
  <c r="K57" i="17"/>
  <c r="I57" i="17"/>
  <c r="H57" i="17"/>
  <c r="D57" i="17"/>
  <c r="AL56" i="17"/>
  <c r="AJ56" i="17"/>
  <c r="AF56" i="17"/>
  <c r="AB56" i="17"/>
  <c r="AA56" i="17"/>
  <c r="Y56" i="17"/>
  <c r="X56" i="17"/>
  <c r="W56" i="17"/>
  <c r="V56" i="17"/>
  <c r="U56" i="17"/>
  <c r="R56" i="17"/>
  <c r="S57" i="17" s="1"/>
  <c r="T57" i="17" s="1"/>
  <c r="M56" i="17"/>
  <c r="L56" i="17"/>
  <c r="K56" i="17"/>
  <c r="I56" i="17"/>
  <c r="H56" i="17"/>
  <c r="D56" i="17"/>
  <c r="N56" i="17" s="1"/>
  <c r="AL55" i="17"/>
  <c r="AJ55" i="17"/>
  <c r="AF55" i="17"/>
  <c r="AB55" i="17"/>
  <c r="AA55" i="17"/>
  <c r="Y55" i="17"/>
  <c r="X55" i="17"/>
  <c r="W55" i="17"/>
  <c r="V55" i="17"/>
  <c r="U55" i="17"/>
  <c r="R55" i="17"/>
  <c r="M55" i="17"/>
  <c r="L55" i="17"/>
  <c r="K55" i="17"/>
  <c r="I55" i="17"/>
  <c r="H55" i="17"/>
  <c r="P55" i="17" s="1"/>
  <c r="D55" i="17"/>
  <c r="N55" i="17" s="1"/>
  <c r="AL54" i="17"/>
  <c r="AJ54" i="17"/>
  <c r="AF54" i="17"/>
  <c r="AB54" i="17"/>
  <c r="AA54" i="17"/>
  <c r="Y54" i="17"/>
  <c r="X54" i="17"/>
  <c r="W54" i="17"/>
  <c r="V54" i="17"/>
  <c r="U54" i="17"/>
  <c r="T54" i="17"/>
  <c r="R54" i="17"/>
  <c r="P54" i="17"/>
  <c r="M54" i="17"/>
  <c r="L54" i="17"/>
  <c r="K54" i="17"/>
  <c r="I54" i="17"/>
  <c r="H54" i="17"/>
  <c r="S54" i="17" s="1"/>
  <c r="D54" i="17"/>
  <c r="N54" i="17" s="1"/>
  <c r="AL53" i="17"/>
  <c r="AJ53" i="17"/>
  <c r="AF53" i="17"/>
  <c r="AB53" i="17"/>
  <c r="AA53" i="17"/>
  <c r="Y53" i="17"/>
  <c r="X53" i="17"/>
  <c r="W53" i="17"/>
  <c r="V53" i="17"/>
  <c r="U53" i="17"/>
  <c r="T53" i="17"/>
  <c r="R53" i="17"/>
  <c r="P53" i="17"/>
  <c r="M53" i="17"/>
  <c r="L53" i="17"/>
  <c r="K53" i="17"/>
  <c r="I53" i="17"/>
  <c r="H53" i="17"/>
  <c r="S53" i="17" s="1"/>
  <c r="D53" i="17"/>
  <c r="AL52" i="17"/>
  <c r="AJ52" i="17"/>
  <c r="AF52" i="17"/>
  <c r="AB52" i="17"/>
  <c r="AA52" i="17"/>
  <c r="Y52" i="17"/>
  <c r="X52" i="17"/>
  <c r="W52" i="17"/>
  <c r="V52" i="17"/>
  <c r="U52" i="17"/>
  <c r="R52" i="17"/>
  <c r="P52" i="17"/>
  <c r="M52" i="17"/>
  <c r="L52" i="17"/>
  <c r="K52" i="17"/>
  <c r="I52" i="17"/>
  <c r="H52" i="17"/>
  <c r="D52" i="17"/>
  <c r="N52" i="17" s="1"/>
  <c r="AL51" i="17"/>
  <c r="AJ51" i="17"/>
  <c r="AF51" i="17"/>
  <c r="AB51" i="17"/>
  <c r="AA51" i="17"/>
  <c r="Y51" i="17"/>
  <c r="X51" i="17"/>
  <c r="W51" i="17"/>
  <c r="V51" i="17"/>
  <c r="U51" i="17"/>
  <c r="S51" i="17"/>
  <c r="T51" i="17" s="1"/>
  <c r="R51" i="17"/>
  <c r="N51" i="17"/>
  <c r="M51" i="17"/>
  <c r="L51" i="17"/>
  <c r="K51" i="17"/>
  <c r="I51" i="17"/>
  <c r="H51" i="17"/>
  <c r="P51" i="17" s="1"/>
  <c r="D51" i="17"/>
  <c r="AL50" i="17"/>
  <c r="AJ50" i="17"/>
  <c r="AF50" i="17"/>
  <c r="AB50" i="17"/>
  <c r="AA50" i="17"/>
  <c r="Y50" i="17"/>
  <c r="X50" i="17"/>
  <c r="W50" i="17"/>
  <c r="V50" i="17"/>
  <c r="U50" i="17"/>
  <c r="R50" i="17"/>
  <c r="N50" i="17"/>
  <c r="M50" i="17"/>
  <c r="L50" i="17"/>
  <c r="K50" i="17"/>
  <c r="I50" i="17"/>
  <c r="H50" i="17"/>
  <c r="P50" i="17" s="1"/>
  <c r="D50" i="17"/>
  <c r="AL49" i="17"/>
  <c r="AJ49" i="17"/>
  <c r="AF49" i="17"/>
  <c r="AB49" i="17"/>
  <c r="AA49" i="17"/>
  <c r="Y49" i="17"/>
  <c r="X49" i="17"/>
  <c r="W49" i="17"/>
  <c r="V49" i="17"/>
  <c r="U49" i="17"/>
  <c r="R49" i="17"/>
  <c r="N49" i="17"/>
  <c r="M49" i="17"/>
  <c r="L49" i="17"/>
  <c r="K49" i="17"/>
  <c r="I49" i="17"/>
  <c r="H49" i="17"/>
  <c r="D49" i="17"/>
  <c r="AL48" i="17"/>
  <c r="AJ48" i="17"/>
  <c r="AF48" i="17"/>
  <c r="AB48" i="17"/>
  <c r="AA48" i="17"/>
  <c r="Y48" i="17"/>
  <c r="X48" i="17"/>
  <c r="W48" i="17"/>
  <c r="V48" i="17"/>
  <c r="U48" i="17"/>
  <c r="R48" i="17"/>
  <c r="M48" i="17"/>
  <c r="L48" i="17"/>
  <c r="K48" i="17"/>
  <c r="H48" i="17"/>
  <c r="D48" i="17"/>
  <c r="N48" i="17" s="1"/>
  <c r="AL47" i="17"/>
  <c r="AJ47" i="17"/>
  <c r="AF47" i="17"/>
  <c r="AB47" i="17"/>
  <c r="AA47" i="17"/>
  <c r="Y47" i="17"/>
  <c r="X47" i="17"/>
  <c r="W47" i="17"/>
  <c r="V47" i="17"/>
  <c r="U47" i="17"/>
  <c r="R47" i="17"/>
  <c r="M47" i="17"/>
  <c r="L47" i="17"/>
  <c r="J47" i="17"/>
  <c r="I48" i="17" s="1"/>
  <c r="I47" i="17"/>
  <c r="H47" i="17"/>
  <c r="P47" i="17" s="1"/>
  <c r="D47" i="17"/>
  <c r="N47" i="17" s="1"/>
  <c r="AL46" i="17"/>
  <c r="AJ46" i="17"/>
  <c r="AF46" i="17"/>
  <c r="AB46" i="17"/>
  <c r="AA46" i="17"/>
  <c r="Y46" i="17"/>
  <c r="X46" i="17"/>
  <c r="W46" i="17"/>
  <c r="V46" i="17"/>
  <c r="U46" i="17"/>
  <c r="R46" i="17"/>
  <c r="P46" i="17"/>
  <c r="M46" i="17"/>
  <c r="L46" i="17"/>
  <c r="J46" i="17"/>
  <c r="I46" i="17"/>
  <c r="H46" i="17"/>
  <c r="S46" i="17" s="1"/>
  <c r="T46" i="17" s="1"/>
  <c r="D46" i="17"/>
  <c r="AL45" i="17"/>
  <c r="AJ45" i="17"/>
  <c r="AF45" i="17"/>
  <c r="AB45" i="17"/>
  <c r="AA45" i="17"/>
  <c r="Y45" i="17"/>
  <c r="X45" i="17"/>
  <c r="W45" i="17"/>
  <c r="V45" i="17"/>
  <c r="U45" i="17"/>
  <c r="T45" i="17"/>
  <c r="R45" i="17"/>
  <c r="P45" i="17"/>
  <c r="M45" i="17"/>
  <c r="L45" i="17"/>
  <c r="J45" i="17"/>
  <c r="I45" i="17"/>
  <c r="H45" i="17"/>
  <c r="S45" i="17" s="1"/>
  <c r="D45" i="17"/>
  <c r="N45" i="17" s="1"/>
  <c r="AL44" i="17"/>
  <c r="AJ44" i="17"/>
  <c r="AF44" i="17"/>
  <c r="AB44" i="17"/>
  <c r="AA44" i="17"/>
  <c r="Y44" i="17"/>
  <c r="X44" i="17"/>
  <c r="W44" i="17"/>
  <c r="V44" i="17"/>
  <c r="U44" i="17"/>
  <c r="R44" i="17"/>
  <c r="P44" i="17"/>
  <c r="M44" i="17"/>
  <c r="L44" i="17"/>
  <c r="J44" i="17"/>
  <c r="H44" i="17"/>
  <c r="D44" i="17"/>
  <c r="AL43" i="17"/>
  <c r="AJ43" i="17"/>
  <c r="AF43" i="17"/>
  <c r="AB43" i="17"/>
  <c r="AA43" i="17"/>
  <c r="Y43" i="17"/>
  <c r="X43" i="17"/>
  <c r="V43" i="17"/>
  <c r="U43" i="17"/>
  <c r="S43" i="17"/>
  <c r="T43" i="17" s="1"/>
  <c r="R43" i="17"/>
  <c r="M43" i="17"/>
  <c r="L43" i="17"/>
  <c r="J43" i="17"/>
  <c r="I43" i="17" s="1"/>
  <c r="N43" i="17" s="1"/>
  <c r="H43" i="17"/>
  <c r="D43" i="17"/>
  <c r="AL42" i="17"/>
  <c r="AJ42" i="17"/>
  <c r="AF42" i="17"/>
  <c r="AB42" i="17"/>
  <c r="AA42" i="17"/>
  <c r="Y42" i="17"/>
  <c r="X42" i="17"/>
  <c r="V42" i="17"/>
  <c r="U42" i="17"/>
  <c r="S42" i="17"/>
  <c r="T42" i="17" s="1"/>
  <c r="R42" i="17"/>
  <c r="M42" i="17"/>
  <c r="L42" i="17"/>
  <c r="J42" i="17"/>
  <c r="W42" i="17" s="1"/>
  <c r="H42" i="17"/>
  <c r="P42" i="17" s="1"/>
  <c r="D42" i="17"/>
  <c r="AL41" i="17"/>
  <c r="AJ41" i="17"/>
  <c r="AF41" i="17"/>
  <c r="AB41" i="17"/>
  <c r="AA41" i="17"/>
  <c r="Y41" i="17"/>
  <c r="X41" i="17"/>
  <c r="V41" i="17"/>
  <c r="U41" i="17"/>
  <c r="R41" i="17"/>
  <c r="M41" i="17"/>
  <c r="L41" i="17"/>
  <c r="J41" i="17"/>
  <c r="H41" i="17"/>
  <c r="D41" i="17"/>
  <c r="AL40" i="17"/>
  <c r="AJ40" i="17"/>
  <c r="AF40" i="17"/>
  <c r="AB40" i="17"/>
  <c r="AA40" i="17"/>
  <c r="Y40" i="17"/>
  <c r="X40" i="17"/>
  <c r="V40" i="17"/>
  <c r="U40" i="17"/>
  <c r="R40" i="17"/>
  <c r="M40" i="17"/>
  <c r="L40" i="17"/>
  <c r="J40" i="17"/>
  <c r="H40" i="17"/>
  <c r="D40" i="17"/>
  <c r="AL39" i="17"/>
  <c r="AJ39" i="17"/>
  <c r="AF39" i="17"/>
  <c r="AB39" i="17"/>
  <c r="AA39" i="17"/>
  <c r="Y39" i="17"/>
  <c r="X39" i="17"/>
  <c r="W39" i="17"/>
  <c r="V39" i="17"/>
  <c r="U39" i="17"/>
  <c r="R39" i="17"/>
  <c r="M39" i="17"/>
  <c r="L39" i="17"/>
  <c r="J39" i="17"/>
  <c r="I39" i="17"/>
  <c r="H39" i="17"/>
  <c r="P39" i="17" s="1"/>
  <c r="D39" i="17"/>
  <c r="N39" i="17" s="1"/>
  <c r="AL38" i="17"/>
  <c r="AJ38" i="17"/>
  <c r="AF38" i="17"/>
  <c r="AB38" i="17"/>
  <c r="AA38" i="17"/>
  <c r="Y38" i="17"/>
  <c r="X38" i="17"/>
  <c r="W38" i="17"/>
  <c r="V38" i="17"/>
  <c r="U38" i="17"/>
  <c r="R38" i="17"/>
  <c r="P38" i="17"/>
  <c r="M38" i="17"/>
  <c r="L38" i="17"/>
  <c r="J38" i="17"/>
  <c r="I38" i="17"/>
  <c r="H38" i="17"/>
  <c r="S38" i="17" s="1"/>
  <c r="T38" i="17" s="1"/>
  <c r="D38" i="17"/>
  <c r="AL37" i="17"/>
  <c r="AJ37" i="17"/>
  <c r="AF37" i="17"/>
  <c r="AB37" i="17"/>
  <c r="AA37" i="17"/>
  <c r="Y37" i="17"/>
  <c r="X37" i="17"/>
  <c r="V37" i="17"/>
  <c r="U37" i="17"/>
  <c r="T37" i="17"/>
  <c r="R37" i="17"/>
  <c r="P37" i="17"/>
  <c r="M37" i="17"/>
  <c r="L37" i="17"/>
  <c r="J37" i="17"/>
  <c r="W37" i="17" s="1"/>
  <c r="I37" i="17"/>
  <c r="N37" i="17" s="1"/>
  <c r="H37" i="17"/>
  <c r="S37" i="17" s="1"/>
  <c r="D37" i="17"/>
  <c r="AL36" i="17"/>
  <c r="AJ36" i="17"/>
  <c r="AF36" i="17"/>
  <c r="AB36" i="17"/>
  <c r="AA36" i="17"/>
  <c r="Y36" i="17"/>
  <c r="X36" i="17"/>
  <c r="V36" i="17"/>
  <c r="U36" i="17"/>
  <c r="R36" i="17"/>
  <c r="P36" i="17"/>
  <c r="M36" i="17"/>
  <c r="L36" i="17"/>
  <c r="J36" i="17"/>
  <c r="W36" i="17" s="1"/>
  <c r="H36" i="17"/>
  <c r="D36" i="17"/>
  <c r="AL35" i="17"/>
  <c r="AJ35" i="17"/>
  <c r="AF35" i="17"/>
  <c r="AB35" i="17"/>
  <c r="AA35" i="17"/>
  <c r="Y35" i="17"/>
  <c r="X35" i="17"/>
  <c r="V35" i="17"/>
  <c r="U35" i="17"/>
  <c r="S35" i="17"/>
  <c r="T35" i="17" s="1"/>
  <c r="R35" i="17"/>
  <c r="M35" i="17"/>
  <c r="L35" i="17"/>
  <c r="J35" i="17"/>
  <c r="I35" i="17" s="1"/>
  <c r="N35" i="17" s="1"/>
  <c r="H35" i="17"/>
  <c r="P35" i="17" s="1"/>
  <c r="D35" i="17"/>
  <c r="AL34" i="17"/>
  <c r="AJ34" i="17"/>
  <c r="AF34" i="17"/>
  <c r="AB34" i="17"/>
  <c r="AA34" i="17"/>
  <c r="Y34" i="17"/>
  <c r="X34" i="17"/>
  <c r="V34" i="17"/>
  <c r="U34" i="17"/>
  <c r="S34" i="17"/>
  <c r="T34" i="17" s="1"/>
  <c r="R34" i="17"/>
  <c r="M34" i="17"/>
  <c r="L34" i="17"/>
  <c r="J34" i="17"/>
  <c r="W34" i="17" s="1"/>
  <c r="H34" i="17"/>
  <c r="P34" i="17" s="1"/>
  <c r="D34" i="17"/>
  <c r="AL33" i="17"/>
  <c r="AJ33" i="17"/>
  <c r="AF33" i="17"/>
  <c r="AB33" i="17"/>
  <c r="AA33" i="17"/>
  <c r="Y33" i="17"/>
  <c r="X33" i="17"/>
  <c r="V33" i="17"/>
  <c r="U33" i="17"/>
  <c r="R33" i="17"/>
  <c r="P33" i="17"/>
  <c r="M33" i="17"/>
  <c r="L33" i="17"/>
  <c r="J33" i="17"/>
  <c r="H33" i="17"/>
  <c r="D33" i="17"/>
  <c r="AL32" i="17"/>
  <c r="AJ32" i="17"/>
  <c r="AF32" i="17"/>
  <c r="AB32" i="17"/>
  <c r="AA32" i="17"/>
  <c r="Y32" i="17"/>
  <c r="X32" i="17"/>
  <c r="V32" i="17"/>
  <c r="U32" i="17"/>
  <c r="R32" i="17"/>
  <c r="M32" i="17"/>
  <c r="L32" i="17"/>
  <c r="J32" i="17"/>
  <c r="H32" i="17"/>
  <c r="D32" i="17"/>
  <c r="AL31" i="17"/>
  <c r="AJ31" i="17"/>
  <c r="AF31" i="17"/>
  <c r="AB31" i="17"/>
  <c r="AA31" i="17"/>
  <c r="Y31" i="17"/>
  <c r="X31" i="17"/>
  <c r="W31" i="17"/>
  <c r="V31" i="17"/>
  <c r="U31" i="17"/>
  <c r="R31" i="17"/>
  <c r="M31" i="17"/>
  <c r="L31" i="17"/>
  <c r="J31" i="17"/>
  <c r="I31" i="17"/>
  <c r="H31" i="17"/>
  <c r="P31" i="17" s="1"/>
  <c r="D31" i="17"/>
  <c r="N31" i="17" s="1"/>
  <c r="AL30" i="17"/>
  <c r="AJ30" i="17"/>
  <c r="AF30" i="17"/>
  <c r="AB30" i="17"/>
  <c r="AA30" i="17"/>
  <c r="Y30" i="17"/>
  <c r="X30" i="17"/>
  <c r="W30" i="17"/>
  <c r="V30" i="17"/>
  <c r="U30" i="17"/>
  <c r="T30" i="17"/>
  <c r="R30" i="17"/>
  <c r="P30" i="17"/>
  <c r="M30" i="17"/>
  <c r="L30" i="17"/>
  <c r="J30" i="17"/>
  <c r="I30" i="17"/>
  <c r="H30" i="17"/>
  <c r="S30" i="17" s="1"/>
  <c r="D30" i="17"/>
  <c r="N30" i="17" s="1"/>
  <c r="AL29" i="17"/>
  <c r="AJ29" i="17"/>
  <c r="AF29" i="17"/>
  <c r="AB29" i="17"/>
  <c r="AA29" i="17"/>
  <c r="Y29" i="17"/>
  <c r="X29" i="17"/>
  <c r="V29" i="17"/>
  <c r="U29" i="17"/>
  <c r="R29" i="17"/>
  <c r="P29" i="17"/>
  <c r="M29" i="17"/>
  <c r="L29" i="17"/>
  <c r="J29" i="17"/>
  <c r="W29" i="17" s="1"/>
  <c r="I29" i="17"/>
  <c r="H29" i="17"/>
  <c r="S29" i="17" s="1"/>
  <c r="T29" i="17" s="1"/>
  <c r="D29" i="17"/>
  <c r="AL28" i="17"/>
  <c r="AJ28" i="17"/>
  <c r="AF28" i="17"/>
  <c r="AB28" i="17"/>
  <c r="AA28" i="17"/>
  <c r="Y28" i="17"/>
  <c r="X28" i="17"/>
  <c r="V28" i="17"/>
  <c r="U28" i="17"/>
  <c r="R28" i="17"/>
  <c r="P28" i="17"/>
  <c r="M28" i="17"/>
  <c r="L28" i="17"/>
  <c r="J28" i="17"/>
  <c r="W28" i="17" s="1"/>
  <c r="H28" i="17"/>
  <c r="D28" i="17"/>
  <c r="AL27" i="17"/>
  <c r="AJ27" i="17"/>
  <c r="AF27" i="17"/>
  <c r="AB27" i="17"/>
  <c r="AA27" i="17"/>
  <c r="Y27" i="17"/>
  <c r="X27" i="17"/>
  <c r="V27" i="17"/>
  <c r="U27" i="17"/>
  <c r="S27" i="17"/>
  <c r="T27" i="17" s="1"/>
  <c r="R27" i="17"/>
  <c r="M27" i="17"/>
  <c r="L27" i="17"/>
  <c r="J27" i="17"/>
  <c r="I28" i="17" s="1"/>
  <c r="H27" i="17"/>
  <c r="P27" i="17" s="1"/>
  <c r="D27" i="17"/>
  <c r="AL26" i="17"/>
  <c r="AJ26" i="17"/>
  <c r="AF26" i="17"/>
  <c r="AB26" i="17"/>
  <c r="AA26" i="17"/>
  <c r="Y26" i="17"/>
  <c r="X26" i="17"/>
  <c r="V26" i="17"/>
  <c r="U26" i="17"/>
  <c r="S26" i="17"/>
  <c r="T26" i="17" s="1"/>
  <c r="R26" i="17"/>
  <c r="M26" i="17"/>
  <c r="L26" i="17"/>
  <c r="J26" i="17"/>
  <c r="I27" i="17" s="1"/>
  <c r="N27" i="17" s="1"/>
  <c r="H26" i="17"/>
  <c r="P26" i="17" s="1"/>
  <c r="D26" i="17"/>
  <c r="AL25" i="17"/>
  <c r="AJ25" i="17"/>
  <c r="AF25" i="17"/>
  <c r="AB25" i="17"/>
  <c r="AA25" i="17"/>
  <c r="Y25" i="17"/>
  <c r="X25" i="17"/>
  <c r="V25" i="17"/>
  <c r="U25" i="17"/>
  <c r="R25" i="17"/>
  <c r="M25" i="17"/>
  <c r="L25" i="17"/>
  <c r="J25" i="17"/>
  <c r="H25" i="17"/>
  <c r="D25" i="17"/>
  <c r="AL24" i="17"/>
  <c r="AJ24" i="17"/>
  <c r="AF24" i="17"/>
  <c r="AB24" i="17"/>
  <c r="AA24" i="17"/>
  <c r="Y24" i="17"/>
  <c r="X24" i="17"/>
  <c r="V24" i="17"/>
  <c r="U24" i="17"/>
  <c r="R24" i="17"/>
  <c r="M24" i="17"/>
  <c r="L24" i="17"/>
  <c r="J24" i="17"/>
  <c r="H24" i="17"/>
  <c r="S24" i="17" s="1"/>
  <c r="T24" i="17" s="1"/>
  <c r="D24" i="17"/>
  <c r="AL23" i="17"/>
  <c r="AJ23" i="17"/>
  <c r="AF23" i="17"/>
  <c r="AB23" i="17"/>
  <c r="AA23" i="17"/>
  <c r="Y23" i="17"/>
  <c r="X23" i="17"/>
  <c r="W23" i="17"/>
  <c r="V23" i="17"/>
  <c r="U23" i="17"/>
  <c r="R23" i="17"/>
  <c r="M23" i="17"/>
  <c r="L23" i="17"/>
  <c r="J23" i="17"/>
  <c r="I23" i="17"/>
  <c r="H23" i="17"/>
  <c r="P23" i="17" s="1"/>
  <c r="D23" i="17"/>
  <c r="N23" i="17" s="1"/>
  <c r="AL22" i="17"/>
  <c r="AJ22" i="17"/>
  <c r="AF22" i="17"/>
  <c r="AB22" i="17"/>
  <c r="AA22" i="17"/>
  <c r="Y22" i="17"/>
  <c r="X22" i="17"/>
  <c r="W22" i="17"/>
  <c r="V22" i="17"/>
  <c r="U22" i="17"/>
  <c r="R22" i="17"/>
  <c r="P22" i="17"/>
  <c r="M22" i="17"/>
  <c r="L22" i="17"/>
  <c r="J22" i="17"/>
  <c r="I22" i="17"/>
  <c r="H22" i="17"/>
  <c r="S22" i="17" s="1"/>
  <c r="T22" i="17" s="1"/>
  <c r="D22" i="17"/>
  <c r="AL21" i="17"/>
  <c r="AJ21" i="17"/>
  <c r="AF21" i="17"/>
  <c r="AB21" i="17"/>
  <c r="AA21" i="17"/>
  <c r="Y21" i="17"/>
  <c r="X21" i="17"/>
  <c r="V21" i="17"/>
  <c r="U21" i="17"/>
  <c r="T21" i="17"/>
  <c r="R21" i="17"/>
  <c r="P21" i="17"/>
  <c r="M21" i="17"/>
  <c r="L21" i="17"/>
  <c r="J21" i="17"/>
  <c r="W21" i="17" s="1"/>
  <c r="I21" i="17"/>
  <c r="H21" i="17"/>
  <c r="S21" i="17" s="1"/>
  <c r="AL20" i="17"/>
  <c r="AJ20" i="17"/>
  <c r="AF20" i="17"/>
  <c r="AB20" i="17"/>
  <c r="Y20" i="17"/>
  <c r="V20" i="17"/>
  <c r="R20" i="17"/>
  <c r="P20" i="17"/>
  <c r="O20" i="17"/>
  <c r="M20" i="17"/>
  <c r="L20" i="17"/>
  <c r="J20" i="17"/>
  <c r="W20" i="17" s="1"/>
  <c r="H20" i="17"/>
  <c r="S20" i="17" s="1"/>
  <c r="T20" i="17" s="1"/>
  <c r="E20" i="17"/>
  <c r="X20" i="17" s="1"/>
  <c r="AL19" i="17"/>
  <c r="AJ19" i="17"/>
  <c r="AF19" i="17"/>
  <c r="AB19" i="17"/>
  <c r="AA19" i="17"/>
  <c r="Y19" i="17"/>
  <c r="X19" i="17"/>
  <c r="V19" i="17"/>
  <c r="U19" i="17"/>
  <c r="R19" i="17"/>
  <c r="M19" i="17"/>
  <c r="L19" i="17"/>
  <c r="J19" i="17"/>
  <c r="W19" i="17" s="1"/>
  <c r="H19" i="17"/>
  <c r="S19" i="17" s="1"/>
  <c r="T19" i="17" s="1"/>
  <c r="D19" i="17"/>
  <c r="AL18" i="17"/>
  <c r="AJ18" i="17"/>
  <c r="AF18" i="17"/>
  <c r="AB18" i="17"/>
  <c r="AA18" i="17"/>
  <c r="Y18" i="17"/>
  <c r="X18" i="17"/>
  <c r="W18" i="17"/>
  <c r="V18" i="17"/>
  <c r="U18" i="17"/>
  <c r="S18" i="17"/>
  <c r="T18" i="17" s="1"/>
  <c r="R18" i="17"/>
  <c r="M18" i="17"/>
  <c r="L18" i="17"/>
  <c r="H18" i="17"/>
  <c r="D18" i="17"/>
  <c r="AL17" i="17"/>
  <c r="AJ17" i="17"/>
  <c r="AF17" i="17"/>
  <c r="AB17" i="17"/>
  <c r="AA17" i="17"/>
  <c r="Y17" i="17"/>
  <c r="X17" i="17"/>
  <c r="W17" i="17"/>
  <c r="V17" i="17"/>
  <c r="U17" i="17"/>
  <c r="T17" i="17"/>
  <c r="R17" i="17"/>
  <c r="M17" i="17"/>
  <c r="L17" i="17"/>
  <c r="H17" i="17"/>
  <c r="D17" i="17"/>
  <c r="AL16" i="17"/>
  <c r="AJ16" i="17"/>
  <c r="AF16" i="17"/>
  <c r="AB16" i="17"/>
  <c r="AA16" i="17"/>
  <c r="X16" i="17"/>
  <c r="W16" i="17"/>
  <c r="U16" i="17"/>
  <c r="S16" i="17"/>
  <c r="T16" i="17" s="1"/>
  <c r="R16" i="17"/>
  <c r="S17" i="17" s="1"/>
  <c r="M16" i="17"/>
  <c r="L16" i="17"/>
  <c r="H16" i="17"/>
  <c r="D16" i="17"/>
  <c r="AL15" i="17"/>
  <c r="AJ15" i="17"/>
  <c r="AF15" i="17"/>
  <c r="AB15" i="17"/>
  <c r="AA15" i="17"/>
  <c r="X15" i="17"/>
  <c r="W15" i="17"/>
  <c r="U15" i="17"/>
  <c r="R15" i="17"/>
  <c r="M15" i="17"/>
  <c r="L15" i="17"/>
  <c r="H15" i="17"/>
  <c r="S15" i="17" s="1"/>
  <c r="T15" i="17" s="1"/>
  <c r="D15" i="17"/>
  <c r="AL14" i="17"/>
  <c r="AJ14" i="17"/>
  <c r="AF14" i="17"/>
  <c r="AB14" i="17"/>
  <c r="AA14" i="17"/>
  <c r="X14" i="17"/>
  <c r="W14" i="17"/>
  <c r="U14" i="17"/>
  <c r="R14" i="17"/>
  <c r="M14" i="17"/>
  <c r="L14" i="17"/>
  <c r="H14" i="17"/>
  <c r="D14" i="17"/>
  <c r="AL13" i="17"/>
  <c r="AJ13" i="17"/>
  <c r="AF13" i="17"/>
  <c r="AB13" i="17"/>
  <c r="AA13" i="17"/>
  <c r="X13" i="17"/>
  <c r="W13" i="17"/>
  <c r="U13" i="17"/>
  <c r="R13" i="17"/>
  <c r="S14" i="17" s="1"/>
  <c r="T14" i="17" s="1"/>
  <c r="M13" i="17"/>
  <c r="L13" i="17"/>
  <c r="H13" i="17"/>
  <c r="S13" i="17" s="1"/>
  <c r="T13" i="17" s="1"/>
  <c r="D13" i="17"/>
  <c r="AL12" i="17"/>
  <c r="AJ12" i="17"/>
  <c r="AF12" i="17"/>
  <c r="AB12" i="17"/>
  <c r="AA12" i="17"/>
  <c r="X12" i="17"/>
  <c r="W12" i="17"/>
  <c r="U12" i="17"/>
  <c r="R12" i="17"/>
  <c r="M12" i="17"/>
  <c r="L12" i="17"/>
  <c r="H12" i="17"/>
  <c r="S12" i="17" s="1"/>
  <c r="T12" i="17" s="1"/>
  <c r="D12" i="17"/>
  <c r="AL11" i="17"/>
  <c r="AJ11" i="17"/>
  <c r="AF11" i="17"/>
  <c r="AB11" i="17"/>
  <c r="AA11" i="17"/>
  <c r="X11" i="17"/>
  <c r="W11" i="17"/>
  <c r="U11" i="17"/>
  <c r="S11" i="17"/>
  <c r="T11" i="17" s="1"/>
  <c r="R11" i="17"/>
  <c r="M11" i="17"/>
  <c r="L11" i="17"/>
  <c r="H11" i="17"/>
  <c r="D11" i="17"/>
  <c r="AL10" i="17"/>
  <c r="AJ10" i="17"/>
  <c r="AF10" i="17"/>
  <c r="AB10" i="17"/>
  <c r="AA10" i="17"/>
  <c r="X10" i="17"/>
  <c r="W10" i="17"/>
  <c r="U10" i="17"/>
  <c r="R10" i="17"/>
  <c r="M10" i="17"/>
  <c r="L10" i="17"/>
  <c r="H10" i="17"/>
  <c r="S10" i="17" s="1"/>
  <c r="T10" i="17" s="1"/>
  <c r="D10" i="17"/>
  <c r="AL9" i="17"/>
  <c r="AJ9" i="17"/>
  <c r="AF9" i="17"/>
  <c r="AB9" i="17"/>
  <c r="AA9" i="17"/>
  <c r="X9" i="17"/>
  <c r="W9" i="17"/>
  <c r="U9" i="17"/>
  <c r="R9" i="17"/>
  <c r="M9" i="17"/>
  <c r="L9" i="17"/>
  <c r="H9" i="17"/>
  <c r="D9" i="17"/>
  <c r="AL8" i="17"/>
  <c r="AJ8" i="17"/>
  <c r="AF8" i="17"/>
  <c r="AB8" i="17"/>
  <c r="AA8" i="17"/>
  <c r="X8" i="17"/>
  <c r="W8" i="17"/>
  <c r="U8" i="17"/>
  <c r="R8" i="17"/>
  <c r="S9" i="17" s="1"/>
  <c r="T9" i="17" s="1"/>
  <c r="M8" i="17"/>
  <c r="L8" i="17"/>
  <c r="H8" i="17"/>
  <c r="D8" i="17"/>
  <c r="AL7" i="17"/>
  <c r="AJ7" i="17"/>
  <c r="AF7" i="17"/>
  <c r="AB7" i="17"/>
  <c r="AA7" i="17"/>
  <c r="X7" i="17"/>
  <c r="W7" i="17"/>
  <c r="U7" i="17"/>
  <c r="R7" i="17"/>
  <c r="S8" i="17" s="1"/>
  <c r="T8" i="17" s="1"/>
  <c r="M7" i="17"/>
  <c r="L7" i="17"/>
  <c r="H7" i="17"/>
  <c r="D7" i="17"/>
  <c r="AL6" i="17"/>
  <c r="AJ6" i="17"/>
  <c r="AF6" i="17"/>
  <c r="AB6" i="17"/>
  <c r="AA6" i="17"/>
  <c r="X6" i="17"/>
  <c r="W6" i="17"/>
  <c r="U6" i="17"/>
  <c r="R6" i="17"/>
  <c r="M6" i="17"/>
  <c r="L6" i="17"/>
  <c r="H6" i="17"/>
  <c r="D6" i="17"/>
  <c r="AL5" i="17"/>
  <c r="AJ5" i="17"/>
  <c r="AF5" i="17"/>
  <c r="AB5" i="17"/>
  <c r="AA5" i="17"/>
  <c r="X5" i="17"/>
  <c r="W5" i="17"/>
  <c r="U5" i="17"/>
  <c r="R5" i="17"/>
  <c r="S6" i="17" s="1"/>
  <c r="T6" i="17" s="1"/>
  <c r="M5" i="17"/>
  <c r="L5" i="17"/>
  <c r="H5" i="17"/>
  <c r="S5" i="17" s="1"/>
  <c r="T5" i="17" s="1"/>
  <c r="D5" i="17"/>
  <c r="AL4" i="17"/>
  <c r="AJ4" i="17"/>
  <c r="AF4" i="17"/>
  <c r="AB4" i="17"/>
  <c r="AA4" i="17"/>
  <c r="X4" i="17"/>
  <c r="W4" i="17"/>
  <c r="U4" i="17"/>
  <c r="T4" i="17"/>
  <c r="R4" i="17"/>
  <c r="M4" i="17"/>
  <c r="L4" i="17"/>
  <c r="H4" i="17"/>
  <c r="S4" i="17" s="1"/>
  <c r="D4" i="17"/>
  <c r="AL3" i="17"/>
  <c r="AJ3" i="17"/>
  <c r="AF3" i="17"/>
  <c r="AB3" i="17"/>
  <c r="AA3" i="17"/>
  <c r="X3" i="17"/>
  <c r="W3" i="17"/>
  <c r="U3" i="17"/>
  <c r="S3" i="17"/>
  <c r="T3" i="17" s="1"/>
  <c r="R3" i="17"/>
  <c r="M3" i="17"/>
  <c r="L3" i="17"/>
  <c r="H3" i="17"/>
  <c r="D3" i="17"/>
  <c r="AL2" i="17"/>
  <c r="AB2" i="17"/>
  <c r="AA2" i="17"/>
  <c r="X2" i="17"/>
  <c r="W2" i="17"/>
  <c r="U2" i="17"/>
  <c r="R2" i="17"/>
  <c r="M2" i="17"/>
  <c r="H2" i="17"/>
  <c r="D1" i="4"/>
  <c r="S785" i="17" s="1"/>
  <c r="T785" i="17" s="1"/>
  <c r="S129" i="17" l="1"/>
  <c r="T129" i="17" s="1"/>
  <c r="S130" i="17"/>
  <c r="T130" i="17" s="1"/>
  <c r="S135" i="17"/>
  <c r="T135" i="17" s="1"/>
  <c r="S136" i="17"/>
  <c r="T136" i="17" s="1"/>
  <c r="N22" i="17"/>
  <c r="S60" i="17"/>
  <c r="T60" i="17" s="1"/>
  <c r="N63" i="17"/>
  <c r="S66" i="17"/>
  <c r="T66" i="17" s="1"/>
  <c r="S93" i="17"/>
  <c r="T93" i="17" s="1"/>
  <c r="N102" i="17"/>
  <c r="S109" i="17"/>
  <c r="T109" i="17" s="1"/>
  <c r="S110" i="17"/>
  <c r="T110" i="17" s="1"/>
  <c r="S125" i="17"/>
  <c r="T125" i="17" s="1"/>
  <c r="S126" i="17"/>
  <c r="T126" i="17" s="1"/>
  <c r="S141" i="17"/>
  <c r="T141" i="17" s="1"/>
  <c r="S142" i="17"/>
  <c r="T142" i="17" s="1"/>
  <c r="I24" i="17"/>
  <c r="W24" i="17"/>
  <c r="S113" i="17"/>
  <c r="T113" i="17" s="1"/>
  <c r="S114" i="17"/>
  <c r="T114" i="17" s="1"/>
  <c r="S119" i="17"/>
  <c r="T119" i="17" s="1"/>
  <c r="S120" i="17"/>
  <c r="T120" i="17" s="1"/>
  <c r="S151" i="17"/>
  <c r="T151" i="17" s="1"/>
  <c r="S152" i="17"/>
  <c r="T152" i="17" s="1"/>
  <c r="S41" i="17"/>
  <c r="T41" i="17" s="1"/>
  <c r="S67" i="17"/>
  <c r="T67" i="17" s="1"/>
  <c r="S70" i="17"/>
  <c r="T70" i="17" s="1"/>
  <c r="S115" i="17"/>
  <c r="T115" i="17" s="1"/>
  <c r="S116" i="17"/>
  <c r="T116" i="17" s="1"/>
  <c r="S131" i="17"/>
  <c r="T131" i="17" s="1"/>
  <c r="S132" i="17"/>
  <c r="T132" i="17" s="1"/>
  <c r="S147" i="17"/>
  <c r="T147" i="17" s="1"/>
  <c r="S148" i="17"/>
  <c r="T148" i="17" s="1"/>
  <c r="S145" i="17"/>
  <c r="T145" i="17" s="1"/>
  <c r="S146" i="17"/>
  <c r="T146" i="17" s="1"/>
  <c r="S40" i="17"/>
  <c r="T40" i="17" s="1"/>
  <c r="W41" i="17"/>
  <c r="I41" i="17"/>
  <c r="N41" i="17" s="1"/>
  <c r="S48" i="17"/>
  <c r="T48" i="17" s="1"/>
  <c r="S52" i="17"/>
  <c r="T52" i="17" s="1"/>
  <c r="S82" i="17"/>
  <c r="T82" i="17" s="1"/>
  <c r="S121" i="17"/>
  <c r="T121" i="17" s="1"/>
  <c r="S122" i="17"/>
  <c r="T122" i="17" s="1"/>
  <c r="S153" i="17"/>
  <c r="T153" i="17" s="1"/>
  <c r="S154" i="17"/>
  <c r="T154" i="17" s="1"/>
  <c r="S32" i="17"/>
  <c r="T32" i="17" s="1"/>
  <c r="W33" i="17"/>
  <c r="I33" i="17"/>
  <c r="N33" i="17" s="1"/>
  <c r="I40" i="17"/>
  <c r="N40" i="17" s="1"/>
  <c r="W40" i="17"/>
  <c r="S50" i="17"/>
  <c r="T50" i="17" s="1"/>
  <c r="N53" i="17"/>
  <c r="S56" i="17"/>
  <c r="T56" i="17" s="1"/>
  <c r="S61" i="17"/>
  <c r="T61" i="17" s="1"/>
  <c r="N64" i="17"/>
  <c r="S75" i="17"/>
  <c r="T75" i="17" s="1"/>
  <c r="S83" i="17"/>
  <c r="T83" i="17" s="1"/>
  <c r="S86" i="17"/>
  <c r="T86" i="17" s="1"/>
  <c r="S90" i="17"/>
  <c r="T90" i="17" s="1"/>
  <c r="N104" i="17"/>
  <c r="S111" i="17"/>
  <c r="T111" i="17" s="1"/>
  <c r="S112" i="17"/>
  <c r="T112" i="17" s="1"/>
  <c r="S143" i="17"/>
  <c r="T143" i="17" s="1"/>
  <c r="S144" i="17"/>
  <c r="T144" i="17" s="1"/>
  <c r="S33" i="17"/>
  <c r="T33" i="17" s="1"/>
  <c r="P43" i="17"/>
  <c r="S44" i="17"/>
  <c r="T44" i="17" s="1"/>
  <c r="S49" i="17"/>
  <c r="T49" i="17" s="1"/>
  <c r="S74" i="17"/>
  <c r="T74" i="17" s="1"/>
  <c r="S137" i="17"/>
  <c r="T137" i="17" s="1"/>
  <c r="S138" i="17"/>
  <c r="T138" i="17" s="1"/>
  <c r="S7" i="17"/>
  <c r="T7" i="17" s="1"/>
  <c r="N24" i="17"/>
  <c r="S25" i="17"/>
  <c r="T25" i="17" s="1"/>
  <c r="N28" i="17"/>
  <c r="N29" i="17"/>
  <c r="I32" i="17"/>
  <c r="N32" i="17" s="1"/>
  <c r="W32" i="17"/>
  <c r="S36" i="17"/>
  <c r="T36" i="17" s="1"/>
  <c r="S94" i="17"/>
  <c r="T94" i="17" s="1"/>
  <c r="S117" i="17"/>
  <c r="T117" i="17" s="1"/>
  <c r="S118" i="17"/>
  <c r="T118" i="17" s="1"/>
  <c r="S133" i="17"/>
  <c r="T133" i="17" s="1"/>
  <c r="S134" i="17"/>
  <c r="T134" i="17" s="1"/>
  <c r="S149" i="17"/>
  <c r="T149" i="17" s="1"/>
  <c r="S150" i="17"/>
  <c r="T150" i="17" s="1"/>
  <c r="S78" i="17"/>
  <c r="T78" i="17" s="1"/>
  <c r="W25" i="17"/>
  <c r="I25" i="17"/>
  <c r="N25" i="17" s="1"/>
  <c r="S28" i="17"/>
  <c r="T28" i="17" s="1"/>
  <c r="N38" i="17"/>
  <c r="N46" i="17"/>
  <c r="N58" i="17"/>
  <c r="S69" i="17"/>
  <c r="T69" i="17" s="1"/>
  <c r="N72" i="17"/>
  <c r="N80" i="17"/>
  <c r="N100" i="17"/>
  <c r="S107" i="17"/>
  <c r="T107" i="17" s="1"/>
  <c r="S108" i="17"/>
  <c r="T108" i="17" s="1"/>
  <c r="S123" i="17"/>
  <c r="T123" i="17" s="1"/>
  <c r="S124" i="17"/>
  <c r="T124" i="17" s="1"/>
  <c r="S139" i="17"/>
  <c r="T139" i="17" s="1"/>
  <c r="S140" i="17"/>
  <c r="T140" i="17" s="1"/>
  <c r="S155" i="17"/>
  <c r="T155" i="17" s="1"/>
  <c r="S156" i="17"/>
  <c r="T156" i="17" s="1"/>
  <c r="S473" i="17"/>
  <c r="T473" i="17" s="1"/>
  <c r="S937" i="17"/>
  <c r="T937" i="17" s="1"/>
  <c r="S938" i="17"/>
  <c r="T938" i="17" s="1"/>
  <c r="AL964" i="17"/>
  <c r="AJ964" i="17"/>
  <c r="I20" i="17"/>
  <c r="AA20" i="17"/>
  <c r="S23" i="17"/>
  <c r="T23" i="17" s="1"/>
  <c r="P25" i="17"/>
  <c r="I26" i="17"/>
  <c r="N26" i="17" s="1"/>
  <c r="W27" i="17"/>
  <c r="S31" i="17"/>
  <c r="T31" i="17" s="1"/>
  <c r="I34" i="17"/>
  <c r="N34" i="17" s="1"/>
  <c r="W35" i="17"/>
  <c r="S39" i="17"/>
  <c r="T39" i="17" s="1"/>
  <c r="P41" i="17"/>
  <c r="I42" i="17"/>
  <c r="N42" i="17" s="1"/>
  <c r="W43" i="17"/>
  <c r="S47" i="17"/>
  <c r="T47" i="17" s="1"/>
  <c r="P49" i="17"/>
  <c r="S55" i="17"/>
  <c r="T55" i="17" s="1"/>
  <c r="P59" i="17"/>
  <c r="S65" i="17"/>
  <c r="T65" i="17" s="1"/>
  <c r="P67" i="17"/>
  <c r="S73" i="17"/>
  <c r="T73" i="17" s="1"/>
  <c r="P75" i="17"/>
  <c r="S81" i="17"/>
  <c r="T81" i="17" s="1"/>
  <c r="P83" i="17"/>
  <c r="S89" i="17"/>
  <c r="T89" i="17" s="1"/>
  <c r="P91" i="17"/>
  <c r="M385" i="17"/>
  <c r="X385" i="17"/>
  <c r="H438" i="17"/>
  <c r="S462" i="17"/>
  <c r="T462" i="17" s="1"/>
  <c r="S470" i="17"/>
  <c r="T470" i="17" s="1"/>
  <c r="AL477" i="17"/>
  <c r="AJ477" i="17"/>
  <c r="AL481" i="17"/>
  <c r="AJ481" i="17"/>
  <c r="AL485" i="17"/>
  <c r="AJ485" i="17"/>
  <c r="AL489" i="17"/>
  <c r="AJ489" i="17"/>
  <c r="L492" i="17"/>
  <c r="L491" i="17"/>
  <c r="V491" i="17"/>
  <c r="U491" i="17"/>
  <c r="S495" i="17"/>
  <c r="T495" i="17" s="1"/>
  <c r="S515" i="17"/>
  <c r="T515" i="17" s="1"/>
  <c r="S519" i="17"/>
  <c r="T519" i="17" s="1"/>
  <c r="S527" i="17"/>
  <c r="T527" i="17" s="1"/>
  <c r="S535" i="17"/>
  <c r="T535" i="17" s="1"/>
  <c r="S573" i="17"/>
  <c r="T573" i="17" s="1"/>
  <c r="S587" i="17"/>
  <c r="T587" i="17" s="1"/>
  <c r="AF588" i="17"/>
  <c r="V588" i="17"/>
  <c r="AF589" i="17"/>
  <c r="AB588" i="17"/>
  <c r="Y588" i="17"/>
  <c r="R588" i="17"/>
  <c r="M588" i="17"/>
  <c r="S600" i="17"/>
  <c r="T600" i="17" s="1"/>
  <c r="S617" i="17"/>
  <c r="T617" i="17" s="1"/>
  <c r="S648" i="17"/>
  <c r="T648" i="17" s="1"/>
  <c r="S656" i="17"/>
  <c r="T656" i="17" s="1"/>
  <c r="S699" i="17"/>
  <c r="T699" i="17" s="1"/>
  <c r="S705" i="17"/>
  <c r="T705" i="17" s="1"/>
  <c r="S706" i="17"/>
  <c r="T706" i="17" s="1"/>
  <c r="AL741" i="17"/>
  <c r="AJ741" i="17"/>
  <c r="AJ742" i="17"/>
  <c r="S742" i="17"/>
  <c r="T742" i="17" s="1"/>
  <c r="S746" i="17"/>
  <c r="T746" i="17" s="1"/>
  <c r="S769" i="17"/>
  <c r="T769" i="17" s="1"/>
  <c r="S790" i="17"/>
  <c r="T790" i="17" s="1"/>
  <c r="S795" i="17"/>
  <c r="T795" i="17" s="1"/>
  <c r="S818" i="17"/>
  <c r="T818" i="17" s="1"/>
  <c r="S820" i="17"/>
  <c r="T820" i="17" s="1"/>
  <c r="S849" i="17"/>
  <c r="T849" i="17" s="1"/>
  <c r="S857" i="17"/>
  <c r="T857" i="17" s="1"/>
  <c r="S870" i="17"/>
  <c r="T870" i="17" s="1"/>
  <c r="S871" i="17"/>
  <c r="T871" i="17" s="1"/>
  <c r="S892" i="17"/>
  <c r="T892" i="17" s="1"/>
  <c r="AJ909" i="17"/>
  <c r="AL909" i="17"/>
  <c r="S919" i="17"/>
  <c r="T919" i="17" s="1"/>
  <c r="S920" i="17"/>
  <c r="T920" i="17" s="1"/>
  <c r="AJ935" i="17"/>
  <c r="AL935" i="17"/>
  <c r="S936" i="17"/>
  <c r="T936" i="17" s="1"/>
  <c r="S958" i="17"/>
  <c r="T958" i="17" s="1"/>
  <c r="S960" i="17"/>
  <c r="T960" i="17" s="1"/>
  <c r="S967" i="17"/>
  <c r="T967" i="17" s="1"/>
  <c r="S1000" i="17"/>
  <c r="T1000" i="17" s="1"/>
  <c r="S92" i="17"/>
  <c r="T92" i="17" s="1"/>
  <c r="S198" i="17"/>
  <c r="T198" i="17" s="1"/>
  <c r="S204" i="17"/>
  <c r="T204" i="17" s="1"/>
  <c r="S160" i="17"/>
  <c r="T160" i="17" s="1"/>
  <c r="U438" i="17"/>
  <c r="S459" i="17"/>
  <c r="T459" i="17" s="1"/>
  <c r="S467" i="17"/>
  <c r="T467" i="17" s="1"/>
  <c r="S475" i="17"/>
  <c r="T475" i="17" s="1"/>
  <c r="S478" i="17"/>
  <c r="T478" i="17" s="1"/>
  <c r="S482" i="17"/>
  <c r="T482" i="17" s="1"/>
  <c r="S486" i="17"/>
  <c r="T486" i="17" s="1"/>
  <c r="S490" i="17"/>
  <c r="T490" i="17" s="1"/>
  <c r="S494" i="17"/>
  <c r="T494" i="17" s="1"/>
  <c r="S499" i="17"/>
  <c r="T499" i="17" s="1"/>
  <c r="S503" i="17"/>
  <c r="T503" i="17" s="1"/>
  <c r="S507" i="17"/>
  <c r="T507" i="17" s="1"/>
  <c r="S514" i="17"/>
  <c r="T514" i="17" s="1"/>
  <c r="S526" i="17"/>
  <c r="T526" i="17" s="1"/>
  <c r="S533" i="17"/>
  <c r="T533" i="17" s="1"/>
  <c r="S542" i="17"/>
  <c r="T542" i="17" s="1"/>
  <c r="S544" i="17"/>
  <c r="T544" i="17" s="1"/>
  <c r="S543" i="17"/>
  <c r="T543" i="17" s="1"/>
  <c r="S550" i="17"/>
  <c r="T550" i="17" s="1"/>
  <c r="S552" i="17"/>
  <c r="T552" i="17" s="1"/>
  <c r="S551" i="17"/>
  <c r="T551" i="17" s="1"/>
  <c r="S558" i="17"/>
  <c r="T558" i="17" s="1"/>
  <c r="S560" i="17"/>
  <c r="T560" i="17" s="1"/>
  <c r="S559" i="17"/>
  <c r="T559" i="17" s="1"/>
  <c r="S595" i="17"/>
  <c r="T595" i="17" s="1"/>
  <c r="AJ629" i="17"/>
  <c r="AL629" i="17"/>
  <c r="S630" i="17"/>
  <c r="T630" i="17" s="1"/>
  <c r="AJ631" i="17"/>
  <c r="AL631" i="17"/>
  <c r="AJ633" i="17"/>
  <c r="AL633" i="17"/>
  <c r="S653" i="17"/>
  <c r="T653" i="17" s="1"/>
  <c r="S661" i="17"/>
  <c r="T661" i="17" s="1"/>
  <c r="S696" i="17"/>
  <c r="T696" i="17" s="1"/>
  <c r="AJ716" i="17"/>
  <c r="AL716" i="17"/>
  <c r="S717" i="17"/>
  <c r="T717" i="17" s="1"/>
  <c r="AJ718" i="17"/>
  <c r="AL718" i="17"/>
  <c r="AJ724" i="17"/>
  <c r="AL724" i="17"/>
  <c r="S725" i="17"/>
  <c r="T725" i="17" s="1"/>
  <c r="AJ726" i="17"/>
  <c r="AL726" i="17"/>
  <c r="S794" i="17"/>
  <c r="T794" i="17" s="1"/>
  <c r="S817" i="17"/>
  <c r="T817" i="17" s="1"/>
  <c r="S838" i="17"/>
  <c r="T838" i="17" s="1"/>
  <c r="S843" i="17"/>
  <c r="T843" i="17" s="1"/>
  <c r="S864" i="17"/>
  <c r="T864" i="17" s="1"/>
  <c r="S868" i="17"/>
  <c r="T868" i="17" s="1"/>
  <c r="S879" i="17"/>
  <c r="T879" i="17" s="1"/>
  <c r="AJ911" i="17"/>
  <c r="AL911" i="17"/>
  <c r="S913" i="17"/>
  <c r="T913" i="17" s="1"/>
  <c r="S914" i="17"/>
  <c r="T914" i="17" s="1"/>
  <c r="S934" i="17"/>
  <c r="T934" i="17" s="1"/>
  <c r="S956" i="17"/>
  <c r="T956" i="17" s="1"/>
  <c r="S968" i="17"/>
  <c r="T968" i="17" s="1"/>
  <c r="S994" i="17"/>
  <c r="T994" i="17" s="1"/>
  <c r="S1001" i="17"/>
  <c r="T1001" i="17" s="1"/>
  <c r="S194" i="17"/>
  <c r="T194" i="17" s="1"/>
  <c r="S196" i="17"/>
  <c r="T196" i="17" s="1"/>
  <c r="S200" i="17"/>
  <c r="T200" i="17" s="1"/>
  <c r="S166" i="17"/>
  <c r="T166" i="17" s="1"/>
  <c r="S170" i="17"/>
  <c r="T170" i="17" s="1"/>
  <c r="K20" i="17"/>
  <c r="I36" i="17"/>
  <c r="N36" i="17" s="1"/>
  <c r="I44" i="17"/>
  <c r="N44" i="17" s="1"/>
  <c r="I307" i="17"/>
  <c r="N307" i="17" s="1"/>
  <c r="D385" i="17"/>
  <c r="N385" i="17" s="1"/>
  <c r="AA385" i="17"/>
  <c r="D386" i="17"/>
  <c r="N386" i="17" s="1"/>
  <c r="V438" i="17"/>
  <c r="AJ449" i="17"/>
  <c r="N451" i="17"/>
  <c r="N455" i="17"/>
  <c r="N461" i="17"/>
  <c r="S464" i="17"/>
  <c r="T464" i="17" s="1"/>
  <c r="N469" i="17"/>
  <c r="S472" i="17"/>
  <c r="T472" i="17" s="1"/>
  <c r="AL476" i="17"/>
  <c r="AJ476" i="17"/>
  <c r="AL480" i="17"/>
  <c r="AJ480" i="17"/>
  <c r="AL484" i="17"/>
  <c r="AJ484" i="17"/>
  <c r="AL488" i="17"/>
  <c r="AJ488" i="17"/>
  <c r="N494" i="17"/>
  <c r="N499" i="17"/>
  <c r="N503" i="17"/>
  <c r="N507" i="17"/>
  <c r="N514" i="17"/>
  <c r="N526" i="17"/>
  <c r="N533" i="17"/>
  <c r="S534" i="17"/>
  <c r="T534" i="17" s="1"/>
  <c r="N542" i="17"/>
  <c r="N550" i="17"/>
  <c r="N558" i="17"/>
  <c r="N566" i="17"/>
  <c r="S568" i="17"/>
  <c r="T568" i="17" s="1"/>
  <c r="S582" i="17"/>
  <c r="T582" i="17" s="1"/>
  <c r="S597" i="17"/>
  <c r="T597" i="17" s="1"/>
  <c r="S612" i="17"/>
  <c r="T612" i="17" s="1"/>
  <c r="S614" i="17"/>
  <c r="T614" i="17" s="1"/>
  <c r="S628" i="17"/>
  <c r="T628" i="17" s="1"/>
  <c r="AJ637" i="17"/>
  <c r="AL637" i="17"/>
  <c r="S638" i="17"/>
  <c r="T638" i="17" s="1"/>
  <c r="AJ639" i="17"/>
  <c r="AL639" i="17"/>
  <c r="AJ641" i="17"/>
  <c r="AL641" i="17"/>
  <c r="S650" i="17"/>
  <c r="T650" i="17" s="1"/>
  <c r="S658" i="17"/>
  <c r="T658" i="17" s="1"/>
  <c r="S693" i="17"/>
  <c r="T693" i="17" s="1"/>
  <c r="S701" i="17"/>
  <c r="T701" i="17" s="1"/>
  <c r="S703" i="17"/>
  <c r="T703" i="17" s="1"/>
  <c r="S708" i="17"/>
  <c r="T708" i="17" s="1"/>
  <c r="S738" i="17"/>
  <c r="T738" i="17" s="1"/>
  <c r="S763" i="17"/>
  <c r="T763" i="17" s="1"/>
  <c r="S786" i="17"/>
  <c r="T786" i="17" s="1"/>
  <c r="S788" i="17"/>
  <c r="T788" i="17" s="1"/>
  <c r="S842" i="17"/>
  <c r="T842" i="17" s="1"/>
  <c r="S865" i="17"/>
  <c r="T865" i="17" s="1"/>
  <c r="S873" i="17"/>
  <c r="T873" i="17" s="1"/>
  <c r="AJ885" i="17"/>
  <c r="AL885" i="17"/>
  <c r="S889" i="17"/>
  <c r="T889" i="17" s="1"/>
  <c r="S890" i="17"/>
  <c r="T890" i="17" s="1"/>
  <c r="S910" i="17"/>
  <c r="T910" i="17" s="1"/>
  <c r="S912" i="17"/>
  <c r="T912" i="17" s="1"/>
  <c r="S932" i="17"/>
  <c r="T932" i="17" s="1"/>
  <c r="S992" i="17"/>
  <c r="T992" i="17" s="1"/>
  <c r="S999" i="17"/>
  <c r="T999" i="17" s="1"/>
  <c r="S76" i="17"/>
  <c r="T76" i="17" s="1"/>
  <c r="S202" i="17"/>
  <c r="T202" i="17" s="1"/>
  <c r="S106" i="17"/>
  <c r="T106" i="17" s="1"/>
  <c r="S158" i="17"/>
  <c r="T158" i="17" s="1"/>
  <c r="S162" i="17"/>
  <c r="T162" i="17" s="1"/>
  <c r="S164" i="17"/>
  <c r="T164" i="17" s="1"/>
  <c r="S168" i="17"/>
  <c r="T168" i="17" s="1"/>
  <c r="U20" i="17"/>
  <c r="P24" i="17"/>
  <c r="W26" i="17"/>
  <c r="P32" i="17"/>
  <c r="P40" i="17"/>
  <c r="P48" i="17"/>
  <c r="P56" i="17"/>
  <c r="P66" i="17"/>
  <c r="P74" i="17"/>
  <c r="P82" i="17"/>
  <c r="AJ422" i="17"/>
  <c r="AJ423" i="17"/>
  <c r="AJ424" i="17"/>
  <c r="AJ425" i="17"/>
  <c r="AJ426" i="17"/>
  <c r="AJ427" i="17"/>
  <c r="AJ428" i="17"/>
  <c r="AJ429" i="17"/>
  <c r="AJ430" i="17"/>
  <c r="AJ431" i="17"/>
  <c r="AJ432" i="17"/>
  <c r="AJ433" i="17"/>
  <c r="AJ434" i="17"/>
  <c r="AJ435" i="17"/>
  <c r="AJ436" i="17"/>
  <c r="AJ437" i="17"/>
  <c r="L438" i="17"/>
  <c r="L439" i="17"/>
  <c r="AJ448" i="17"/>
  <c r="N458" i="17"/>
  <c r="S461" i="17"/>
  <c r="T461" i="17" s="1"/>
  <c r="N466" i="17"/>
  <c r="S469" i="17"/>
  <c r="T469" i="17" s="1"/>
  <c r="N474" i="17"/>
  <c r="S492" i="17"/>
  <c r="T492" i="17" s="1"/>
  <c r="N493" i="17"/>
  <c r="N513" i="17"/>
  <c r="N518" i="17"/>
  <c r="N525" i="17"/>
  <c r="N532" i="17"/>
  <c r="S536" i="17"/>
  <c r="T536" i="17" s="1"/>
  <c r="N568" i="17"/>
  <c r="N582" i="17"/>
  <c r="S599" i="17"/>
  <c r="T599" i="17" s="1"/>
  <c r="S616" i="17"/>
  <c r="T616" i="17" s="1"/>
  <c r="AJ645" i="17"/>
  <c r="AL645" i="17"/>
  <c r="AJ646" i="17"/>
  <c r="S646" i="17"/>
  <c r="T646" i="17" s="1"/>
  <c r="S647" i="17"/>
  <c r="T647" i="17" s="1"/>
  <c r="S715" i="17"/>
  <c r="T715" i="17" s="1"/>
  <c r="S716" i="17"/>
  <c r="T716" i="17" s="1"/>
  <c r="S736" i="17"/>
  <c r="T736" i="17" s="1"/>
  <c r="S762" i="17"/>
  <c r="T762" i="17" s="1"/>
  <c r="S811" i="17"/>
  <c r="T811" i="17" s="1"/>
  <c r="S834" i="17"/>
  <c r="T834" i="17" s="1"/>
  <c r="S836" i="17"/>
  <c r="T836" i="17" s="1"/>
  <c r="S859" i="17"/>
  <c r="T859" i="17" s="1"/>
  <c r="S880" i="17"/>
  <c r="T880" i="17" s="1"/>
  <c r="S884" i="17"/>
  <c r="T884" i="17" s="1"/>
  <c r="AJ887" i="17"/>
  <c r="AL887" i="17"/>
  <c r="S925" i="17"/>
  <c r="T925" i="17" s="1"/>
  <c r="AJ949" i="17"/>
  <c r="AL949" i="17"/>
  <c r="S953" i="17"/>
  <c r="T953" i="17" s="1"/>
  <c r="S954" i="17"/>
  <c r="T954" i="17" s="1"/>
  <c r="S985" i="17"/>
  <c r="T985" i="17" s="1"/>
  <c r="S207" i="17"/>
  <c r="T207" i="17" s="1"/>
  <c r="S215" i="17"/>
  <c r="T215" i="17" s="1"/>
  <c r="S223" i="17"/>
  <c r="T223" i="17" s="1"/>
  <c r="S231" i="17"/>
  <c r="T231" i="17" s="1"/>
  <c r="S239" i="17"/>
  <c r="T239" i="17" s="1"/>
  <c r="S247" i="17"/>
  <c r="T247" i="17" s="1"/>
  <c r="S255" i="17"/>
  <c r="T255" i="17" s="1"/>
  <c r="S263" i="17"/>
  <c r="T263" i="17" s="1"/>
  <c r="S271" i="17"/>
  <c r="T271" i="17" s="1"/>
  <c r="S279" i="17"/>
  <c r="T279" i="17" s="1"/>
  <c r="S287" i="17"/>
  <c r="T287" i="17" s="1"/>
  <c r="S295" i="17"/>
  <c r="T295" i="17" s="1"/>
  <c r="S303" i="17"/>
  <c r="T303" i="17" s="1"/>
  <c r="S312" i="17"/>
  <c r="T312" i="17" s="1"/>
  <c r="S319" i="17"/>
  <c r="T319" i="17" s="1"/>
  <c r="S327" i="17"/>
  <c r="T327" i="17" s="1"/>
  <c r="S335" i="17"/>
  <c r="T335" i="17" s="1"/>
  <c r="S343" i="17"/>
  <c r="T343" i="17" s="1"/>
  <c r="S351" i="17"/>
  <c r="T351" i="17" s="1"/>
  <c r="S359" i="17"/>
  <c r="T359" i="17" s="1"/>
  <c r="S367" i="17"/>
  <c r="T367" i="17" s="1"/>
  <c r="S375" i="17"/>
  <c r="T375" i="17" s="1"/>
  <c r="S383" i="17"/>
  <c r="T383" i="17" s="1"/>
  <c r="S392" i="17"/>
  <c r="T392" i="17" s="1"/>
  <c r="S400" i="17"/>
  <c r="T400" i="17" s="1"/>
  <c r="S408" i="17"/>
  <c r="T408" i="17" s="1"/>
  <c r="S416" i="17"/>
  <c r="T416" i="17" s="1"/>
  <c r="AJ438" i="17"/>
  <c r="S458" i="17"/>
  <c r="T458" i="17" s="1"/>
  <c r="S466" i="17"/>
  <c r="T466" i="17" s="1"/>
  <c r="S474" i="17"/>
  <c r="T474" i="17" s="1"/>
  <c r="AL475" i="17"/>
  <c r="AJ475" i="17"/>
  <c r="AL479" i="17"/>
  <c r="AJ479" i="17"/>
  <c r="AL483" i="17"/>
  <c r="AJ483" i="17"/>
  <c r="AL487" i="17"/>
  <c r="AJ487" i="17"/>
  <c r="S511" i="17"/>
  <c r="T511" i="17" s="1"/>
  <c r="S523" i="17"/>
  <c r="T523" i="17" s="1"/>
  <c r="S609" i="17"/>
  <c r="T609" i="17" s="1"/>
  <c r="S625" i="17"/>
  <c r="T625" i="17" s="1"/>
  <c r="AJ634" i="17"/>
  <c r="AL634" i="17"/>
  <c r="AJ713" i="17"/>
  <c r="AL713" i="17"/>
  <c r="AJ721" i="17"/>
  <c r="AL721" i="17"/>
  <c r="S903" i="17"/>
  <c r="T903" i="17" s="1"/>
  <c r="S904" i="17"/>
  <c r="T904" i="17" s="1"/>
  <c r="AJ951" i="17"/>
  <c r="AL951" i="17"/>
  <c r="AL980" i="17"/>
  <c r="AJ980" i="17"/>
  <c r="S964" i="17"/>
  <c r="T964" i="17" s="1"/>
  <c r="S740" i="17"/>
  <c r="T740" i="17" s="1"/>
  <c r="S732" i="17"/>
  <c r="T732" i="17" s="1"/>
  <c r="S993" i="17"/>
  <c r="T993" i="17" s="1"/>
  <c r="S1004" i="17"/>
  <c r="T1004" i="17" s="1"/>
  <c r="S998" i="17"/>
  <c r="T998" i="17" s="1"/>
  <c r="S841" i="17"/>
  <c r="T841" i="17" s="1"/>
  <c r="S825" i="17"/>
  <c r="T825" i="17" s="1"/>
  <c r="S809" i="17"/>
  <c r="T809" i="17" s="1"/>
  <c r="S793" i="17"/>
  <c r="T793" i="17" s="1"/>
  <c r="S777" i="17"/>
  <c r="T777" i="17" s="1"/>
  <c r="S761" i="17"/>
  <c r="T761" i="17" s="1"/>
  <c r="S745" i="17"/>
  <c r="T745" i="17" s="1"/>
  <c r="S741" i="17"/>
  <c r="T741" i="17" s="1"/>
  <c r="S721" i="17"/>
  <c r="T721" i="17" s="1"/>
  <c r="S642" i="17"/>
  <c r="T642" i="17" s="1"/>
  <c r="S634" i="17"/>
  <c r="T634" i="17" s="1"/>
  <c r="S596" i="17"/>
  <c r="T596" i="17" s="1"/>
  <c r="S586" i="17"/>
  <c r="T586" i="17" s="1"/>
  <c r="S572" i="17"/>
  <c r="T572" i="17" s="1"/>
  <c r="S982" i="17"/>
  <c r="T982" i="17" s="1"/>
  <c r="S928" i="17"/>
  <c r="T928" i="17" s="1"/>
  <c r="S830" i="17"/>
  <c r="T830" i="17" s="1"/>
  <c r="S814" i="17"/>
  <c r="T814" i="17" s="1"/>
  <c r="S798" i="17"/>
  <c r="T798" i="17" s="1"/>
  <c r="S782" i="17"/>
  <c r="T782" i="17" s="1"/>
  <c r="S766" i="17"/>
  <c r="T766" i="17" s="1"/>
  <c r="S750" i="17"/>
  <c r="T750" i="17" s="1"/>
  <c r="S724" i="17"/>
  <c r="T724" i="17" s="1"/>
  <c r="S952" i="17"/>
  <c r="T952" i="17" s="1"/>
  <c r="S888" i="17"/>
  <c r="T888" i="17" s="1"/>
  <c r="S837" i="17"/>
  <c r="T837" i="17" s="1"/>
  <c r="S821" i="17"/>
  <c r="T821" i="17" s="1"/>
  <c r="S805" i="17"/>
  <c r="T805" i="17" s="1"/>
  <c r="S789" i="17"/>
  <c r="T789" i="17" s="1"/>
  <c r="S773" i="17"/>
  <c r="T773" i="17" s="1"/>
  <c r="S757" i="17"/>
  <c r="T757" i="17" s="1"/>
  <c r="S733" i="17"/>
  <c r="T733" i="17" s="1"/>
  <c r="S727" i="17"/>
  <c r="T727" i="17" s="1"/>
  <c r="S719" i="17"/>
  <c r="T719" i="17" s="1"/>
  <c r="S640" i="17"/>
  <c r="T640" i="17" s="1"/>
  <c r="S632" i="17"/>
  <c r="T632" i="17" s="1"/>
  <c r="S594" i="17"/>
  <c r="T594" i="17" s="1"/>
  <c r="S584" i="17"/>
  <c r="T584" i="17" s="1"/>
  <c r="S570" i="17"/>
  <c r="T570" i="17" s="1"/>
  <c r="S561" i="17"/>
  <c r="T561" i="17" s="1"/>
  <c r="S557" i="17"/>
  <c r="T557" i="17" s="1"/>
  <c r="S553" i="17"/>
  <c r="T553" i="17" s="1"/>
  <c r="S549" i="17"/>
  <c r="T549" i="17" s="1"/>
  <c r="S545" i="17"/>
  <c r="T545" i="17" s="1"/>
  <c r="S541" i="17"/>
  <c r="T541" i="17" s="1"/>
  <c r="S537" i="17"/>
  <c r="T537" i="17" s="1"/>
  <c r="S976" i="17"/>
  <c r="T976" i="17" s="1"/>
  <c r="S829" i="17"/>
  <c r="T829" i="17" s="1"/>
  <c r="S813" i="17"/>
  <c r="T813" i="17" s="1"/>
  <c r="S797" i="17"/>
  <c r="T797" i="17" s="1"/>
  <c r="S781" i="17"/>
  <c r="T781" i="17" s="1"/>
  <c r="S765" i="17"/>
  <c r="T765" i="17" s="1"/>
  <c r="S749" i="17"/>
  <c r="T749" i="17" s="1"/>
  <c r="S723" i="17"/>
  <c r="T723" i="17" s="1"/>
  <c r="S644" i="17"/>
  <c r="T644" i="17" s="1"/>
  <c r="S636" i="17"/>
  <c r="T636" i="17" s="1"/>
  <c r="S598" i="17"/>
  <c r="T598" i="17" s="1"/>
  <c r="S590" i="17"/>
  <c r="T590" i="17" s="1"/>
  <c r="S574" i="17"/>
  <c r="T574" i="17" s="1"/>
  <c r="S566" i="17"/>
  <c r="T566" i="17" s="1"/>
  <c r="S726" i="17"/>
  <c r="T726" i="17" s="1"/>
  <c r="S718" i="17"/>
  <c r="T718" i="17" s="1"/>
  <c r="S639" i="17"/>
  <c r="T639" i="17" s="1"/>
  <c r="S631" i="17"/>
  <c r="T631" i="17" s="1"/>
  <c r="S601" i="17"/>
  <c r="T601" i="17" s="1"/>
  <c r="S593" i="17"/>
  <c r="T593" i="17" s="1"/>
  <c r="S583" i="17"/>
  <c r="T583" i="17" s="1"/>
  <c r="S569" i="17"/>
  <c r="T569" i="17" s="1"/>
  <c r="D20" i="17"/>
  <c r="N20" i="17" s="1"/>
  <c r="D21" i="17"/>
  <c r="N21" i="17" s="1"/>
  <c r="AL447" i="17"/>
  <c r="N460" i="17"/>
  <c r="S463" i="17"/>
  <c r="T463" i="17" s="1"/>
  <c r="N468" i="17"/>
  <c r="S471" i="17"/>
  <c r="T471" i="17" s="1"/>
  <c r="S476" i="17"/>
  <c r="T476" i="17" s="1"/>
  <c r="S480" i="17"/>
  <c r="T480" i="17" s="1"/>
  <c r="S484" i="17"/>
  <c r="T484" i="17" s="1"/>
  <c r="S488" i="17"/>
  <c r="T488" i="17" s="1"/>
  <c r="N492" i="17"/>
  <c r="N511" i="17"/>
  <c r="N517" i="17"/>
  <c r="N523" i="17"/>
  <c r="S538" i="17"/>
  <c r="T538" i="17" s="1"/>
  <c r="S540" i="17"/>
  <c r="T540" i="17" s="1"/>
  <c r="S539" i="17"/>
  <c r="T539" i="17" s="1"/>
  <c r="S546" i="17"/>
  <c r="T546" i="17" s="1"/>
  <c r="S548" i="17"/>
  <c r="T548" i="17" s="1"/>
  <c r="S547" i="17"/>
  <c r="T547" i="17" s="1"/>
  <c r="S554" i="17"/>
  <c r="T554" i="17" s="1"/>
  <c r="S556" i="17"/>
  <c r="T556" i="17" s="1"/>
  <c r="S555" i="17"/>
  <c r="T555" i="17" s="1"/>
  <c r="S562" i="17"/>
  <c r="T562" i="17" s="1"/>
  <c r="S564" i="17"/>
  <c r="T564" i="17" s="1"/>
  <c r="S563" i="17"/>
  <c r="T563" i="17" s="1"/>
  <c r="S567" i="17"/>
  <c r="T567" i="17" s="1"/>
  <c r="S576" i="17"/>
  <c r="T576" i="17" s="1"/>
  <c r="S589" i="17"/>
  <c r="T589" i="17" s="1"/>
  <c r="N592" i="17"/>
  <c r="S629" i="17"/>
  <c r="T629" i="17" s="1"/>
  <c r="S633" i="17"/>
  <c r="T633" i="17" s="1"/>
  <c r="S635" i="17"/>
  <c r="T635" i="17" s="1"/>
  <c r="AJ642" i="17"/>
  <c r="AL642" i="17"/>
  <c r="AL647" i="17"/>
  <c r="AJ647" i="17"/>
  <c r="S712" i="17"/>
  <c r="T712" i="17" s="1"/>
  <c r="S720" i="17"/>
  <c r="T720" i="17" s="1"/>
  <c r="S722" i="17"/>
  <c r="T722" i="17" s="1"/>
  <c r="S728" i="17"/>
  <c r="T728" i="17" s="1"/>
  <c r="S734" i="17"/>
  <c r="T734" i="17" s="1"/>
  <c r="S735" i="17"/>
  <c r="T735" i="17" s="1"/>
  <c r="S753" i="17"/>
  <c r="T753" i="17" s="1"/>
  <c r="S779" i="17"/>
  <c r="T779" i="17" s="1"/>
  <c r="S802" i="17"/>
  <c r="T802" i="17" s="1"/>
  <c r="S804" i="17"/>
  <c r="T804" i="17" s="1"/>
  <c r="S847" i="17"/>
  <c r="T847" i="17" s="1"/>
  <c r="S875" i="17"/>
  <c r="T875" i="17" s="1"/>
  <c r="S901" i="17"/>
  <c r="T901" i="17" s="1"/>
  <c r="S922" i="17"/>
  <c r="T922" i="17" s="1"/>
  <c r="AJ925" i="17"/>
  <c r="AL925" i="17"/>
  <c r="S930" i="17"/>
  <c r="T930" i="17" s="1"/>
  <c r="S983" i="17"/>
  <c r="T983" i="17" s="1"/>
  <c r="S984" i="17"/>
  <c r="T984" i="17" s="1"/>
  <c r="N453" i="17"/>
  <c r="N457" i="17"/>
  <c r="S460" i="17"/>
  <c r="T460" i="17" s="1"/>
  <c r="N465" i="17"/>
  <c r="S468" i="17"/>
  <c r="T468" i="17" s="1"/>
  <c r="N473" i="17"/>
  <c r="AL478" i="17"/>
  <c r="AJ478" i="17"/>
  <c r="AL482" i="17"/>
  <c r="AJ482" i="17"/>
  <c r="AL486" i="17"/>
  <c r="AJ486" i="17"/>
  <c r="AL490" i="17"/>
  <c r="AJ490" i="17"/>
  <c r="N497" i="17"/>
  <c r="N501" i="17"/>
  <c r="N505" i="17"/>
  <c r="N510" i="17"/>
  <c r="N522" i="17"/>
  <c r="N529" i="17"/>
  <c r="N538" i="17"/>
  <c r="N546" i="17"/>
  <c r="N554" i="17"/>
  <c r="N562" i="17"/>
  <c r="N574" i="17"/>
  <c r="S604" i="17"/>
  <c r="T604" i="17" s="1"/>
  <c r="S606" i="17"/>
  <c r="T606" i="17" s="1"/>
  <c r="S620" i="17"/>
  <c r="T620" i="17" s="1"/>
  <c r="S622" i="17"/>
  <c r="T622" i="17" s="1"/>
  <c r="S637" i="17"/>
  <c r="T637" i="17" s="1"/>
  <c r="S641" i="17"/>
  <c r="T641" i="17" s="1"/>
  <c r="S643" i="17"/>
  <c r="T643" i="17" s="1"/>
  <c r="S778" i="17"/>
  <c r="T778" i="17" s="1"/>
  <c r="S801" i="17"/>
  <c r="T801" i="17" s="1"/>
  <c r="S822" i="17"/>
  <c r="T822" i="17" s="1"/>
  <c r="S827" i="17"/>
  <c r="T827" i="17" s="1"/>
  <c r="S854" i="17"/>
  <c r="T854" i="17" s="1"/>
  <c r="S855" i="17"/>
  <c r="T855" i="17" s="1"/>
  <c r="S896" i="17"/>
  <c r="T896" i="17" s="1"/>
  <c r="S899" i="17"/>
  <c r="T899" i="17" s="1"/>
  <c r="S906" i="17"/>
  <c r="T906" i="17" s="1"/>
  <c r="S916" i="17"/>
  <c r="T916" i="17" s="1"/>
  <c r="S943" i="17"/>
  <c r="T943" i="17" s="1"/>
  <c r="S944" i="17"/>
  <c r="T944" i="17" s="1"/>
  <c r="AJ975" i="17"/>
  <c r="AJ976" i="17"/>
  <c r="AL975" i="17"/>
  <c r="S1007" i="17"/>
  <c r="T1007" i="17" s="1"/>
  <c r="N528" i="17"/>
  <c r="N536" i="17"/>
  <c r="N540" i="17"/>
  <c r="N544" i="17"/>
  <c r="N548" i="17"/>
  <c r="N552" i="17"/>
  <c r="N556" i="17"/>
  <c r="N560" i="17"/>
  <c r="N564" i="17"/>
  <c r="N572" i="17"/>
  <c r="N580" i="17"/>
  <c r="N581" i="17"/>
  <c r="N586" i="17"/>
  <c r="N596" i="17"/>
  <c r="S602" i="17"/>
  <c r="T602" i="17" s="1"/>
  <c r="S610" i="17"/>
  <c r="T610" i="17" s="1"/>
  <c r="S618" i="17"/>
  <c r="T618" i="17" s="1"/>
  <c r="S626" i="17"/>
  <c r="T626" i="17" s="1"/>
  <c r="AJ635" i="17"/>
  <c r="AL635" i="17"/>
  <c r="AJ643" i="17"/>
  <c r="AL643" i="17"/>
  <c r="S654" i="17"/>
  <c r="T654" i="17" s="1"/>
  <c r="S662" i="17"/>
  <c r="T662" i="17" s="1"/>
  <c r="S692" i="17"/>
  <c r="T692" i="17" s="1"/>
  <c r="N694" i="17"/>
  <c r="S697" i="17"/>
  <c r="T697" i="17" s="1"/>
  <c r="N702" i="17"/>
  <c r="S709" i="17"/>
  <c r="T709" i="17" s="1"/>
  <c r="S711" i="17"/>
  <c r="T711" i="17" s="1"/>
  <c r="AJ722" i="17"/>
  <c r="AL722" i="17"/>
  <c r="S844" i="17"/>
  <c r="T844" i="17" s="1"/>
  <c r="N850" i="17"/>
  <c r="S860" i="17"/>
  <c r="T860" i="17" s="1"/>
  <c r="N866" i="17"/>
  <c r="S876" i="17"/>
  <c r="T876" i="17" s="1"/>
  <c r="N882" i="17"/>
  <c r="S887" i="17"/>
  <c r="T887" i="17" s="1"/>
  <c r="AJ893" i="17"/>
  <c r="AL893" i="17"/>
  <c r="S900" i="17"/>
  <c r="T900" i="17" s="1"/>
  <c r="S907" i="17"/>
  <c r="T907" i="17" s="1"/>
  <c r="S909" i="17"/>
  <c r="T909" i="17" s="1"/>
  <c r="AJ919" i="17"/>
  <c r="AL919" i="17"/>
  <c r="S921" i="17"/>
  <c r="T921" i="17" s="1"/>
  <c r="S942" i="17"/>
  <c r="T942" i="17" s="1"/>
  <c r="S951" i="17"/>
  <c r="T951" i="17" s="1"/>
  <c r="AJ957" i="17"/>
  <c r="AL957" i="17"/>
  <c r="AL970" i="17"/>
  <c r="AJ970" i="17"/>
  <c r="S975" i="17"/>
  <c r="T975" i="17" s="1"/>
  <c r="S990" i="17"/>
  <c r="T990" i="17" s="1"/>
  <c r="N535" i="17"/>
  <c r="N569" i="17"/>
  <c r="S575" i="17"/>
  <c r="T575" i="17" s="1"/>
  <c r="S579" i="17"/>
  <c r="T579" i="17" s="1"/>
  <c r="R580" i="17"/>
  <c r="Y580" i="17"/>
  <c r="M580" i="17"/>
  <c r="AF581" i="17"/>
  <c r="AF580" i="17"/>
  <c r="V580" i="17"/>
  <c r="H580" i="17"/>
  <c r="N583" i="17"/>
  <c r="N593" i="17"/>
  <c r="N601" i="17"/>
  <c r="S607" i="17"/>
  <c r="T607" i="17" s="1"/>
  <c r="S615" i="17"/>
  <c r="T615" i="17" s="1"/>
  <c r="S623" i="17"/>
  <c r="T623" i="17" s="1"/>
  <c r="AJ632" i="17"/>
  <c r="AL632" i="17"/>
  <c r="AJ640" i="17"/>
  <c r="AL640" i="17"/>
  <c r="S651" i="17"/>
  <c r="T651" i="17" s="1"/>
  <c r="S659" i="17"/>
  <c r="T659" i="17" s="1"/>
  <c r="S664" i="17"/>
  <c r="T664" i="17" s="1"/>
  <c r="S666" i="17"/>
  <c r="T666" i="17" s="1"/>
  <c r="S668" i="17"/>
  <c r="T668" i="17" s="1"/>
  <c r="S670" i="17"/>
  <c r="T670" i="17" s="1"/>
  <c r="S672" i="17"/>
  <c r="T672" i="17" s="1"/>
  <c r="S674" i="17"/>
  <c r="T674" i="17" s="1"/>
  <c r="S676" i="17"/>
  <c r="T676" i="17" s="1"/>
  <c r="S678" i="17"/>
  <c r="T678" i="17" s="1"/>
  <c r="S680" i="17"/>
  <c r="T680" i="17" s="1"/>
  <c r="S682" i="17"/>
  <c r="T682" i="17" s="1"/>
  <c r="S684" i="17"/>
  <c r="T684" i="17" s="1"/>
  <c r="S686" i="17"/>
  <c r="T686" i="17" s="1"/>
  <c r="S688" i="17"/>
  <c r="T688" i="17" s="1"/>
  <c r="S690" i="17"/>
  <c r="T690" i="17" s="1"/>
  <c r="S694" i="17"/>
  <c r="T694" i="17" s="1"/>
  <c r="N699" i="17"/>
  <c r="S702" i="17"/>
  <c r="T702" i="17" s="1"/>
  <c r="AJ711" i="17"/>
  <c r="AL711" i="17"/>
  <c r="AJ719" i="17"/>
  <c r="AL719" i="17"/>
  <c r="AJ727" i="17"/>
  <c r="AL727" i="17"/>
  <c r="S730" i="17"/>
  <c r="T730" i="17" s="1"/>
  <c r="AL733" i="17"/>
  <c r="AJ733" i="17"/>
  <c r="AL739" i="17"/>
  <c r="AJ739" i="17"/>
  <c r="S743" i="17"/>
  <c r="T743" i="17" s="1"/>
  <c r="S752" i="17"/>
  <c r="T752" i="17" s="1"/>
  <c r="S759" i="17"/>
  <c r="T759" i="17" s="1"/>
  <c r="S768" i="17"/>
  <c r="T768" i="17" s="1"/>
  <c r="S775" i="17"/>
  <c r="T775" i="17" s="1"/>
  <c r="S784" i="17"/>
  <c r="T784" i="17" s="1"/>
  <c r="S791" i="17"/>
  <c r="T791" i="17" s="1"/>
  <c r="S800" i="17"/>
  <c r="T800" i="17" s="1"/>
  <c r="S807" i="17"/>
  <c r="T807" i="17" s="1"/>
  <c r="S816" i="17"/>
  <c r="T816" i="17" s="1"/>
  <c r="S823" i="17"/>
  <c r="T823" i="17" s="1"/>
  <c r="S832" i="17"/>
  <c r="T832" i="17" s="1"/>
  <c r="S839" i="17"/>
  <c r="T839" i="17" s="1"/>
  <c r="S850" i="17"/>
  <c r="T850" i="17" s="1"/>
  <c r="S853" i="17"/>
  <c r="T853" i="17" s="1"/>
  <c r="S866" i="17"/>
  <c r="T866" i="17" s="1"/>
  <c r="S869" i="17"/>
  <c r="T869" i="17" s="1"/>
  <c r="S882" i="17"/>
  <c r="T882" i="17" s="1"/>
  <c r="S885" i="17"/>
  <c r="T885" i="17" s="1"/>
  <c r="AJ895" i="17"/>
  <c r="AL895" i="17"/>
  <c r="S897" i="17"/>
  <c r="T897" i="17" s="1"/>
  <c r="S918" i="17"/>
  <c r="T918" i="17" s="1"/>
  <c r="S927" i="17"/>
  <c r="T927" i="17" s="1"/>
  <c r="AJ933" i="17"/>
  <c r="AL933" i="17"/>
  <c r="S940" i="17"/>
  <c r="T940" i="17" s="1"/>
  <c r="S947" i="17"/>
  <c r="T947" i="17" s="1"/>
  <c r="S949" i="17"/>
  <c r="T949" i="17" s="1"/>
  <c r="AJ959" i="17"/>
  <c r="AJ960" i="17"/>
  <c r="AL959" i="17"/>
  <c r="S973" i="17"/>
  <c r="T973" i="17" s="1"/>
  <c r="S974" i="17"/>
  <c r="T974" i="17" s="1"/>
  <c r="AJ989" i="17"/>
  <c r="AL989" i="17"/>
  <c r="S1003" i="17"/>
  <c r="T1003" i="17" s="1"/>
  <c r="AJ1006" i="17"/>
  <c r="AL1006" i="17"/>
  <c r="S603" i="17"/>
  <c r="T603" i="17" s="1"/>
  <c r="S611" i="17"/>
  <c r="T611" i="17" s="1"/>
  <c r="S619" i="17"/>
  <c r="T619" i="17" s="1"/>
  <c r="S627" i="17"/>
  <c r="T627" i="17" s="1"/>
  <c r="AJ628" i="17"/>
  <c r="AL628" i="17"/>
  <c r="AJ636" i="17"/>
  <c r="AL636" i="17"/>
  <c r="AJ644" i="17"/>
  <c r="AL644" i="17"/>
  <c r="S655" i="17"/>
  <c r="T655" i="17" s="1"/>
  <c r="S663" i="17"/>
  <c r="T663" i="17" s="1"/>
  <c r="S665" i="17"/>
  <c r="T665" i="17" s="1"/>
  <c r="S667" i="17"/>
  <c r="T667" i="17" s="1"/>
  <c r="S669" i="17"/>
  <c r="T669" i="17" s="1"/>
  <c r="S671" i="17"/>
  <c r="T671" i="17" s="1"/>
  <c r="S673" i="17"/>
  <c r="T673" i="17" s="1"/>
  <c r="S675" i="17"/>
  <c r="T675" i="17" s="1"/>
  <c r="S677" i="17"/>
  <c r="T677" i="17" s="1"/>
  <c r="S679" i="17"/>
  <c r="T679" i="17" s="1"/>
  <c r="S681" i="17"/>
  <c r="T681" i="17" s="1"/>
  <c r="S683" i="17"/>
  <c r="T683" i="17" s="1"/>
  <c r="S685" i="17"/>
  <c r="T685" i="17" s="1"/>
  <c r="S687" i="17"/>
  <c r="T687" i="17" s="1"/>
  <c r="S689" i="17"/>
  <c r="T689" i="17" s="1"/>
  <c r="S691" i="17"/>
  <c r="T691" i="17" s="1"/>
  <c r="N695" i="17"/>
  <c r="S698" i="17"/>
  <c r="T698" i="17" s="1"/>
  <c r="AJ703" i="17"/>
  <c r="AL703" i="17"/>
  <c r="S710" i="17"/>
  <c r="T710" i="17" s="1"/>
  <c r="AJ715" i="17"/>
  <c r="AL715" i="17"/>
  <c r="AJ723" i="17"/>
  <c r="AL723" i="17"/>
  <c r="S729" i="17"/>
  <c r="T729" i="17" s="1"/>
  <c r="S731" i="17"/>
  <c r="T731" i="17" s="1"/>
  <c r="S744" i="17"/>
  <c r="T744" i="17" s="1"/>
  <c r="S751" i="17"/>
  <c r="T751" i="17" s="1"/>
  <c r="S760" i="17"/>
  <c r="T760" i="17" s="1"/>
  <c r="S767" i="17"/>
  <c r="T767" i="17" s="1"/>
  <c r="S776" i="17"/>
  <c r="T776" i="17" s="1"/>
  <c r="S783" i="17"/>
  <c r="T783" i="17" s="1"/>
  <c r="S792" i="17"/>
  <c r="T792" i="17" s="1"/>
  <c r="S799" i="17"/>
  <c r="T799" i="17" s="1"/>
  <c r="S808" i="17"/>
  <c r="T808" i="17" s="1"/>
  <c r="S815" i="17"/>
  <c r="T815" i="17" s="1"/>
  <c r="S824" i="17"/>
  <c r="T824" i="17" s="1"/>
  <c r="S831" i="17"/>
  <c r="T831" i="17" s="1"/>
  <c r="S840" i="17"/>
  <c r="T840" i="17" s="1"/>
  <c r="S845" i="17"/>
  <c r="T845" i="17" s="1"/>
  <c r="S858" i="17"/>
  <c r="T858" i="17" s="1"/>
  <c r="S861" i="17"/>
  <c r="T861" i="17" s="1"/>
  <c r="S874" i="17"/>
  <c r="T874" i="17" s="1"/>
  <c r="S877" i="17"/>
  <c r="T877" i="17" s="1"/>
  <c r="S886" i="17"/>
  <c r="T886" i="17" s="1"/>
  <c r="S895" i="17"/>
  <c r="T895" i="17" s="1"/>
  <c r="AJ901" i="17"/>
  <c r="AL901" i="17"/>
  <c r="S908" i="17"/>
  <c r="T908" i="17" s="1"/>
  <c r="S915" i="17"/>
  <c r="T915" i="17" s="1"/>
  <c r="S917" i="17"/>
  <c r="T917" i="17" s="1"/>
  <c r="AJ927" i="17"/>
  <c r="AL927" i="17"/>
  <c r="S929" i="17"/>
  <c r="T929" i="17" s="1"/>
  <c r="S950" i="17"/>
  <c r="T950" i="17" s="1"/>
  <c r="S959" i="17"/>
  <c r="T959" i="17" s="1"/>
  <c r="S987" i="17"/>
  <c r="T987" i="17" s="1"/>
  <c r="S988" i="17"/>
  <c r="T988" i="17" s="1"/>
  <c r="S1006" i="17"/>
  <c r="T1006" i="17" s="1"/>
  <c r="B271" i="14"/>
  <c r="D271" i="14" s="1"/>
  <c r="AK691" i="17"/>
  <c r="S695" i="17"/>
  <c r="T695" i="17" s="1"/>
  <c r="AJ705" i="17"/>
  <c r="AL705" i="17"/>
  <c r="S707" i="17"/>
  <c r="T707" i="17" s="1"/>
  <c r="S713" i="17"/>
  <c r="T713" i="17" s="1"/>
  <c r="AJ720" i="17"/>
  <c r="AL720" i="17"/>
  <c r="S856" i="17"/>
  <c r="T856" i="17" s="1"/>
  <c r="S872" i="17"/>
  <c r="T872" i="17" s="1"/>
  <c r="S891" i="17"/>
  <c r="T891" i="17" s="1"/>
  <c r="S893" i="17"/>
  <c r="T893" i="17" s="1"/>
  <c r="AJ903" i="17"/>
  <c r="AL903" i="17"/>
  <c r="S905" i="17"/>
  <c r="T905" i="17" s="1"/>
  <c r="S926" i="17"/>
  <c r="T926" i="17" s="1"/>
  <c r="S935" i="17"/>
  <c r="T935" i="17" s="1"/>
  <c r="AJ941" i="17"/>
  <c r="AL941" i="17"/>
  <c r="S948" i="17"/>
  <c r="T948" i="17" s="1"/>
  <c r="S955" i="17"/>
  <c r="T955" i="17" s="1"/>
  <c r="S957" i="17"/>
  <c r="T957" i="17" s="1"/>
  <c r="S961" i="17"/>
  <c r="T961" i="17" s="1"/>
  <c r="AJ965" i="17"/>
  <c r="S972" i="17"/>
  <c r="T972" i="17" s="1"/>
  <c r="AJ981" i="17"/>
  <c r="S991" i="17"/>
  <c r="T991" i="17" s="1"/>
  <c r="AL1005" i="17"/>
  <c r="AJ1005" i="17"/>
  <c r="AJ575" i="17"/>
  <c r="AL575" i="17"/>
  <c r="S605" i="17"/>
  <c r="T605" i="17" s="1"/>
  <c r="S613" i="17"/>
  <c r="T613" i="17" s="1"/>
  <c r="S621" i="17"/>
  <c r="T621" i="17" s="1"/>
  <c r="AJ630" i="17"/>
  <c r="AL630" i="17"/>
  <c r="AJ638" i="17"/>
  <c r="AL638" i="17"/>
  <c r="S649" i="17"/>
  <c r="T649" i="17" s="1"/>
  <c r="S657" i="17"/>
  <c r="T657" i="17" s="1"/>
  <c r="S700" i="17"/>
  <c r="T700" i="17" s="1"/>
  <c r="S704" i="17"/>
  <c r="T704" i="17" s="1"/>
  <c r="AJ717" i="17"/>
  <c r="AL717" i="17"/>
  <c r="AJ725" i="17"/>
  <c r="AL725" i="17"/>
  <c r="AL731" i="17"/>
  <c r="AJ731" i="17"/>
  <c r="S737" i="17"/>
  <c r="T737" i="17" s="1"/>
  <c r="S739" i="17"/>
  <c r="T739" i="17" s="1"/>
  <c r="S748" i="17"/>
  <c r="T748" i="17" s="1"/>
  <c r="S755" i="17"/>
  <c r="T755" i="17" s="1"/>
  <c r="S764" i="17"/>
  <c r="T764" i="17" s="1"/>
  <c r="S771" i="17"/>
  <c r="T771" i="17" s="1"/>
  <c r="S780" i="17"/>
  <c r="T780" i="17" s="1"/>
  <c r="S787" i="17"/>
  <c r="T787" i="17" s="1"/>
  <c r="S796" i="17"/>
  <c r="T796" i="17" s="1"/>
  <c r="S803" i="17"/>
  <c r="T803" i="17" s="1"/>
  <c r="S812" i="17"/>
  <c r="T812" i="17" s="1"/>
  <c r="S819" i="17"/>
  <c r="T819" i="17" s="1"/>
  <c r="S828" i="17"/>
  <c r="T828" i="17" s="1"/>
  <c r="S835" i="17"/>
  <c r="T835" i="17" s="1"/>
  <c r="S846" i="17"/>
  <c r="T846" i="17" s="1"/>
  <c r="S851" i="17"/>
  <c r="T851" i="17" s="1"/>
  <c r="S862" i="17"/>
  <c r="T862" i="17" s="1"/>
  <c r="S867" i="17"/>
  <c r="T867" i="17" s="1"/>
  <c r="S878" i="17"/>
  <c r="T878" i="17" s="1"/>
  <c r="S883" i="17"/>
  <c r="T883" i="17" s="1"/>
  <c r="S902" i="17"/>
  <c r="T902" i="17" s="1"/>
  <c r="S911" i="17"/>
  <c r="T911" i="17" s="1"/>
  <c r="AJ917" i="17"/>
  <c r="AL917" i="17"/>
  <c r="S924" i="17"/>
  <c r="T924" i="17" s="1"/>
  <c r="S931" i="17"/>
  <c r="T931" i="17" s="1"/>
  <c r="S933" i="17"/>
  <c r="T933" i="17" s="1"/>
  <c r="AJ943" i="17"/>
  <c r="AL943" i="17"/>
  <c r="S945" i="17"/>
  <c r="T945" i="17" s="1"/>
  <c r="S977" i="17"/>
  <c r="T977" i="17" s="1"/>
  <c r="AL986" i="17"/>
  <c r="AJ986" i="17"/>
  <c r="AJ987" i="17"/>
  <c r="AB575" i="17"/>
  <c r="AJ704" i="17"/>
  <c r="AJ712" i="17"/>
  <c r="AJ886" i="17"/>
  <c r="AJ894" i="17"/>
  <c r="AJ902" i="17"/>
  <c r="AJ910" i="17"/>
  <c r="AJ918" i="17"/>
  <c r="AJ926" i="17"/>
  <c r="AJ934" i="17"/>
  <c r="AJ942" i="17"/>
  <c r="AJ950" i="17"/>
  <c r="AJ958" i="17"/>
  <c r="S965" i="17"/>
  <c r="T965" i="17" s="1"/>
  <c r="AJ967" i="17"/>
  <c r="AJ968" i="17"/>
  <c r="AL978" i="17"/>
  <c r="AJ978" i="17"/>
  <c r="S995" i="17"/>
  <c r="T995" i="17" s="1"/>
  <c r="S1002" i="17"/>
  <c r="T1002" i="17" s="1"/>
  <c r="R577" i="17"/>
  <c r="S577" i="17" s="1"/>
  <c r="T577" i="17" s="1"/>
  <c r="M578" i="17"/>
  <c r="AJ578" i="17"/>
  <c r="AF579" i="17"/>
  <c r="D589" i="17"/>
  <c r="N589" i="17" s="1"/>
  <c r="AJ974" i="17"/>
  <c r="AJ979" i="17"/>
  <c r="S981" i="17"/>
  <c r="T981" i="17" s="1"/>
  <c r="AJ983" i="17"/>
  <c r="AJ984" i="17"/>
  <c r="AL994" i="17"/>
  <c r="AJ994" i="17"/>
  <c r="V575" i="17"/>
  <c r="AB577" i="17"/>
  <c r="Y578" i="17"/>
  <c r="M579" i="17"/>
  <c r="AJ579" i="17"/>
  <c r="H588" i="17"/>
  <c r="AL702" i="17"/>
  <c r="AJ709" i="17"/>
  <c r="AL710" i="17"/>
  <c r="AJ728" i="17"/>
  <c r="AJ736" i="17"/>
  <c r="N846" i="17"/>
  <c r="N854" i="17"/>
  <c r="N862" i="17"/>
  <c r="N870" i="17"/>
  <c r="N878" i="17"/>
  <c r="AJ891" i="17"/>
  <c r="AL892" i="17"/>
  <c r="AJ899" i="17"/>
  <c r="AL900" i="17"/>
  <c r="AJ907" i="17"/>
  <c r="AL908" i="17"/>
  <c r="AJ915" i="17"/>
  <c r="AL916" i="17"/>
  <c r="AJ923" i="17"/>
  <c r="AL924" i="17"/>
  <c r="AJ931" i="17"/>
  <c r="AL932" i="17"/>
  <c r="AJ939" i="17"/>
  <c r="AL940" i="17"/>
  <c r="AJ947" i="17"/>
  <c r="AL948" i="17"/>
  <c r="AJ955" i="17"/>
  <c r="AL956" i="17"/>
  <c r="S962" i="17"/>
  <c r="T962" i="17" s="1"/>
  <c r="AL983" i="17"/>
  <c r="S989" i="17"/>
  <c r="T989" i="17" s="1"/>
  <c r="AJ991" i="17"/>
  <c r="AJ992" i="17"/>
  <c r="AL1002" i="17"/>
  <c r="AJ1002" i="17"/>
  <c r="AJ1004" i="17"/>
  <c r="AJ506" i="17"/>
  <c r="AF575" i="17"/>
  <c r="R578" i="17"/>
  <c r="S578" i="17" s="1"/>
  <c r="T578" i="17" s="1"/>
  <c r="Y579" i="17"/>
  <c r="U588" i="17"/>
  <c r="AJ598" i="17"/>
  <c r="AJ708" i="17"/>
  <c r="AJ735" i="17"/>
  <c r="N744" i="17"/>
  <c r="N748" i="17"/>
  <c r="N752" i="17"/>
  <c r="N756" i="17"/>
  <c r="N760" i="17"/>
  <c r="N764" i="17"/>
  <c r="N768" i="17"/>
  <c r="N772" i="17"/>
  <c r="N776" i="17"/>
  <c r="N780" i="17"/>
  <c r="N784" i="17"/>
  <c r="N788" i="17"/>
  <c r="N792" i="17"/>
  <c r="N796" i="17"/>
  <c r="N800" i="17"/>
  <c r="N804" i="17"/>
  <c r="N808" i="17"/>
  <c r="N812" i="17"/>
  <c r="N816" i="17"/>
  <c r="N820" i="17"/>
  <c r="N824" i="17"/>
  <c r="N828" i="17"/>
  <c r="N832" i="17"/>
  <c r="N836" i="17"/>
  <c r="N840" i="17"/>
  <c r="N845" i="17"/>
  <c r="N853" i="17"/>
  <c r="N861" i="17"/>
  <c r="N869" i="17"/>
  <c r="N877" i="17"/>
  <c r="N885" i="17"/>
  <c r="AJ890" i="17"/>
  <c r="AJ898" i="17"/>
  <c r="AJ906" i="17"/>
  <c r="AJ914" i="17"/>
  <c r="AJ922" i="17"/>
  <c r="AJ930" i="17"/>
  <c r="AJ938" i="17"/>
  <c r="AJ946" i="17"/>
  <c r="AJ954" i="17"/>
  <c r="S963" i="17"/>
  <c r="T963" i="17" s="1"/>
  <c r="S970" i="17"/>
  <c r="T970" i="17" s="1"/>
  <c r="AJ995" i="17"/>
  <c r="S997" i="17"/>
  <c r="T997" i="17" s="1"/>
  <c r="AJ999" i="17"/>
  <c r="AJ1000" i="17"/>
  <c r="M575" i="17"/>
  <c r="R579" i="17"/>
  <c r="AJ707" i="17"/>
  <c r="AJ734" i="17"/>
  <c r="N844" i="17"/>
  <c r="N852" i="17"/>
  <c r="N860" i="17"/>
  <c r="N868" i="17"/>
  <c r="N876" i="17"/>
  <c r="N884" i="17"/>
  <c r="AJ889" i="17"/>
  <c r="AJ897" i="17"/>
  <c r="AJ905" i="17"/>
  <c r="AJ913" i="17"/>
  <c r="AJ921" i="17"/>
  <c r="AJ929" i="17"/>
  <c r="AJ937" i="17"/>
  <c r="AJ945" i="17"/>
  <c r="AJ953" i="17"/>
  <c r="S966" i="17"/>
  <c r="T966" i="17" s="1"/>
  <c r="S971" i="17"/>
  <c r="T971" i="17" s="1"/>
  <c r="S978" i="17"/>
  <c r="T978" i="17" s="1"/>
  <c r="S1005" i="17"/>
  <c r="T1005" i="17" s="1"/>
  <c r="AJ1007" i="17"/>
  <c r="Y575" i="17"/>
  <c r="AJ706" i="17"/>
  <c r="AJ714" i="17"/>
  <c r="N743" i="17"/>
  <c r="N747" i="17"/>
  <c r="N751" i="17"/>
  <c r="N755" i="17"/>
  <c r="N759" i="17"/>
  <c r="N763" i="17"/>
  <c r="N767" i="17"/>
  <c r="N771" i="17"/>
  <c r="N775" i="17"/>
  <c r="N779" i="17"/>
  <c r="N783" i="17"/>
  <c r="N787" i="17"/>
  <c r="N791" i="17"/>
  <c r="N795" i="17"/>
  <c r="N799" i="17"/>
  <c r="N803" i="17"/>
  <c r="N807" i="17"/>
  <c r="N811" i="17"/>
  <c r="N815" i="17"/>
  <c r="N819" i="17"/>
  <c r="N823" i="17"/>
  <c r="N827" i="17"/>
  <c r="N831" i="17"/>
  <c r="N835" i="17"/>
  <c r="N839" i="17"/>
  <c r="AJ842" i="17"/>
  <c r="AJ841" i="17"/>
  <c r="N843" i="17"/>
  <c r="N851" i="17"/>
  <c r="N859" i="17"/>
  <c r="N867" i="17"/>
  <c r="N875" i="17"/>
  <c r="N883" i="17"/>
  <c r="AJ888" i="17"/>
  <c r="AJ896" i="17"/>
  <c r="AJ904" i="17"/>
  <c r="AJ912" i="17"/>
  <c r="AJ920" i="17"/>
  <c r="AJ928" i="17"/>
  <c r="AJ936" i="17"/>
  <c r="AJ944" i="17"/>
  <c r="AJ952" i="17"/>
  <c r="AL962" i="17"/>
  <c r="AJ962" i="17"/>
  <c r="S979" i="17"/>
  <c r="T979" i="17" s="1"/>
  <c r="S986" i="17"/>
  <c r="T986" i="17" s="1"/>
  <c r="S996" i="17"/>
  <c r="T996" i="17" s="1"/>
  <c r="NJ67" i="8"/>
  <c r="S581" i="17" l="1"/>
  <c r="T581" i="17" s="1"/>
  <c r="S580" i="17"/>
  <c r="T580" i="17" s="1"/>
  <c r="AL691" i="17"/>
  <c r="AJ692" i="17"/>
  <c r="AJ691" i="17"/>
  <c r="S588" i="17"/>
  <c r="T588" i="17" s="1"/>
  <c r="S439" i="17"/>
  <c r="T439" i="17" s="1"/>
  <c r="S438" i="17"/>
  <c r="T438" i="17" s="1"/>
  <c r="L14" i="6"/>
  <c r="M14" i="6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Table 0" description="Connection to the 'Table 0' query in the workbook." type="5" refreshedVersion="7" background="1" saveData="1">
    <dbPr connection="Provider=Microsoft.Mashup.OleDb.1;Data Source=$Workbook$;Location=Table 0;Extended Properties=&quot;&quot;" command="SELECT * FROM [Table 0]"/>
  </connection>
  <connection id="2" xr16:uid="{00000000-0015-0000-FFFF-FFFF01000000}" keepAlive="1" name="Query - Table 1" description="Connection to the 'Table 1' query in the workbook." type="5" refreshedVersion="7" background="1" saveData="1">
    <dbPr connection="Provider=Microsoft.Mashup.OleDb.1;Data Source=$Workbook$;Location=Table 1;Extended Properties=&quot;&quot;" command="SELECT * FROM [Table 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<sst xmlns="http://schemas.openxmlformats.org/spreadsheetml/2006/main" count="1117" uniqueCount="438">
  <si>
    <t>Día No.</t>
  </si>
  <si>
    <t>Diarios</t>
  </si>
  <si>
    <t>Acumulados</t>
  </si>
  <si>
    <t xml:space="preserve">Fallecidos </t>
  </si>
  <si>
    <t>Recuperados</t>
  </si>
  <si>
    <t>Descartados</t>
  </si>
  <si>
    <t>Tasa letalidad</t>
  </si>
  <si>
    <t>Tasa de Positividad</t>
  </si>
  <si>
    <t>Boletín No.</t>
  </si>
  <si>
    <t>Ro</t>
  </si>
  <si>
    <t>Pacientes en UCI</t>
  </si>
  <si>
    <t>Beta</t>
  </si>
  <si>
    <t>Gamma</t>
  </si>
  <si>
    <t>Casos Activos
(I)</t>
  </si>
  <si>
    <t>Fallecidos + Recuperados
(R)</t>
  </si>
  <si>
    <t>-</t>
  </si>
  <si>
    <t>Aislamiento domiciliario</t>
  </si>
  <si>
    <t>Aislamiento hospitalario</t>
  </si>
  <si>
    <t>Formulas</t>
  </si>
  <si>
    <t>Promedio porque no hubo publicación</t>
  </si>
  <si>
    <t>Recuperados / Fallecidos</t>
  </si>
  <si>
    <t>Fallecidos por millón habitantes</t>
  </si>
  <si>
    <t>Casos por millón de habitantes</t>
  </si>
  <si>
    <t>Muestras por millón de habitantes</t>
  </si>
  <si>
    <t>Población</t>
  </si>
  <si>
    <t>Camas</t>
  </si>
  <si>
    <t>Camas UCI</t>
  </si>
  <si>
    <t>Government response stringency index</t>
  </si>
  <si>
    <t>https://www.bsg.ox.ac.uk/research/research-projects/coronavirus-government-response-tracker</t>
  </si>
  <si>
    <t>País</t>
  </si>
  <si>
    <t>Honduras</t>
  </si>
  <si>
    <t>Guatemala</t>
  </si>
  <si>
    <t>Bolivia</t>
  </si>
  <si>
    <t>Argentina</t>
  </si>
  <si>
    <t>Ecuador</t>
  </si>
  <si>
    <t>Colombia</t>
  </si>
  <si>
    <t>Chile</t>
  </si>
  <si>
    <t>Dia</t>
  </si>
  <si>
    <t>Muestras Procesadas por PCR (Diarias)</t>
  </si>
  <si>
    <t>Muestras Procesadas por PCR (Acumuladas)</t>
  </si>
  <si>
    <t>Brazil</t>
  </si>
  <si>
    <t>India</t>
  </si>
  <si>
    <t>Russia</t>
  </si>
  <si>
    <t>South Africa</t>
  </si>
  <si>
    <t>Mexico</t>
  </si>
  <si>
    <t>Peru</t>
  </si>
  <si>
    <t>Spain</t>
  </si>
  <si>
    <t>Iran</t>
  </si>
  <si>
    <t>Pakistan</t>
  </si>
  <si>
    <t>Saudi Arabia</t>
  </si>
  <si>
    <t>Italy</t>
  </si>
  <si>
    <t>Bangladesh</t>
  </si>
  <si>
    <t>Turkey</t>
  </si>
  <si>
    <t>Germany</t>
  </si>
  <si>
    <t>France</t>
  </si>
  <si>
    <t>Iraq</t>
  </si>
  <si>
    <t>Canada</t>
  </si>
  <si>
    <t>Indonesia</t>
  </si>
  <si>
    <t>Qatar</t>
  </si>
  <si>
    <t>Philippines</t>
  </si>
  <si>
    <t>Egypt</t>
  </si>
  <si>
    <t>Kazakhstan</t>
  </si>
  <si>
    <t>China</t>
  </si>
  <si>
    <t>Sweden</t>
  </si>
  <si>
    <t>Oman</t>
  </si>
  <si>
    <t>Israel</t>
  </si>
  <si>
    <t>Dominican Republic</t>
  </si>
  <si>
    <t>Ukraine</t>
  </si>
  <si>
    <t>Belgium</t>
  </si>
  <si>
    <t>Belarus</t>
  </si>
  <si>
    <t>Kuwait</t>
  </si>
  <si>
    <t>Panama</t>
  </si>
  <si>
    <t>Netherlands</t>
  </si>
  <si>
    <t>Romania</t>
  </si>
  <si>
    <t>Singapore</t>
  </si>
  <si>
    <t>Portugal</t>
  </si>
  <si>
    <t>Poland</t>
  </si>
  <si>
    <t>Nigeria</t>
  </si>
  <si>
    <t>Bahrain</t>
  </si>
  <si>
    <t>Armenia</t>
  </si>
  <si>
    <t>Ghana</t>
  </si>
  <si>
    <t>Kyrgyzstan</t>
  </si>
  <si>
    <t>Afghanistan</t>
  </si>
  <si>
    <t>Japan</t>
  </si>
  <si>
    <t>Switzerland</t>
  </si>
  <si>
    <t>Azerbaijan</t>
  </si>
  <si>
    <t>Algeria</t>
  </si>
  <si>
    <t>Serbia</t>
  </si>
  <si>
    <t>Ireland</t>
  </si>
  <si>
    <t>Morocco</t>
  </si>
  <si>
    <t>Moldova</t>
  </si>
  <si>
    <t>Uzbekistan</t>
  </si>
  <si>
    <t>Kenya</t>
  </si>
  <si>
    <t>Austria</t>
  </si>
  <si>
    <t>Nepal</t>
  </si>
  <si>
    <t>Venezuela</t>
  </si>
  <si>
    <t>Costa Rica</t>
  </si>
  <si>
    <t>Ethiopia</t>
  </si>
  <si>
    <t>Australia</t>
  </si>
  <si>
    <t>El Salvador</t>
  </si>
  <si>
    <t>Cameroon</t>
  </si>
  <si>
    <t>Czechia</t>
  </si>
  <si>
    <t>Denmark</t>
  </si>
  <si>
    <t>Palestine</t>
  </si>
  <si>
    <t>Bosnia and Herzegovina</t>
  </si>
  <si>
    <t>Bulgaria</t>
  </si>
  <si>
    <t>Sudan</t>
  </si>
  <si>
    <t>Madagascar</t>
  </si>
  <si>
    <t>North Macedonia</t>
  </si>
  <si>
    <t>Senegal</t>
  </si>
  <si>
    <t>Norway</t>
  </si>
  <si>
    <t>Malaysia</t>
  </si>
  <si>
    <t>Gabon</t>
  </si>
  <si>
    <t>Tajikistan</t>
  </si>
  <si>
    <t>Haiti</t>
  </si>
  <si>
    <t>Finland</t>
  </si>
  <si>
    <t>Guinea</t>
  </si>
  <si>
    <t>Luxembourg</t>
  </si>
  <si>
    <t>Zambia</t>
  </si>
  <si>
    <t>Mauritania</t>
  </si>
  <si>
    <t>Paraguay</t>
  </si>
  <si>
    <t>Albania</t>
  </si>
  <si>
    <t>Croatia</t>
  </si>
  <si>
    <t>Djibouti</t>
  </si>
  <si>
    <t>Lebanon</t>
  </si>
  <si>
    <t>Equatorial Guinea</t>
  </si>
  <si>
    <t>Greece</t>
  </si>
  <si>
    <t>Hungary</t>
  </si>
  <si>
    <t>Malawi</t>
  </si>
  <si>
    <t>Maldives</t>
  </si>
  <si>
    <t>Zimbabwe</t>
  </si>
  <si>
    <t>Libya</t>
  </si>
  <si>
    <t>Nicaragua</t>
  </si>
  <si>
    <t>Hong Kong</t>
  </si>
  <si>
    <t>Thailand</t>
  </si>
  <si>
    <t>Montenegro</t>
  </si>
  <si>
    <t>Somalia</t>
  </si>
  <si>
    <t>Congo</t>
  </si>
  <si>
    <t>Sri Lanka</t>
  </si>
  <si>
    <t>Eswatini</t>
  </si>
  <si>
    <t>Cuba</t>
  </si>
  <si>
    <t>Cabo Verde</t>
  </si>
  <si>
    <t>Mali</t>
  </si>
  <si>
    <t>South Sudan</t>
  </si>
  <si>
    <t>Slovakia</t>
  </si>
  <si>
    <t>Namibia</t>
  </si>
  <si>
    <t>Slovenia</t>
  </si>
  <si>
    <t>Lithuania</t>
  </si>
  <si>
    <t>Estonia</t>
  </si>
  <si>
    <t>Rwanda</t>
  </si>
  <si>
    <t>Guinea-Bissau</t>
  </si>
  <si>
    <t>Mozambique</t>
  </si>
  <si>
    <t>Iceland</t>
  </si>
  <si>
    <t>Suriname</t>
  </si>
  <si>
    <t>Sierra Leone</t>
  </si>
  <si>
    <t>Benin</t>
  </si>
  <si>
    <t>Yemen</t>
  </si>
  <si>
    <t>New Zealand</t>
  </si>
  <si>
    <t>Tunisia</t>
  </si>
  <si>
    <t>Uruguay</t>
  </si>
  <si>
    <t>Latvia</t>
  </si>
  <si>
    <t>Jordan</t>
  </si>
  <si>
    <t>Liberia</t>
  </si>
  <si>
    <t>Angola</t>
  </si>
  <si>
    <t>Uganda</t>
  </si>
  <si>
    <t>Georgia</t>
  </si>
  <si>
    <t>Cyprus</t>
  </si>
  <si>
    <t>Niger</t>
  </si>
  <si>
    <t>Burkina Faso</t>
  </si>
  <si>
    <t>Togo</t>
  </si>
  <si>
    <t>Chad</t>
  </si>
  <si>
    <t>Andorra</t>
  </si>
  <si>
    <t>Jamaica</t>
  </si>
  <si>
    <t>Sao Tome and Principe</t>
  </si>
  <si>
    <t>Malta</t>
  </si>
  <si>
    <t>Syria</t>
  </si>
  <si>
    <t>Botswana</t>
  </si>
  <si>
    <t>Lesotho</t>
  </si>
  <si>
    <t>San Marino</t>
  </si>
  <si>
    <t>Bahamas</t>
  </si>
  <si>
    <t>Vietnam</t>
  </si>
  <si>
    <t>Tanzania</t>
  </si>
  <si>
    <t>Gambia</t>
  </si>
  <si>
    <t>Taiwan</t>
  </si>
  <si>
    <t>Guyana</t>
  </si>
  <si>
    <t>Burundi</t>
  </si>
  <si>
    <t>Comoros</t>
  </si>
  <si>
    <t>Myanmar</t>
  </si>
  <si>
    <t>Mauritius</t>
  </si>
  <si>
    <t>Isle of Man</t>
  </si>
  <si>
    <t>Mongolia</t>
  </si>
  <si>
    <t>Eritrea</t>
  </si>
  <si>
    <t>Cambodia</t>
  </si>
  <si>
    <t>Faeroe Islands</t>
  </si>
  <si>
    <t>Cayman Islands</t>
  </si>
  <si>
    <t>Gibraltar</t>
  </si>
  <si>
    <t>Trinidad and Tobago</t>
  </si>
  <si>
    <t>Bermuda</t>
  </si>
  <si>
    <t>Brunei</t>
  </si>
  <si>
    <t>Barbados</t>
  </si>
  <si>
    <t>Aruba</t>
  </si>
  <si>
    <t>Monaco</t>
  </si>
  <si>
    <t>Seychelles</t>
  </si>
  <si>
    <t>Papua New Guinea</t>
  </si>
  <si>
    <t>Bhutan</t>
  </si>
  <si>
    <t>Antigua and Barbuda</t>
  </si>
  <si>
    <t>Liechtenstein</t>
  </si>
  <si>
    <t>Belize</t>
  </si>
  <si>
    <t>Macao</t>
  </si>
  <si>
    <t>Fiji</t>
  </si>
  <si>
    <t>Saint Lucia</t>
  </si>
  <si>
    <t>Grenada</t>
  </si>
  <si>
    <t>New Caledonia</t>
  </si>
  <si>
    <t>Laos</t>
  </si>
  <si>
    <t>Dominica</t>
  </si>
  <si>
    <t>Saint Kitts and Nevis</t>
  </si>
  <si>
    <t>Greenland</t>
  </si>
  <si>
    <t>Montserrat</t>
  </si>
  <si>
    <t>Falkland Islands</t>
  </si>
  <si>
    <t>British Virgin Islands</t>
  </si>
  <si>
    <t>Anguilla</t>
  </si>
  <si>
    <t>preelecciones</t>
  </si>
  <si>
    <t>elecciones</t>
  </si>
  <si>
    <t>Acumulados como % de la poblacion</t>
  </si>
  <si>
    <t>Fallecidos como % de la poblacion</t>
  </si>
  <si>
    <t>Casos acumulados</t>
  </si>
  <si>
    <t>Casos nuevos</t>
  </si>
  <si>
    <t>Fallecidos</t>
  </si>
  <si>
    <t>Casos activos</t>
  </si>
  <si>
    <t>Fallecidos por millon</t>
  </si>
  <si>
    <t>Pruebas por millon</t>
  </si>
  <si>
    <t>Casos por millon</t>
  </si>
  <si>
    <t>nota:</t>
  </si>
  <si>
    <t>pacientes UCI van contabilizados dentro de los pacientes en aislamiento hospitalario</t>
  </si>
  <si>
    <t>Pruebas</t>
  </si>
  <si>
    <t>No se tiene dato</t>
  </si>
  <si>
    <t>% Ocupacion UCI</t>
  </si>
  <si>
    <t>% Camas COVID</t>
  </si>
  <si>
    <t>% Ventiladores</t>
  </si>
  <si>
    <t>Casos Nuevos</t>
  </si>
  <si>
    <t>Pruebas nuevas</t>
  </si>
  <si>
    <t>Pruebas Acumuladas</t>
  </si>
  <si>
    <t>Positividad diaria</t>
  </si>
  <si>
    <t>Positividad (%)</t>
  </si>
  <si>
    <t>Positividad</t>
  </si>
  <si>
    <t>Solomon Islands</t>
  </si>
  <si>
    <t>Wallis and Futuna</t>
  </si>
  <si>
    <t>Nuevos fallecidos por boletín</t>
  </si>
  <si>
    <t>Marshall Islands</t>
  </si>
  <si>
    <t>Vanuatu</t>
  </si>
  <si>
    <t>Samoa</t>
  </si>
  <si>
    <t>Guernsey</t>
  </si>
  <si>
    <t>Jersey</t>
  </si>
  <si>
    <t>Argelia</t>
  </si>
  <si>
    <t>Bélgica</t>
  </si>
  <si>
    <t>Brasil</t>
  </si>
  <si>
    <t>Canadá</t>
  </si>
  <si>
    <t>Islas Caimán</t>
  </si>
  <si>
    <t>Croacia</t>
  </si>
  <si>
    <t>Chipre</t>
  </si>
  <si>
    <t>Dinamarca</t>
  </si>
  <si>
    <t>Egipto</t>
  </si>
  <si>
    <t>Islas Feroe</t>
  </si>
  <si>
    <t>Finlandia</t>
  </si>
  <si>
    <t>Francia</t>
  </si>
  <si>
    <t>Alemania</t>
  </si>
  <si>
    <t>Grecia</t>
  </si>
  <si>
    <t>Groenlandia</t>
  </si>
  <si>
    <t>Hungría</t>
  </si>
  <si>
    <t>Islandia</t>
  </si>
  <si>
    <t>Irlanda</t>
  </si>
  <si>
    <t>Italia</t>
  </si>
  <si>
    <t>Letonia</t>
  </si>
  <si>
    <t>Lituania</t>
  </si>
  <si>
    <t>Luxemburgo</t>
  </si>
  <si>
    <t>Maldivas</t>
  </si>
  <si>
    <t>México</t>
  </si>
  <si>
    <t>Mónaco</t>
  </si>
  <si>
    <t>Marruecos</t>
  </si>
  <si>
    <t>Países Bajos</t>
  </si>
  <si>
    <t>Noruega</t>
  </si>
  <si>
    <t>Omán</t>
  </si>
  <si>
    <t>Panamá</t>
  </si>
  <si>
    <t>Polonia</t>
  </si>
  <si>
    <t>Rumania</t>
  </si>
  <si>
    <t>Rusia</t>
  </si>
  <si>
    <t>Santa elena</t>
  </si>
  <si>
    <t>Arabia Saudita</t>
  </si>
  <si>
    <t>Singapur</t>
  </si>
  <si>
    <t>Eslovaquia</t>
  </si>
  <si>
    <t>Eslovenia</t>
  </si>
  <si>
    <t>España</t>
  </si>
  <si>
    <t>Suecia</t>
  </si>
  <si>
    <t>Suiza</t>
  </si>
  <si>
    <t>Emiratos Árabes Unidos</t>
  </si>
  <si>
    <t>Reino Unido</t>
  </si>
  <si>
    <t>Estados Unidos</t>
  </si>
  <si>
    <t>Isla de Man</t>
  </si>
  <si>
    <t>Northern Cyprus</t>
  </si>
  <si>
    <t>Saint Helena</t>
  </si>
  <si>
    <t>United Arab Emirates</t>
  </si>
  <si>
    <t>United Kingdom</t>
  </si>
  <si>
    <t>United States</t>
  </si>
  <si>
    <t>Cape Verde</t>
  </si>
  <si>
    <t>Central African Republic</t>
  </si>
  <si>
    <t>Cote d'Ivoire</t>
  </si>
  <si>
    <t>Democratic Republic of Congo</t>
  </si>
  <si>
    <t>Kosovo</t>
  </si>
  <si>
    <t>Micronesia (country)</t>
  </si>
  <si>
    <t>Saint Vincent and the Grenadines</t>
  </si>
  <si>
    <t>South Korea</t>
  </si>
  <si>
    <t>Timor</t>
  </si>
  <si>
    <t>Vatican</t>
  </si>
  <si>
    <t>Afganistán</t>
  </si>
  <si>
    <t>Antigua y Barbuda</t>
  </si>
  <si>
    <t>Azerbaiyán</t>
  </si>
  <si>
    <t>Bielorrusia</t>
  </si>
  <si>
    <t>Belice</t>
  </si>
  <si>
    <t>Bután</t>
  </si>
  <si>
    <t>Bosnia y Herzegovina</t>
  </si>
  <si>
    <t>Camboya</t>
  </si>
  <si>
    <t>Camerún</t>
  </si>
  <si>
    <t>República Centroafricana</t>
  </si>
  <si>
    <t>Comoras</t>
  </si>
  <si>
    <t>Costa de Marfil</t>
  </si>
  <si>
    <t>Chequia</t>
  </si>
  <si>
    <t>República Democrática del Congo</t>
  </si>
  <si>
    <t>República Dominicana</t>
  </si>
  <si>
    <t>Guinea Ecuatorial</t>
  </si>
  <si>
    <t>Etiopía</t>
  </si>
  <si>
    <t>Fiyi</t>
  </si>
  <si>
    <t>Gabón</t>
  </si>
  <si>
    <t>Granada</t>
  </si>
  <si>
    <t>Guayana</t>
  </si>
  <si>
    <t>Haití</t>
  </si>
  <si>
    <t>Irak</t>
  </si>
  <si>
    <t>Japón</t>
  </si>
  <si>
    <t>Jordán</t>
  </si>
  <si>
    <t>Kazajstán</t>
  </si>
  <si>
    <t>Kenia</t>
  </si>
  <si>
    <t>Kirguistán</t>
  </si>
  <si>
    <t>Líbano</t>
  </si>
  <si>
    <t>Lesoto</t>
  </si>
  <si>
    <t>Libia</t>
  </si>
  <si>
    <t>Malasia</t>
  </si>
  <si>
    <t>Islas Marshall</t>
  </si>
  <si>
    <t>Mauricio</t>
  </si>
  <si>
    <t>Micronesia (país)</t>
  </si>
  <si>
    <t>Moldavia</t>
  </si>
  <si>
    <t>Nueva Zelanda</t>
  </si>
  <si>
    <t>Níger</t>
  </si>
  <si>
    <t>Macedonia del Norte</t>
  </si>
  <si>
    <t>Pakistán</t>
  </si>
  <si>
    <t>Palestina</t>
  </si>
  <si>
    <t>Papúa Nueva Guinea</t>
  </si>
  <si>
    <t>Perú</t>
  </si>
  <si>
    <t>Filipinas</t>
  </si>
  <si>
    <t>Katar</t>
  </si>
  <si>
    <t>Ruanda</t>
  </si>
  <si>
    <t>Saint Kitts y Nevis</t>
  </si>
  <si>
    <t>Santa Lucía</t>
  </si>
  <si>
    <t>San Vicente y las Granadinas</t>
  </si>
  <si>
    <t>Santo Tomé y Príncipe</t>
  </si>
  <si>
    <t>Sierra Leona</t>
  </si>
  <si>
    <t>Islas Salomón</t>
  </si>
  <si>
    <t>Sudáfrica</t>
  </si>
  <si>
    <t>Corea del Sur</t>
  </si>
  <si>
    <t>Sudán del Sur</t>
  </si>
  <si>
    <t>Sudán</t>
  </si>
  <si>
    <t>Surinam</t>
  </si>
  <si>
    <t>Siria</t>
  </si>
  <si>
    <t>Taiwán</t>
  </si>
  <si>
    <t>Tayikistán</t>
  </si>
  <si>
    <t>Tailandia</t>
  </si>
  <si>
    <t>Trinidad y Tobago</t>
  </si>
  <si>
    <t>Túnez</t>
  </si>
  <si>
    <t>Ucrania</t>
  </si>
  <si>
    <t>Vaticano</t>
  </si>
  <si>
    <t>Índice</t>
  </si>
  <si>
    <t>Islas Bermudas</t>
  </si>
  <si>
    <t>Chipre del Norte</t>
  </si>
  <si>
    <t>Turks and Caicos Islands</t>
  </si>
  <si>
    <t>Anguila</t>
  </si>
  <si>
    <t>Bahréin</t>
  </si>
  <si>
    <t>Islas Malvinas</t>
  </si>
  <si>
    <t>Islas Turcas y Caicos</t>
  </si>
  <si>
    <t>Turquía</t>
  </si>
  <si>
    <t>Vacunaciones acumuladas</t>
  </si>
  <si>
    <t>Dosis por cada 100 habitantes (acumulado)</t>
  </si>
  <si>
    <t>Jordania</t>
  </si>
  <si>
    <t>Catar</t>
  </si>
  <si>
    <t>Santa Elena</t>
  </si>
  <si>
    <t>Baréin</t>
  </si>
  <si>
    <t>Benín</t>
  </si>
  <si>
    <t>República Checa</t>
  </si>
  <si>
    <t>Yibouti</t>
  </si>
  <si>
    <t>Irán</t>
  </si>
  <si>
    <t xml:space="preserve">Micronesia </t>
  </si>
  <si>
    <t>San Cristóbal y Nieves</t>
  </si>
  <si>
    <t>Zimbabue</t>
  </si>
  <si>
    <t>Curacao</t>
  </si>
  <si>
    <t>Curazao</t>
  </si>
  <si>
    <t>Nauru</t>
  </si>
  <si>
    <t>Tonga</t>
  </si>
  <si>
    <t>Primera dosis</t>
  </si>
  <si>
    <t>Segunda dosis</t>
  </si>
  <si>
    <t>Recuperacion Diaria</t>
  </si>
  <si>
    <t>Recuperados / Acumulados</t>
  </si>
  <si>
    <t>French Polonesia</t>
  </si>
  <si>
    <t>Tuvalu</t>
  </si>
  <si>
    <t>Wallis y Futuna</t>
  </si>
  <si>
    <t>Polonesia Francesa</t>
  </si>
  <si>
    <t>Nueva Caledonia</t>
  </si>
  <si>
    <t>Sin Marteen (Dutch Part)</t>
  </si>
  <si>
    <t>Bonaire Sint Eustatius and Saba</t>
  </si>
  <si>
    <t>Turkemenistan</t>
  </si>
  <si>
    <t>Turkmenistán</t>
  </si>
  <si>
    <t>Wallis y Fatuna</t>
  </si>
  <si>
    <t>Caribe Neerlandés</t>
  </si>
  <si>
    <t>San Martín (Países Bajos)</t>
  </si>
  <si>
    <t>Islas Vírgenes Británicas</t>
  </si>
  <si>
    <t>Islas Vírgeners Británicas</t>
  </si>
  <si>
    <t>Kiribati</t>
  </si>
  <si>
    <t>Cook Islands</t>
  </si>
  <si>
    <t>Islas Cook</t>
  </si>
  <si>
    <t>Pitcairn</t>
  </si>
  <si>
    <t>Poblacion</t>
  </si>
  <si>
    <t>Dosis refuerzo</t>
  </si>
  <si>
    <t>Niue</t>
  </si>
  <si>
    <t>Segunda Dosis</t>
  </si>
  <si>
    <t>Meta</t>
  </si>
  <si>
    <t>Fecha</t>
  </si>
  <si>
    <t>Población vacunada completa</t>
  </si>
  <si>
    <t>Vacunación Diaria</t>
  </si>
  <si>
    <t>Vacunaciones por millon de habitantes (acum.)</t>
  </si>
  <si>
    <t>Tokelau</t>
  </si>
  <si>
    <t>Palau</t>
  </si>
  <si>
    <t>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</si>
</sst>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%"/>
    <numFmt numFmtId="166" formatCode="0.000"/>
    <numFmt numFmtId="167" formatCode="_(* #,##0_);_(* \(#,##0\);_(* &quot;-&quot;??_);_(@_)"/>
    <numFmt numFmtId="168" formatCode=";;"/>
  </numFmts>
  <fonts count="9">
    <font>
      <sz val="12"/>
      <color theme="1"/>
      <name val="Calibri"/>
      <family val="2"/>
    </font>
    <font>
      <sz val="12"/>
      <color theme="1"/>
      <name val="Calibri"/>
    </font>
    <font>
      <sz val="12"/>
      <color theme="1"/>
      <name val="Calibri (Body)"/>
    </font>
    <font>
      <sz val="10"/>
      <color rgb="FFFFFFFF"/>
      <name val="Calibri"/>
    </font>
    <font>
      <sz val="12"/>
      <color rgb="FFFF0000"/>
      <name val="Calibri"/>
    </font>
    <font>
      <sz val="12"/>
      <color rgb="FFC00000"/>
      <name val="Calibri"/>
    </font>
    <font>
      <b/>
      <sz val="10"/>
      <color rgb="FFFFFFFF"/>
      <name val="Calibri"/>
    </font>
    <font>
      <b/>
      <sz val="12"/>
      <color theme="0"/>
      <name val="Calibri"/>
    </font>
    <font>
      <sz val="12"/>
      <color rgb="FF000000"/>
      <name val="Calibri"/>
    </font>
  </fonts>
  <fills count="12">
    <fill>
      <patternFill patternType="none"/>
    </fill>
    <fill>
      <patternFill patternType="gray125"/>
    </fill>
    <fill>
      <patternFill patternType="solid">
        <fgColor rgb="FF4F81BD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2BDC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4F81BD"/>
      </patternFill>
    </fill>
  </fills>
  <borders count="3">
    <border>
      <left/>
      <right/>
      <top/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3" fontId="1" fillId="0" borderId="0" xfId="0" applyNumberFormat="1" applyFont="1"/>
    <xf numFmtId="1" fontId="1" fillId="0" borderId="0" xfId="0" applyNumberFormat="1" applyFont="1"/>
    <xf numFmtId="0" fontId="2" fillId="0" borderId="0" xfId="0" applyFont="1"/>
    <xf numFmtId="3" fontId="2" fillId="0" borderId="0" xfId="0" applyNumberFormat="1" applyFont="1"/>
    <xf numFmtId="0" fontId="1" fillId="3" borderId="0" xfId="0" applyFont="1" applyFill="1"/>
    <xf numFmtId="0" fontId="1" fillId="4" borderId="0" xfId="0" applyFont="1" applyFill="1"/>
    <xf numFmtId="164" fontId="2" fillId="0" borderId="0" xfId="0" applyNumberFormat="1" applyFont="1"/>
    <xf numFmtId="0" fontId="1" fillId="5" borderId="2" xfId="0" applyFont="1" applyFill="1" applyBorder="1"/>
    <xf numFmtId="9" fontId="1" fillId="5" borderId="2" xfId="0" applyNumberFormat="1" applyFont="1" applyFill="1" applyBorder="1"/>
    <xf numFmtId="10" fontId="1" fillId="0" borderId="2" xfId="0" applyNumberFormat="1" applyFont="1" applyBorder="1"/>
    <xf numFmtId="3" fontId="1" fillId="0" borderId="2" xfId="0" applyNumberFormat="1" applyFont="1" applyBorder="1"/>
    <xf numFmtId="9" fontId="1" fillId="0" borderId="2" xfId="0" applyNumberFormat="1" applyFont="1" applyBorder="1"/>
    <xf numFmtId="10" fontId="1" fillId="5" borderId="2" xfId="0" applyNumberFormat="1" applyFont="1" applyFill="1" applyBorder="1"/>
    <xf numFmtId="37" fontId="1" fillId="5" borderId="2" xfId="0" applyNumberFormat="1" applyFont="1" applyFill="1" applyBorder="1"/>
    <xf numFmtId="3" fontId="4" fillId="0" borderId="2" xfId="0" applyNumberFormat="1" applyFont="1" applyBorder="1"/>
    <xf numFmtId="165" fontId="4" fillId="0" borderId="2" xfId="0" applyNumberFormat="1" applyFont="1" applyBorder="1"/>
    <xf numFmtId="0" fontId="4" fillId="0" borderId="0" xfId="0" applyFont="1"/>
    <xf numFmtId="14" fontId="1" fillId="0" borderId="2" xfId="0" applyNumberFormat="1" applyFont="1" applyBorder="1"/>
    <xf numFmtId="0" fontId="1" fillId="0" borderId="2" xfId="0" applyFont="1" applyBorder="1"/>
    <xf numFmtId="2" fontId="1" fillId="5" borderId="2" xfId="0" applyNumberFormat="1" applyFont="1" applyFill="1" applyBorder="1"/>
    <xf numFmtId="1" fontId="1" fillId="5" borderId="2" xfId="0" applyNumberFormat="1" applyFont="1" applyFill="1" applyBorder="1"/>
    <xf numFmtId="3" fontId="1" fillId="5" borderId="2" xfId="0" applyNumberFormat="1" applyFont="1" applyFill="1" applyBorder="1"/>
    <xf numFmtId="165" fontId="1" fillId="0" borderId="2" xfId="0" applyNumberFormat="1" applyFont="1" applyBorder="1"/>
    <xf numFmtId="166" fontId="1" fillId="5" borderId="2" xfId="0" applyNumberFormat="1" applyFont="1" applyFill="1" applyBorder="1"/>
    <xf numFmtId="3" fontId="5" fillId="0" borderId="2" xfId="0" applyNumberFormat="1" applyFont="1" applyBorder="1"/>
    <xf numFmtId="165" fontId="5" fillId="0" borderId="2" xfId="0" applyNumberFormat="1" applyFont="1" applyBorder="1"/>
    <xf numFmtId="4" fontId="1" fillId="0" borderId="2" xfId="0" applyNumberFormat="1" applyFont="1" applyBorder="1"/>
    <xf numFmtId="3" fontId="1" fillId="6" borderId="2" xfId="0" applyNumberFormat="1" applyFont="1" applyFill="1" applyBorder="1"/>
    <xf numFmtId="1" fontId="1" fillId="0" borderId="2" xfId="0" applyNumberFormat="1" applyFont="1" applyBorder="1"/>
    <xf numFmtId="9" fontId="1" fillId="6" borderId="2" xfId="0" applyNumberFormat="1" applyFont="1" applyFill="1" applyBorder="1"/>
    <xf numFmtId="4" fontId="1" fillId="5" borderId="2" xfId="0" applyNumberFormat="1" applyFont="1" applyFill="1" applyBorder="1"/>
    <xf numFmtId="0" fontId="6" fillId="2" borderId="1" xfId="0" applyFont="1" applyFill="1" applyBorder="1" applyAlignment="1">
      <alignment horizontal="center" vertical="center" wrapText="1"/>
    </xf>
    <xf numFmtId="167" fontId="1" fillId="0" borderId="0" xfId="0" applyNumberFormat="1" applyFont="1"/>
    <xf numFmtId="9" fontId="1" fillId="0" borderId="0" xfId="0" applyNumberFormat="1" applyFont="1"/>
    <xf numFmtId="0" fontId="1" fillId="7" borderId="0" xfId="0" applyFont="1" applyFill="1"/>
    <xf numFmtId="10" fontId="1" fillId="5" borderId="0" xfId="0" applyNumberFormat="1" applyFont="1" applyFill="1"/>
    <xf numFmtId="14" fontId="1" fillId="0" borderId="0" xfId="0" applyNumberFormat="1" applyFont="1"/>
    <xf numFmtId="10" fontId="1" fillId="0" borderId="0" xfId="0" applyNumberFormat="1" applyFont="1"/>
    <xf numFmtId="168" fontId="1" fillId="0" borderId="0" xfId="0" applyNumberFormat="1" applyFont="1"/>
    <xf numFmtId="9" fontId="1" fillId="8" borderId="0" xfId="0" applyNumberFormat="1" applyFont="1" applyFill="1"/>
    <xf numFmtId="0" fontId="7" fillId="7" borderId="0" xfId="0" applyFont="1" applyFill="1"/>
    <xf numFmtId="0" fontId="1" fillId="9" borderId="0" xfId="0" applyFont="1" applyFill="1"/>
    <xf numFmtId="0" fontId="1" fillId="10" borderId="0" xfId="0" applyFont="1" applyFill="1"/>
    <xf numFmtId="165" fontId="1" fillId="0" borderId="0" xfId="0" applyNumberFormat="1" applyFont="1"/>
    <xf numFmtId="14" fontId="8" fillId="0" borderId="0" xfId="0" applyNumberFormat="1" applyFont="1"/>
    <xf numFmtId="0" fontId="3" fillId="11" borderId="1" xfId="0" applyFont="1" applyFill="1" applyBorder="1" applyAlignment="1">
      <alignment horizontal="center"/>
    </xf>
    <xf numFmtId="3" fontId="1" fillId="0" borderId="0" xfId="0" applyNumberFormat="1" applyFont="1"/>
    <xf numFmtId="14" fontId="0" fillId="0" borderId="0" xfId="0" applyNumberFormat="1"/>
  </cellXfs>
  <cellStyles count="1">
    <cellStyle name="Normal" xfId="0" builtinId="0"/>
  </cellStyles>
  <dxfs count="1">
    <dxf>
      <font>
        <color rgb="FF9C0006"/>
      </font>
      <numFmt numFmtId="168" formatCode=";;"/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yD/Dropbox/My%20Mac%20(FED-Neil.local)/Desktop/COVIDATA/COVIDATA%20RD%20(DESKTOP-0IJ74VH's%20conflicted%20copy%202021-06-2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sg.ox.ac.uk/research/research-projects/coronavirus-government-response-track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11"/>
  <sheetViews>
    <sheetView workbookViewId="0">
      <selection activeCell="E19" sqref="E19"/>
    </sheetView>
  </sheetViews>
  <sheetFormatPr defaultColWidth="10.6640625" defaultRowHeight="15.5"/>
  <cols>
    <col min="1" max="1" width="21.83203125" customWidth="1"/>
    <col min="2" max="2" width="11.83203125" customWidth="1"/>
    <col min="6" max="6" width="17.6640625" customWidth="1"/>
  </cols>
  <sheetData>
    <row r="1" spans="1:38" ht="85" customHeight="1">
      <c r="A1" s="47" t="s">
        <v>28</v>
      </c>
      <c r="B1" s="47"/>
      <c r="C1" s="47" t="s">
        <v>12</v>
      </c>
      <c r="D1" s="47">
        <f>1/14</f>
        <v>7.1428571428571425E-2</v>
      </c>
      <c r="E1" s="47" t="s">
        <v>18</v>
      </c>
      <c r="F1" s="47" t="s">
        <v>19</v>
      </c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</row>
    <row r="2" spans="1:38">
      <c r="A2" s="2"/>
      <c r="B2" s="2"/>
      <c r="C2" s="4" t="s">
        <v>24</v>
      </c>
      <c r="D2" s="8">
        <v>10.960519</v>
      </c>
    </row>
    <row r="3" spans="1:38">
      <c r="A3" s="2"/>
      <c r="B3" s="48" t="s">
        <v>221</v>
      </c>
      <c r="C3" s="4" t="s">
        <v>25</v>
      </c>
      <c r="D3" s="5">
        <v>2856</v>
      </c>
    </row>
    <row r="4" spans="1:38">
      <c r="A4" s="2"/>
      <c r="B4" s="48"/>
      <c r="C4" s="4" t="s">
        <v>26</v>
      </c>
      <c r="D4" s="4">
        <v>305</v>
      </c>
    </row>
    <row r="5" spans="1:38">
      <c r="A5" s="2"/>
      <c r="B5" s="2"/>
      <c r="C5" s="4"/>
      <c r="D5" s="4"/>
      <c r="F5" s="6" t="s">
        <v>235</v>
      </c>
    </row>
    <row r="6" spans="1:38">
      <c r="A6" s="2"/>
      <c r="B6" s="48" t="s">
        <v>222</v>
      </c>
      <c r="C6" s="4" t="s">
        <v>25</v>
      </c>
      <c r="D6" s="1">
        <v>3253</v>
      </c>
    </row>
    <row r="7" spans="1:38">
      <c r="A7" s="2"/>
      <c r="B7" s="48"/>
      <c r="C7" s="4" t="s">
        <v>26</v>
      </c>
      <c r="D7" s="7">
        <v>569</v>
      </c>
    </row>
    <row r="8" spans="1:38">
      <c r="A8" s="2"/>
      <c r="B8" s="2"/>
    </row>
    <row r="9" spans="1:38">
      <c r="A9" s="2"/>
      <c r="B9" s="2"/>
    </row>
    <row r="10" spans="1:38">
      <c r="A10" s="2"/>
      <c r="B10" s="2"/>
      <c r="C10" s="1" t="s">
        <v>232</v>
      </c>
      <c r="D10" s="1" t="s">
        <v>233</v>
      </c>
    </row>
    <row r="11" spans="1:38">
      <c r="A11" s="2"/>
      <c r="B11" s="2"/>
    </row>
    <row r="12" spans="1:38">
      <c r="A12" s="2"/>
      <c r="B12" s="2"/>
    </row>
    <row r="13" spans="1:38">
      <c r="A13" s="2"/>
      <c r="B13" s="2"/>
    </row>
    <row r="14" spans="1:38">
      <c r="A14" s="2"/>
      <c r="B14" s="2"/>
    </row>
    <row r="15" spans="1:38">
      <c r="A15" s="2"/>
      <c r="B15" s="2"/>
    </row>
    <row r="16" spans="1:38">
      <c r="A16" s="2"/>
      <c r="B16" s="2"/>
    </row>
    <row r="17" spans="1:2">
      <c r="A17" s="2"/>
      <c r="B17" s="2"/>
    </row>
    <row r="18" spans="1:2">
      <c r="A18" s="2"/>
      <c r="B18" s="2"/>
    </row>
    <row r="19" spans="1:2">
      <c r="A19" s="2"/>
      <c r="B19" s="2"/>
    </row>
    <row r="20" spans="1:2">
      <c r="A20" s="2"/>
      <c r="B20" s="2"/>
    </row>
    <row r="21" spans="1:2">
      <c r="A21" s="2"/>
      <c r="B21" s="2"/>
    </row>
    <row r="22" spans="1:2">
      <c r="A22" s="2"/>
      <c r="B22" s="2"/>
    </row>
    <row r="23" spans="1:2">
      <c r="A23" s="2"/>
      <c r="B23" s="2"/>
    </row>
    <row r="24" spans="1:2">
      <c r="A24" s="2"/>
      <c r="B24" s="2"/>
    </row>
    <row r="25" spans="1:2">
      <c r="A25" s="2"/>
      <c r="B25" s="2"/>
    </row>
    <row r="26" spans="1:2">
      <c r="A26" s="2"/>
      <c r="B26" s="2"/>
    </row>
    <row r="27" spans="1:2">
      <c r="A27" s="2"/>
      <c r="B27" s="2"/>
    </row>
    <row r="28" spans="1:2">
      <c r="A28" s="2"/>
      <c r="B28" s="2"/>
    </row>
    <row r="29" spans="1:2">
      <c r="A29" s="2"/>
      <c r="B29" s="2"/>
    </row>
    <row r="30" spans="1:2">
      <c r="A30" s="2"/>
      <c r="B30" s="2"/>
    </row>
    <row r="31" spans="1:2">
      <c r="A31" s="2"/>
      <c r="B31" s="2"/>
    </row>
    <row r="32" spans="1:2">
      <c r="A32" s="2"/>
      <c r="B32" s="2"/>
    </row>
    <row r="33" spans="1:2">
      <c r="A33" s="2"/>
      <c r="B33" s="2"/>
    </row>
    <row r="34" spans="1:2">
      <c r="A34" s="2"/>
      <c r="B34" s="2"/>
    </row>
    <row r="35" spans="1:2">
      <c r="A35" s="2"/>
      <c r="B35" s="2"/>
    </row>
    <row r="36" spans="1:2">
      <c r="A36" s="2"/>
      <c r="B36" s="2"/>
    </row>
    <row r="37" spans="1:2">
      <c r="A37" s="2"/>
      <c r="B37" s="2"/>
    </row>
    <row r="38" spans="1:2">
      <c r="A38" s="2"/>
      <c r="B38" s="2"/>
    </row>
    <row r="39" spans="1:2">
      <c r="A39" s="2"/>
      <c r="B39" s="2"/>
    </row>
    <row r="40" spans="1:2">
      <c r="A40" s="2"/>
      <c r="B40" s="2"/>
    </row>
    <row r="41" spans="1:2">
      <c r="A41" s="2"/>
      <c r="B41" s="2"/>
    </row>
    <row r="42" spans="1:2">
      <c r="A42" s="2"/>
      <c r="B42" s="2"/>
    </row>
    <row r="43" spans="1:2">
      <c r="A43" s="2"/>
      <c r="B43" s="2"/>
    </row>
    <row r="44" spans="1:2">
      <c r="A44" s="2"/>
      <c r="B44" s="2"/>
    </row>
    <row r="45" spans="1:2">
      <c r="A45" s="2"/>
      <c r="B45" s="2"/>
    </row>
    <row r="46" spans="1:2">
      <c r="A46" s="2"/>
      <c r="B46" s="2"/>
    </row>
    <row r="47" spans="1:2">
      <c r="A47" s="2"/>
      <c r="B47" s="2"/>
    </row>
    <row r="48" spans="1:2">
      <c r="A48" s="2"/>
      <c r="B48" s="2"/>
    </row>
    <row r="49" spans="1:2">
      <c r="A49" s="2"/>
      <c r="B49" s="2"/>
    </row>
    <row r="50" spans="1:2">
      <c r="A50" s="2"/>
      <c r="B50" s="2"/>
    </row>
    <row r="51" spans="1:2">
      <c r="A51" s="2"/>
      <c r="B51" s="2"/>
    </row>
    <row r="52" spans="1:2">
      <c r="A52" s="2"/>
      <c r="B52" s="2"/>
    </row>
    <row r="53" spans="1:2">
      <c r="A53" s="2"/>
      <c r="B53" s="2"/>
    </row>
    <row r="54" spans="1:2">
      <c r="A54" s="2"/>
      <c r="B54" s="2"/>
    </row>
    <row r="55" spans="1:2">
      <c r="A55" s="2"/>
      <c r="B55" s="2"/>
    </row>
    <row r="57" spans="1:2">
      <c r="A57" s="2"/>
      <c r="B57" s="2"/>
    </row>
    <row r="58" spans="1:2">
      <c r="A58" s="2"/>
      <c r="B58" s="2"/>
    </row>
    <row r="59" spans="1:2">
      <c r="A59" s="2"/>
      <c r="B59" s="2"/>
    </row>
    <row r="60" spans="1:2">
      <c r="A60" s="2"/>
      <c r="B60" s="2"/>
    </row>
    <row r="61" spans="1:2">
      <c r="A61" s="2"/>
      <c r="B61" s="2"/>
    </row>
    <row r="62" spans="1:2">
      <c r="A62" s="2"/>
      <c r="B62" s="2"/>
    </row>
    <row r="63" spans="1:2">
      <c r="A63" s="2"/>
      <c r="B63" s="2"/>
    </row>
    <row r="64" spans="1:2">
      <c r="A64" s="2"/>
      <c r="B64" s="2"/>
    </row>
    <row r="65" spans="1:2">
      <c r="A65" s="2"/>
      <c r="B65" s="2"/>
    </row>
    <row r="66" spans="1:2">
      <c r="A66" s="2"/>
      <c r="B66" s="2"/>
    </row>
    <row r="67" spans="1:2">
      <c r="A67" s="1"/>
      <c r="B67" s="1"/>
    </row>
    <row r="68" spans="1:2">
      <c r="A68" s="1"/>
      <c r="B68" s="1"/>
    </row>
    <row r="69" spans="1:2">
      <c r="A69" s="1"/>
      <c r="B69" s="1"/>
    </row>
    <row r="70" spans="1:2">
      <c r="A70" s="1"/>
      <c r="B70" s="1"/>
    </row>
    <row r="71" spans="1:2">
      <c r="A71" s="1"/>
      <c r="B71" s="1"/>
    </row>
    <row r="72" spans="1:2">
      <c r="A72" s="1"/>
      <c r="B72" s="1"/>
    </row>
    <row r="73" spans="1:2">
      <c r="A73" s="1"/>
      <c r="B73" s="1"/>
    </row>
    <row r="74" spans="1:2">
      <c r="A74" s="1"/>
      <c r="B74" s="1"/>
    </row>
    <row r="75" spans="1:2">
      <c r="A75" s="1"/>
      <c r="B75" s="1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3"/>
      <c r="B81" s="3"/>
    </row>
    <row r="82" spans="1:2">
      <c r="A82" s="3"/>
      <c r="B82" s="3"/>
    </row>
    <row r="83" spans="1:2">
      <c r="A83" s="3"/>
      <c r="B83" s="3"/>
    </row>
    <row r="84" spans="1:2">
      <c r="A84" s="3"/>
      <c r="B84" s="3"/>
    </row>
    <row r="85" spans="1:2">
      <c r="A85" s="3"/>
      <c r="B85" s="3"/>
    </row>
    <row r="86" spans="1:2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4" spans="1:2">
      <c r="A94" s="3"/>
      <c r="B94" s="3"/>
    </row>
    <row r="95" spans="1:2">
      <c r="A95" s="3"/>
      <c r="B95" s="3"/>
    </row>
    <row r="96" spans="1:2">
      <c r="A96" s="2"/>
      <c r="B96" s="2"/>
    </row>
    <row r="97" spans="1:2">
      <c r="A97" s="1"/>
      <c r="B97" s="1"/>
    </row>
    <row r="106" spans="1:2">
      <c r="A106" s="1"/>
      <c r="B106" s="1"/>
    </row>
    <row r="110" spans="1:2">
      <c r="A110" s="1"/>
      <c r="B110" s="1"/>
    </row>
    <row r="111" spans="1:2">
      <c r="A111" s="1"/>
      <c r="B111" s="1"/>
    </row>
  </sheetData>
  <mergeCells count="2">
    <mergeCell ref="B3:B4"/>
    <mergeCell ref="B6:B7"/>
  </mergeCells>
  <hyperlinks>
    <hyperlink ref="A1" r:id="rId1" xr:uid="{00000000-0004-0000-0000-000000000000}"/>
  </hyperlink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007"/>
  <sheetViews>
    <sheetView zoomScale="108" zoomScaleNormal="70" workbookViewId="0">
      <pane xSplit="2" ySplit="1" topLeftCell="C998" activePane="bottomRight" state="frozen"/>
      <selection activeCell="B20" sqref="B20"/>
      <selection pane="topRight" activeCell="B20" sqref="B20"/>
      <selection pane="bottomLeft" activeCell="B20" sqref="B20"/>
      <selection pane="bottomRight" activeCell="AG1008" sqref="AG1008"/>
    </sheetView>
  </sheetViews>
  <sheetFormatPr defaultColWidth="10.6640625" defaultRowHeight="15.5"/>
  <cols>
    <col min="2" max="2" width="14.6640625" customWidth="1"/>
    <col min="3" max="3" width="11.5" customWidth="1"/>
    <col min="5" max="5" width="12.5" customWidth="1"/>
    <col min="7" max="7" width="12.6640625" customWidth="1"/>
    <col min="8" max="8" width="12.83203125" customWidth="1"/>
    <col min="9" max="9" width="13.1640625" customWidth="1"/>
    <col min="10" max="10" width="13" customWidth="1"/>
    <col min="11" max="11" width="12" customWidth="1"/>
    <col min="12" max="12" width="13.6640625" customWidth="1"/>
    <col min="14" max="16" width="14.5" customWidth="1"/>
    <col min="17" max="17" width="11.83203125" customWidth="1"/>
    <col min="18" max="18" width="13.33203125" customWidth="1"/>
    <col min="19" max="20" width="11.83203125" customWidth="1"/>
    <col min="21" max="21" width="12.6640625" customWidth="1"/>
    <col min="22" max="22" width="15.1640625" customWidth="1"/>
    <col min="23" max="23" width="18.33203125" customWidth="1"/>
    <col min="24" max="24" width="16" customWidth="1"/>
    <col min="25" max="25" width="16.83203125" customWidth="1"/>
    <col min="26" max="26" width="14.1640625" hidden="1" customWidth="1"/>
    <col min="27" max="27" width="13.5" customWidth="1"/>
    <col min="30" max="30" width="11.33203125" customWidth="1"/>
    <col min="31" max="31" width="13.33203125" customWidth="1"/>
    <col min="37" max="37" width="12.5" customWidth="1"/>
    <col min="38" max="38" width="14.1640625" customWidth="1"/>
  </cols>
  <sheetData>
    <row r="1" spans="1:38" ht="60" customHeight="1">
      <c r="A1" s="33" t="s">
        <v>37</v>
      </c>
      <c r="B1" s="33" t="s">
        <v>0</v>
      </c>
      <c r="C1" s="33" t="s">
        <v>8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13</v>
      </c>
      <c r="I1" s="33" t="s">
        <v>38</v>
      </c>
      <c r="J1" s="33" t="s">
        <v>39</v>
      </c>
      <c r="K1" s="33" t="s">
        <v>5</v>
      </c>
      <c r="L1" s="33" t="s">
        <v>406</v>
      </c>
      <c r="M1" s="33" t="s">
        <v>6</v>
      </c>
      <c r="N1" s="33" t="s">
        <v>7</v>
      </c>
      <c r="O1" s="33" t="s">
        <v>16</v>
      </c>
      <c r="P1" s="33" t="s">
        <v>17</v>
      </c>
      <c r="Q1" s="33" t="s">
        <v>10</v>
      </c>
      <c r="R1" s="33" t="s">
        <v>14</v>
      </c>
      <c r="S1" s="33" t="s">
        <v>11</v>
      </c>
      <c r="T1" s="33" t="s">
        <v>9</v>
      </c>
      <c r="U1" s="33" t="s">
        <v>407</v>
      </c>
      <c r="V1" s="33" t="s">
        <v>20</v>
      </c>
      <c r="W1" s="33" t="s">
        <v>23</v>
      </c>
      <c r="X1" s="33" t="s">
        <v>22</v>
      </c>
      <c r="Y1" s="33" t="s">
        <v>21</v>
      </c>
      <c r="Z1" s="33" t="s">
        <v>27</v>
      </c>
      <c r="AA1" s="33" t="s">
        <v>223</v>
      </c>
      <c r="AB1" s="33" t="s">
        <v>224</v>
      </c>
      <c r="AC1" s="33" t="s">
        <v>236</v>
      </c>
      <c r="AD1" s="33" t="s">
        <v>237</v>
      </c>
      <c r="AE1" s="33" t="s">
        <v>238</v>
      </c>
      <c r="AF1" s="33" t="s">
        <v>247</v>
      </c>
      <c r="AG1" s="33" t="s">
        <v>404</v>
      </c>
      <c r="AH1" s="33" t="s">
        <v>405</v>
      </c>
      <c r="AI1" s="33" t="s">
        <v>427</v>
      </c>
      <c r="AJ1" s="33" t="s">
        <v>433</v>
      </c>
      <c r="AK1" s="33" t="s">
        <v>387</v>
      </c>
      <c r="AL1" s="33" t="s">
        <v>434</v>
      </c>
    </row>
    <row r="2" spans="1:38">
      <c r="A2" s="12">
        <v>1</v>
      </c>
      <c r="B2" s="19">
        <v>43891</v>
      </c>
      <c r="C2" s="12"/>
      <c r="D2" s="23">
        <v>1</v>
      </c>
      <c r="E2" s="12">
        <v>1</v>
      </c>
      <c r="F2" s="20">
        <v>0</v>
      </c>
      <c r="G2" s="20">
        <v>0</v>
      </c>
      <c r="H2" s="23">
        <f t="shared" ref="H2:H65" si="0">E2-F2-G2</f>
        <v>1</v>
      </c>
      <c r="I2" s="23">
        <v>0</v>
      </c>
      <c r="J2" s="12">
        <v>0</v>
      </c>
      <c r="K2" s="12" t="s">
        <v>15</v>
      </c>
      <c r="L2" s="9">
        <v>0</v>
      </c>
      <c r="M2" s="14">
        <f t="shared" ref="M2:M65" si="1">F2/E2</f>
        <v>0</v>
      </c>
      <c r="N2" s="14">
        <v>0</v>
      </c>
      <c r="O2" s="12">
        <v>0</v>
      </c>
      <c r="P2" s="12">
        <v>0</v>
      </c>
      <c r="Q2" s="12">
        <v>0</v>
      </c>
      <c r="R2" s="23">
        <f t="shared" ref="R2:R65" si="2">F2+G2</f>
        <v>0</v>
      </c>
      <c r="S2" s="25">
        <v>0</v>
      </c>
      <c r="T2" s="25">
        <v>0</v>
      </c>
      <c r="U2" s="10">
        <f t="shared" ref="U2:U65" si="3">G2/E2</f>
        <v>0</v>
      </c>
      <c r="V2" s="21">
        <v>0</v>
      </c>
      <c r="W2" s="15">
        <f>J2/detalle!$D$2</f>
        <v>0</v>
      </c>
      <c r="X2" s="15">
        <f>E2/detalle!$D$2</f>
        <v>9.1236555495227925E-2</v>
      </c>
      <c r="Y2" s="9" t="s">
        <v>15</v>
      </c>
      <c r="Z2" s="20" t="s">
        <v>15</v>
      </c>
      <c r="AA2" s="14">
        <f>E2/(detalle!$D$2*1000000)</f>
        <v>9.1236555495227923E-8</v>
      </c>
      <c r="AB2" s="14">
        <f>F2/(detalle!$D$2*1000000)</f>
        <v>0</v>
      </c>
      <c r="AC2" s="11">
        <v>0</v>
      </c>
      <c r="AD2" s="20">
        <v>0</v>
      </c>
      <c r="AE2" s="20">
        <v>0</v>
      </c>
      <c r="AF2" s="22">
        <v>0</v>
      </c>
      <c r="AG2" s="12">
        <v>0</v>
      </c>
      <c r="AH2" s="12">
        <v>0</v>
      </c>
      <c r="AI2" s="20">
        <v>0</v>
      </c>
      <c r="AJ2" s="23">
        <v>0</v>
      </c>
      <c r="AK2" s="23">
        <v>0</v>
      </c>
      <c r="AL2" s="28">
        <f>AK2/detalle!$D$2</f>
        <v>0</v>
      </c>
    </row>
    <row r="3" spans="1:38">
      <c r="A3" s="12">
        <v>2</v>
      </c>
      <c r="B3" s="19">
        <v>43892</v>
      </c>
      <c r="C3" s="12"/>
      <c r="D3" s="23">
        <f t="shared" ref="D3:D66" si="4">E3-E2</f>
        <v>0</v>
      </c>
      <c r="E3" s="12">
        <v>1</v>
      </c>
      <c r="F3" s="20">
        <v>0</v>
      </c>
      <c r="G3" s="20">
        <v>0</v>
      </c>
      <c r="H3" s="23">
        <f t="shared" si="0"/>
        <v>1</v>
      </c>
      <c r="I3" s="23">
        <v>0</v>
      </c>
      <c r="J3" s="12">
        <v>0</v>
      </c>
      <c r="K3" s="12" t="s">
        <v>15</v>
      </c>
      <c r="L3" s="9">
        <f t="shared" ref="L3:L66" si="5">G3-G2</f>
        <v>0</v>
      </c>
      <c r="M3" s="14">
        <f t="shared" si="1"/>
        <v>0</v>
      </c>
      <c r="N3" s="14">
        <v>0</v>
      </c>
      <c r="O3" s="12">
        <v>0</v>
      </c>
      <c r="P3" s="12">
        <v>0</v>
      </c>
      <c r="Q3" s="12">
        <v>0</v>
      </c>
      <c r="R3" s="23">
        <f t="shared" si="2"/>
        <v>0</v>
      </c>
      <c r="S3" s="25">
        <f>(((H3+R3)/(H2+R2))-1)+detalle!$D$1</f>
        <v>7.1428571428571425E-2</v>
      </c>
      <c r="T3" s="25">
        <f t="shared" ref="T3:T66" si="6">S3*14</f>
        <v>1</v>
      </c>
      <c r="U3" s="10">
        <f t="shared" si="3"/>
        <v>0</v>
      </c>
      <c r="V3" s="21">
        <v>0</v>
      </c>
      <c r="W3" s="15">
        <f>J3/detalle!$D$2</f>
        <v>0</v>
      </c>
      <c r="X3" s="15">
        <f>E3/detalle!$D$2</f>
        <v>9.1236555495227925E-2</v>
      </c>
      <c r="Y3" s="9" t="s">
        <v>15</v>
      </c>
      <c r="Z3" s="20">
        <v>11.11</v>
      </c>
      <c r="AA3" s="14">
        <f>E3/(detalle!$D$2*1000000)</f>
        <v>9.1236555495227923E-8</v>
      </c>
      <c r="AB3" s="14">
        <f>F3/(detalle!$D$2*1000000)</f>
        <v>0</v>
      </c>
      <c r="AC3" s="11">
        <v>0</v>
      </c>
      <c r="AD3" s="20">
        <v>0</v>
      </c>
      <c r="AE3" s="20">
        <v>0</v>
      </c>
      <c r="AF3" s="22">
        <f t="shared" ref="AF3:AF66" si="7">F3-F2</f>
        <v>0</v>
      </c>
      <c r="AG3" s="12">
        <v>0</v>
      </c>
      <c r="AH3" s="12">
        <v>0</v>
      </c>
      <c r="AI3" s="20">
        <v>0</v>
      </c>
      <c r="AJ3" s="23">
        <f t="shared" ref="AJ3:AJ66" si="8">AK3-AK2</f>
        <v>0</v>
      </c>
      <c r="AK3" s="23">
        <v>0</v>
      </c>
      <c r="AL3" s="28">
        <f>AK3/detalle!$D$2</f>
        <v>0</v>
      </c>
    </row>
    <row r="4" spans="1:38">
      <c r="A4" s="12">
        <v>3</v>
      </c>
      <c r="B4" s="19">
        <v>43893</v>
      </c>
      <c r="C4" s="12"/>
      <c r="D4" s="23">
        <f t="shared" si="4"/>
        <v>0</v>
      </c>
      <c r="E4" s="12">
        <v>1</v>
      </c>
      <c r="F4" s="20">
        <v>0</v>
      </c>
      <c r="G4" s="20">
        <v>0</v>
      </c>
      <c r="H4" s="23">
        <f t="shared" si="0"/>
        <v>1</v>
      </c>
      <c r="I4" s="23">
        <v>0</v>
      </c>
      <c r="J4" s="12">
        <v>0</v>
      </c>
      <c r="K4" s="12" t="s">
        <v>15</v>
      </c>
      <c r="L4" s="9">
        <f t="shared" si="5"/>
        <v>0</v>
      </c>
      <c r="M4" s="14">
        <f t="shared" si="1"/>
        <v>0</v>
      </c>
      <c r="N4" s="14">
        <v>0</v>
      </c>
      <c r="O4" s="12">
        <v>0</v>
      </c>
      <c r="P4" s="12">
        <v>0</v>
      </c>
      <c r="Q4" s="12">
        <v>0</v>
      </c>
      <c r="R4" s="23">
        <f t="shared" si="2"/>
        <v>0</v>
      </c>
      <c r="S4" s="25">
        <f>(((H4+R4)/(H3+R3))-1)+detalle!$D$1</f>
        <v>7.1428571428571425E-2</v>
      </c>
      <c r="T4" s="25">
        <f t="shared" si="6"/>
        <v>1</v>
      </c>
      <c r="U4" s="10">
        <f t="shared" si="3"/>
        <v>0</v>
      </c>
      <c r="V4" s="21">
        <v>0</v>
      </c>
      <c r="W4" s="15">
        <f>J4/detalle!$D$2</f>
        <v>0</v>
      </c>
      <c r="X4" s="15">
        <f>E4/detalle!$D$2</f>
        <v>9.1236555495227925E-2</v>
      </c>
      <c r="Y4" s="9" t="s">
        <v>15</v>
      </c>
      <c r="Z4" s="20">
        <v>11.11</v>
      </c>
      <c r="AA4" s="14">
        <f>E4/(detalle!$D$2*1000000)</f>
        <v>9.1236555495227923E-8</v>
      </c>
      <c r="AB4" s="14">
        <f>F4/(detalle!$D$2*1000000)</f>
        <v>0</v>
      </c>
      <c r="AC4" s="11">
        <v>0</v>
      </c>
      <c r="AD4" s="20">
        <v>0</v>
      </c>
      <c r="AE4" s="20">
        <v>0</v>
      </c>
      <c r="AF4" s="22">
        <f t="shared" si="7"/>
        <v>0</v>
      </c>
      <c r="AG4" s="12">
        <v>0</v>
      </c>
      <c r="AH4" s="12">
        <v>0</v>
      </c>
      <c r="AI4" s="20">
        <v>0</v>
      </c>
      <c r="AJ4" s="23">
        <f t="shared" si="8"/>
        <v>0</v>
      </c>
      <c r="AK4" s="23">
        <v>0</v>
      </c>
      <c r="AL4" s="28">
        <f>AK4/detalle!$D$2</f>
        <v>0</v>
      </c>
    </row>
    <row r="5" spans="1:38">
      <c r="A5" s="12">
        <v>4</v>
      </c>
      <c r="B5" s="19">
        <v>43894</v>
      </c>
      <c r="C5" s="12"/>
      <c r="D5" s="23">
        <f t="shared" si="4"/>
        <v>0</v>
      </c>
      <c r="E5" s="12">
        <v>1</v>
      </c>
      <c r="F5" s="20">
        <v>0</v>
      </c>
      <c r="G5" s="20">
        <v>0</v>
      </c>
      <c r="H5" s="23">
        <f t="shared" si="0"/>
        <v>1</v>
      </c>
      <c r="I5" s="23">
        <v>0</v>
      </c>
      <c r="J5" s="12">
        <v>0</v>
      </c>
      <c r="K5" s="12" t="s">
        <v>15</v>
      </c>
      <c r="L5" s="9">
        <f t="shared" si="5"/>
        <v>0</v>
      </c>
      <c r="M5" s="14">
        <f t="shared" si="1"/>
        <v>0</v>
      </c>
      <c r="N5" s="14">
        <v>0</v>
      </c>
      <c r="O5" s="12">
        <v>0</v>
      </c>
      <c r="P5" s="12">
        <v>0</v>
      </c>
      <c r="Q5" s="12">
        <v>0</v>
      </c>
      <c r="R5" s="23">
        <f t="shared" si="2"/>
        <v>0</v>
      </c>
      <c r="S5" s="25">
        <f>(((H5+R5)/(H4+R4))-1)+detalle!$D$1</f>
        <v>7.1428571428571425E-2</v>
      </c>
      <c r="T5" s="25">
        <f t="shared" si="6"/>
        <v>1</v>
      </c>
      <c r="U5" s="10">
        <f t="shared" si="3"/>
        <v>0</v>
      </c>
      <c r="V5" s="21">
        <v>0</v>
      </c>
      <c r="W5" s="15">
        <f>J5/detalle!$D$2</f>
        <v>0</v>
      </c>
      <c r="X5" s="15">
        <f>E5/detalle!$D$2</f>
        <v>9.1236555495227925E-2</v>
      </c>
      <c r="Y5" s="9" t="s">
        <v>15</v>
      </c>
      <c r="Z5" s="20">
        <v>11.11</v>
      </c>
      <c r="AA5" s="14">
        <f>E5/(detalle!$D$2*1000000)</f>
        <v>9.1236555495227923E-8</v>
      </c>
      <c r="AB5" s="14">
        <f>F5/(detalle!$D$2*1000000)</f>
        <v>0</v>
      </c>
      <c r="AC5" s="11">
        <v>0</v>
      </c>
      <c r="AD5" s="20">
        <v>0</v>
      </c>
      <c r="AE5" s="20">
        <v>0</v>
      </c>
      <c r="AF5" s="22">
        <f t="shared" si="7"/>
        <v>0</v>
      </c>
      <c r="AG5" s="12">
        <v>0</v>
      </c>
      <c r="AH5" s="12">
        <v>0</v>
      </c>
      <c r="AI5" s="20">
        <v>0</v>
      </c>
      <c r="AJ5" s="23">
        <f t="shared" si="8"/>
        <v>0</v>
      </c>
      <c r="AK5" s="23">
        <v>0</v>
      </c>
      <c r="AL5" s="28">
        <f>AK5/detalle!$D$2</f>
        <v>0</v>
      </c>
    </row>
    <row r="6" spans="1:38">
      <c r="A6" s="12">
        <v>5</v>
      </c>
      <c r="B6" s="19">
        <v>43895</v>
      </c>
      <c r="C6" s="12"/>
      <c r="D6" s="23">
        <f t="shared" si="4"/>
        <v>1</v>
      </c>
      <c r="E6" s="12">
        <v>2</v>
      </c>
      <c r="F6" s="20">
        <v>0</v>
      </c>
      <c r="G6" s="20">
        <v>0</v>
      </c>
      <c r="H6" s="23">
        <f t="shared" si="0"/>
        <v>2</v>
      </c>
      <c r="I6" s="23">
        <v>0</v>
      </c>
      <c r="J6" s="12">
        <v>0</v>
      </c>
      <c r="K6" s="12" t="s">
        <v>15</v>
      </c>
      <c r="L6" s="9">
        <f t="shared" si="5"/>
        <v>0</v>
      </c>
      <c r="M6" s="14">
        <f t="shared" si="1"/>
        <v>0</v>
      </c>
      <c r="N6" s="14">
        <v>0</v>
      </c>
      <c r="O6" s="12">
        <v>0</v>
      </c>
      <c r="P6" s="12">
        <v>0</v>
      </c>
      <c r="Q6" s="12">
        <v>0</v>
      </c>
      <c r="R6" s="23">
        <f t="shared" si="2"/>
        <v>0</v>
      </c>
      <c r="S6" s="25">
        <f>(((H6+R6)/(H5+R5))-1)+detalle!$D$1</f>
        <v>1.0714285714285714</v>
      </c>
      <c r="T6" s="25">
        <f t="shared" si="6"/>
        <v>15</v>
      </c>
      <c r="U6" s="10">
        <f t="shared" si="3"/>
        <v>0</v>
      </c>
      <c r="V6" s="21">
        <v>0</v>
      </c>
      <c r="W6" s="15">
        <f>J6/detalle!$D$2</f>
        <v>0</v>
      </c>
      <c r="X6" s="15">
        <f>E6/detalle!$D$2</f>
        <v>0.18247311099045585</v>
      </c>
      <c r="Y6" s="9" t="s">
        <v>15</v>
      </c>
      <c r="Z6" s="20">
        <v>11.11</v>
      </c>
      <c r="AA6" s="14">
        <f>E6/(detalle!$D$2*1000000)</f>
        <v>1.8247311099045585E-7</v>
      </c>
      <c r="AB6" s="14">
        <f>F6/(detalle!$D$2*1000000)</f>
        <v>0</v>
      </c>
      <c r="AC6" s="11">
        <v>0</v>
      </c>
      <c r="AD6" s="20">
        <v>0</v>
      </c>
      <c r="AE6" s="20">
        <v>0</v>
      </c>
      <c r="AF6" s="22">
        <f t="shared" si="7"/>
        <v>0</v>
      </c>
      <c r="AG6" s="12">
        <v>0</v>
      </c>
      <c r="AH6" s="12">
        <v>0</v>
      </c>
      <c r="AI6" s="20">
        <v>0</v>
      </c>
      <c r="AJ6" s="23">
        <f t="shared" si="8"/>
        <v>0</v>
      </c>
      <c r="AK6" s="23">
        <v>0</v>
      </c>
      <c r="AL6" s="28">
        <f>AK6/detalle!$D$2</f>
        <v>0</v>
      </c>
    </row>
    <row r="7" spans="1:38">
      <c r="A7" s="12">
        <v>6</v>
      </c>
      <c r="B7" s="19">
        <v>43896</v>
      </c>
      <c r="C7" s="12"/>
      <c r="D7" s="23">
        <f t="shared" si="4"/>
        <v>0</v>
      </c>
      <c r="E7" s="12">
        <v>2</v>
      </c>
      <c r="F7" s="20">
        <v>0</v>
      </c>
      <c r="G7" s="20">
        <v>0</v>
      </c>
      <c r="H7" s="23">
        <f t="shared" si="0"/>
        <v>2</v>
      </c>
      <c r="I7" s="23">
        <v>0</v>
      </c>
      <c r="J7" s="12">
        <v>0</v>
      </c>
      <c r="K7" s="12" t="s">
        <v>15</v>
      </c>
      <c r="L7" s="9">
        <f t="shared" si="5"/>
        <v>0</v>
      </c>
      <c r="M7" s="14">
        <f t="shared" si="1"/>
        <v>0</v>
      </c>
      <c r="N7" s="14">
        <v>0</v>
      </c>
      <c r="O7" s="12">
        <v>0</v>
      </c>
      <c r="P7" s="12">
        <v>0</v>
      </c>
      <c r="Q7" s="12">
        <v>0</v>
      </c>
      <c r="R7" s="23">
        <f t="shared" si="2"/>
        <v>0</v>
      </c>
      <c r="S7" s="25">
        <f>(((H7+R7)/(H6+R6))-1)+detalle!$D$1</f>
        <v>7.1428571428571425E-2</v>
      </c>
      <c r="T7" s="25">
        <f t="shared" si="6"/>
        <v>1</v>
      </c>
      <c r="U7" s="10">
        <f t="shared" si="3"/>
        <v>0</v>
      </c>
      <c r="V7" s="21">
        <v>0</v>
      </c>
      <c r="W7" s="15">
        <f>J7/detalle!$D$2</f>
        <v>0</v>
      </c>
      <c r="X7" s="15">
        <f>E7/detalle!$D$2</f>
        <v>0.18247311099045585</v>
      </c>
      <c r="Y7" s="9" t="s">
        <v>15</v>
      </c>
      <c r="Z7" s="20">
        <v>11.11</v>
      </c>
      <c r="AA7" s="14">
        <f>E7/(detalle!$D$2*1000000)</f>
        <v>1.8247311099045585E-7</v>
      </c>
      <c r="AB7" s="14">
        <f>F7/(detalle!$D$2*1000000)</f>
        <v>0</v>
      </c>
      <c r="AC7" s="11">
        <v>0</v>
      </c>
      <c r="AD7" s="20">
        <v>0</v>
      </c>
      <c r="AE7" s="20">
        <v>0</v>
      </c>
      <c r="AF7" s="22">
        <f t="shared" si="7"/>
        <v>0</v>
      </c>
      <c r="AG7" s="12">
        <v>0</v>
      </c>
      <c r="AH7" s="12">
        <v>0</v>
      </c>
      <c r="AI7" s="20">
        <v>0</v>
      </c>
      <c r="AJ7" s="23">
        <f t="shared" si="8"/>
        <v>0</v>
      </c>
      <c r="AK7" s="23">
        <v>0</v>
      </c>
      <c r="AL7" s="28">
        <f>AK7/detalle!$D$2</f>
        <v>0</v>
      </c>
    </row>
    <row r="8" spans="1:38">
      <c r="A8" s="12">
        <v>7</v>
      </c>
      <c r="B8" s="19">
        <v>43897</v>
      </c>
      <c r="C8" s="12"/>
      <c r="D8" s="23">
        <f t="shared" si="4"/>
        <v>3</v>
      </c>
      <c r="E8" s="12">
        <v>5</v>
      </c>
      <c r="F8" s="20">
        <v>0</v>
      </c>
      <c r="G8" s="20">
        <v>0</v>
      </c>
      <c r="H8" s="23">
        <f t="shared" si="0"/>
        <v>5</v>
      </c>
      <c r="I8" s="23">
        <v>0</v>
      </c>
      <c r="J8" s="12">
        <v>0</v>
      </c>
      <c r="K8" s="12" t="s">
        <v>15</v>
      </c>
      <c r="L8" s="9">
        <f t="shared" si="5"/>
        <v>0</v>
      </c>
      <c r="M8" s="14">
        <f t="shared" si="1"/>
        <v>0</v>
      </c>
      <c r="N8" s="14">
        <v>0</v>
      </c>
      <c r="O8" s="12">
        <v>0</v>
      </c>
      <c r="P8" s="12">
        <v>0</v>
      </c>
      <c r="Q8" s="12">
        <v>0</v>
      </c>
      <c r="R8" s="23">
        <f t="shared" si="2"/>
        <v>0</v>
      </c>
      <c r="S8" s="25">
        <f>(((H8+R8)/(H7+R7))-1)+detalle!$D$1</f>
        <v>1.5714285714285714</v>
      </c>
      <c r="T8" s="25">
        <f t="shared" si="6"/>
        <v>22</v>
      </c>
      <c r="U8" s="10">
        <f t="shared" si="3"/>
        <v>0</v>
      </c>
      <c r="V8" s="21">
        <v>0</v>
      </c>
      <c r="W8" s="15">
        <f>J8/detalle!$D$2</f>
        <v>0</v>
      </c>
      <c r="X8" s="15">
        <f>E8/detalle!$D$2</f>
        <v>0.45618277747613961</v>
      </c>
      <c r="Y8" s="9" t="s">
        <v>15</v>
      </c>
      <c r="Z8" s="20">
        <v>11.11</v>
      </c>
      <c r="AA8" s="14">
        <f>E8/(detalle!$D$2*1000000)</f>
        <v>4.5618277747613957E-7</v>
      </c>
      <c r="AB8" s="14">
        <f>F8/(detalle!$D$2*1000000)</f>
        <v>0</v>
      </c>
      <c r="AC8" s="11">
        <v>0</v>
      </c>
      <c r="AD8" s="20">
        <v>0</v>
      </c>
      <c r="AE8" s="20">
        <v>0</v>
      </c>
      <c r="AF8" s="22">
        <f t="shared" si="7"/>
        <v>0</v>
      </c>
      <c r="AG8" s="12">
        <v>0</v>
      </c>
      <c r="AH8" s="12">
        <v>0</v>
      </c>
      <c r="AI8" s="20">
        <v>0</v>
      </c>
      <c r="AJ8" s="23">
        <f t="shared" si="8"/>
        <v>0</v>
      </c>
      <c r="AK8" s="23">
        <v>0</v>
      </c>
      <c r="AL8" s="28">
        <f>AK8/detalle!$D$2</f>
        <v>0</v>
      </c>
    </row>
    <row r="9" spans="1:38">
      <c r="A9" s="12">
        <v>8</v>
      </c>
      <c r="B9" s="19">
        <v>43898</v>
      </c>
      <c r="C9" s="12"/>
      <c r="D9" s="23">
        <f t="shared" si="4"/>
        <v>2</v>
      </c>
      <c r="E9" s="12">
        <v>7</v>
      </c>
      <c r="F9" s="20">
        <v>0</v>
      </c>
      <c r="G9" s="20">
        <v>0</v>
      </c>
      <c r="H9" s="23">
        <f t="shared" si="0"/>
        <v>7</v>
      </c>
      <c r="I9" s="23">
        <v>0</v>
      </c>
      <c r="J9" s="12">
        <v>0</v>
      </c>
      <c r="K9" s="12" t="s">
        <v>15</v>
      </c>
      <c r="L9" s="9">
        <f t="shared" si="5"/>
        <v>0</v>
      </c>
      <c r="M9" s="14">
        <f t="shared" si="1"/>
        <v>0</v>
      </c>
      <c r="N9" s="14">
        <v>0</v>
      </c>
      <c r="O9" s="12">
        <v>0</v>
      </c>
      <c r="P9" s="12">
        <v>0</v>
      </c>
      <c r="Q9" s="12">
        <v>0</v>
      </c>
      <c r="R9" s="23">
        <f t="shared" si="2"/>
        <v>0</v>
      </c>
      <c r="S9" s="25">
        <f>(((H9+R9)/(H8+R8))-1)+detalle!$D$1</f>
        <v>0.47142857142857131</v>
      </c>
      <c r="T9" s="25">
        <f t="shared" si="6"/>
        <v>6.5999999999999979</v>
      </c>
      <c r="U9" s="10">
        <f t="shared" si="3"/>
        <v>0</v>
      </c>
      <c r="V9" s="21">
        <v>0</v>
      </c>
      <c r="W9" s="15">
        <f>J9/detalle!$D$2</f>
        <v>0</v>
      </c>
      <c r="X9" s="15">
        <f>E9/detalle!$D$2</f>
        <v>0.63865588846659549</v>
      </c>
      <c r="Y9" s="9" t="s">
        <v>15</v>
      </c>
      <c r="Z9" s="20">
        <v>11.11</v>
      </c>
      <c r="AA9" s="14">
        <f>E9/(detalle!$D$2*1000000)</f>
        <v>6.3865588846659539E-7</v>
      </c>
      <c r="AB9" s="14">
        <f>F9/(detalle!$D$2*1000000)</f>
        <v>0</v>
      </c>
      <c r="AC9" s="11">
        <v>0</v>
      </c>
      <c r="AD9" s="20">
        <v>0</v>
      </c>
      <c r="AE9" s="20">
        <v>0</v>
      </c>
      <c r="AF9" s="22">
        <f t="shared" si="7"/>
        <v>0</v>
      </c>
      <c r="AG9" s="12">
        <v>0</v>
      </c>
      <c r="AH9" s="12">
        <v>0</v>
      </c>
      <c r="AI9" s="20">
        <v>0</v>
      </c>
      <c r="AJ9" s="23">
        <f t="shared" si="8"/>
        <v>0</v>
      </c>
      <c r="AK9" s="23">
        <v>0</v>
      </c>
      <c r="AL9" s="28">
        <f>AK9/detalle!$D$2</f>
        <v>0</v>
      </c>
    </row>
    <row r="10" spans="1:38">
      <c r="A10" s="12">
        <v>9</v>
      </c>
      <c r="B10" s="19">
        <v>43899</v>
      </c>
      <c r="C10" s="12"/>
      <c r="D10" s="23">
        <f t="shared" si="4"/>
        <v>0</v>
      </c>
      <c r="E10" s="12">
        <v>7</v>
      </c>
      <c r="F10" s="20">
        <v>0</v>
      </c>
      <c r="G10" s="20">
        <v>0</v>
      </c>
      <c r="H10" s="23">
        <f t="shared" si="0"/>
        <v>7</v>
      </c>
      <c r="I10" s="23">
        <v>0</v>
      </c>
      <c r="J10" s="12">
        <v>0</v>
      </c>
      <c r="K10" s="12" t="s">
        <v>15</v>
      </c>
      <c r="L10" s="9">
        <f t="shared" si="5"/>
        <v>0</v>
      </c>
      <c r="M10" s="14">
        <f t="shared" si="1"/>
        <v>0</v>
      </c>
      <c r="N10" s="14">
        <v>0</v>
      </c>
      <c r="O10" s="12">
        <v>0</v>
      </c>
      <c r="P10" s="12">
        <v>0</v>
      </c>
      <c r="Q10" s="12">
        <v>0</v>
      </c>
      <c r="R10" s="23">
        <f t="shared" si="2"/>
        <v>0</v>
      </c>
      <c r="S10" s="25">
        <f>(((H10+R10)/(H9+R9))-1)+detalle!$D$1</f>
        <v>7.1428571428571425E-2</v>
      </c>
      <c r="T10" s="25">
        <f t="shared" si="6"/>
        <v>1</v>
      </c>
      <c r="U10" s="10">
        <f t="shared" si="3"/>
        <v>0</v>
      </c>
      <c r="V10" s="21">
        <v>0</v>
      </c>
      <c r="W10" s="15">
        <f>J10/detalle!$D$2</f>
        <v>0</v>
      </c>
      <c r="X10" s="15">
        <f>E10/detalle!$D$2</f>
        <v>0.63865588846659549</v>
      </c>
      <c r="Y10" s="9" t="s">
        <v>15</v>
      </c>
      <c r="Z10" s="20">
        <v>11.11</v>
      </c>
      <c r="AA10" s="14">
        <f>E10/(detalle!$D$2*1000000)</f>
        <v>6.3865588846659539E-7</v>
      </c>
      <c r="AB10" s="14">
        <f>F10/(detalle!$D$2*1000000)</f>
        <v>0</v>
      </c>
      <c r="AC10" s="11">
        <v>0</v>
      </c>
      <c r="AD10" s="20">
        <v>0</v>
      </c>
      <c r="AE10" s="20">
        <v>0</v>
      </c>
      <c r="AF10" s="22">
        <f t="shared" si="7"/>
        <v>0</v>
      </c>
      <c r="AG10" s="12">
        <v>0</v>
      </c>
      <c r="AH10" s="12">
        <v>0</v>
      </c>
      <c r="AI10" s="20">
        <v>0</v>
      </c>
      <c r="AJ10" s="23">
        <f t="shared" si="8"/>
        <v>0</v>
      </c>
      <c r="AK10" s="23">
        <v>0</v>
      </c>
      <c r="AL10" s="28">
        <f>AK10/detalle!$D$2</f>
        <v>0</v>
      </c>
    </row>
    <row r="11" spans="1:38">
      <c r="A11" s="12">
        <v>10</v>
      </c>
      <c r="B11" s="19">
        <v>43900</v>
      </c>
      <c r="C11" s="12"/>
      <c r="D11" s="23">
        <f t="shared" si="4"/>
        <v>0</v>
      </c>
      <c r="E11" s="12">
        <v>7</v>
      </c>
      <c r="F11" s="20">
        <v>0</v>
      </c>
      <c r="G11" s="20">
        <v>0</v>
      </c>
      <c r="H11" s="23">
        <f t="shared" si="0"/>
        <v>7</v>
      </c>
      <c r="I11" s="23">
        <v>0</v>
      </c>
      <c r="J11" s="12">
        <v>0</v>
      </c>
      <c r="K11" s="12" t="s">
        <v>15</v>
      </c>
      <c r="L11" s="9">
        <f t="shared" si="5"/>
        <v>0</v>
      </c>
      <c r="M11" s="14">
        <f t="shared" si="1"/>
        <v>0</v>
      </c>
      <c r="N11" s="14">
        <v>0</v>
      </c>
      <c r="O11" s="12">
        <v>0</v>
      </c>
      <c r="P11" s="12">
        <v>0</v>
      </c>
      <c r="Q11" s="12">
        <v>0</v>
      </c>
      <c r="R11" s="23">
        <f t="shared" si="2"/>
        <v>0</v>
      </c>
      <c r="S11" s="25">
        <f>(((H11+R11)/(H10+R10))-1)+detalle!$D$1</f>
        <v>7.1428571428571425E-2</v>
      </c>
      <c r="T11" s="25">
        <f t="shared" si="6"/>
        <v>1</v>
      </c>
      <c r="U11" s="10">
        <f t="shared" si="3"/>
        <v>0</v>
      </c>
      <c r="V11" s="21">
        <v>0</v>
      </c>
      <c r="W11" s="15">
        <f>J11/detalle!$D$2</f>
        <v>0</v>
      </c>
      <c r="X11" s="15">
        <f>E11/detalle!$D$2</f>
        <v>0.63865588846659549</v>
      </c>
      <c r="Y11" s="9" t="s">
        <v>15</v>
      </c>
      <c r="Z11" s="20">
        <v>11.11</v>
      </c>
      <c r="AA11" s="14">
        <f>E11/(detalle!$D$2*1000000)</f>
        <v>6.3865588846659539E-7</v>
      </c>
      <c r="AB11" s="14">
        <f>F11/(detalle!$D$2*1000000)</f>
        <v>0</v>
      </c>
      <c r="AC11" s="11">
        <v>0</v>
      </c>
      <c r="AD11" s="20">
        <v>0</v>
      </c>
      <c r="AE11" s="20">
        <v>0</v>
      </c>
      <c r="AF11" s="22">
        <f t="shared" si="7"/>
        <v>0</v>
      </c>
      <c r="AG11" s="12">
        <v>0</v>
      </c>
      <c r="AH11" s="12">
        <v>0</v>
      </c>
      <c r="AI11" s="20">
        <v>0</v>
      </c>
      <c r="AJ11" s="23">
        <f t="shared" si="8"/>
        <v>0</v>
      </c>
      <c r="AK11" s="23">
        <v>0</v>
      </c>
      <c r="AL11" s="28">
        <f>AK11/detalle!$D$2</f>
        <v>0</v>
      </c>
    </row>
    <row r="12" spans="1:38">
      <c r="A12" s="12">
        <v>11</v>
      </c>
      <c r="B12" s="19">
        <v>43901</v>
      </c>
      <c r="C12" s="12"/>
      <c r="D12" s="23">
        <f t="shared" si="4"/>
        <v>0</v>
      </c>
      <c r="E12" s="12">
        <v>7</v>
      </c>
      <c r="F12" s="20">
        <v>0</v>
      </c>
      <c r="G12" s="20">
        <v>0</v>
      </c>
      <c r="H12" s="23">
        <f t="shared" si="0"/>
        <v>7</v>
      </c>
      <c r="I12" s="23">
        <v>0</v>
      </c>
      <c r="J12" s="12">
        <v>0</v>
      </c>
      <c r="K12" s="12" t="s">
        <v>15</v>
      </c>
      <c r="L12" s="9">
        <f t="shared" si="5"/>
        <v>0</v>
      </c>
      <c r="M12" s="14">
        <f t="shared" si="1"/>
        <v>0</v>
      </c>
      <c r="N12" s="14">
        <v>0</v>
      </c>
      <c r="O12" s="12">
        <v>0</v>
      </c>
      <c r="P12" s="12">
        <v>0</v>
      </c>
      <c r="Q12" s="12">
        <v>0</v>
      </c>
      <c r="R12" s="23">
        <f t="shared" si="2"/>
        <v>0</v>
      </c>
      <c r="S12" s="25">
        <f>(((H12+R12)/(H11+R11))-1)+detalle!$D$1</f>
        <v>7.1428571428571425E-2</v>
      </c>
      <c r="T12" s="25">
        <f t="shared" si="6"/>
        <v>1</v>
      </c>
      <c r="U12" s="10">
        <f t="shared" si="3"/>
        <v>0</v>
      </c>
      <c r="V12" s="21">
        <v>0</v>
      </c>
      <c r="W12" s="15">
        <f>J12/detalle!$D$2</f>
        <v>0</v>
      </c>
      <c r="X12" s="15">
        <f>E12/detalle!$D$2</f>
        <v>0.63865588846659549</v>
      </c>
      <c r="Y12" s="9" t="s">
        <v>15</v>
      </c>
      <c r="Z12" s="20">
        <v>11.11</v>
      </c>
      <c r="AA12" s="14">
        <f>E12/(detalle!$D$2*1000000)</f>
        <v>6.3865588846659539E-7</v>
      </c>
      <c r="AB12" s="14">
        <f>F12/(detalle!$D$2*1000000)</f>
        <v>0</v>
      </c>
      <c r="AC12" s="11">
        <v>0</v>
      </c>
      <c r="AD12" s="20">
        <v>0</v>
      </c>
      <c r="AE12" s="20">
        <v>0</v>
      </c>
      <c r="AF12" s="22">
        <f t="shared" si="7"/>
        <v>0</v>
      </c>
      <c r="AG12" s="12">
        <v>0</v>
      </c>
      <c r="AH12" s="12">
        <v>0</v>
      </c>
      <c r="AI12" s="20">
        <v>0</v>
      </c>
      <c r="AJ12" s="23">
        <f t="shared" si="8"/>
        <v>0</v>
      </c>
      <c r="AK12" s="23">
        <v>0</v>
      </c>
      <c r="AL12" s="28">
        <f>AK12/detalle!$D$2</f>
        <v>0</v>
      </c>
    </row>
    <row r="13" spans="1:38">
      <c r="A13" s="12">
        <v>12</v>
      </c>
      <c r="B13" s="19">
        <v>43902</v>
      </c>
      <c r="C13" s="12"/>
      <c r="D13" s="23">
        <f t="shared" si="4"/>
        <v>0</v>
      </c>
      <c r="E13" s="12">
        <v>7</v>
      </c>
      <c r="F13" s="20">
        <v>0</v>
      </c>
      <c r="G13" s="20">
        <v>0</v>
      </c>
      <c r="H13" s="23">
        <f t="shared" si="0"/>
        <v>7</v>
      </c>
      <c r="I13" s="23">
        <v>0</v>
      </c>
      <c r="J13" s="12">
        <v>0</v>
      </c>
      <c r="K13" s="12" t="s">
        <v>15</v>
      </c>
      <c r="L13" s="9">
        <f t="shared" si="5"/>
        <v>0</v>
      </c>
      <c r="M13" s="14">
        <f t="shared" si="1"/>
        <v>0</v>
      </c>
      <c r="N13" s="14">
        <v>0</v>
      </c>
      <c r="O13" s="12">
        <v>0</v>
      </c>
      <c r="P13" s="12">
        <v>0</v>
      </c>
      <c r="Q13" s="12">
        <v>0</v>
      </c>
      <c r="R13" s="23">
        <f t="shared" si="2"/>
        <v>0</v>
      </c>
      <c r="S13" s="25">
        <f>(((H13+R13)/(H12+R12))-1)+detalle!$D$1</f>
        <v>7.1428571428571425E-2</v>
      </c>
      <c r="T13" s="25">
        <f t="shared" si="6"/>
        <v>1</v>
      </c>
      <c r="U13" s="10">
        <f t="shared" si="3"/>
        <v>0</v>
      </c>
      <c r="V13" s="21">
        <v>0</v>
      </c>
      <c r="W13" s="15">
        <f>J13/detalle!$D$2</f>
        <v>0</v>
      </c>
      <c r="X13" s="15">
        <f>E13/detalle!$D$2</f>
        <v>0.63865588846659549</v>
      </c>
      <c r="Y13" s="9" t="s">
        <v>15</v>
      </c>
      <c r="Z13" s="20">
        <v>11.11</v>
      </c>
      <c r="AA13" s="14">
        <f>E13/(detalle!$D$2*1000000)</f>
        <v>6.3865588846659539E-7</v>
      </c>
      <c r="AB13" s="14">
        <f>F13/(detalle!$D$2*1000000)</f>
        <v>0</v>
      </c>
      <c r="AC13" s="11">
        <v>0</v>
      </c>
      <c r="AD13" s="20">
        <v>0</v>
      </c>
      <c r="AE13" s="20">
        <v>0</v>
      </c>
      <c r="AF13" s="22">
        <f t="shared" si="7"/>
        <v>0</v>
      </c>
      <c r="AG13" s="12">
        <v>0</v>
      </c>
      <c r="AH13" s="12">
        <v>0</v>
      </c>
      <c r="AI13" s="20">
        <v>0</v>
      </c>
      <c r="AJ13" s="23">
        <f t="shared" si="8"/>
        <v>0</v>
      </c>
      <c r="AK13" s="23">
        <v>0</v>
      </c>
      <c r="AL13" s="28">
        <f>AK13/detalle!$D$2</f>
        <v>0</v>
      </c>
    </row>
    <row r="14" spans="1:38">
      <c r="A14" s="12">
        <v>13</v>
      </c>
      <c r="B14" s="19">
        <v>43903</v>
      </c>
      <c r="C14" s="12"/>
      <c r="D14" s="23">
        <f t="shared" si="4"/>
        <v>4</v>
      </c>
      <c r="E14" s="12">
        <v>11</v>
      </c>
      <c r="F14" s="20">
        <v>0</v>
      </c>
      <c r="G14" s="20">
        <v>0</v>
      </c>
      <c r="H14" s="23">
        <f t="shared" si="0"/>
        <v>11</v>
      </c>
      <c r="I14" s="23">
        <v>0</v>
      </c>
      <c r="J14" s="12">
        <v>0</v>
      </c>
      <c r="K14" s="12" t="s">
        <v>15</v>
      </c>
      <c r="L14" s="9">
        <f t="shared" si="5"/>
        <v>0</v>
      </c>
      <c r="M14" s="14">
        <f t="shared" si="1"/>
        <v>0</v>
      </c>
      <c r="N14" s="14">
        <v>0</v>
      </c>
      <c r="O14" s="12">
        <v>0</v>
      </c>
      <c r="P14" s="12">
        <v>0</v>
      </c>
      <c r="Q14" s="12">
        <v>0</v>
      </c>
      <c r="R14" s="23">
        <f t="shared" si="2"/>
        <v>0</v>
      </c>
      <c r="S14" s="25">
        <f>(((H14+R14)/(H13+R13))-1)+detalle!$D$1</f>
        <v>0.64285714285714279</v>
      </c>
      <c r="T14" s="25">
        <f t="shared" si="6"/>
        <v>9</v>
      </c>
      <c r="U14" s="10">
        <f t="shared" si="3"/>
        <v>0</v>
      </c>
      <c r="V14" s="21">
        <v>0</v>
      </c>
      <c r="W14" s="15">
        <f>J14/detalle!$D$2</f>
        <v>0</v>
      </c>
      <c r="X14" s="15">
        <f>E14/detalle!$D$2</f>
        <v>1.003602110447507</v>
      </c>
      <c r="Y14" s="9" t="s">
        <v>15</v>
      </c>
      <c r="Z14" s="20">
        <v>11.11</v>
      </c>
      <c r="AA14" s="14">
        <f>E14/(detalle!$D$2*1000000)</f>
        <v>1.003602110447507E-6</v>
      </c>
      <c r="AB14" s="14">
        <f>F14/(detalle!$D$2*1000000)</f>
        <v>0</v>
      </c>
      <c r="AC14" s="11">
        <v>0</v>
      </c>
      <c r="AD14" s="20">
        <v>0</v>
      </c>
      <c r="AE14" s="20">
        <v>0</v>
      </c>
      <c r="AF14" s="22">
        <f t="shared" si="7"/>
        <v>0</v>
      </c>
      <c r="AG14" s="12">
        <v>0</v>
      </c>
      <c r="AH14" s="12">
        <v>0</v>
      </c>
      <c r="AI14" s="20">
        <v>0</v>
      </c>
      <c r="AJ14" s="23">
        <f t="shared" si="8"/>
        <v>0</v>
      </c>
      <c r="AK14" s="23">
        <v>0</v>
      </c>
      <c r="AL14" s="28">
        <f>AK14/detalle!$D$2</f>
        <v>0</v>
      </c>
    </row>
    <row r="15" spans="1:38">
      <c r="A15" s="12">
        <v>14</v>
      </c>
      <c r="B15" s="19">
        <v>43904</v>
      </c>
      <c r="C15" s="12"/>
      <c r="D15" s="23">
        <f t="shared" si="4"/>
        <v>0</v>
      </c>
      <c r="E15" s="12">
        <v>11</v>
      </c>
      <c r="F15" s="20">
        <v>0</v>
      </c>
      <c r="G15" s="20">
        <v>0</v>
      </c>
      <c r="H15" s="23">
        <f t="shared" si="0"/>
        <v>11</v>
      </c>
      <c r="I15" s="23">
        <v>0</v>
      </c>
      <c r="J15" s="12">
        <v>0</v>
      </c>
      <c r="K15" s="12" t="s">
        <v>15</v>
      </c>
      <c r="L15" s="9">
        <f t="shared" si="5"/>
        <v>0</v>
      </c>
      <c r="M15" s="14">
        <f t="shared" si="1"/>
        <v>0</v>
      </c>
      <c r="N15" s="14">
        <v>0</v>
      </c>
      <c r="O15" s="12">
        <v>0</v>
      </c>
      <c r="P15" s="12">
        <v>0</v>
      </c>
      <c r="Q15" s="12">
        <v>0</v>
      </c>
      <c r="R15" s="23">
        <f t="shared" si="2"/>
        <v>0</v>
      </c>
      <c r="S15" s="25">
        <f>(((H15+R15)/(H14+R14))-1)+detalle!$D$1</f>
        <v>7.1428571428571425E-2</v>
      </c>
      <c r="T15" s="25">
        <f t="shared" si="6"/>
        <v>1</v>
      </c>
      <c r="U15" s="10">
        <f t="shared" si="3"/>
        <v>0</v>
      </c>
      <c r="V15" s="21">
        <v>0</v>
      </c>
      <c r="W15" s="15">
        <f>J15/detalle!$D$2</f>
        <v>0</v>
      </c>
      <c r="X15" s="15">
        <f>E15/detalle!$D$2</f>
        <v>1.003602110447507</v>
      </c>
      <c r="Y15" s="9" t="s">
        <v>15</v>
      </c>
      <c r="Z15" s="20">
        <v>11.11</v>
      </c>
      <c r="AA15" s="14">
        <f>E15/(detalle!$D$2*1000000)</f>
        <v>1.003602110447507E-6</v>
      </c>
      <c r="AB15" s="14">
        <f>F15/(detalle!$D$2*1000000)</f>
        <v>0</v>
      </c>
      <c r="AC15" s="11">
        <v>0</v>
      </c>
      <c r="AD15" s="20">
        <v>0</v>
      </c>
      <c r="AE15" s="20">
        <v>0</v>
      </c>
      <c r="AF15" s="22">
        <f t="shared" si="7"/>
        <v>0</v>
      </c>
      <c r="AG15" s="12">
        <v>0</v>
      </c>
      <c r="AH15" s="12">
        <v>0</v>
      </c>
      <c r="AI15" s="20">
        <v>0</v>
      </c>
      <c r="AJ15" s="23">
        <f t="shared" si="8"/>
        <v>0</v>
      </c>
      <c r="AK15" s="23">
        <v>0</v>
      </c>
      <c r="AL15" s="28">
        <f>AK15/detalle!$D$2</f>
        <v>0</v>
      </c>
    </row>
    <row r="16" spans="1:38">
      <c r="A16" s="12">
        <v>15</v>
      </c>
      <c r="B16" s="19">
        <v>43905</v>
      </c>
      <c r="C16" s="12"/>
      <c r="D16" s="23">
        <f t="shared" si="4"/>
        <v>10</v>
      </c>
      <c r="E16" s="12">
        <v>21</v>
      </c>
      <c r="F16" s="20">
        <v>0</v>
      </c>
      <c r="G16" s="20">
        <v>0</v>
      </c>
      <c r="H16" s="23">
        <f t="shared" si="0"/>
        <v>21</v>
      </c>
      <c r="I16" s="23">
        <v>0</v>
      </c>
      <c r="J16" s="12">
        <v>0</v>
      </c>
      <c r="K16" s="12" t="s">
        <v>15</v>
      </c>
      <c r="L16" s="9">
        <f t="shared" si="5"/>
        <v>0</v>
      </c>
      <c r="M16" s="14">
        <f t="shared" si="1"/>
        <v>0</v>
      </c>
      <c r="N16" s="14">
        <v>0</v>
      </c>
      <c r="O16" s="12">
        <v>0</v>
      </c>
      <c r="P16" s="12">
        <v>0</v>
      </c>
      <c r="Q16" s="12">
        <v>0</v>
      </c>
      <c r="R16" s="23">
        <f t="shared" si="2"/>
        <v>0</v>
      </c>
      <c r="S16" s="25">
        <f>(((H16+R16)/(H15+R15))-1)+detalle!$D$1</f>
        <v>0.98051948051948057</v>
      </c>
      <c r="T16" s="25">
        <f t="shared" si="6"/>
        <v>13.727272727272728</v>
      </c>
      <c r="U16" s="10">
        <f t="shared" si="3"/>
        <v>0</v>
      </c>
      <c r="V16" s="21">
        <v>0</v>
      </c>
      <c r="W16" s="15">
        <f>J16/detalle!$D$2</f>
        <v>0</v>
      </c>
      <c r="X16" s="15">
        <f>E16/detalle!$D$2</f>
        <v>1.9159676653997864</v>
      </c>
      <c r="Y16" s="9" t="s">
        <v>15</v>
      </c>
      <c r="Z16" s="20">
        <v>11.11</v>
      </c>
      <c r="AA16" s="14">
        <f>E16/(detalle!$D$2*1000000)</f>
        <v>1.9159676653997863E-6</v>
      </c>
      <c r="AB16" s="14">
        <f>F16/(detalle!$D$2*1000000)</f>
        <v>0</v>
      </c>
      <c r="AC16" s="11">
        <v>0</v>
      </c>
      <c r="AD16" s="20">
        <v>0</v>
      </c>
      <c r="AE16" s="20">
        <v>0</v>
      </c>
      <c r="AF16" s="22">
        <f t="shared" si="7"/>
        <v>0</v>
      </c>
      <c r="AG16" s="12">
        <v>0</v>
      </c>
      <c r="AH16" s="12">
        <v>0</v>
      </c>
      <c r="AI16" s="20">
        <v>0</v>
      </c>
      <c r="AJ16" s="23">
        <f t="shared" si="8"/>
        <v>0</v>
      </c>
      <c r="AK16" s="23">
        <v>0</v>
      </c>
      <c r="AL16" s="28">
        <f>AK16/detalle!$D$2</f>
        <v>0</v>
      </c>
    </row>
    <row r="17" spans="1:38">
      <c r="A17" s="12">
        <v>16</v>
      </c>
      <c r="B17" s="19">
        <v>43906</v>
      </c>
      <c r="C17" s="12"/>
      <c r="D17" s="23">
        <f t="shared" si="4"/>
        <v>0</v>
      </c>
      <c r="E17" s="12">
        <v>21</v>
      </c>
      <c r="F17" s="20">
        <v>1</v>
      </c>
      <c r="G17" s="20">
        <v>0</v>
      </c>
      <c r="H17" s="23">
        <f t="shared" si="0"/>
        <v>20</v>
      </c>
      <c r="I17" s="23">
        <v>0</v>
      </c>
      <c r="J17" s="12">
        <v>0</v>
      </c>
      <c r="K17" s="12" t="s">
        <v>15</v>
      </c>
      <c r="L17" s="9">
        <f t="shared" si="5"/>
        <v>0</v>
      </c>
      <c r="M17" s="14">
        <f t="shared" si="1"/>
        <v>4.7619047619047616E-2</v>
      </c>
      <c r="N17" s="14">
        <v>0</v>
      </c>
      <c r="O17" s="12">
        <v>0</v>
      </c>
      <c r="P17" s="12">
        <v>0</v>
      </c>
      <c r="Q17" s="12">
        <v>0</v>
      </c>
      <c r="R17" s="23">
        <f t="shared" si="2"/>
        <v>1</v>
      </c>
      <c r="S17" s="25">
        <f>(((H17+R17)/(H16+R16))-1)+detalle!$D$1</f>
        <v>7.1428571428571425E-2</v>
      </c>
      <c r="T17" s="25">
        <f t="shared" si="6"/>
        <v>1</v>
      </c>
      <c r="U17" s="10">
        <f t="shared" si="3"/>
        <v>0</v>
      </c>
      <c r="V17" s="21">
        <f t="shared" ref="V17:V80" si="9">G17/F17</f>
        <v>0</v>
      </c>
      <c r="W17" s="15">
        <f>J17/detalle!$D$2</f>
        <v>0</v>
      </c>
      <c r="X17" s="15">
        <f>E17/detalle!$D$2</f>
        <v>1.9159676653997864</v>
      </c>
      <c r="Y17" s="22">
        <f>F17/detalle!$D$2</f>
        <v>9.1236555495227925E-2</v>
      </c>
      <c r="Z17" s="20">
        <v>23.15</v>
      </c>
      <c r="AA17" s="14">
        <f>E17/(detalle!$D$2*1000000)</f>
        <v>1.9159676653997863E-6</v>
      </c>
      <c r="AB17" s="14">
        <f>F17/(detalle!$D$2*1000000)</f>
        <v>9.1236555495227923E-8</v>
      </c>
      <c r="AC17" s="11">
        <v>0</v>
      </c>
      <c r="AD17" s="20">
        <v>0</v>
      </c>
      <c r="AE17" s="20">
        <v>0</v>
      </c>
      <c r="AF17" s="22">
        <f t="shared" si="7"/>
        <v>1</v>
      </c>
      <c r="AG17" s="12">
        <v>0</v>
      </c>
      <c r="AH17" s="12">
        <v>0</v>
      </c>
      <c r="AI17" s="20">
        <v>0</v>
      </c>
      <c r="AJ17" s="23">
        <f t="shared" si="8"/>
        <v>0</v>
      </c>
      <c r="AK17" s="23">
        <v>0</v>
      </c>
      <c r="AL17" s="28">
        <f>AK17/detalle!$D$2</f>
        <v>0</v>
      </c>
    </row>
    <row r="18" spans="1:38">
      <c r="A18" s="12">
        <v>17</v>
      </c>
      <c r="B18" s="19">
        <v>43907</v>
      </c>
      <c r="C18" s="12"/>
      <c r="D18" s="23">
        <f t="shared" si="4"/>
        <v>0</v>
      </c>
      <c r="E18" s="12">
        <v>21</v>
      </c>
      <c r="F18" s="20">
        <v>2</v>
      </c>
      <c r="G18" s="20">
        <v>0</v>
      </c>
      <c r="H18" s="23">
        <f t="shared" si="0"/>
        <v>19</v>
      </c>
      <c r="I18" s="23">
        <v>0</v>
      </c>
      <c r="J18" s="12">
        <v>0</v>
      </c>
      <c r="K18" s="12" t="s">
        <v>15</v>
      </c>
      <c r="L18" s="9">
        <f t="shared" si="5"/>
        <v>0</v>
      </c>
      <c r="M18" s="14">
        <f t="shared" si="1"/>
        <v>9.5238095238095233E-2</v>
      </c>
      <c r="N18" s="14">
        <v>0</v>
      </c>
      <c r="O18" s="12">
        <v>0</v>
      </c>
      <c r="P18" s="12">
        <v>0</v>
      </c>
      <c r="Q18" s="12">
        <v>0</v>
      </c>
      <c r="R18" s="23">
        <f t="shared" si="2"/>
        <v>2</v>
      </c>
      <c r="S18" s="25">
        <f>(((H18+R18)/(H17+R17))-1)+detalle!$D$1</f>
        <v>7.1428571428571425E-2</v>
      </c>
      <c r="T18" s="25">
        <f t="shared" si="6"/>
        <v>1</v>
      </c>
      <c r="U18" s="10">
        <f t="shared" si="3"/>
        <v>0</v>
      </c>
      <c r="V18" s="21">
        <f t="shared" si="9"/>
        <v>0</v>
      </c>
      <c r="W18" s="15">
        <f>J18/detalle!$D$2</f>
        <v>0</v>
      </c>
      <c r="X18" s="15">
        <f>E18/detalle!$D$2</f>
        <v>1.9159676653997864</v>
      </c>
      <c r="Y18" s="22">
        <f>F18/detalle!$D$2</f>
        <v>0.18247311099045585</v>
      </c>
      <c r="Z18" s="20">
        <v>26.85</v>
      </c>
      <c r="AA18" s="14">
        <f>E18/(detalle!$D$2*1000000)</f>
        <v>1.9159676653997863E-6</v>
      </c>
      <c r="AB18" s="14">
        <f>F18/(detalle!$D$2*1000000)</f>
        <v>1.8247311099045585E-7</v>
      </c>
      <c r="AC18" s="11">
        <v>0</v>
      </c>
      <c r="AD18" s="20">
        <v>0</v>
      </c>
      <c r="AE18" s="20">
        <v>0</v>
      </c>
      <c r="AF18" s="22">
        <f t="shared" si="7"/>
        <v>1</v>
      </c>
      <c r="AG18" s="12">
        <v>0</v>
      </c>
      <c r="AH18" s="12">
        <v>0</v>
      </c>
      <c r="AI18" s="20">
        <v>0</v>
      </c>
      <c r="AJ18" s="23">
        <f t="shared" si="8"/>
        <v>0</v>
      </c>
      <c r="AK18" s="23">
        <v>0</v>
      </c>
      <c r="AL18" s="28">
        <f>AK18/detalle!$D$2</f>
        <v>0</v>
      </c>
    </row>
    <row r="19" spans="1:38">
      <c r="A19" s="12">
        <v>18</v>
      </c>
      <c r="B19" s="19">
        <v>43908</v>
      </c>
      <c r="C19" s="12">
        <v>1</v>
      </c>
      <c r="D19" s="23">
        <f t="shared" si="4"/>
        <v>13</v>
      </c>
      <c r="E19" s="12">
        <v>34</v>
      </c>
      <c r="F19" s="20">
        <v>2</v>
      </c>
      <c r="G19" s="20">
        <v>0</v>
      </c>
      <c r="H19" s="23">
        <f t="shared" si="0"/>
        <v>32</v>
      </c>
      <c r="I19" s="23">
        <v>0</v>
      </c>
      <c r="J19" s="12">
        <f>E19+K19</f>
        <v>88</v>
      </c>
      <c r="K19" s="12">
        <v>54</v>
      </c>
      <c r="L19" s="9">
        <f t="shared" si="5"/>
        <v>0</v>
      </c>
      <c r="M19" s="14">
        <f t="shared" si="1"/>
        <v>5.8823529411764705E-2</v>
      </c>
      <c r="N19" s="14">
        <v>0</v>
      </c>
      <c r="O19" s="12">
        <v>6</v>
      </c>
      <c r="P19" s="12">
        <v>26</v>
      </c>
      <c r="Q19" s="12">
        <v>0</v>
      </c>
      <c r="R19" s="23">
        <f t="shared" si="2"/>
        <v>2</v>
      </c>
      <c r="S19" s="25">
        <f>(((H19+R19)/(H18+R18))-1)+detalle!$D$1</f>
        <v>0.69047619047619047</v>
      </c>
      <c r="T19" s="25">
        <f t="shared" si="6"/>
        <v>9.6666666666666661</v>
      </c>
      <c r="U19" s="10">
        <f t="shared" si="3"/>
        <v>0</v>
      </c>
      <c r="V19" s="21">
        <f t="shared" si="9"/>
        <v>0</v>
      </c>
      <c r="W19" s="15">
        <f>J19/detalle!$D$2</f>
        <v>8.0288168835800562</v>
      </c>
      <c r="X19" s="15">
        <f>E19/detalle!$D$2</f>
        <v>3.1020428868377494</v>
      </c>
      <c r="Y19" s="22">
        <f>F19/detalle!$D$2</f>
        <v>0.18247311099045585</v>
      </c>
      <c r="Z19" s="20">
        <v>26.85</v>
      </c>
      <c r="AA19" s="14">
        <f>E19/(detalle!$D$2*1000000)</f>
        <v>3.1020428868377491E-6</v>
      </c>
      <c r="AB19" s="14">
        <f>F19/(detalle!$D$2*1000000)</f>
        <v>1.8247311099045585E-7</v>
      </c>
      <c r="AC19" s="11">
        <v>0</v>
      </c>
      <c r="AD19" s="20">
        <v>0</v>
      </c>
      <c r="AE19" s="20">
        <v>0</v>
      </c>
      <c r="AF19" s="22">
        <f t="shared" si="7"/>
        <v>0</v>
      </c>
      <c r="AG19" s="12">
        <v>0</v>
      </c>
      <c r="AH19" s="12">
        <v>0</v>
      </c>
      <c r="AI19" s="20">
        <v>0</v>
      </c>
      <c r="AJ19" s="23">
        <f t="shared" si="8"/>
        <v>0</v>
      </c>
      <c r="AK19" s="23">
        <v>0</v>
      </c>
      <c r="AL19" s="28">
        <f>AK19/detalle!$D$2</f>
        <v>0</v>
      </c>
    </row>
    <row r="20" spans="1:38">
      <c r="A20" s="12">
        <v>19</v>
      </c>
      <c r="B20" s="19">
        <v>43909</v>
      </c>
      <c r="C20" s="20"/>
      <c r="D20" s="23">
        <f t="shared" si="4"/>
        <v>39</v>
      </c>
      <c r="E20" s="30">
        <f>AVERAGE(E19,E21)</f>
        <v>73</v>
      </c>
      <c r="F20" s="30">
        <v>3</v>
      </c>
      <c r="G20" s="30">
        <v>0</v>
      </c>
      <c r="H20" s="23">
        <f t="shared" si="0"/>
        <v>70</v>
      </c>
      <c r="I20" s="23">
        <f t="shared" ref="I20:I51" si="10">J20-J19</f>
        <v>100</v>
      </c>
      <c r="J20" s="12">
        <f>AVERAGE(J19,J21)</f>
        <v>188</v>
      </c>
      <c r="K20" s="12">
        <f>J20-E20</f>
        <v>115</v>
      </c>
      <c r="L20" s="9">
        <f t="shared" si="5"/>
        <v>0</v>
      </c>
      <c r="M20" s="14">
        <f t="shared" si="1"/>
        <v>4.1095890410958902E-2</v>
      </c>
      <c r="N20" s="14">
        <f t="shared" ref="N20:N83" si="11">D20/I20</f>
        <v>0.39</v>
      </c>
      <c r="O20" s="12">
        <f>AVERAGE(O19,O21)</f>
        <v>31.5</v>
      </c>
      <c r="P20" s="12">
        <f>AVERAGE(P19,P21)</f>
        <v>39</v>
      </c>
      <c r="Q20" s="12">
        <v>0</v>
      </c>
      <c r="R20" s="23">
        <f t="shared" si="2"/>
        <v>3</v>
      </c>
      <c r="S20" s="25">
        <f>(((H20+R20)/(H19+R19))-1)+detalle!$D$1</f>
        <v>1.2184873949579831</v>
      </c>
      <c r="T20" s="25">
        <f t="shared" si="6"/>
        <v>17.058823529411764</v>
      </c>
      <c r="U20" s="10">
        <f t="shared" si="3"/>
        <v>0</v>
      </c>
      <c r="V20" s="21">
        <f t="shared" si="9"/>
        <v>0</v>
      </c>
      <c r="W20" s="15">
        <f>J20/detalle!$D$2</f>
        <v>17.152472433102847</v>
      </c>
      <c r="X20" s="15">
        <f>E20/detalle!$D$2</f>
        <v>6.6602685511516384</v>
      </c>
      <c r="Y20" s="22">
        <f>F20/detalle!$D$2</f>
        <v>0.27370966648568373</v>
      </c>
      <c r="Z20" s="20">
        <v>70.37</v>
      </c>
      <c r="AA20" s="14">
        <f>E20/(detalle!$D$2*1000000)</f>
        <v>6.6602685511516379E-6</v>
      </c>
      <c r="AB20" s="14">
        <f>F20/(detalle!$D$2*1000000)</f>
        <v>2.7370966648568376E-7</v>
      </c>
      <c r="AC20" s="11">
        <v>0</v>
      </c>
      <c r="AD20" s="20">
        <v>0</v>
      </c>
      <c r="AE20" s="20">
        <v>0</v>
      </c>
      <c r="AF20" s="22">
        <f t="shared" si="7"/>
        <v>1</v>
      </c>
      <c r="AG20" s="12">
        <v>0</v>
      </c>
      <c r="AH20" s="12">
        <v>0</v>
      </c>
      <c r="AI20" s="20">
        <v>0</v>
      </c>
      <c r="AJ20" s="23">
        <f t="shared" si="8"/>
        <v>0</v>
      </c>
      <c r="AK20" s="23">
        <v>0</v>
      </c>
      <c r="AL20" s="28">
        <f>AK20/detalle!$D$2</f>
        <v>0</v>
      </c>
    </row>
    <row r="21" spans="1:38">
      <c r="A21" s="12">
        <v>20</v>
      </c>
      <c r="B21" s="19">
        <v>43910</v>
      </c>
      <c r="C21" s="12">
        <v>2</v>
      </c>
      <c r="D21" s="23">
        <f t="shared" si="4"/>
        <v>39</v>
      </c>
      <c r="E21" s="12">
        <v>112</v>
      </c>
      <c r="F21" s="12">
        <v>3</v>
      </c>
      <c r="G21" s="12">
        <v>0</v>
      </c>
      <c r="H21" s="23">
        <f t="shared" si="0"/>
        <v>109</v>
      </c>
      <c r="I21" s="23">
        <f t="shared" si="10"/>
        <v>100</v>
      </c>
      <c r="J21" s="12">
        <f t="shared" ref="J21:J47" si="12">E21+K21</f>
        <v>288</v>
      </c>
      <c r="K21" s="12">
        <v>176</v>
      </c>
      <c r="L21" s="9">
        <f t="shared" si="5"/>
        <v>0</v>
      </c>
      <c r="M21" s="14">
        <f t="shared" si="1"/>
        <v>2.6785714285714284E-2</v>
      </c>
      <c r="N21" s="14">
        <f t="shared" si="11"/>
        <v>0.39</v>
      </c>
      <c r="O21" s="12">
        <v>57</v>
      </c>
      <c r="P21" s="12">
        <f t="shared" ref="P21:P56" si="13">H21-O21</f>
        <v>52</v>
      </c>
      <c r="Q21" s="12">
        <v>0</v>
      </c>
      <c r="R21" s="23">
        <f t="shared" si="2"/>
        <v>3</v>
      </c>
      <c r="S21" s="25">
        <f>(((H21+R21)/(H20+R20))-1)+detalle!$D$1</f>
        <v>0.60567514677103707</v>
      </c>
      <c r="T21" s="25">
        <f t="shared" si="6"/>
        <v>8.4794520547945194</v>
      </c>
      <c r="U21" s="10">
        <f t="shared" si="3"/>
        <v>0</v>
      </c>
      <c r="V21" s="21">
        <f t="shared" si="9"/>
        <v>0</v>
      </c>
      <c r="W21" s="15">
        <f>J21/detalle!$D$2</f>
        <v>26.276127982625642</v>
      </c>
      <c r="X21" s="15">
        <f>E21/detalle!$D$2</f>
        <v>10.218494215465528</v>
      </c>
      <c r="Y21" s="22">
        <f>F21/detalle!$D$2</f>
        <v>0.27370966648568373</v>
      </c>
      <c r="Z21" s="20">
        <v>81.48</v>
      </c>
      <c r="AA21" s="14">
        <f>E21/(detalle!$D$2*1000000)</f>
        <v>1.0218494215465526E-5</v>
      </c>
      <c r="AB21" s="14">
        <f>F21/(detalle!$D$2*1000000)</f>
        <v>2.7370966648568376E-7</v>
      </c>
      <c r="AC21" s="11">
        <v>0</v>
      </c>
      <c r="AD21" s="20">
        <v>0</v>
      </c>
      <c r="AE21" s="20">
        <v>0</v>
      </c>
      <c r="AF21" s="22">
        <f t="shared" si="7"/>
        <v>0</v>
      </c>
      <c r="AG21" s="12">
        <v>0</v>
      </c>
      <c r="AH21" s="12">
        <v>0</v>
      </c>
      <c r="AI21" s="20">
        <v>0</v>
      </c>
      <c r="AJ21" s="23">
        <f t="shared" si="8"/>
        <v>0</v>
      </c>
      <c r="AK21" s="23">
        <v>0</v>
      </c>
      <c r="AL21" s="28">
        <f>AK21/detalle!$D$2</f>
        <v>0</v>
      </c>
    </row>
    <row r="22" spans="1:38">
      <c r="A22" s="12">
        <v>21</v>
      </c>
      <c r="B22" s="19">
        <v>43911</v>
      </c>
      <c r="C22" s="12">
        <v>3</v>
      </c>
      <c r="D22" s="23">
        <f t="shared" si="4"/>
        <v>90</v>
      </c>
      <c r="E22" s="12">
        <v>202</v>
      </c>
      <c r="F22" s="12">
        <v>3</v>
      </c>
      <c r="G22" s="12">
        <v>0</v>
      </c>
      <c r="H22" s="23">
        <f t="shared" si="0"/>
        <v>199</v>
      </c>
      <c r="I22" s="23">
        <f t="shared" si="10"/>
        <v>309</v>
      </c>
      <c r="J22" s="12">
        <f t="shared" si="12"/>
        <v>597</v>
      </c>
      <c r="K22" s="12">
        <v>395</v>
      </c>
      <c r="L22" s="9">
        <f t="shared" si="5"/>
        <v>0</v>
      </c>
      <c r="M22" s="14">
        <f t="shared" si="1"/>
        <v>1.4851485148514851E-2</v>
      </c>
      <c r="N22" s="14">
        <f t="shared" si="11"/>
        <v>0.29126213592233008</v>
      </c>
      <c r="O22" s="12">
        <v>143</v>
      </c>
      <c r="P22" s="12">
        <f t="shared" si="13"/>
        <v>56</v>
      </c>
      <c r="Q22" s="12">
        <v>0</v>
      </c>
      <c r="R22" s="23">
        <f t="shared" si="2"/>
        <v>3</v>
      </c>
      <c r="S22" s="25">
        <f>(((H22+R22)/(H21+R21))-1)+detalle!$D$1</f>
        <v>0.875</v>
      </c>
      <c r="T22" s="25">
        <f t="shared" si="6"/>
        <v>12.25</v>
      </c>
      <c r="U22" s="10">
        <f t="shared" si="3"/>
        <v>0</v>
      </c>
      <c r="V22" s="21">
        <f t="shared" si="9"/>
        <v>0</v>
      </c>
      <c r="W22" s="15">
        <f>J22/detalle!$D$2</f>
        <v>54.468223630651067</v>
      </c>
      <c r="X22" s="15">
        <f>E22/detalle!$D$2</f>
        <v>18.42978421003604</v>
      </c>
      <c r="Y22" s="22">
        <f>F22/detalle!$D$2</f>
        <v>0.27370966648568373</v>
      </c>
      <c r="Z22" s="20">
        <v>81.48</v>
      </c>
      <c r="AA22" s="14">
        <f>E22/(detalle!$D$2*1000000)</f>
        <v>1.842978421003604E-5</v>
      </c>
      <c r="AB22" s="14">
        <f>F22/(detalle!$D$2*1000000)</f>
        <v>2.7370966648568376E-7</v>
      </c>
      <c r="AC22" s="11">
        <v>0</v>
      </c>
      <c r="AD22" s="20">
        <v>0</v>
      </c>
      <c r="AE22" s="20">
        <v>0</v>
      </c>
      <c r="AF22" s="22">
        <f t="shared" si="7"/>
        <v>0</v>
      </c>
      <c r="AG22" s="12">
        <v>0</v>
      </c>
      <c r="AH22" s="12">
        <v>0</v>
      </c>
      <c r="AI22" s="20">
        <v>0</v>
      </c>
      <c r="AJ22" s="23">
        <f t="shared" si="8"/>
        <v>0</v>
      </c>
      <c r="AK22" s="23">
        <v>0</v>
      </c>
      <c r="AL22" s="28">
        <f>AK22/detalle!$D$2</f>
        <v>0</v>
      </c>
    </row>
    <row r="23" spans="1:38">
      <c r="A23" s="12">
        <v>22</v>
      </c>
      <c r="B23" s="19">
        <v>43912</v>
      </c>
      <c r="C23" s="12">
        <v>4</v>
      </c>
      <c r="D23" s="23">
        <f t="shared" si="4"/>
        <v>43</v>
      </c>
      <c r="E23" s="12">
        <v>245</v>
      </c>
      <c r="F23" s="12">
        <v>3</v>
      </c>
      <c r="G23" s="12">
        <v>0</v>
      </c>
      <c r="H23" s="23">
        <f t="shared" si="0"/>
        <v>242</v>
      </c>
      <c r="I23" s="23">
        <f t="shared" si="10"/>
        <v>191</v>
      </c>
      <c r="J23" s="12">
        <f t="shared" si="12"/>
        <v>788</v>
      </c>
      <c r="K23" s="12">
        <v>543</v>
      </c>
      <c r="L23" s="9">
        <f t="shared" si="5"/>
        <v>0</v>
      </c>
      <c r="M23" s="14">
        <f t="shared" si="1"/>
        <v>1.2244897959183673E-2</v>
      </c>
      <c r="N23" s="14">
        <f t="shared" si="11"/>
        <v>0.22513089005235601</v>
      </c>
      <c r="O23" s="12">
        <v>183</v>
      </c>
      <c r="P23" s="12">
        <f t="shared" si="13"/>
        <v>59</v>
      </c>
      <c r="Q23" s="12">
        <v>0</v>
      </c>
      <c r="R23" s="23">
        <f t="shared" si="2"/>
        <v>3</v>
      </c>
      <c r="S23" s="25">
        <f>(((H23+R23)/(H22+R22))-1)+detalle!$D$1</f>
        <v>0.28429985855728424</v>
      </c>
      <c r="T23" s="25">
        <f t="shared" si="6"/>
        <v>3.9801980198019793</v>
      </c>
      <c r="U23" s="10">
        <f t="shared" si="3"/>
        <v>0</v>
      </c>
      <c r="V23" s="21">
        <f t="shared" si="9"/>
        <v>0</v>
      </c>
      <c r="W23" s="15">
        <f>J23/detalle!$D$2</f>
        <v>71.894405730239598</v>
      </c>
      <c r="X23" s="15">
        <f>E23/detalle!$D$2</f>
        <v>22.352956096330839</v>
      </c>
      <c r="Y23" s="22">
        <f>F23/detalle!$D$2</f>
        <v>0.27370966648568373</v>
      </c>
      <c r="Z23" s="20">
        <v>81.48</v>
      </c>
      <c r="AA23" s="14">
        <f>E23/(detalle!$D$2*1000000)</f>
        <v>2.2352956096330838E-5</v>
      </c>
      <c r="AB23" s="14">
        <f>F23/(detalle!$D$2*1000000)</f>
        <v>2.7370966648568376E-7</v>
      </c>
      <c r="AC23" s="11">
        <v>0</v>
      </c>
      <c r="AD23" s="20">
        <v>0</v>
      </c>
      <c r="AE23" s="20">
        <v>0</v>
      </c>
      <c r="AF23" s="22">
        <f t="shared" si="7"/>
        <v>0</v>
      </c>
      <c r="AG23" s="12">
        <v>0</v>
      </c>
      <c r="AH23" s="12">
        <v>0</v>
      </c>
      <c r="AI23" s="20">
        <v>0</v>
      </c>
      <c r="AJ23" s="23">
        <f t="shared" si="8"/>
        <v>0</v>
      </c>
      <c r="AK23" s="23">
        <v>0</v>
      </c>
      <c r="AL23" s="28">
        <f>AK23/detalle!$D$2</f>
        <v>0</v>
      </c>
    </row>
    <row r="24" spans="1:38">
      <c r="A24" s="12">
        <v>23</v>
      </c>
      <c r="B24" s="19">
        <v>43913</v>
      </c>
      <c r="C24" s="12">
        <v>5</v>
      </c>
      <c r="D24" s="23">
        <f t="shared" si="4"/>
        <v>67</v>
      </c>
      <c r="E24" s="12">
        <v>312</v>
      </c>
      <c r="F24" s="12">
        <v>6</v>
      </c>
      <c r="G24" s="12">
        <v>2</v>
      </c>
      <c r="H24" s="23">
        <f t="shared" si="0"/>
        <v>304</v>
      </c>
      <c r="I24" s="23">
        <f t="shared" si="10"/>
        <v>185</v>
      </c>
      <c r="J24" s="12">
        <f t="shared" si="12"/>
        <v>973</v>
      </c>
      <c r="K24" s="12">
        <v>661</v>
      </c>
      <c r="L24" s="9">
        <f t="shared" si="5"/>
        <v>2</v>
      </c>
      <c r="M24" s="14">
        <f t="shared" si="1"/>
        <v>1.9230769230769232E-2</v>
      </c>
      <c r="N24" s="14">
        <f t="shared" si="11"/>
        <v>0.36216216216216218</v>
      </c>
      <c r="O24" s="12">
        <v>232</v>
      </c>
      <c r="P24" s="12">
        <f t="shared" si="13"/>
        <v>72</v>
      </c>
      <c r="Q24" s="12">
        <v>0</v>
      </c>
      <c r="R24" s="23">
        <f t="shared" si="2"/>
        <v>8</v>
      </c>
      <c r="S24" s="25">
        <f>(((H24+R24)/(H23+R23))-1)+detalle!$D$1</f>
        <v>0.34489795918367339</v>
      </c>
      <c r="T24" s="25">
        <f t="shared" si="6"/>
        <v>4.8285714285714274</v>
      </c>
      <c r="U24" s="10">
        <f t="shared" si="3"/>
        <v>6.41025641025641E-3</v>
      </c>
      <c r="V24" s="21">
        <f t="shared" si="9"/>
        <v>0.33333333333333331</v>
      </c>
      <c r="W24" s="15">
        <f>J24/detalle!$D$2</f>
        <v>88.773168496856769</v>
      </c>
      <c r="X24" s="15">
        <f>E24/detalle!$D$2</f>
        <v>28.465805314511112</v>
      </c>
      <c r="Y24" s="22">
        <f>F24/detalle!$D$2</f>
        <v>0.54741933297136747</v>
      </c>
      <c r="Z24" s="20">
        <v>81.48</v>
      </c>
      <c r="AA24" s="14">
        <f>E24/(detalle!$D$2*1000000)</f>
        <v>2.8465805314511111E-5</v>
      </c>
      <c r="AB24" s="14">
        <f>F24/(detalle!$D$2*1000000)</f>
        <v>5.4741933297136751E-7</v>
      </c>
      <c r="AC24" s="11">
        <v>0</v>
      </c>
      <c r="AD24" s="20">
        <v>0</v>
      </c>
      <c r="AE24" s="20">
        <v>0</v>
      </c>
      <c r="AF24" s="22">
        <f t="shared" si="7"/>
        <v>3</v>
      </c>
      <c r="AG24" s="12">
        <v>0</v>
      </c>
      <c r="AH24" s="12">
        <v>0</v>
      </c>
      <c r="AI24" s="20">
        <v>0</v>
      </c>
      <c r="AJ24" s="23">
        <f t="shared" si="8"/>
        <v>0</v>
      </c>
      <c r="AK24" s="23">
        <v>0</v>
      </c>
      <c r="AL24" s="28">
        <f>AK24/detalle!$D$2</f>
        <v>0</v>
      </c>
    </row>
    <row r="25" spans="1:38">
      <c r="A25" s="12">
        <v>24</v>
      </c>
      <c r="B25" s="19">
        <v>43914</v>
      </c>
      <c r="C25" s="12">
        <v>6</v>
      </c>
      <c r="D25" s="23">
        <f t="shared" si="4"/>
        <v>80</v>
      </c>
      <c r="E25" s="12">
        <v>392</v>
      </c>
      <c r="F25" s="12">
        <v>10</v>
      </c>
      <c r="G25" s="12">
        <v>2</v>
      </c>
      <c r="H25" s="23">
        <f t="shared" si="0"/>
        <v>380</v>
      </c>
      <c r="I25" s="23">
        <f t="shared" si="10"/>
        <v>134</v>
      </c>
      <c r="J25" s="12">
        <f t="shared" si="12"/>
        <v>1107</v>
      </c>
      <c r="K25" s="12">
        <v>715</v>
      </c>
      <c r="L25" s="9">
        <f t="shared" si="5"/>
        <v>0</v>
      </c>
      <c r="M25" s="14">
        <f t="shared" si="1"/>
        <v>2.5510204081632654E-2</v>
      </c>
      <c r="N25" s="14">
        <f t="shared" si="11"/>
        <v>0.59701492537313428</v>
      </c>
      <c r="O25" s="12">
        <v>273</v>
      </c>
      <c r="P25" s="12">
        <f t="shared" si="13"/>
        <v>107</v>
      </c>
      <c r="Q25" s="12">
        <v>0</v>
      </c>
      <c r="R25" s="23">
        <f t="shared" si="2"/>
        <v>12</v>
      </c>
      <c r="S25" s="25">
        <f>(((H25+R25)/(H24+R24))-1)+detalle!$D$1</f>
        <v>0.32783882783882778</v>
      </c>
      <c r="T25" s="25">
        <f t="shared" si="6"/>
        <v>4.5897435897435894</v>
      </c>
      <c r="U25" s="10">
        <f t="shared" si="3"/>
        <v>5.1020408163265302E-3</v>
      </c>
      <c r="V25" s="21">
        <f t="shared" si="9"/>
        <v>0.2</v>
      </c>
      <c r="W25" s="15">
        <f>J25/detalle!$D$2</f>
        <v>100.99886693321731</v>
      </c>
      <c r="X25" s="15">
        <f>E25/detalle!$D$2</f>
        <v>35.764729754129348</v>
      </c>
      <c r="Y25" s="22">
        <f>F25/detalle!$D$2</f>
        <v>0.91236555495227922</v>
      </c>
      <c r="Z25" s="20">
        <v>89.81</v>
      </c>
      <c r="AA25" s="14">
        <f>E25/(detalle!$D$2*1000000)</f>
        <v>3.5764729754129343E-5</v>
      </c>
      <c r="AB25" s="14">
        <f>F25/(detalle!$D$2*1000000)</f>
        <v>9.1236555495227915E-7</v>
      </c>
      <c r="AC25" s="11">
        <v>0</v>
      </c>
      <c r="AD25" s="20">
        <v>0</v>
      </c>
      <c r="AE25" s="20">
        <v>0</v>
      </c>
      <c r="AF25" s="22">
        <f t="shared" si="7"/>
        <v>4</v>
      </c>
      <c r="AG25" s="12">
        <v>0</v>
      </c>
      <c r="AH25" s="12">
        <v>0</v>
      </c>
      <c r="AI25" s="20">
        <v>0</v>
      </c>
      <c r="AJ25" s="23">
        <f t="shared" si="8"/>
        <v>0</v>
      </c>
      <c r="AK25" s="23">
        <v>0</v>
      </c>
      <c r="AL25" s="28">
        <f>AK25/detalle!$D$2</f>
        <v>0</v>
      </c>
    </row>
    <row r="26" spans="1:38">
      <c r="A26" s="12">
        <v>25</v>
      </c>
      <c r="B26" s="19">
        <v>43915</v>
      </c>
      <c r="C26" s="12">
        <v>7</v>
      </c>
      <c r="D26" s="23">
        <f t="shared" si="4"/>
        <v>96</v>
      </c>
      <c r="E26" s="12">
        <v>488</v>
      </c>
      <c r="F26" s="12">
        <v>10</v>
      </c>
      <c r="G26" s="12">
        <v>3</v>
      </c>
      <c r="H26" s="23">
        <f t="shared" si="0"/>
        <v>475</v>
      </c>
      <c r="I26" s="23">
        <f t="shared" si="10"/>
        <v>341</v>
      </c>
      <c r="J26" s="12">
        <f t="shared" si="12"/>
        <v>1448</v>
      </c>
      <c r="K26" s="12">
        <v>960</v>
      </c>
      <c r="L26" s="9">
        <f t="shared" si="5"/>
        <v>1</v>
      </c>
      <c r="M26" s="14">
        <f t="shared" si="1"/>
        <v>2.0491803278688523E-2</v>
      </c>
      <c r="N26" s="14">
        <f t="shared" si="11"/>
        <v>0.28152492668621704</v>
      </c>
      <c r="O26" s="12">
        <v>367</v>
      </c>
      <c r="P26" s="12">
        <f t="shared" si="13"/>
        <v>108</v>
      </c>
      <c r="Q26" s="12">
        <v>0</v>
      </c>
      <c r="R26" s="23">
        <f t="shared" si="2"/>
        <v>13</v>
      </c>
      <c r="S26" s="25">
        <f>(((H26+R26)/(H25+R25))-1)+detalle!$D$1</f>
        <v>0.31632653061224492</v>
      </c>
      <c r="T26" s="25">
        <f t="shared" si="6"/>
        <v>4.4285714285714288</v>
      </c>
      <c r="U26" s="10">
        <f t="shared" si="3"/>
        <v>6.1475409836065573E-3</v>
      </c>
      <c r="V26" s="21">
        <f t="shared" si="9"/>
        <v>0.3</v>
      </c>
      <c r="W26" s="15">
        <f>J26/detalle!$D$2</f>
        <v>132.11053235709002</v>
      </c>
      <c r="X26" s="15">
        <f>E26/detalle!$D$2</f>
        <v>44.523439081671228</v>
      </c>
      <c r="Y26" s="22">
        <f>F26/detalle!$D$2</f>
        <v>0.91236555495227922</v>
      </c>
      <c r="Z26" s="20">
        <v>89.81</v>
      </c>
      <c r="AA26" s="14">
        <f>E26/(detalle!$D$2*1000000)</f>
        <v>4.4523439081671223E-5</v>
      </c>
      <c r="AB26" s="14">
        <f>F26/(detalle!$D$2*1000000)</f>
        <v>9.1236555495227915E-7</v>
      </c>
      <c r="AC26" s="11">
        <v>0</v>
      </c>
      <c r="AD26" s="20">
        <v>0</v>
      </c>
      <c r="AE26" s="20">
        <v>0</v>
      </c>
      <c r="AF26" s="22">
        <f t="shared" si="7"/>
        <v>0</v>
      </c>
      <c r="AG26" s="12">
        <v>0</v>
      </c>
      <c r="AH26" s="12">
        <v>0</v>
      </c>
      <c r="AI26" s="20">
        <v>0</v>
      </c>
      <c r="AJ26" s="23">
        <f t="shared" si="8"/>
        <v>0</v>
      </c>
      <c r="AK26" s="23">
        <v>0</v>
      </c>
      <c r="AL26" s="28">
        <f>AK26/detalle!$D$2</f>
        <v>0</v>
      </c>
    </row>
    <row r="27" spans="1:38">
      <c r="A27" s="12">
        <v>26</v>
      </c>
      <c r="B27" s="19">
        <v>43916</v>
      </c>
      <c r="C27" s="12">
        <v>8</v>
      </c>
      <c r="D27" s="23">
        <f t="shared" si="4"/>
        <v>93</v>
      </c>
      <c r="E27" s="12">
        <v>581</v>
      </c>
      <c r="F27" s="12">
        <v>20</v>
      </c>
      <c r="G27" s="12">
        <v>3</v>
      </c>
      <c r="H27" s="23">
        <f t="shared" si="0"/>
        <v>558</v>
      </c>
      <c r="I27" s="23">
        <f t="shared" si="10"/>
        <v>282</v>
      </c>
      <c r="J27" s="12">
        <f t="shared" si="12"/>
        <v>1730</v>
      </c>
      <c r="K27" s="12">
        <v>1149</v>
      </c>
      <c r="L27" s="9">
        <f t="shared" si="5"/>
        <v>0</v>
      </c>
      <c r="M27" s="14">
        <f t="shared" si="1"/>
        <v>3.4423407917383818E-2</v>
      </c>
      <c r="N27" s="14">
        <f t="shared" si="11"/>
        <v>0.32978723404255317</v>
      </c>
      <c r="O27" s="12">
        <v>437</v>
      </c>
      <c r="P27" s="12">
        <f t="shared" si="13"/>
        <v>121</v>
      </c>
      <c r="Q27" s="12">
        <v>0</v>
      </c>
      <c r="R27" s="23">
        <f t="shared" si="2"/>
        <v>23</v>
      </c>
      <c r="S27" s="25">
        <f>(((H27+R27)/(H26+R26))-1)+detalle!$D$1</f>
        <v>0.26200234192037475</v>
      </c>
      <c r="T27" s="25">
        <f t="shared" si="6"/>
        <v>3.6680327868852465</v>
      </c>
      <c r="U27" s="10">
        <f t="shared" si="3"/>
        <v>5.1635111876075735E-3</v>
      </c>
      <c r="V27" s="21">
        <f t="shared" si="9"/>
        <v>0.15</v>
      </c>
      <c r="W27" s="15">
        <f>J27/detalle!$D$2</f>
        <v>157.83924100674429</v>
      </c>
      <c r="X27" s="15">
        <f>E27/detalle!$D$2</f>
        <v>53.008438742727421</v>
      </c>
      <c r="Y27" s="22">
        <f>F27/detalle!$D$2</f>
        <v>1.8247311099045584</v>
      </c>
      <c r="Z27" s="20">
        <v>89.81</v>
      </c>
      <c r="AA27" s="14">
        <f>E27/(detalle!$D$2*1000000)</f>
        <v>5.3008438742727422E-5</v>
      </c>
      <c r="AB27" s="14">
        <f>F27/(detalle!$D$2*1000000)</f>
        <v>1.8247311099045583E-6</v>
      </c>
      <c r="AC27" s="11">
        <v>0</v>
      </c>
      <c r="AD27" s="20">
        <v>0</v>
      </c>
      <c r="AE27" s="20">
        <v>0</v>
      </c>
      <c r="AF27" s="22">
        <f t="shared" si="7"/>
        <v>10</v>
      </c>
      <c r="AG27" s="12">
        <v>0</v>
      </c>
      <c r="AH27" s="12">
        <v>0</v>
      </c>
      <c r="AI27" s="20">
        <v>0</v>
      </c>
      <c r="AJ27" s="23">
        <f t="shared" si="8"/>
        <v>0</v>
      </c>
      <c r="AK27" s="23">
        <v>0</v>
      </c>
      <c r="AL27" s="28">
        <f>AK27/detalle!$D$2</f>
        <v>0</v>
      </c>
    </row>
    <row r="28" spans="1:38">
      <c r="A28" s="12">
        <v>27</v>
      </c>
      <c r="B28" s="19">
        <v>43917</v>
      </c>
      <c r="C28" s="12">
        <v>9</v>
      </c>
      <c r="D28" s="23">
        <f t="shared" si="4"/>
        <v>147</v>
      </c>
      <c r="E28" s="12">
        <v>728</v>
      </c>
      <c r="F28" s="12">
        <v>28</v>
      </c>
      <c r="G28" s="12">
        <v>3</v>
      </c>
      <c r="H28" s="23">
        <f t="shared" si="0"/>
        <v>697</v>
      </c>
      <c r="I28" s="23">
        <f t="shared" si="10"/>
        <v>432</v>
      </c>
      <c r="J28" s="12">
        <f t="shared" si="12"/>
        <v>2162</v>
      </c>
      <c r="K28" s="12">
        <v>1434</v>
      </c>
      <c r="L28" s="9">
        <f t="shared" si="5"/>
        <v>0</v>
      </c>
      <c r="M28" s="14">
        <f t="shared" si="1"/>
        <v>3.8461538461538464E-2</v>
      </c>
      <c r="N28" s="14">
        <f t="shared" si="11"/>
        <v>0.34027777777777779</v>
      </c>
      <c r="O28" s="12">
        <v>565</v>
      </c>
      <c r="P28" s="12">
        <f t="shared" si="13"/>
        <v>132</v>
      </c>
      <c r="Q28" s="12">
        <v>0</v>
      </c>
      <c r="R28" s="23">
        <f t="shared" si="2"/>
        <v>31</v>
      </c>
      <c r="S28" s="25">
        <f>(((H28+R28)/(H27+R27))-1)+detalle!$D$1</f>
        <v>0.32444061962134252</v>
      </c>
      <c r="T28" s="25">
        <f t="shared" si="6"/>
        <v>4.5421686746987948</v>
      </c>
      <c r="U28" s="10">
        <f t="shared" si="3"/>
        <v>4.120879120879121E-3</v>
      </c>
      <c r="V28" s="21">
        <f t="shared" si="9"/>
        <v>0.10714285714285714</v>
      </c>
      <c r="W28" s="15">
        <f>J28/detalle!$D$2</f>
        <v>197.25343298068276</v>
      </c>
      <c r="X28" s="15">
        <f>E28/detalle!$D$2</f>
        <v>66.420212400525926</v>
      </c>
      <c r="Y28" s="22">
        <f>F28/detalle!$D$2</f>
        <v>2.554623553866382</v>
      </c>
      <c r="Z28" s="20">
        <v>89.81</v>
      </c>
      <c r="AA28" s="14">
        <f>E28/(detalle!$D$2*1000000)</f>
        <v>6.6420212400525923E-5</v>
      </c>
      <c r="AB28" s="14">
        <f>F28/(detalle!$D$2*1000000)</f>
        <v>2.5546235538663816E-6</v>
      </c>
      <c r="AC28" s="11">
        <v>0</v>
      </c>
      <c r="AD28" s="20">
        <v>0</v>
      </c>
      <c r="AE28" s="20">
        <v>0</v>
      </c>
      <c r="AF28" s="22">
        <f t="shared" si="7"/>
        <v>8</v>
      </c>
      <c r="AG28" s="12">
        <v>0</v>
      </c>
      <c r="AH28" s="12">
        <v>0</v>
      </c>
      <c r="AI28" s="20">
        <v>0</v>
      </c>
      <c r="AJ28" s="23">
        <f t="shared" si="8"/>
        <v>0</v>
      </c>
      <c r="AK28" s="23">
        <v>0</v>
      </c>
      <c r="AL28" s="28">
        <f>AK28/detalle!$D$2</f>
        <v>0</v>
      </c>
    </row>
    <row r="29" spans="1:38">
      <c r="A29" s="12">
        <v>28</v>
      </c>
      <c r="B29" s="19">
        <v>43918</v>
      </c>
      <c r="C29" s="12">
        <v>10</v>
      </c>
      <c r="D29" s="23">
        <f t="shared" si="4"/>
        <v>131</v>
      </c>
      <c r="E29" s="12">
        <v>859</v>
      </c>
      <c r="F29" s="12">
        <v>39</v>
      </c>
      <c r="G29" s="12">
        <v>3</v>
      </c>
      <c r="H29" s="23">
        <f t="shared" si="0"/>
        <v>817</v>
      </c>
      <c r="I29" s="23">
        <f t="shared" si="10"/>
        <v>428</v>
      </c>
      <c r="J29" s="12">
        <f t="shared" si="12"/>
        <v>2590</v>
      </c>
      <c r="K29" s="12">
        <v>1731</v>
      </c>
      <c r="L29" s="9">
        <f t="shared" si="5"/>
        <v>0</v>
      </c>
      <c r="M29" s="14">
        <f t="shared" si="1"/>
        <v>4.5401629802095458E-2</v>
      </c>
      <c r="N29" s="14">
        <f t="shared" si="11"/>
        <v>0.30607476635514019</v>
      </c>
      <c r="O29" s="12">
        <v>686</v>
      </c>
      <c r="P29" s="12">
        <f t="shared" si="13"/>
        <v>131</v>
      </c>
      <c r="Q29" s="12">
        <v>0</v>
      </c>
      <c r="R29" s="23">
        <f t="shared" si="2"/>
        <v>42</v>
      </c>
      <c r="S29" s="25">
        <f>(((H29+R29)/(H28+R28))-1)+detalle!$D$1</f>
        <v>0.25137362637362637</v>
      </c>
      <c r="T29" s="25">
        <f t="shared" si="6"/>
        <v>3.5192307692307692</v>
      </c>
      <c r="U29" s="10">
        <f t="shared" si="3"/>
        <v>3.4924330616996507E-3</v>
      </c>
      <c r="V29" s="21">
        <f t="shared" si="9"/>
        <v>7.6923076923076927E-2</v>
      </c>
      <c r="W29" s="15">
        <f>J29/detalle!$D$2</f>
        <v>236.30267873264032</v>
      </c>
      <c r="X29" s="15">
        <f>E29/detalle!$D$2</f>
        <v>78.372201170400785</v>
      </c>
      <c r="Y29" s="22">
        <f>F29/detalle!$D$2</f>
        <v>3.558225664313889</v>
      </c>
      <c r="Z29" s="20">
        <v>89.81</v>
      </c>
      <c r="AA29" s="14">
        <f>E29/(detalle!$D$2*1000000)</f>
        <v>7.8372201170400787E-5</v>
      </c>
      <c r="AB29" s="14">
        <f>F29/(detalle!$D$2*1000000)</f>
        <v>3.5582256643138888E-6</v>
      </c>
      <c r="AC29" s="11">
        <v>0</v>
      </c>
      <c r="AD29" s="20">
        <v>0</v>
      </c>
      <c r="AE29" s="20">
        <v>0</v>
      </c>
      <c r="AF29" s="22">
        <f t="shared" si="7"/>
        <v>11</v>
      </c>
      <c r="AG29" s="12">
        <v>0</v>
      </c>
      <c r="AH29" s="12">
        <v>0</v>
      </c>
      <c r="AI29" s="20">
        <v>0</v>
      </c>
      <c r="AJ29" s="23">
        <f t="shared" si="8"/>
        <v>0</v>
      </c>
      <c r="AK29" s="23">
        <v>0</v>
      </c>
      <c r="AL29" s="28">
        <f>AK29/detalle!$D$2</f>
        <v>0</v>
      </c>
    </row>
    <row r="30" spans="1:38">
      <c r="A30" s="12">
        <v>29</v>
      </c>
      <c r="B30" s="19">
        <v>43919</v>
      </c>
      <c r="C30" s="12">
        <v>11</v>
      </c>
      <c r="D30" s="23">
        <f t="shared" si="4"/>
        <v>42</v>
      </c>
      <c r="E30" s="12">
        <v>901</v>
      </c>
      <c r="F30" s="12">
        <v>42</v>
      </c>
      <c r="G30" s="12">
        <v>4</v>
      </c>
      <c r="H30" s="23">
        <f t="shared" si="0"/>
        <v>855</v>
      </c>
      <c r="I30" s="23">
        <f t="shared" si="10"/>
        <v>366</v>
      </c>
      <c r="J30" s="12">
        <f t="shared" si="12"/>
        <v>2956</v>
      </c>
      <c r="K30" s="12">
        <v>2055</v>
      </c>
      <c r="L30" s="9">
        <f t="shared" si="5"/>
        <v>1</v>
      </c>
      <c r="M30" s="14">
        <f t="shared" si="1"/>
        <v>4.6614872364039953E-2</v>
      </c>
      <c r="N30" s="14">
        <f t="shared" si="11"/>
        <v>0.11475409836065574</v>
      </c>
      <c r="O30" s="12">
        <v>719</v>
      </c>
      <c r="P30" s="12">
        <f t="shared" si="13"/>
        <v>136</v>
      </c>
      <c r="Q30" s="12">
        <v>0</v>
      </c>
      <c r="R30" s="23">
        <f t="shared" si="2"/>
        <v>46</v>
      </c>
      <c r="S30" s="25">
        <f>(((H30+R30)/(H29+R29))-1)+detalle!$D$1</f>
        <v>0.12032263429236648</v>
      </c>
      <c r="T30" s="25">
        <f t="shared" si="6"/>
        <v>1.6845168800931307</v>
      </c>
      <c r="U30" s="10">
        <f t="shared" si="3"/>
        <v>4.4395116537180911E-3</v>
      </c>
      <c r="V30" s="21">
        <f t="shared" si="9"/>
        <v>9.5238095238095233E-2</v>
      </c>
      <c r="W30" s="15">
        <f>J30/detalle!$D$2</f>
        <v>269.69525804389372</v>
      </c>
      <c r="X30" s="15">
        <f>E30/detalle!$D$2</f>
        <v>82.204136501200352</v>
      </c>
      <c r="Y30" s="22">
        <f>F30/detalle!$D$2</f>
        <v>3.8319353307995727</v>
      </c>
      <c r="Z30" s="20">
        <v>89.81</v>
      </c>
      <c r="AA30" s="14">
        <f>E30/(detalle!$D$2*1000000)</f>
        <v>8.2204136501200359E-5</v>
      </c>
      <c r="AB30" s="14">
        <f>F30/(detalle!$D$2*1000000)</f>
        <v>3.8319353307995726E-6</v>
      </c>
      <c r="AC30" s="11">
        <v>0</v>
      </c>
      <c r="AD30" s="20">
        <v>0</v>
      </c>
      <c r="AE30" s="20">
        <v>0</v>
      </c>
      <c r="AF30" s="22">
        <f t="shared" si="7"/>
        <v>3</v>
      </c>
      <c r="AG30" s="12">
        <v>0</v>
      </c>
      <c r="AH30" s="12">
        <v>0</v>
      </c>
      <c r="AI30" s="20">
        <v>0</v>
      </c>
      <c r="AJ30" s="23">
        <f t="shared" si="8"/>
        <v>0</v>
      </c>
      <c r="AK30" s="23">
        <v>0</v>
      </c>
      <c r="AL30" s="28">
        <f>AK30/detalle!$D$2</f>
        <v>0</v>
      </c>
    </row>
    <row r="31" spans="1:38">
      <c r="A31" s="12">
        <v>30</v>
      </c>
      <c r="B31" s="19">
        <v>43920</v>
      </c>
      <c r="C31" s="12">
        <v>12</v>
      </c>
      <c r="D31" s="23">
        <f t="shared" si="4"/>
        <v>208</v>
      </c>
      <c r="E31" s="12">
        <v>1109</v>
      </c>
      <c r="F31" s="12">
        <v>51</v>
      </c>
      <c r="G31" s="12">
        <v>5</v>
      </c>
      <c r="H31" s="23">
        <f t="shared" si="0"/>
        <v>1053</v>
      </c>
      <c r="I31" s="23">
        <f t="shared" si="10"/>
        <v>299</v>
      </c>
      <c r="J31" s="12">
        <f t="shared" si="12"/>
        <v>3255</v>
      </c>
      <c r="K31" s="12">
        <v>2146</v>
      </c>
      <c r="L31" s="9">
        <f t="shared" si="5"/>
        <v>1</v>
      </c>
      <c r="M31" s="14">
        <f t="shared" si="1"/>
        <v>4.5987376014427414E-2</v>
      </c>
      <c r="N31" s="14">
        <f t="shared" si="11"/>
        <v>0.69565217391304346</v>
      </c>
      <c r="O31" s="12">
        <v>926</v>
      </c>
      <c r="P31" s="12">
        <f t="shared" si="13"/>
        <v>127</v>
      </c>
      <c r="Q31" s="12">
        <v>0</v>
      </c>
      <c r="R31" s="23">
        <f t="shared" si="2"/>
        <v>56</v>
      </c>
      <c r="S31" s="25">
        <f>(((H31+R31)/(H30+R30))-1)+detalle!$D$1</f>
        <v>0.30228317742191213</v>
      </c>
      <c r="T31" s="25">
        <f t="shared" si="6"/>
        <v>4.2319644839067703</v>
      </c>
      <c r="U31" s="10">
        <f t="shared" si="3"/>
        <v>4.508566275924256E-3</v>
      </c>
      <c r="V31" s="21">
        <f t="shared" si="9"/>
        <v>9.8039215686274508E-2</v>
      </c>
      <c r="W31" s="15">
        <f>J31/detalle!$D$2</f>
        <v>296.97498813696689</v>
      </c>
      <c r="X31" s="15">
        <f>E31/detalle!$D$2</f>
        <v>101.18134004420776</v>
      </c>
      <c r="Y31" s="22">
        <f>F31/detalle!$D$2</f>
        <v>4.6530643302566244</v>
      </c>
      <c r="Z31" s="20">
        <v>89.81</v>
      </c>
      <c r="AA31" s="14">
        <f>E31/(detalle!$D$2*1000000)</f>
        <v>1.0118134004420776E-4</v>
      </c>
      <c r="AB31" s="14">
        <f>F31/(detalle!$D$2*1000000)</f>
        <v>4.6530643302566234E-6</v>
      </c>
      <c r="AC31" s="11">
        <v>0</v>
      </c>
      <c r="AD31" s="20">
        <v>0</v>
      </c>
      <c r="AE31" s="20">
        <v>0</v>
      </c>
      <c r="AF31" s="22">
        <f t="shared" si="7"/>
        <v>9</v>
      </c>
      <c r="AG31" s="12">
        <v>0</v>
      </c>
      <c r="AH31" s="12">
        <v>0</v>
      </c>
      <c r="AI31" s="20">
        <v>0</v>
      </c>
      <c r="AJ31" s="23">
        <f t="shared" si="8"/>
        <v>0</v>
      </c>
      <c r="AK31" s="23">
        <v>0</v>
      </c>
      <c r="AL31" s="28">
        <f>AK31/detalle!$D$2</f>
        <v>0</v>
      </c>
    </row>
    <row r="32" spans="1:38">
      <c r="A32" s="12">
        <v>31</v>
      </c>
      <c r="B32" s="19">
        <v>43921</v>
      </c>
      <c r="C32" s="12">
        <v>13</v>
      </c>
      <c r="D32" s="23">
        <f t="shared" si="4"/>
        <v>175</v>
      </c>
      <c r="E32" s="12">
        <v>1284</v>
      </c>
      <c r="F32" s="12">
        <v>57</v>
      </c>
      <c r="G32" s="12">
        <v>9</v>
      </c>
      <c r="H32" s="23">
        <f t="shared" si="0"/>
        <v>1218</v>
      </c>
      <c r="I32" s="23">
        <f t="shared" si="10"/>
        <v>447</v>
      </c>
      <c r="J32" s="12">
        <f t="shared" si="12"/>
        <v>3702</v>
      </c>
      <c r="K32" s="12">
        <v>2418</v>
      </c>
      <c r="L32" s="9">
        <f t="shared" si="5"/>
        <v>4</v>
      </c>
      <c r="M32" s="14">
        <f t="shared" si="1"/>
        <v>4.4392523364485979E-2</v>
      </c>
      <c r="N32" s="14">
        <f t="shared" si="11"/>
        <v>0.39149888143176736</v>
      </c>
      <c r="O32" s="12">
        <v>1071</v>
      </c>
      <c r="P32" s="12">
        <f t="shared" si="13"/>
        <v>147</v>
      </c>
      <c r="Q32" s="12">
        <v>0</v>
      </c>
      <c r="R32" s="23">
        <f t="shared" si="2"/>
        <v>66</v>
      </c>
      <c r="S32" s="25">
        <f>(((H32+R32)/(H31+R31))-1)+detalle!$D$1</f>
        <v>0.22922839108592033</v>
      </c>
      <c r="T32" s="25">
        <f t="shared" si="6"/>
        <v>3.2091974752028847</v>
      </c>
      <c r="U32" s="10">
        <f t="shared" si="3"/>
        <v>7.0093457943925233E-3</v>
      </c>
      <c r="V32" s="21">
        <f t="shared" si="9"/>
        <v>0.15789473684210525</v>
      </c>
      <c r="W32" s="15">
        <f>J32/detalle!$D$2</f>
        <v>337.75772844333375</v>
      </c>
      <c r="X32" s="15">
        <f>E32/detalle!$D$2</f>
        <v>117.14773725587266</v>
      </c>
      <c r="Y32" s="22">
        <f>F32/detalle!$D$2</f>
        <v>5.2004836632279918</v>
      </c>
      <c r="Z32" s="20">
        <v>89.81</v>
      </c>
      <c r="AA32" s="14">
        <f>E32/(detalle!$D$2*1000000)</f>
        <v>1.1714773725587265E-4</v>
      </c>
      <c r="AB32" s="14">
        <f>F32/(detalle!$D$2*1000000)</f>
        <v>5.2004836632279909E-6</v>
      </c>
      <c r="AC32" s="11">
        <v>0</v>
      </c>
      <c r="AD32" s="20">
        <v>0</v>
      </c>
      <c r="AE32" s="20">
        <v>0</v>
      </c>
      <c r="AF32" s="22">
        <f t="shared" si="7"/>
        <v>6</v>
      </c>
      <c r="AG32" s="12">
        <v>0</v>
      </c>
      <c r="AH32" s="12">
        <v>0</v>
      </c>
      <c r="AI32" s="20">
        <v>0</v>
      </c>
      <c r="AJ32" s="23">
        <f t="shared" si="8"/>
        <v>0</v>
      </c>
      <c r="AK32" s="23">
        <v>0</v>
      </c>
      <c r="AL32" s="28">
        <f>AK32/detalle!$D$2</f>
        <v>0</v>
      </c>
    </row>
    <row r="33" spans="1:38">
      <c r="A33" s="12">
        <v>32</v>
      </c>
      <c r="B33" s="19">
        <v>43922</v>
      </c>
      <c r="C33" s="12">
        <v>14</v>
      </c>
      <c r="D33" s="23">
        <f t="shared" si="4"/>
        <v>96</v>
      </c>
      <c r="E33" s="12">
        <v>1380</v>
      </c>
      <c r="F33" s="12">
        <v>60</v>
      </c>
      <c r="G33" s="12">
        <v>16</v>
      </c>
      <c r="H33" s="23">
        <f t="shared" si="0"/>
        <v>1304</v>
      </c>
      <c r="I33" s="23">
        <f t="shared" si="10"/>
        <v>316</v>
      </c>
      <c r="J33" s="12">
        <f t="shared" si="12"/>
        <v>4018</v>
      </c>
      <c r="K33" s="12">
        <v>2638</v>
      </c>
      <c r="L33" s="9">
        <f t="shared" si="5"/>
        <v>7</v>
      </c>
      <c r="M33" s="14">
        <f t="shared" si="1"/>
        <v>4.3478260869565216E-2</v>
      </c>
      <c r="N33" s="14">
        <f t="shared" si="11"/>
        <v>0.30379746835443039</v>
      </c>
      <c r="O33" s="12">
        <v>1125</v>
      </c>
      <c r="P33" s="12">
        <f t="shared" si="13"/>
        <v>179</v>
      </c>
      <c r="Q33" s="12">
        <v>0</v>
      </c>
      <c r="R33" s="23">
        <f t="shared" si="2"/>
        <v>76</v>
      </c>
      <c r="S33" s="25">
        <f>(((H33+R33)/(H32+R32))-1)+detalle!$D$1</f>
        <v>0.14619492656875835</v>
      </c>
      <c r="T33" s="25">
        <f t="shared" si="6"/>
        <v>2.0467289719626169</v>
      </c>
      <c r="U33" s="10">
        <f t="shared" si="3"/>
        <v>1.1594202898550725E-2</v>
      </c>
      <c r="V33" s="21">
        <f t="shared" si="9"/>
        <v>0.26666666666666666</v>
      </c>
      <c r="W33" s="15">
        <f>J33/detalle!$D$2</f>
        <v>366.58847997982576</v>
      </c>
      <c r="X33" s="15">
        <f>E33/detalle!$D$2</f>
        <v>125.90644658341454</v>
      </c>
      <c r="Y33" s="22">
        <f>F33/detalle!$D$2</f>
        <v>5.4741933297136756</v>
      </c>
      <c r="Z33" s="20">
        <v>89.81</v>
      </c>
      <c r="AA33" s="14">
        <f>E33/(detalle!$D$2*1000000)</f>
        <v>1.2590644658341452E-4</v>
      </c>
      <c r="AB33" s="14">
        <f>F33/(detalle!$D$2*1000000)</f>
        <v>5.4741933297136751E-6</v>
      </c>
      <c r="AC33" s="11">
        <v>0</v>
      </c>
      <c r="AD33" s="20">
        <v>0</v>
      </c>
      <c r="AE33" s="20">
        <v>0</v>
      </c>
      <c r="AF33" s="22">
        <f t="shared" si="7"/>
        <v>3</v>
      </c>
      <c r="AG33" s="12">
        <v>0</v>
      </c>
      <c r="AH33" s="12">
        <v>0</v>
      </c>
      <c r="AI33" s="20">
        <v>0</v>
      </c>
      <c r="AJ33" s="23">
        <f t="shared" si="8"/>
        <v>0</v>
      </c>
      <c r="AK33" s="23">
        <v>0</v>
      </c>
      <c r="AL33" s="28">
        <f>AK33/detalle!$D$2</f>
        <v>0</v>
      </c>
    </row>
    <row r="34" spans="1:38">
      <c r="A34" s="12">
        <v>33</v>
      </c>
      <c r="B34" s="19">
        <v>43923</v>
      </c>
      <c r="C34" s="12">
        <v>15</v>
      </c>
      <c r="D34" s="23">
        <f t="shared" si="4"/>
        <v>108</v>
      </c>
      <c r="E34" s="12">
        <v>1488</v>
      </c>
      <c r="F34" s="12">
        <v>68</v>
      </c>
      <c r="G34" s="12">
        <v>16</v>
      </c>
      <c r="H34" s="23">
        <f t="shared" si="0"/>
        <v>1404</v>
      </c>
      <c r="I34" s="23">
        <f t="shared" si="10"/>
        <v>182</v>
      </c>
      <c r="J34" s="12">
        <f t="shared" si="12"/>
        <v>4200</v>
      </c>
      <c r="K34" s="12">
        <v>2712</v>
      </c>
      <c r="L34" s="9">
        <f t="shared" si="5"/>
        <v>0</v>
      </c>
      <c r="M34" s="14">
        <f t="shared" si="1"/>
        <v>4.5698924731182797E-2</v>
      </c>
      <c r="N34" s="14">
        <f t="shared" si="11"/>
        <v>0.59340659340659341</v>
      </c>
      <c r="O34" s="12">
        <v>1206</v>
      </c>
      <c r="P34" s="12">
        <f t="shared" si="13"/>
        <v>198</v>
      </c>
      <c r="Q34" s="12">
        <v>0</v>
      </c>
      <c r="R34" s="23">
        <f t="shared" si="2"/>
        <v>84</v>
      </c>
      <c r="S34" s="25">
        <f>(((H34+R34)/(H33+R33))-1)+detalle!$D$1</f>
        <v>0.14968944099378881</v>
      </c>
      <c r="T34" s="25">
        <f t="shared" si="6"/>
        <v>2.0956521739130434</v>
      </c>
      <c r="U34" s="10">
        <f t="shared" si="3"/>
        <v>1.0752688172043012E-2</v>
      </c>
      <c r="V34" s="21">
        <f t="shared" si="9"/>
        <v>0.23529411764705882</v>
      </c>
      <c r="W34" s="15">
        <f>J34/detalle!$D$2</f>
        <v>383.19353307995726</v>
      </c>
      <c r="X34" s="15">
        <f>E34/detalle!$D$2</f>
        <v>135.75999457689915</v>
      </c>
      <c r="Y34" s="22">
        <f>F34/detalle!$D$2</f>
        <v>6.2040857736754988</v>
      </c>
      <c r="Z34" s="20">
        <v>89.81</v>
      </c>
      <c r="AA34" s="14">
        <f>E34/(detalle!$D$2*1000000)</f>
        <v>1.3575999457689914E-4</v>
      </c>
      <c r="AB34" s="14">
        <f>F34/(detalle!$D$2*1000000)</f>
        <v>6.2040857736754982E-6</v>
      </c>
      <c r="AC34" s="11">
        <v>0</v>
      </c>
      <c r="AD34" s="20">
        <v>0</v>
      </c>
      <c r="AE34" s="20">
        <v>0</v>
      </c>
      <c r="AF34" s="22">
        <f t="shared" si="7"/>
        <v>8</v>
      </c>
      <c r="AG34" s="12">
        <v>0</v>
      </c>
      <c r="AH34" s="12">
        <v>0</v>
      </c>
      <c r="AI34" s="20">
        <v>0</v>
      </c>
      <c r="AJ34" s="23">
        <f t="shared" si="8"/>
        <v>0</v>
      </c>
      <c r="AK34" s="23">
        <v>0</v>
      </c>
      <c r="AL34" s="28">
        <f>AK34/detalle!$D$2</f>
        <v>0</v>
      </c>
    </row>
    <row r="35" spans="1:38">
      <c r="A35" s="12">
        <v>34</v>
      </c>
      <c r="B35" s="19">
        <v>43924</v>
      </c>
      <c r="C35" s="12">
        <v>16</v>
      </c>
      <c r="D35" s="23">
        <f t="shared" si="4"/>
        <v>90</v>
      </c>
      <c r="E35" s="12">
        <v>1578</v>
      </c>
      <c r="F35" s="12">
        <v>77</v>
      </c>
      <c r="G35" s="12">
        <v>17</v>
      </c>
      <c r="H35" s="23">
        <f t="shared" si="0"/>
        <v>1484</v>
      </c>
      <c r="I35" s="23">
        <f t="shared" si="10"/>
        <v>342</v>
      </c>
      <c r="J35" s="12">
        <f t="shared" si="12"/>
        <v>4542</v>
      </c>
      <c r="K35" s="12">
        <v>2964</v>
      </c>
      <c r="L35" s="9">
        <f t="shared" si="5"/>
        <v>1</v>
      </c>
      <c r="M35" s="14">
        <f t="shared" si="1"/>
        <v>4.8795944233206594E-2</v>
      </c>
      <c r="N35" s="14">
        <f t="shared" si="11"/>
        <v>0.26315789473684209</v>
      </c>
      <c r="O35" s="12">
        <v>1291</v>
      </c>
      <c r="P35" s="12">
        <f t="shared" si="13"/>
        <v>193</v>
      </c>
      <c r="Q35" s="12">
        <v>0</v>
      </c>
      <c r="R35" s="23">
        <f t="shared" si="2"/>
        <v>94</v>
      </c>
      <c r="S35" s="25">
        <f>(((H35+R35)/(H34+R34))-1)+detalle!$D$1</f>
        <v>0.13191244239631342</v>
      </c>
      <c r="T35" s="25">
        <f t="shared" si="6"/>
        <v>1.8467741935483879</v>
      </c>
      <c r="U35" s="10">
        <f t="shared" si="3"/>
        <v>1.0773130544993664E-2</v>
      </c>
      <c r="V35" s="21">
        <f t="shared" si="9"/>
        <v>0.22077922077922077</v>
      </c>
      <c r="W35" s="15">
        <f>J35/detalle!$D$2</f>
        <v>414.3964350593252</v>
      </c>
      <c r="X35" s="15">
        <f>E35/detalle!$D$2</f>
        <v>143.97128457146965</v>
      </c>
      <c r="Y35" s="22">
        <f>F35/detalle!$D$2</f>
        <v>7.0252147731325501</v>
      </c>
      <c r="Z35" s="20">
        <v>89.81</v>
      </c>
      <c r="AA35" s="14">
        <f>E35/(detalle!$D$2*1000000)</f>
        <v>1.4397128457146964E-4</v>
      </c>
      <c r="AB35" s="14">
        <f>F35/(detalle!$D$2*1000000)</f>
        <v>7.0252147731325499E-6</v>
      </c>
      <c r="AC35" s="11">
        <v>0</v>
      </c>
      <c r="AD35" s="20">
        <v>0</v>
      </c>
      <c r="AE35" s="20">
        <v>0</v>
      </c>
      <c r="AF35" s="22">
        <f t="shared" si="7"/>
        <v>9</v>
      </c>
      <c r="AG35" s="12">
        <v>0</v>
      </c>
      <c r="AH35" s="12">
        <v>0</v>
      </c>
      <c r="AI35" s="20">
        <v>0</v>
      </c>
      <c r="AJ35" s="23">
        <f t="shared" si="8"/>
        <v>0</v>
      </c>
      <c r="AK35" s="23">
        <v>0</v>
      </c>
      <c r="AL35" s="28">
        <f>AK35/detalle!$D$2</f>
        <v>0</v>
      </c>
    </row>
    <row r="36" spans="1:38">
      <c r="A36" s="12">
        <v>35</v>
      </c>
      <c r="B36" s="19">
        <v>43925</v>
      </c>
      <c r="C36" s="12">
        <v>17</v>
      </c>
      <c r="D36" s="23">
        <f t="shared" si="4"/>
        <v>167</v>
      </c>
      <c r="E36" s="12">
        <v>1745</v>
      </c>
      <c r="F36" s="12">
        <v>82</v>
      </c>
      <c r="G36" s="12">
        <v>17</v>
      </c>
      <c r="H36" s="23">
        <f t="shared" si="0"/>
        <v>1646</v>
      </c>
      <c r="I36" s="23">
        <f t="shared" si="10"/>
        <v>641</v>
      </c>
      <c r="J36" s="12">
        <f t="shared" si="12"/>
        <v>5183</v>
      </c>
      <c r="K36" s="12">
        <v>3438</v>
      </c>
      <c r="L36" s="9">
        <f t="shared" si="5"/>
        <v>0</v>
      </c>
      <c r="M36" s="14">
        <f t="shared" si="1"/>
        <v>4.6991404011461319E-2</v>
      </c>
      <c r="N36" s="14">
        <f t="shared" si="11"/>
        <v>0.26053042121684866</v>
      </c>
      <c r="O36" s="12">
        <v>1426</v>
      </c>
      <c r="P36" s="12">
        <f t="shared" si="13"/>
        <v>220</v>
      </c>
      <c r="Q36" s="12">
        <v>0</v>
      </c>
      <c r="R36" s="23">
        <f t="shared" si="2"/>
        <v>99</v>
      </c>
      <c r="S36" s="25">
        <f>(((H36+R36)/(H35+R35))-1)+detalle!$D$1</f>
        <v>0.1772587361940974</v>
      </c>
      <c r="T36" s="25">
        <f t="shared" si="6"/>
        <v>2.4816223067173637</v>
      </c>
      <c r="U36" s="10">
        <f t="shared" si="3"/>
        <v>9.7421203438395419E-3</v>
      </c>
      <c r="V36" s="21">
        <f t="shared" si="9"/>
        <v>0.2073170731707317</v>
      </c>
      <c r="W36" s="15">
        <f>J36/detalle!$D$2</f>
        <v>472.87906713176631</v>
      </c>
      <c r="X36" s="15">
        <f>E36/detalle!$D$2</f>
        <v>159.20778933917273</v>
      </c>
      <c r="Y36" s="22">
        <f>F36/detalle!$D$2</f>
        <v>7.4813975506086896</v>
      </c>
      <c r="Z36" s="20">
        <v>89.81</v>
      </c>
      <c r="AA36" s="14">
        <f>E36/(detalle!$D$2*1000000)</f>
        <v>1.5920778933917271E-4</v>
      </c>
      <c r="AB36" s="14">
        <f>F36/(detalle!$D$2*1000000)</f>
        <v>7.4813975506086896E-6</v>
      </c>
      <c r="AC36" s="11">
        <v>0</v>
      </c>
      <c r="AD36" s="20">
        <v>0</v>
      </c>
      <c r="AE36" s="20">
        <v>0</v>
      </c>
      <c r="AF36" s="22">
        <f t="shared" si="7"/>
        <v>5</v>
      </c>
      <c r="AG36" s="12">
        <v>0</v>
      </c>
      <c r="AH36" s="12">
        <v>0</v>
      </c>
      <c r="AI36" s="20">
        <v>0</v>
      </c>
      <c r="AJ36" s="23">
        <f t="shared" si="8"/>
        <v>0</v>
      </c>
      <c r="AK36" s="23">
        <v>0</v>
      </c>
      <c r="AL36" s="28">
        <f>AK36/detalle!$D$2</f>
        <v>0</v>
      </c>
    </row>
    <row r="37" spans="1:38">
      <c r="A37" s="12">
        <v>36</v>
      </c>
      <c r="B37" s="19">
        <v>43926</v>
      </c>
      <c r="C37" s="12">
        <v>18</v>
      </c>
      <c r="D37" s="23">
        <f t="shared" si="4"/>
        <v>83</v>
      </c>
      <c r="E37" s="12">
        <v>1828</v>
      </c>
      <c r="F37" s="12">
        <v>86</v>
      </c>
      <c r="G37" s="12">
        <v>33</v>
      </c>
      <c r="H37" s="23">
        <f t="shared" si="0"/>
        <v>1709</v>
      </c>
      <c r="I37" s="23">
        <f t="shared" si="10"/>
        <v>306</v>
      </c>
      <c r="J37" s="12">
        <f t="shared" si="12"/>
        <v>5489</v>
      </c>
      <c r="K37" s="12">
        <v>3661</v>
      </c>
      <c r="L37" s="9">
        <f t="shared" si="5"/>
        <v>16</v>
      </c>
      <c r="M37" s="14">
        <f t="shared" si="1"/>
        <v>4.7045951859956234E-2</v>
      </c>
      <c r="N37" s="14">
        <f t="shared" si="11"/>
        <v>0.27124183006535946</v>
      </c>
      <c r="O37" s="12">
        <v>1481</v>
      </c>
      <c r="P37" s="12">
        <f t="shared" si="13"/>
        <v>228</v>
      </c>
      <c r="Q37" s="12">
        <v>0</v>
      </c>
      <c r="R37" s="23">
        <f t="shared" si="2"/>
        <v>119</v>
      </c>
      <c r="S37" s="25">
        <f>(((H37+R37)/(H36+R36))-1)+detalle!$D$1</f>
        <v>0.11899304134261149</v>
      </c>
      <c r="T37" s="25">
        <f t="shared" si="6"/>
        <v>1.6659025787965609</v>
      </c>
      <c r="U37" s="10">
        <f t="shared" si="3"/>
        <v>1.8052516411378557E-2</v>
      </c>
      <c r="V37" s="21">
        <f t="shared" si="9"/>
        <v>0.38372093023255816</v>
      </c>
      <c r="W37" s="15">
        <f>J37/detalle!$D$2</f>
        <v>500.79745311330606</v>
      </c>
      <c r="X37" s="15">
        <f>E37/detalle!$D$2</f>
        <v>166.78042344527663</v>
      </c>
      <c r="Y37" s="22">
        <f>F37/detalle!$D$2</f>
        <v>7.8463437725896013</v>
      </c>
      <c r="Z37" s="20">
        <v>89.81</v>
      </c>
      <c r="AA37" s="14">
        <f>E37/(detalle!$D$2*1000000)</f>
        <v>1.6678042344527664E-4</v>
      </c>
      <c r="AB37" s="14">
        <f>F37/(detalle!$D$2*1000000)</f>
        <v>7.8463437725896007E-6</v>
      </c>
      <c r="AC37" s="11">
        <v>0</v>
      </c>
      <c r="AD37" s="20">
        <v>0</v>
      </c>
      <c r="AE37" s="20">
        <v>0</v>
      </c>
      <c r="AF37" s="22">
        <f t="shared" si="7"/>
        <v>4</v>
      </c>
      <c r="AG37" s="12">
        <v>0</v>
      </c>
      <c r="AH37" s="12">
        <v>0</v>
      </c>
      <c r="AI37" s="20">
        <v>0</v>
      </c>
      <c r="AJ37" s="23">
        <f t="shared" si="8"/>
        <v>0</v>
      </c>
      <c r="AK37" s="23">
        <v>0</v>
      </c>
      <c r="AL37" s="28">
        <f>AK37/detalle!$D$2</f>
        <v>0</v>
      </c>
    </row>
    <row r="38" spans="1:38">
      <c r="A38" s="12">
        <v>37</v>
      </c>
      <c r="B38" s="19">
        <v>43927</v>
      </c>
      <c r="C38" s="12">
        <v>19</v>
      </c>
      <c r="D38" s="23">
        <f t="shared" si="4"/>
        <v>128</v>
      </c>
      <c r="E38" s="12">
        <v>1956</v>
      </c>
      <c r="F38" s="12">
        <v>98</v>
      </c>
      <c r="G38" s="12">
        <v>36</v>
      </c>
      <c r="H38" s="23">
        <f t="shared" si="0"/>
        <v>1822</v>
      </c>
      <c r="I38" s="23">
        <f t="shared" si="10"/>
        <v>331</v>
      </c>
      <c r="J38" s="12">
        <f t="shared" si="12"/>
        <v>5820</v>
      </c>
      <c r="K38" s="12">
        <v>3864</v>
      </c>
      <c r="L38" s="9">
        <f t="shared" si="5"/>
        <v>3</v>
      </c>
      <c r="M38" s="14">
        <f t="shared" si="1"/>
        <v>5.0102249488752554E-2</v>
      </c>
      <c r="N38" s="14">
        <f t="shared" si="11"/>
        <v>0.38670694864048338</v>
      </c>
      <c r="O38" s="12">
        <v>1581</v>
      </c>
      <c r="P38" s="12">
        <f t="shared" si="13"/>
        <v>241</v>
      </c>
      <c r="Q38" s="12">
        <v>0</v>
      </c>
      <c r="R38" s="23">
        <f t="shared" si="2"/>
        <v>134</v>
      </c>
      <c r="S38" s="25">
        <f>(((H38+R38)/(H37+R37))-1)+detalle!$D$1</f>
        <v>0.14145045326664588</v>
      </c>
      <c r="T38" s="25">
        <f t="shared" si="6"/>
        <v>1.9803063457330423</v>
      </c>
      <c r="U38" s="10">
        <f t="shared" si="3"/>
        <v>1.8404907975460124E-2</v>
      </c>
      <c r="V38" s="21">
        <f t="shared" si="9"/>
        <v>0.36734693877551022</v>
      </c>
      <c r="W38" s="15">
        <f>J38/detalle!$D$2</f>
        <v>530.99675298222644</v>
      </c>
      <c r="X38" s="15">
        <f>E38/detalle!$D$2</f>
        <v>178.4587025486658</v>
      </c>
      <c r="Y38" s="22">
        <f>F38/detalle!$D$2</f>
        <v>8.9411824385323371</v>
      </c>
      <c r="Z38" s="20">
        <v>89.81</v>
      </c>
      <c r="AA38" s="14">
        <f>E38/(detalle!$D$2*1000000)</f>
        <v>1.784587025486658E-4</v>
      </c>
      <c r="AB38" s="14">
        <f>F38/(detalle!$D$2*1000000)</f>
        <v>8.9411824385323357E-6</v>
      </c>
      <c r="AC38" s="11">
        <v>0</v>
      </c>
      <c r="AD38" s="20">
        <v>0</v>
      </c>
      <c r="AE38" s="20">
        <v>0</v>
      </c>
      <c r="AF38" s="22">
        <f t="shared" si="7"/>
        <v>12</v>
      </c>
      <c r="AG38" s="12">
        <v>0</v>
      </c>
      <c r="AH38" s="12">
        <v>0</v>
      </c>
      <c r="AI38" s="20">
        <v>0</v>
      </c>
      <c r="AJ38" s="23">
        <f t="shared" si="8"/>
        <v>0</v>
      </c>
      <c r="AK38" s="23">
        <v>0</v>
      </c>
      <c r="AL38" s="28">
        <f>AK38/detalle!$D$2</f>
        <v>0</v>
      </c>
    </row>
    <row r="39" spans="1:38">
      <c r="A39" s="12">
        <v>38</v>
      </c>
      <c r="B39" s="19">
        <v>43928</v>
      </c>
      <c r="C39" s="12">
        <v>20</v>
      </c>
      <c r="D39" s="23">
        <f t="shared" si="4"/>
        <v>155</v>
      </c>
      <c r="E39" s="12">
        <v>2111</v>
      </c>
      <c r="F39" s="12">
        <v>108</v>
      </c>
      <c r="G39" s="12">
        <v>50</v>
      </c>
      <c r="H39" s="23">
        <f t="shared" si="0"/>
        <v>1953</v>
      </c>
      <c r="I39" s="23">
        <f t="shared" si="10"/>
        <v>538</v>
      </c>
      <c r="J39" s="12">
        <f t="shared" si="12"/>
        <v>6358</v>
      </c>
      <c r="K39" s="12">
        <v>4247</v>
      </c>
      <c r="L39" s="9">
        <f t="shared" si="5"/>
        <v>14</v>
      </c>
      <c r="M39" s="14">
        <f t="shared" si="1"/>
        <v>5.1160587399336807E-2</v>
      </c>
      <c r="N39" s="14">
        <f t="shared" si="11"/>
        <v>0.28810408921933084</v>
      </c>
      <c r="O39" s="12">
        <v>1680</v>
      </c>
      <c r="P39" s="12">
        <f t="shared" si="13"/>
        <v>273</v>
      </c>
      <c r="Q39" s="12">
        <v>0</v>
      </c>
      <c r="R39" s="23">
        <f t="shared" si="2"/>
        <v>158</v>
      </c>
      <c r="S39" s="25">
        <f>(((H39+R39)/(H38+R38))-1)+detalle!$D$1</f>
        <v>0.15067192521180253</v>
      </c>
      <c r="T39" s="25">
        <f t="shared" si="6"/>
        <v>2.1094069529652355</v>
      </c>
      <c r="U39" s="10">
        <f t="shared" si="3"/>
        <v>2.3685457129322594E-2</v>
      </c>
      <c r="V39" s="21">
        <f t="shared" si="9"/>
        <v>0.46296296296296297</v>
      </c>
      <c r="W39" s="15">
        <f>J39/detalle!$D$2</f>
        <v>580.08201983865911</v>
      </c>
      <c r="X39" s="15">
        <f>E39/detalle!$D$2</f>
        <v>192.60036865042613</v>
      </c>
      <c r="Y39" s="22">
        <f>F39/detalle!$D$2</f>
        <v>9.8535479934846162</v>
      </c>
      <c r="Z39" s="20">
        <v>89.81</v>
      </c>
      <c r="AA39" s="14">
        <f>E39/(detalle!$D$2*1000000)</f>
        <v>1.9260036865042612E-4</v>
      </c>
      <c r="AB39" s="14">
        <f>F39/(detalle!$D$2*1000000)</f>
        <v>9.8535479934846152E-6</v>
      </c>
      <c r="AC39" s="11">
        <v>0</v>
      </c>
      <c r="AD39" s="20">
        <v>0</v>
      </c>
      <c r="AE39" s="20">
        <v>0</v>
      </c>
      <c r="AF39" s="22">
        <f t="shared" si="7"/>
        <v>10</v>
      </c>
      <c r="AG39" s="12">
        <v>0</v>
      </c>
      <c r="AH39" s="12">
        <v>0</v>
      </c>
      <c r="AI39" s="20">
        <v>0</v>
      </c>
      <c r="AJ39" s="23">
        <f t="shared" si="8"/>
        <v>0</v>
      </c>
      <c r="AK39" s="23">
        <v>0</v>
      </c>
      <c r="AL39" s="28">
        <f>AK39/detalle!$D$2</f>
        <v>0</v>
      </c>
    </row>
    <row r="40" spans="1:38">
      <c r="A40" s="12">
        <v>39</v>
      </c>
      <c r="B40" s="19">
        <v>43929</v>
      </c>
      <c r="C40" s="12">
        <v>21</v>
      </c>
      <c r="D40" s="23">
        <f t="shared" si="4"/>
        <v>238</v>
      </c>
      <c r="E40" s="12">
        <v>2349</v>
      </c>
      <c r="F40" s="12">
        <v>118</v>
      </c>
      <c r="G40" s="12">
        <v>80</v>
      </c>
      <c r="H40" s="23">
        <f t="shared" si="0"/>
        <v>2151</v>
      </c>
      <c r="I40" s="23">
        <f t="shared" si="10"/>
        <v>793</v>
      </c>
      <c r="J40" s="12">
        <f t="shared" si="12"/>
        <v>7151</v>
      </c>
      <c r="K40" s="12">
        <v>4802</v>
      </c>
      <c r="L40" s="9">
        <f t="shared" si="5"/>
        <v>30</v>
      </c>
      <c r="M40" s="14">
        <f t="shared" si="1"/>
        <v>5.0234142188165173E-2</v>
      </c>
      <c r="N40" s="14">
        <f t="shared" si="11"/>
        <v>0.30012610340479196</v>
      </c>
      <c r="O40" s="12">
        <v>1857</v>
      </c>
      <c r="P40" s="12">
        <f t="shared" si="13"/>
        <v>294</v>
      </c>
      <c r="Q40" s="12">
        <v>0</v>
      </c>
      <c r="R40" s="23">
        <f t="shared" si="2"/>
        <v>198</v>
      </c>
      <c r="S40" s="25">
        <f>(((H40+R40)/(H39+R39))-1)+detalle!$D$1</f>
        <v>0.18417134736414689</v>
      </c>
      <c r="T40" s="25">
        <f t="shared" si="6"/>
        <v>2.5783988630980565</v>
      </c>
      <c r="U40" s="10">
        <f t="shared" si="3"/>
        <v>3.4057045551298425E-2</v>
      </c>
      <c r="V40" s="21">
        <f t="shared" si="9"/>
        <v>0.67796610169491522</v>
      </c>
      <c r="W40" s="15">
        <f>J40/detalle!$D$2</f>
        <v>652.43260834637488</v>
      </c>
      <c r="X40" s="15">
        <f>E40/detalle!$D$2</f>
        <v>214.31466885829039</v>
      </c>
      <c r="Y40" s="22">
        <f>F40/detalle!$D$2</f>
        <v>10.765913548436895</v>
      </c>
      <c r="Z40" s="20">
        <v>89.81</v>
      </c>
      <c r="AA40" s="14">
        <f>E40/(detalle!$D$2*1000000)</f>
        <v>2.1431466885829038E-4</v>
      </c>
      <c r="AB40" s="14">
        <f>F40/(detalle!$D$2*1000000)</f>
        <v>1.0765913548436895E-5</v>
      </c>
      <c r="AC40" s="11">
        <v>0</v>
      </c>
      <c r="AD40" s="20">
        <v>0</v>
      </c>
      <c r="AE40" s="20">
        <v>0</v>
      </c>
      <c r="AF40" s="22">
        <f t="shared" si="7"/>
        <v>10</v>
      </c>
      <c r="AG40" s="12">
        <v>0</v>
      </c>
      <c r="AH40" s="12">
        <v>0</v>
      </c>
      <c r="AI40" s="20">
        <v>0</v>
      </c>
      <c r="AJ40" s="23">
        <f t="shared" si="8"/>
        <v>0</v>
      </c>
      <c r="AK40" s="23">
        <v>0</v>
      </c>
      <c r="AL40" s="28">
        <f>AK40/detalle!$D$2</f>
        <v>0</v>
      </c>
    </row>
    <row r="41" spans="1:38">
      <c r="A41" s="12">
        <v>40</v>
      </c>
      <c r="B41" s="19">
        <v>43930</v>
      </c>
      <c r="C41" s="12">
        <v>22</v>
      </c>
      <c r="D41" s="23">
        <f t="shared" si="4"/>
        <v>271</v>
      </c>
      <c r="E41" s="12">
        <v>2620</v>
      </c>
      <c r="F41" s="12">
        <v>126</v>
      </c>
      <c r="G41" s="12">
        <v>98</v>
      </c>
      <c r="H41" s="23">
        <f t="shared" si="0"/>
        <v>2396</v>
      </c>
      <c r="I41" s="23">
        <f t="shared" si="10"/>
        <v>785</v>
      </c>
      <c r="J41" s="12">
        <f t="shared" si="12"/>
        <v>7936</v>
      </c>
      <c r="K41" s="12">
        <v>5316</v>
      </c>
      <c r="L41" s="9">
        <f t="shared" si="5"/>
        <v>18</v>
      </c>
      <c r="M41" s="14">
        <f t="shared" si="1"/>
        <v>4.8091603053435114E-2</v>
      </c>
      <c r="N41" s="14">
        <f t="shared" si="11"/>
        <v>0.34522292993630571</v>
      </c>
      <c r="O41" s="12">
        <v>2039</v>
      </c>
      <c r="P41" s="12">
        <f t="shared" si="13"/>
        <v>357</v>
      </c>
      <c r="Q41" s="12">
        <v>0</v>
      </c>
      <c r="R41" s="23">
        <f t="shared" si="2"/>
        <v>224</v>
      </c>
      <c r="S41" s="25">
        <f>(((H41+R41)/(H40+R40))-1)+detalle!$D$1</f>
        <v>0.1867968132335949</v>
      </c>
      <c r="T41" s="25">
        <f t="shared" si="6"/>
        <v>2.6151553852703286</v>
      </c>
      <c r="U41" s="10">
        <f t="shared" si="3"/>
        <v>3.7404580152671757E-2</v>
      </c>
      <c r="V41" s="21">
        <f t="shared" si="9"/>
        <v>0.77777777777777779</v>
      </c>
      <c r="W41" s="15">
        <f>J41/detalle!$D$2</f>
        <v>724.05330441012882</v>
      </c>
      <c r="X41" s="15">
        <f>E41/detalle!$D$2</f>
        <v>239.03977539749715</v>
      </c>
      <c r="Y41" s="22">
        <f>F41/detalle!$D$2</f>
        <v>11.495805992398719</v>
      </c>
      <c r="Z41" s="20">
        <v>89.81</v>
      </c>
      <c r="AA41" s="14">
        <f>E41/(detalle!$D$2*1000000)</f>
        <v>2.3903977539749713E-4</v>
      </c>
      <c r="AB41" s="14">
        <f>F41/(detalle!$D$2*1000000)</f>
        <v>1.1495805992398717E-5</v>
      </c>
      <c r="AC41" s="11">
        <v>0</v>
      </c>
      <c r="AD41" s="20">
        <v>0</v>
      </c>
      <c r="AE41" s="20">
        <v>0</v>
      </c>
      <c r="AF41" s="22">
        <f t="shared" si="7"/>
        <v>8</v>
      </c>
      <c r="AG41" s="12">
        <v>0</v>
      </c>
      <c r="AH41" s="12">
        <v>0</v>
      </c>
      <c r="AI41" s="20">
        <v>0</v>
      </c>
      <c r="AJ41" s="23">
        <f t="shared" si="8"/>
        <v>0</v>
      </c>
      <c r="AK41" s="23">
        <v>0</v>
      </c>
      <c r="AL41" s="28">
        <f>AK41/detalle!$D$2</f>
        <v>0</v>
      </c>
    </row>
    <row r="42" spans="1:38">
      <c r="A42" s="12">
        <v>41</v>
      </c>
      <c r="B42" s="19">
        <v>43931</v>
      </c>
      <c r="C42" s="12">
        <v>23</v>
      </c>
      <c r="D42" s="23">
        <f t="shared" si="4"/>
        <v>139</v>
      </c>
      <c r="E42" s="12">
        <v>2759</v>
      </c>
      <c r="F42" s="12">
        <v>135</v>
      </c>
      <c r="G42" s="12">
        <v>108</v>
      </c>
      <c r="H42" s="23">
        <f t="shared" si="0"/>
        <v>2516</v>
      </c>
      <c r="I42" s="23">
        <f t="shared" si="10"/>
        <v>533</v>
      </c>
      <c r="J42" s="12">
        <f t="shared" si="12"/>
        <v>8469</v>
      </c>
      <c r="K42" s="12">
        <v>5710</v>
      </c>
      <c r="L42" s="9">
        <f t="shared" si="5"/>
        <v>10</v>
      </c>
      <c r="M42" s="14">
        <f t="shared" si="1"/>
        <v>4.8930772018847407E-2</v>
      </c>
      <c r="N42" s="14">
        <f t="shared" si="11"/>
        <v>0.2607879924953096</v>
      </c>
      <c r="O42" s="12">
        <v>2159</v>
      </c>
      <c r="P42" s="12">
        <f t="shared" si="13"/>
        <v>357</v>
      </c>
      <c r="Q42" s="12">
        <v>0</v>
      </c>
      <c r="R42" s="23">
        <f t="shared" si="2"/>
        <v>243</v>
      </c>
      <c r="S42" s="25">
        <f>(((H42+R42)/(H41+R41))-1)+detalle!$D$1</f>
        <v>0.1244820065430752</v>
      </c>
      <c r="T42" s="25">
        <f t="shared" si="6"/>
        <v>1.7427480916030529</v>
      </c>
      <c r="U42" s="10">
        <f t="shared" si="3"/>
        <v>3.9144617615077926E-2</v>
      </c>
      <c r="V42" s="21">
        <f t="shared" si="9"/>
        <v>0.8</v>
      </c>
      <c r="W42" s="15">
        <f>J42/detalle!$D$2</f>
        <v>772.68238848908527</v>
      </c>
      <c r="X42" s="15">
        <f>E42/detalle!$D$2</f>
        <v>251.72165661133383</v>
      </c>
      <c r="Y42" s="22">
        <f>F42/detalle!$D$2</f>
        <v>12.316934991855769</v>
      </c>
      <c r="Z42" s="20">
        <v>89.81</v>
      </c>
      <c r="AA42" s="14">
        <f>E42/(detalle!$D$2*1000000)</f>
        <v>2.5172165661133382E-4</v>
      </c>
      <c r="AB42" s="14">
        <f>F42/(detalle!$D$2*1000000)</f>
        <v>1.2316934991855769E-5</v>
      </c>
      <c r="AC42" s="11">
        <v>0</v>
      </c>
      <c r="AD42" s="20">
        <v>0</v>
      </c>
      <c r="AE42" s="20">
        <v>0</v>
      </c>
      <c r="AF42" s="22">
        <f t="shared" si="7"/>
        <v>9</v>
      </c>
      <c r="AG42" s="12">
        <v>0</v>
      </c>
      <c r="AH42" s="12">
        <v>0</v>
      </c>
      <c r="AI42" s="20">
        <v>0</v>
      </c>
      <c r="AJ42" s="23">
        <f t="shared" si="8"/>
        <v>0</v>
      </c>
      <c r="AK42" s="23">
        <v>0</v>
      </c>
      <c r="AL42" s="28">
        <f>AK42/detalle!$D$2</f>
        <v>0</v>
      </c>
    </row>
    <row r="43" spans="1:38">
      <c r="A43" s="12">
        <v>42</v>
      </c>
      <c r="B43" s="19">
        <v>43932</v>
      </c>
      <c r="C43" s="12">
        <v>24</v>
      </c>
      <c r="D43" s="23">
        <f t="shared" si="4"/>
        <v>208</v>
      </c>
      <c r="E43" s="12">
        <v>2967</v>
      </c>
      <c r="F43" s="12">
        <v>173</v>
      </c>
      <c r="G43" s="12">
        <v>131</v>
      </c>
      <c r="H43" s="23">
        <f t="shared" si="0"/>
        <v>2663</v>
      </c>
      <c r="I43" s="23">
        <f t="shared" si="10"/>
        <v>806</v>
      </c>
      <c r="J43" s="12">
        <f t="shared" si="12"/>
        <v>9275</v>
      </c>
      <c r="K43" s="12">
        <v>6308</v>
      </c>
      <c r="L43" s="9">
        <f t="shared" si="5"/>
        <v>23</v>
      </c>
      <c r="M43" s="14">
        <f t="shared" si="1"/>
        <v>5.8308055274688235E-2</v>
      </c>
      <c r="N43" s="14">
        <f t="shared" si="11"/>
        <v>0.25806451612903225</v>
      </c>
      <c r="O43" s="12">
        <v>2280</v>
      </c>
      <c r="P43" s="12">
        <f t="shared" si="13"/>
        <v>383</v>
      </c>
      <c r="Q43" s="12">
        <v>0</v>
      </c>
      <c r="R43" s="23">
        <f t="shared" si="2"/>
        <v>304</v>
      </c>
      <c r="S43" s="25">
        <f>(((H43+R43)/(H42+R42))-1)+detalle!$D$1</f>
        <v>0.14681820535390669</v>
      </c>
      <c r="T43" s="25">
        <f t="shared" si="6"/>
        <v>2.0554548749546937</v>
      </c>
      <c r="U43" s="10">
        <f t="shared" si="3"/>
        <v>4.4152342433434445E-2</v>
      </c>
      <c r="V43" s="21">
        <f t="shared" si="9"/>
        <v>0.75722543352601157</v>
      </c>
      <c r="W43" s="15">
        <f>J43/detalle!$D$2</f>
        <v>846.21905221823897</v>
      </c>
      <c r="X43" s="15">
        <f>E43/detalle!$D$2</f>
        <v>270.69886015434122</v>
      </c>
      <c r="Y43" s="22">
        <f>F43/detalle!$D$2</f>
        <v>15.78392410067443</v>
      </c>
      <c r="Z43" s="20">
        <v>89.81</v>
      </c>
      <c r="AA43" s="14">
        <f>E43/(detalle!$D$2*1000000)</f>
        <v>2.7069886015434124E-4</v>
      </c>
      <c r="AB43" s="14">
        <f>F43/(detalle!$D$2*1000000)</f>
        <v>1.5783924100674428E-5</v>
      </c>
      <c r="AC43" s="11">
        <v>0</v>
      </c>
      <c r="AD43" s="20">
        <v>0</v>
      </c>
      <c r="AE43" s="20">
        <v>0</v>
      </c>
      <c r="AF43" s="22">
        <f t="shared" si="7"/>
        <v>38</v>
      </c>
      <c r="AG43" s="12">
        <v>0</v>
      </c>
      <c r="AH43" s="12">
        <v>0</v>
      </c>
      <c r="AI43" s="20">
        <v>0</v>
      </c>
      <c r="AJ43" s="23">
        <f t="shared" si="8"/>
        <v>0</v>
      </c>
      <c r="AK43" s="23">
        <v>0</v>
      </c>
      <c r="AL43" s="28">
        <f>AK43/detalle!$D$2</f>
        <v>0</v>
      </c>
    </row>
    <row r="44" spans="1:38">
      <c r="A44" s="12">
        <v>43</v>
      </c>
      <c r="B44" s="19">
        <v>43933</v>
      </c>
      <c r="C44" s="12">
        <v>25</v>
      </c>
      <c r="D44" s="23">
        <f t="shared" si="4"/>
        <v>200</v>
      </c>
      <c r="E44" s="12">
        <v>3167</v>
      </c>
      <c r="F44" s="12">
        <v>177</v>
      </c>
      <c r="G44" s="12">
        <v>152</v>
      </c>
      <c r="H44" s="23">
        <f t="shared" si="0"/>
        <v>2838</v>
      </c>
      <c r="I44" s="23">
        <f t="shared" si="10"/>
        <v>800</v>
      </c>
      <c r="J44" s="12">
        <f t="shared" si="12"/>
        <v>10075</v>
      </c>
      <c r="K44" s="12">
        <v>6908</v>
      </c>
      <c r="L44" s="9">
        <f t="shared" si="5"/>
        <v>21</v>
      </c>
      <c r="M44" s="14">
        <f t="shared" si="1"/>
        <v>5.5888853804862644E-2</v>
      </c>
      <c r="N44" s="14">
        <f t="shared" si="11"/>
        <v>0.25</v>
      </c>
      <c r="O44" s="12">
        <v>2401</v>
      </c>
      <c r="P44" s="12">
        <f t="shared" si="13"/>
        <v>437</v>
      </c>
      <c r="Q44" s="12">
        <v>0</v>
      </c>
      <c r="R44" s="23">
        <f t="shared" si="2"/>
        <v>329</v>
      </c>
      <c r="S44" s="25">
        <f>(((H44+R44)/(H43+R43))-1)+detalle!$D$1</f>
        <v>0.1388367278154943</v>
      </c>
      <c r="T44" s="25">
        <f t="shared" si="6"/>
        <v>1.9437141894169203</v>
      </c>
      <c r="U44" s="10">
        <f t="shared" si="3"/>
        <v>4.7994947900221033E-2</v>
      </c>
      <c r="V44" s="21">
        <f t="shared" si="9"/>
        <v>0.85875706214689262</v>
      </c>
      <c r="W44" s="15">
        <f>J44/detalle!$D$2</f>
        <v>919.20829661442133</v>
      </c>
      <c r="X44" s="15">
        <f>E44/detalle!$D$2</f>
        <v>288.94617125338681</v>
      </c>
      <c r="Y44" s="22">
        <f>F44/detalle!$D$2</f>
        <v>16.148870322655341</v>
      </c>
      <c r="Z44" s="20">
        <v>89.81</v>
      </c>
      <c r="AA44" s="14">
        <f>E44/(detalle!$D$2*1000000)</f>
        <v>2.8894617125338679E-4</v>
      </c>
      <c r="AB44" s="14">
        <f>F44/(detalle!$D$2*1000000)</f>
        <v>1.6148870322655343E-5</v>
      </c>
      <c r="AC44" s="11">
        <v>0</v>
      </c>
      <c r="AD44" s="20">
        <v>0</v>
      </c>
      <c r="AE44" s="20">
        <v>0</v>
      </c>
      <c r="AF44" s="22">
        <f t="shared" si="7"/>
        <v>4</v>
      </c>
      <c r="AG44" s="12">
        <v>0</v>
      </c>
      <c r="AH44" s="12">
        <v>0</v>
      </c>
      <c r="AI44" s="20">
        <v>0</v>
      </c>
      <c r="AJ44" s="23">
        <f t="shared" si="8"/>
        <v>0</v>
      </c>
      <c r="AK44" s="23">
        <v>0</v>
      </c>
      <c r="AL44" s="28">
        <f>AK44/detalle!$D$2</f>
        <v>0</v>
      </c>
    </row>
    <row r="45" spans="1:38">
      <c r="A45" s="12">
        <v>44</v>
      </c>
      <c r="B45" s="19">
        <v>43934</v>
      </c>
      <c r="C45" s="12">
        <v>26</v>
      </c>
      <c r="D45" s="23">
        <f t="shared" si="4"/>
        <v>119</v>
      </c>
      <c r="E45" s="12">
        <v>3286</v>
      </c>
      <c r="F45" s="12">
        <v>183</v>
      </c>
      <c r="G45" s="12">
        <v>162</v>
      </c>
      <c r="H45" s="23">
        <f t="shared" si="0"/>
        <v>2941</v>
      </c>
      <c r="I45" s="23">
        <f t="shared" si="10"/>
        <v>373</v>
      </c>
      <c r="J45" s="12">
        <f t="shared" si="12"/>
        <v>10448</v>
      </c>
      <c r="K45" s="12">
        <v>7162</v>
      </c>
      <c r="L45" s="9">
        <f t="shared" si="5"/>
        <v>10</v>
      </c>
      <c r="M45" s="14">
        <f t="shared" si="1"/>
        <v>5.5690809494826535E-2</v>
      </c>
      <c r="N45" s="14">
        <f t="shared" si="11"/>
        <v>0.31903485254691688</v>
      </c>
      <c r="O45" s="12">
        <v>2482</v>
      </c>
      <c r="P45" s="12">
        <f t="shared" si="13"/>
        <v>459</v>
      </c>
      <c r="Q45" s="12">
        <v>0</v>
      </c>
      <c r="R45" s="23">
        <f t="shared" si="2"/>
        <v>345</v>
      </c>
      <c r="S45" s="25">
        <f>(((H45+R45)/(H44+R44))-1)+detalle!$D$1</f>
        <v>0.10900356353466559</v>
      </c>
      <c r="T45" s="25">
        <f t="shared" si="6"/>
        <v>1.5260498894853183</v>
      </c>
      <c r="U45" s="10">
        <f t="shared" si="3"/>
        <v>4.9300060864272674E-2</v>
      </c>
      <c r="V45" s="21">
        <f t="shared" si="9"/>
        <v>0.88524590163934425</v>
      </c>
      <c r="W45" s="15">
        <f>J45/detalle!$D$2</f>
        <v>953.23953181414129</v>
      </c>
      <c r="X45" s="15">
        <f>E45/detalle!$D$2</f>
        <v>299.80332135731896</v>
      </c>
      <c r="Y45" s="22">
        <f>F45/detalle!$D$2</f>
        <v>16.69628965562671</v>
      </c>
      <c r="Z45" s="20">
        <v>89.81</v>
      </c>
      <c r="AA45" s="14">
        <f>E45/(detalle!$D$2*1000000)</f>
        <v>2.9980332135731892E-4</v>
      </c>
      <c r="AB45" s="14">
        <f>F45/(detalle!$D$2*1000000)</f>
        <v>1.6696289655626708E-5</v>
      </c>
      <c r="AC45" s="11">
        <v>0</v>
      </c>
      <c r="AD45" s="20">
        <v>0</v>
      </c>
      <c r="AE45" s="20">
        <v>0</v>
      </c>
      <c r="AF45" s="22">
        <f t="shared" si="7"/>
        <v>6</v>
      </c>
      <c r="AG45" s="12">
        <v>0</v>
      </c>
      <c r="AH45" s="12">
        <v>0</v>
      </c>
      <c r="AI45" s="20">
        <v>0</v>
      </c>
      <c r="AJ45" s="23">
        <f t="shared" si="8"/>
        <v>0</v>
      </c>
      <c r="AK45" s="23">
        <v>0</v>
      </c>
      <c r="AL45" s="28">
        <f>AK45/detalle!$D$2</f>
        <v>0</v>
      </c>
    </row>
    <row r="46" spans="1:38">
      <c r="A46" s="12">
        <v>45</v>
      </c>
      <c r="B46" s="19">
        <v>43935</v>
      </c>
      <c r="C46" s="12">
        <v>27</v>
      </c>
      <c r="D46" s="23">
        <f t="shared" si="4"/>
        <v>328</v>
      </c>
      <c r="E46" s="12">
        <v>3614</v>
      </c>
      <c r="F46" s="12">
        <v>189</v>
      </c>
      <c r="G46" s="12">
        <v>208</v>
      </c>
      <c r="H46" s="23">
        <f t="shared" si="0"/>
        <v>3217</v>
      </c>
      <c r="I46" s="23">
        <f t="shared" si="10"/>
        <v>1293</v>
      </c>
      <c r="J46" s="12">
        <f t="shared" si="12"/>
        <v>11741</v>
      </c>
      <c r="K46" s="12">
        <v>8127</v>
      </c>
      <c r="L46" s="9">
        <f t="shared" si="5"/>
        <v>46</v>
      </c>
      <c r="M46" s="14">
        <f t="shared" si="1"/>
        <v>5.2296624239070284E-2</v>
      </c>
      <c r="N46" s="14">
        <f t="shared" si="11"/>
        <v>0.25367362722351122</v>
      </c>
      <c r="O46" s="12">
        <v>2657</v>
      </c>
      <c r="P46" s="12">
        <f t="shared" si="13"/>
        <v>560</v>
      </c>
      <c r="Q46" s="12">
        <v>0</v>
      </c>
      <c r="R46" s="23">
        <f t="shared" si="2"/>
        <v>397</v>
      </c>
      <c r="S46" s="25">
        <f>(((H46+R46)/(H45+R45))-1)+detalle!$D$1</f>
        <v>0.1712459786105556</v>
      </c>
      <c r="T46" s="25">
        <f t="shared" si="6"/>
        <v>2.3974437005477784</v>
      </c>
      <c r="U46" s="10">
        <f t="shared" si="3"/>
        <v>5.7553956834532377E-2</v>
      </c>
      <c r="V46" s="21">
        <f t="shared" si="9"/>
        <v>1.1005291005291005</v>
      </c>
      <c r="W46" s="15">
        <f>J46/detalle!$D$2</f>
        <v>1071.2083980694711</v>
      </c>
      <c r="X46" s="15">
        <f>E46/detalle!$D$2</f>
        <v>329.72891155975373</v>
      </c>
      <c r="Y46" s="22">
        <f>F46/detalle!$D$2</f>
        <v>17.243708988598076</v>
      </c>
      <c r="Z46" s="20">
        <v>89.81</v>
      </c>
      <c r="AA46" s="14">
        <f>E46/(detalle!$D$2*1000000)</f>
        <v>3.2972891155975368E-4</v>
      </c>
      <c r="AB46" s="14">
        <f>F46/(detalle!$D$2*1000000)</f>
        <v>1.7243708988598076E-5</v>
      </c>
      <c r="AC46" s="11">
        <v>0</v>
      </c>
      <c r="AD46" s="20">
        <v>0</v>
      </c>
      <c r="AE46" s="20">
        <v>0</v>
      </c>
      <c r="AF46" s="22">
        <f t="shared" si="7"/>
        <v>6</v>
      </c>
      <c r="AG46" s="12">
        <v>0</v>
      </c>
      <c r="AH46" s="12">
        <v>0</v>
      </c>
      <c r="AI46" s="20">
        <v>0</v>
      </c>
      <c r="AJ46" s="23">
        <f t="shared" si="8"/>
        <v>0</v>
      </c>
      <c r="AK46" s="23">
        <v>0</v>
      </c>
      <c r="AL46" s="28">
        <f>AK46/detalle!$D$2</f>
        <v>0</v>
      </c>
    </row>
    <row r="47" spans="1:38">
      <c r="A47" s="12">
        <v>46</v>
      </c>
      <c r="B47" s="19">
        <v>43936</v>
      </c>
      <c r="C47" s="12">
        <v>28</v>
      </c>
      <c r="D47" s="23">
        <f t="shared" si="4"/>
        <v>141</v>
      </c>
      <c r="E47" s="12">
        <v>3755</v>
      </c>
      <c r="F47" s="12">
        <v>196</v>
      </c>
      <c r="G47" s="12">
        <v>215</v>
      </c>
      <c r="H47" s="23">
        <f t="shared" si="0"/>
        <v>3344</v>
      </c>
      <c r="I47" s="23">
        <f t="shared" si="10"/>
        <v>488</v>
      </c>
      <c r="J47" s="12">
        <f t="shared" si="12"/>
        <v>12229</v>
      </c>
      <c r="K47" s="12">
        <v>8474</v>
      </c>
      <c r="L47" s="9">
        <f t="shared" si="5"/>
        <v>7</v>
      </c>
      <c r="M47" s="14">
        <f t="shared" si="1"/>
        <v>5.2197070572569906E-2</v>
      </c>
      <c r="N47" s="14">
        <f t="shared" si="11"/>
        <v>0.28893442622950821</v>
      </c>
      <c r="O47" s="12">
        <v>2721</v>
      </c>
      <c r="P47" s="12">
        <f t="shared" si="13"/>
        <v>623</v>
      </c>
      <c r="Q47" s="12">
        <v>0</v>
      </c>
      <c r="R47" s="23">
        <f t="shared" si="2"/>
        <v>411</v>
      </c>
      <c r="S47" s="25">
        <f>(((H47+R47)/(H46+R46))-1)+detalle!$D$1</f>
        <v>0.11044351332121119</v>
      </c>
      <c r="T47" s="25">
        <f t="shared" si="6"/>
        <v>1.5462091864969567</v>
      </c>
      <c r="U47" s="10">
        <f t="shared" si="3"/>
        <v>5.7256990679094538E-2</v>
      </c>
      <c r="V47" s="21">
        <f t="shared" si="9"/>
        <v>1.096938775510204</v>
      </c>
      <c r="W47" s="15">
        <f>J47/detalle!$D$2</f>
        <v>1115.7318371511421</v>
      </c>
      <c r="X47" s="15">
        <f>E47/detalle!$D$2</f>
        <v>342.59326588458083</v>
      </c>
      <c r="Y47" s="22">
        <f>F47/detalle!$D$2</f>
        <v>17.882364877064674</v>
      </c>
      <c r="Z47" s="20">
        <v>89.81</v>
      </c>
      <c r="AA47" s="14">
        <f>E47/(detalle!$D$2*1000000)</f>
        <v>3.4259326588458082E-4</v>
      </c>
      <c r="AB47" s="14">
        <f>F47/(detalle!$D$2*1000000)</f>
        <v>1.7882364877064671E-5</v>
      </c>
      <c r="AC47" s="11">
        <v>0</v>
      </c>
      <c r="AD47" s="20">
        <v>0</v>
      </c>
      <c r="AE47" s="20">
        <v>0</v>
      </c>
      <c r="AF47" s="22">
        <f t="shared" si="7"/>
        <v>7</v>
      </c>
      <c r="AG47" s="12">
        <v>0</v>
      </c>
      <c r="AH47" s="12">
        <v>0</v>
      </c>
      <c r="AI47" s="20">
        <v>0</v>
      </c>
      <c r="AJ47" s="23">
        <f t="shared" si="8"/>
        <v>0</v>
      </c>
      <c r="AK47" s="23">
        <v>0</v>
      </c>
      <c r="AL47" s="28">
        <f>AK47/detalle!$D$2</f>
        <v>0</v>
      </c>
    </row>
    <row r="48" spans="1:38">
      <c r="A48" s="12">
        <v>47</v>
      </c>
      <c r="B48" s="19">
        <v>43937</v>
      </c>
      <c r="C48" s="12">
        <v>29</v>
      </c>
      <c r="D48" s="23">
        <f t="shared" si="4"/>
        <v>371</v>
      </c>
      <c r="E48" s="12">
        <v>4126</v>
      </c>
      <c r="F48" s="12">
        <v>200</v>
      </c>
      <c r="G48" s="12">
        <v>268</v>
      </c>
      <c r="H48" s="23">
        <f t="shared" si="0"/>
        <v>3658</v>
      </c>
      <c r="I48" s="23">
        <f t="shared" si="10"/>
        <v>1053</v>
      </c>
      <c r="J48" s="12">
        <v>13282</v>
      </c>
      <c r="K48" s="23">
        <f t="shared" ref="K48:K111" si="14">J48-E48</f>
        <v>9156</v>
      </c>
      <c r="L48" s="9">
        <f t="shared" si="5"/>
        <v>53</v>
      </c>
      <c r="M48" s="14">
        <f t="shared" si="1"/>
        <v>4.8473097430925836E-2</v>
      </c>
      <c r="N48" s="14">
        <f t="shared" si="11"/>
        <v>0.35232668566001901</v>
      </c>
      <c r="O48" s="12">
        <v>2885</v>
      </c>
      <c r="P48" s="12">
        <f t="shared" si="13"/>
        <v>773</v>
      </c>
      <c r="Q48" s="12">
        <v>0</v>
      </c>
      <c r="R48" s="23">
        <f t="shared" si="2"/>
        <v>468</v>
      </c>
      <c r="S48" s="25">
        <f>(((H48+R48)/(H47+R47))-1)+detalle!$D$1</f>
        <v>0.1702301692980788</v>
      </c>
      <c r="T48" s="25">
        <f t="shared" si="6"/>
        <v>2.3832223701731032</v>
      </c>
      <c r="U48" s="10">
        <f t="shared" si="3"/>
        <v>6.4953950557440618E-2</v>
      </c>
      <c r="V48" s="21">
        <f t="shared" si="9"/>
        <v>1.34</v>
      </c>
      <c r="W48" s="15">
        <f>J48/detalle!$D$2</f>
        <v>1211.8039300876173</v>
      </c>
      <c r="X48" s="15">
        <f>E48/detalle!$D$2</f>
        <v>376.44202797331042</v>
      </c>
      <c r="Y48" s="22">
        <f>F48/detalle!$D$2</f>
        <v>18.247311099045586</v>
      </c>
      <c r="Z48" s="20">
        <v>89.81</v>
      </c>
      <c r="AA48" s="14">
        <f>E48/(detalle!$D$2*1000000)</f>
        <v>3.7644202797331041E-4</v>
      </c>
      <c r="AB48" s="14">
        <f>F48/(detalle!$D$2*1000000)</f>
        <v>1.8247311099045583E-5</v>
      </c>
      <c r="AC48" s="11">
        <v>0</v>
      </c>
      <c r="AD48" s="20">
        <v>0</v>
      </c>
      <c r="AE48" s="20">
        <v>0</v>
      </c>
      <c r="AF48" s="22">
        <f t="shared" si="7"/>
        <v>4</v>
      </c>
      <c r="AG48" s="12">
        <v>0</v>
      </c>
      <c r="AH48" s="12">
        <v>0</v>
      </c>
      <c r="AI48" s="20">
        <v>0</v>
      </c>
      <c r="AJ48" s="23">
        <f t="shared" si="8"/>
        <v>0</v>
      </c>
      <c r="AK48" s="23">
        <v>0</v>
      </c>
      <c r="AL48" s="28">
        <f>AK48/detalle!$D$2</f>
        <v>0</v>
      </c>
    </row>
    <row r="49" spans="1:38">
      <c r="A49" s="12">
        <v>48</v>
      </c>
      <c r="B49" s="19">
        <v>43938</v>
      </c>
      <c r="C49" s="12">
        <v>30</v>
      </c>
      <c r="D49" s="23">
        <f t="shared" si="4"/>
        <v>209</v>
      </c>
      <c r="E49" s="12">
        <v>4335</v>
      </c>
      <c r="F49" s="12">
        <v>217</v>
      </c>
      <c r="G49" s="12">
        <v>312</v>
      </c>
      <c r="H49" s="23">
        <f t="shared" si="0"/>
        <v>3806</v>
      </c>
      <c r="I49" s="23">
        <f t="shared" si="10"/>
        <v>1091</v>
      </c>
      <c r="J49" s="12">
        <v>14373</v>
      </c>
      <c r="K49" s="23">
        <f t="shared" si="14"/>
        <v>10038</v>
      </c>
      <c r="L49" s="9">
        <f t="shared" si="5"/>
        <v>44</v>
      </c>
      <c r="M49" s="14">
        <f t="shared" si="1"/>
        <v>5.005767012687428E-2</v>
      </c>
      <c r="N49" s="14">
        <f t="shared" si="11"/>
        <v>0.19156736938588451</v>
      </c>
      <c r="O49" s="12">
        <v>3030</v>
      </c>
      <c r="P49" s="12">
        <f t="shared" si="13"/>
        <v>776</v>
      </c>
      <c r="Q49" s="12">
        <v>0</v>
      </c>
      <c r="R49" s="23">
        <f t="shared" si="2"/>
        <v>529</v>
      </c>
      <c r="S49" s="25">
        <f>(((H49+R49)/(H48+R48))-1)+detalle!$D$1</f>
        <v>0.12208295824388896</v>
      </c>
      <c r="T49" s="25">
        <f t="shared" si="6"/>
        <v>1.7091614154144454</v>
      </c>
      <c r="U49" s="10">
        <f t="shared" si="3"/>
        <v>7.1972318339100352E-2</v>
      </c>
      <c r="V49" s="21">
        <f t="shared" si="9"/>
        <v>1.4377880184331797</v>
      </c>
      <c r="W49" s="15">
        <f>J49/detalle!$D$2</f>
        <v>1311.3430121329109</v>
      </c>
      <c r="X49" s="15">
        <f>E49/detalle!$D$2</f>
        <v>395.51046807181302</v>
      </c>
      <c r="Y49" s="22">
        <f>F49/detalle!$D$2</f>
        <v>19.798332542464458</v>
      </c>
      <c r="Z49" s="20">
        <v>89.81</v>
      </c>
      <c r="AA49" s="14">
        <f>E49/(detalle!$D$2*1000000)</f>
        <v>3.9551046807181304E-4</v>
      </c>
      <c r="AB49" s="14">
        <f>F49/(detalle!$D$2*1000000)</f>
        <v>1.9798332542464457E-5</v>
      </c>
      <c r="AC49" s="11">
        <v>0</v>
      </c>
      <c r="AD49" s="20">
        <v>0</v>
      </c>
      <c r="AE49" s="20">
        <v>0</v>
      </c>
      <c r="AF49" s="22">
        <f t="shared" si="7"/>
        <v>17</v>
      </c>
      <c r="AG49" s="12">
        <v>0</v>
      </c>
      <c r="AH49" s="12">
        <v>0</v>
      </c>
      <c r="AI49" s="20">
        <v>0</v>
      </c>
      <c r="AJ49" s="23">
        <f t="shared" si="8"/>
        <v>0</v>
      </c>
      <c r="AK49" s="23">
        <v>0</v>
      </c>
      <c r="AL49" s="28">
        <f>AK49/detalle!$D$2</f>
        <v>0</v>
      </c>
    </row>
    <row r="50" spans="1:38">
      <c r="A50" s="12">
        <v>49</v>
      </c>
      <c r="B50" s="19">
        <v>43939</v>
      </c>
      <c r="C50" s="12">
        <v>31</v>
      </c>
      <c r="D50" s="23">
        <f t="shared" si="4"/>
        <v>345</v>
      </c>
      <c r="E50" s="12">
        <v>4680</v>
      </c>
      <c r="F50" s="12">
        <v>226</v>
      </c>
      <c r="G50" s="12">
        <v>363</v>
      </c>
      <c r="H50" s="23">
        <f t="shared" si="0"/>
        <v>4091</v>
      </c>
      <c r="I50" s="23">
        <f t="shared" si="10"/>
        <v>1210</v>
      </c>
      <c r="J50" s="12">
        <v>15583</v>
      </c>
      <c r="K50" s="23">
        <f t="shared" si="14"/>
        <v>10903</v>
      </c>
      <c r="L50" s="9">
        <f t="shared" si="5"/>
        <v>51</v>
      </c>
      <c r="M50" s="14">
        <f t="shared" si="1"/>
        <v>4.8290598290598293E-2</v>
      </c>
      <c r="N50" s="14">
        <f t="shared" si="11"/>
        <v>0.28512396694214875</v>
      </c>
      <c r="O50" s="12">
        <v>3229</v>
      </c>
      <c r="P50" s="12">
        <f t="shared" si="13"/>
        <v>862</v>
      </c>
      <c r="Q50" s="12">
        <v>0</v>
      </c>
      <c r="R50" s="23">
        <f t="shared" si="2"/>
        <v>589</v>
      </c>
      <c r="S50" s="25">
        <f>(((H50+R50)/(H49+R49))-1)+detalle!$D$1</f>
        <v>0.15101334651507672</v>
      </c>
      <c r="T50" s="25">
        <f t="shared" si="6"/>
        <v>2.1141868512110742</v>
      </c>
      <c r="U50" s="10">
        <f t="shared" si="3"/>
        <v>7.7564102564102566E-2</v>
      </c>
      <c r="V50" s="21">
        <f t="shared" si="9"/>
        <v>1.6061946902654867</v>
      </c>
      <c r="W50" s="15">
        <f>J50/detalle!$D$2</f>
        <v>1421.7392442821367</v>
      </c>
      <c r="X50" s="15">
        <f>E50/detalle!$D$2</f>
        <v>426.98707971766669</v>
      </c>
      <c r="Y50" s="22">
        <f>F50/detalle!$D$2</f>
        <v>20.61946154192151</v>
      </c>
      <c r="Z50" s="20">
        <v>93.52</v>
      </c>
      <c r="AA50" s="14">
        <f>E50/(detalle!$D$2*1000000)</f>
        <v>4.2698707971766664E-4</v>
      </c>
      <c r="AB50" s="14">
        <f>F50/(detalle!$D$2*1000000)</f>
        <v>2.061946154192151E-5</v>
      </c>
      <c r="AC50" s="11">
        <v>0</v>
      </c>
      <c r="AD50" s="20">
        <v>0</v>
      </c>
      <c r="AE50" s="20">
        <v>0</v>
      </c>
      <c r="AF50" s="22">
        <f t="shared" si="7"/>
        <v>9</v>
      </c>
      <c r="AG50" s="12">
        <v>0</v>
      </c>
      <c r="AH50" s="12">
        <v>0</v>
      </c>
      <c r="AI50" s="20">
        <v>0</v>
      </c>
      <c r="AJ50" s="23">
        <f t="shared" si="8"/>
        <v>0</v>
      </c>
      <c r="AK50" s="23">
        <v>0</v>
      </c>
      <c r="AL50" s="28">
        <f>AK50/detalle!$D$2</f>
        <v>0</v>
      </c>
    </row>
    <row r="51" spans="1:38">
      <c r="A51" s="12">
        <v>50</v>
      </c>
      <c r="B51" s="19">
        <v>43940</v>
      </c>
      <c r="C51" s="12">
        <v>32</v>
      </c>
      <c r="D51" s="23">
        <f t="shared" si="4"/>
        <v>284</v>
      </c>
      <c r="E51" s="12">
        <v>4964</v>
      </c>
      <c r="F51" s="12">
        <v>235</v>
      </c>
      <c r="G51" s="12">
        <v>416</v>
      </c>
      <c r="H51" s="23">
        <f t="shared" si="0"/>
        <v>4313</v>
      </c>
      <c r="I51" s="23">
        <f t="shared" si="10"/>
        <v>1099</v>
      </c>
      <c r="J51" s="12">
        <v>16682</v>
      </c>
      <c r="K51" s="23">
        <f t="shared" si="14"/>
        <v>11718</v>
      </c>
      <c r="L51" s="9">
        <f t="shared" si="5"/>
        <v>53</v>
      </c>
      <c r="M51" s="14">
        <f t="shared" si="1"/>
        <v>4.7340854149879132E-2</v>
      </c>
      <c r="N51" s="14">
        <f t="shared" si="11"/>
        <v>0.25841674249317559</v>
      </c>
      <c r="O51" s="12">
        <v>3367</v>
      </c>
      <c r="P51" s="12">
        <f t="shared" si="13"/>
        <v>946</v>
      </c>
      <c r="Q51" s="12">
        <v>0</v>
      </c>
      <c r="R51" s="23">
        <f t="shared" si="2"/>
        <v>651</v>
      </c>
      <c r="S51" s="25">
        <f>(((H51+R51)/(H50+R50))-1)+detalle!$D$1</f>
        <v>0.13211233211233211</v>
      </c>
      <c r="T51" s="25">
        <f t="shared" si="6"/>
        <v>1.8495726495726497</v>
      </c>
      <c r="U51" s="10">
        <f t="shared" si="3"/>
        <v>8.380338436744561E-2</v>
      </c>
      <c r="V51" s="21">
        <f t="shared" si="9"/>
        <v>1.7702127659574467</v>
      </c>
      <c r="W51" s="15">
        <f>J51/detalle!$D$2</f>
        <v>1522.0082187713922</v>
      </c>
      <c r="X51" s="15">
        <f>E51/detalle!$D$2</f>
        <v>452.89826147831138</v>
      </c>
      <c r="Y51" s="22">
        <f>F51/detalle!$D$2</f>
        <v>21.440590541378562</v>
      </c>
      <c r="Z51" s="20">
        <v>93.52</v>
      </c>
      <c r="AA51" s="14">
        <f>E51/(detalle!$D$2*1000000)</f>
        <v>4.5289826147831136E-4</v>
      </c>
      <c r="AB51" s="14">
        <f>F51/(detalle!$D$2*1000000)</f>
        <v>2.1440590541378559E-5</v>
      </c>
      <c r="AC51" s="11">
        <v>0</v>
      </c>
      <c r="AD51" s="20">
        <v>0</v>
      </c>
      <c r="AE51" s="20">
        <v>0</v>
      </c>
      <c r="AF51" s="22">
        <f t="shared" si="7"/>
        <v>9</v>
      </c>
      <c r="AG51" s="12">
        <v>0</v>
      </c>
      <c r="AH51" s="12">
        <v>0</v>
      </c>
      <c r="AI51" s="20">
        <v>0</v>
      </c>
      <c r="AJ51" s="23">
        <f t="shared" si="8"/>
        <v>0</v>
      </c>
      <c r="AK51" s="23">
        <v>0</v>
      </c>
      <c r="AL51" s="28">
        <f>AK51/detalle!$D$2</f>
        <v>0</v>
      </c>
    </row>
    <row r="52" spans="1:38">
      <c r="A52" s="12">
        <v>51</v>
      </c>
      <c r="B52" s="19">
        <v>43941</v>
      </c>
      <c r="C52" s="12">
        <v>33</v>
      </c>
      <c r="D52" s="23">
        <f t="shared" si="4"/>
        <v>80</v>
      </c>
      <c r="E52" s="12">
        <v>5044</v>
      </c>
      <c r="F52" s="12">
        <v>245</v>
      </c>
      <c r="G52" s="12">
        <v>463</v>
      </c>
      <c r="H52" s="23">
        <f t="shared" si="0"/>
        <v>4336</v>
      </c>
      <c r="I52" s="23">
        <f t="shared" ref="I52:I83" si="15">J52-J51</f>
        <v>291</v>
      </c>
      <c r="J52" s="12">
        <v>16973</v>
      </c>
      <c r="K52" s="23">
        <f t="shared" si="14"/>
        <v>11929</v>
      </c>
      <c r="L52" s="9">
        <f t="shared" si="5"/>
        <v>47</v>
      </c>
      <c r="M52" s="14">
        <f t="shared" si="1"/>
        <v>4.8572561459159398E-2</v>
      </c>
      <c r="N52" s="14">
        <f t="shared" si="11"/>
        <v>0.27491408934707906</v>
      </c>
      <c r="O52" s="12">
        <v>3372</v>
      </c>
      <c r="P52" s="12">
        <f t="shared" si="13"/>
        <v>964</v>
      </c>
      <c r="Q52" s="12">
        <v>126</v>
      </c>
      <c r="R52" s="23">
        <f t="shared" si="2"/>
        <v>708</v>
      </c>
      <c r="S52" s="25">
        <f>(((H52+R52)/(H51+R51))-1)+detalle!$D$1</f>
        <v>8.7544606883849491E-2</v>
      </c>
      <c r="T52" s="25">
        <f t="shared" si="6"/>
        <v>1.2256244963738929</v>
      </c>
      <c r="U52" s="10">
        <f t="shared" si="3"/>
        <v>9.1792228390166528E-2</v>
      </c>
      <c r="V52" s="21">
        <f t="shared" si="9"/>
        <v>1.8897959183673469</v>
      </c>
      <c r="W52" s="15">
        <f>J52/detalle!$D$2</f>
        <v>1548.5580564205036</v>
      </c>
      <c r="X52" s="15">
        <f>E52/detalle!$D$2</f>
        <v>460.19718591792963</v>
      </c>
      <c r="Y52" s="22">
        <f>F52/detalle!$D$2</f>
        <v>22.352956096330839</v>
      </c>
      <c r="Z52" s="20">
        <v>93.52</v>
      </c>
      <c r="AA52" s="14">
        <f>E52/(detalle!$D$2*1000000)</f>
        <v>4.6019718591792962E-4</v>
      </c>
      <c r="AB52" s="14">
        <f>F52/(detalle!$D$2*1000000)</f>
        <v>2.2352956096330838E-5</v>
      </c>
      <c r="AC52" s="11">
        <v>0</v>
      </c>
      <c r="AD52" s="20">
        <v>0</v>
      </c>
      <c r="AE52" s="20">
        <v>0</v>
      </c>
      <c r="AF52" s="22">
        <f t="shared" si="7"/>
        <v>10</v>
      </c>
      <c r="AG52" s="12">
        <v>0</v>
      </c>
      <c r="AH52" s="12">
        <v>0</v>
      </c>
      <c r="AI52" s="20">
        <v>0</v>
      </c>
      <c r="AJ52" s="23">
        <f t="shared" si="8"/>
        <v>0</v>
      </c>
      <c r="AK52" s="23">
        <v>0</v>
      </c>
      <c r="AL52" s="28">
        <f>AK52/detalle!$D$2</f>
        <v>0</v>
      </c>
    </row>
    <row r="53" spans="1:38">
      <c r="A53" s="12">
        <v>52</v>
      </c>
      <c r="B53" s="19">
        <v>43942</v>
      </c>
      <c r="C53" s="12">
        <v>34</v>
      </c>
      <c r="D53" s="23">
        <f t="shared" si="4"/>
        <v>256</v>
      </c>
      <c r="E53" s="12">
        <v>5300</v>
      </c>
      <c r="F53" s="12">
        <v>260</v>
      </c>
      <c r="G53" s="12">
        <v>581</v>
      </c>
      <c r="H53" s="23">
        <f t="shared" si="0"/>
        <v>4459</v>
      </c>
      <c r="I53" s="23">
        <f t="shared" si="15"/>
        <v>1288</v>
      </c>
      <c r="J53" s="12">
        <v>18261</v>
      </c>
      <c r="K53" s="23">
        <f t="shared" si="14"/>
        <v>12961</v>
      </c>
      <c r="L53" s="9">
        <f t="shared" si="5"/>
        <v>118</v>
      </c>
      <c r="M53" s="14">
        <f t="shared" si="1"/>
        <v>4.9056603773584909E-2</v>
      </c>
      <c r="N53" s="14">
        <f t="shared" si="11"/>
        <v>0.19875776397515527</v>
      </c>
      <c r="O53" s="12">
        <v>3504</v>
      </c>
      <c r="P53" s="12">
        <f t="shared" si="13"/>
        <v>955</v>
      </c>
      <c r="Q53" s="12">
        <v>135</v>
      </c>
      <c r="R53" s="23">
        <f t="shared" si="2"/>
        <v>841</v>
      </c>
      <c r="S53" s="25">
        <f>(((H53+R53)/(H52+R52))-1)+detalle!$D$1</f>
        <v>0.12218194176957067</v>
      </c>
      <c r="T53" s="25">
        <f t="shared" si="6"/>
        <v>1.7105471847739895</v>
      </c>
      <c r="U53" s="10">
        <f t="shared" si="3"/>
        <v>0.10962264150943396</v>
      </c>
      <c r="V53" s="21">
        <f t="shared" si="9"/>
        <v>2.2346153846153847</v>
      </c>
      <c r="W53" s="15">
        <f>J53/detalle!$D$2</f>
        <v>1666.070739898357</v>
      </c>
      <c r="X53" s="15">
        <f>E53/detalle!$D$2</f>
        <v>483.55374412470798</v>
      </c>
      <c r="Y53" s="22">
        <f>F53/detalle!$D$2</f>
        <v>23.72150442875926</v>
      </c>
      <c r="Z53" s="20">
        <v>93.52</v>
      </c>
      <c r="AA53" s="14">
        <f>E53/(detalle!$D$2*1000000)</f>
        <v>4.8355374412470799E-4</v>
      </c>
      <c r="AB53" s="14">
        <f>F53/(detalle!$D$2*1000000)</f>
        <v>2.3721504428759259E-5</v>
      </c>
      <c r="AC53" s="11">
        <v>0</v>
      </c>
      <c r="AD53" s="20">
        <v>0</v>
      </c>
      <c r="AE53" s="20">
        <v>0</v>
      </c>
      <c r="AF53" s="22">
        <f t="shared" si="7"/>
        <v>15</v>
      </c>
      <c r="AG53" s="12">
        <v>0</v>
      </c>
      <c r="AH53" s="12">
        <v>0</v>
      </c>
      <c r="AI53" s="20">
        <v>0</v>
      </c>
      <c r="AJ53" s="23">
        <f t="shared" si="8"/>
        <v>0</v>
      </c>
      <c r="AK53" s="23">
        <v>0</v>
      </c>
      <c r="AL53" s="28">
        <f>AK53/detalle!$D$2</f>
        <v>0</v>
      </c>
    </row>
    <row r="54" spans="1:38">
      <c r="A54" s="12">
        <v>53</v>
      </c>
      <c r="B54" s="19">
        <v>43943</v>
      </c>
      <c r="C54" s="12">
        <v>35</v>
      </c>
      <c r="D54" s="23">
        <f t="shared" si="4"/>
        <v>243</v>
      </c>
      <c r="E54" s="12">
        <v>5543</v>
      </c>
      <c r="F54" s="12">
        <v>265</v>
      </c>
      <c r="G54" s="12">
        <v>674</v>
      </c>
      <c r="H54" s="23">
        <f t="shared" si="0"/>
        <v>4604</v>
      </c>
      <c r="I54" s="23">
        <f t="shared" si="15"/>
        <v>1019</v>
      </c>
      <c r="J54" s="12">
        <v>19280</v>
      </c>
      <c r="K54" s="23">
        <f t="shared" si="14"/>
        <v>13737</v>
      </c>
      <c r="L54" s="9">
        <f t="shared" si="5"/>
        <v>93</v>
      </c>
      <c r="M54" s="14">
        <f t="shared" si="1"/>
        <v>4.7808046184376694E-2</v>
      </c>
      <c r="N54" s="14">
        <f t="shared" si="11"/>
        <v>0.23846908734052993</v>
      </c>
      <c r="O54" s="12">
        <v>3633</v>
      </c>
      <c r="P54" s="12">
        <f t="shared" si="13"/>
        <v>971</v>
      </c>
      <c r="Q54" s="12">
        <v>135</v>
      </c>
      <c r="R54" s="23">
        <f t="shared" si="2"/>
        <v>939</v>
      </c>
      <c r="S54" s="25">
        <f>(((H54+R54)/(H53+R53))-1)+detalle!$D$1</f>
        <v>0.1172776280323449</v>
      </c>
      <c r="T54" s="25">
        <f t="shared" si="6"/>
        <v>1.6418867924528286</v>
      </c>
      <c r="U54" s="10">
        <f t="shared" si="3"/>
        <v>0.12159480425762223</v>
      </c>
      <c r="V54" s="21">
        <f t="shared" si="9"/>
        <v>2.5433962264150942</v>
      </c>
      <c r="W54" s="15">
        <f>J54/detalle!$D$2</f>
        <v>1759.0407899479942</v>
      </c>
      <c r="X54" s="15">
        <f>E54/detalle!$D$2</f>
        <v>505.72422711004839</v>
      </c>
      <c r="Y54" s="22">
        <f>F54/detalle!$D$2</f>
        <v>24.177687206235397</v>
      </c>
      <c r="Z54" s="20">
        <v>93.52</v>
      </c>
      <c r="AA54" s="14">
        <f>E54/(detalle!$D$2*1000000)</f>
        <v>5.0572422711004836E-4</v>
      </c>
      <c r="AB54" s="14">
        <f>F54/(detalle!$D$2*1000000)</f>
        <v>2.4177687206235397E-5</v>
      </c>
      <c r="AC54" s="11">
        <v>0</v>
      </c>
      <c r="AD54" s="20">
        <v>0</v>
      </c>
      <c r="AE54" s="20">
        <v>0</v>
      </c>
      <c r="AF54" s="22">
        <f t="shared" si="7"/>
        <v>5</v>
      </c>
      <c r="AG54" s="12">
        <v>0</v>
      </c>
      <c r="AH54" s="12">
        <v>0</v>
      </c>
      <c r="AI54" s="20">
        <v>0</v>
      </c>
      <c r="AJ54" s="23">
        <f t="shared" si="8"/>
        <v>0</v>
      </c>
      <c r="AK54" s="23">
        <v>0</v>
      </c>
      <c r="AL54" s="28">
        <f>AK54/detalle!$D$2</f>
        <v>0</v>
      </c>
    </row>
    <row r="55" spans="1:38">
      <c r="A55" s="12">
        <v>54</v>
      </c>
      <c r="B55" s="19">
        <v>43944</v>
      </c>
      <c r="C55" s="12">
        <v>36</v>
      </c>
      <c r="D55" s="23">
        <f t="shared" si="4"/>
        <v>206</v>
      </c>
      <c r="E55" s="12">
        <v>5749</v>
      </c>
      <c r="F55" s="12">
        <v>267</v>
      </c>
      <c r="G55" s="12">
        <v>763</v>
      </c>
      <c r="H55" s="23">
        <f t="shared" si="0"/>
        <v>4719</v>
      </c>
      <c r="I55" s="23">
        <f t="shared" si="15"/>
        <v>990</v>
      </c>
      <c r="J55" s="12">
        <v>20270</v>
      </c>
      <c r="K55" s="23">
        <f t="shared" si="14"/>
        <v>14521</v>
      </c>
      <c r="L55" s="9">
        <f t="shared" si="5"/>
        <v>89</v>
      </c>
      <c r="M55" s="14">
        <f t="shared" si="1"/>
        <v>4.6442859627761353E-2</v>
      </c>
      <c r="N55" s="14">
        <f t="shared" si="11"/>
        <v>0.20808080808080809</v>
      </c>
      <c r="O55" s="12">
        <v>3653</v>
      </c>
      <c r="P55" s="12">
        <f t="shared" si="13"/>
        <v>1066</v>
      </c>
      <c r="Q55" s="12">
        <v>136</v>
      </c>
      <c r="R55" s="23">
        <f t="shared" si="2"/>
        <v>1030</v>
      </c>
      <c r="S55" s="25">
        <f>(((H55+R55)/(H54+R54))-1)+detalle!$D$1</f>
        <v>0.10859256204736981</v>
      </c>
      <c r="T55" s="25">
        <f t="shared" si="6"/>
        <v>1.5202958686631773</v>
      </c>
      <c r="U55" s="10">
        <f t="shared" si="3"/>
        <v>0.13271873369281614</v>
      </c>
      <c r="V55" s="21">
        <f t="shared" si="9"/>
        <v>2.8576779026217229</v>
      </c>
      <c r="W55" s="15">
        <f>J55/detalle!$D$2</f>
        <v>1849.36497988827</v>
      </c>
      <c r="X55" s="15">
        <f>E55/detalle!$D$2</f>
        <v>524.51895754206532</v>
      </c>
      <c r="Y55" s="22">
        <f>F55/detalle!$D$2</f>
        <v>24.360160317225855</v>
      </c>
      <c r="Z55" s="20">
        <v>93.52</v>
      </c>
      <c r="AA55" s="14">
        <f>E55/(detalle!$D$2*1000000)</f>
        <v>5.2451895754206525E-4</v>
      </c>
      <c r="AB55" s="14">
        <f>F55/(detalle!$D$2*1000000)</f>
        <v>2.4360160317225855E-5</v>
      </c>
      <c r="AC55" s="11">
        <v>0</v>
      </c>
      <c r="AD55" s="20">
        <v>0</v>
      </c>
      <c r="AE55" s="20">
        <v>0</v>
      </c>
      <c r="AF55" s="22">
        <f t="shared" si="7"/>
        <v>2</v>
      </c>
      <c r="AG55" s="12">
        <v>0</v>
      </c>
      <c r="AH55" s="12">
        <v>0</v>
      </c>
      <c r="AI55" s="20">
        <v>0</v>
      </c>
      <c r="AJ55" s="23">
        <f t="shared" si="8"/>
        <v>0</v>
      </c>
      <c r="AK55" s="23">
        <v>0</v>
      </c>
      <c r="AL55" s="28">
        <f>AK55/detalle!$D$2</f>
        <v>0</v>
      </c>
    </row>
    <row r="56" spans="1:38">
      <c r="A56" s="12">
        <v>55</v>
      </c>
      <c r="B56" s="19">
        <v>43945</v>
      </c>
      <c r="C56" s="12">
        <v>37</v>
      </c>
      <c r="D56" s="23">
        <f t="shared" si="4"/>
        <v>177</v>
      </c>
      <c r="E56" s="12">
        <v>5926</v>
      </c>
      <c r="F56" s="12">
        <v>273</v>
      </c>
      <c r="G56" s="12">
        <v>822</v>
      </c>
      <c r="H56" s="23">
        <f t="shared" si="0"/>
        <v>4831</v>
      </c>
      <c r="I56" s="23">
        <f t="shared" si="15"/>
        <v>1014</v>
      </c>
      <c r="J56" s="12">
        <v>21284</v>
      </c>
      <c r="K56" s="23">
        <f t="shared" si="14"/>
        <v>15358</v>
      </c>
      <c r="L56" s="9">
        <f t="shared" si="5"/>
        <v>59</v>
      </c>
      <c r="M56" s="14">
        <f t="shared" si="1"/>
        <v>4.6068174147823153E-2</v>
      </c>
      <c r="N56" s="14">
        <f t="shared" si="11"/>
        <v>0.17455621301775148</v>
      </c>
      <c r="O56" s="12">
        <v>3712</v>
      </c>
      <c r="P56" s="12">
        <f t="shared" si="13"/>
        <v>1119</v>
      </c>
      <c r="Q56" s="1">
        <v>136</v>
      </c>
      <c r="R56" s="23">
        <f t="shared" si="2"/>
        <v>1095</v>
      </c>
      <c r="S56" s="25">
        <f>(((H56+R56)/(H55+R55))-1)+detalle!$D$1</f>
        <v>0.10221653455259297</v>
      </c>
      <c r="T56" s="25">
        <f t="shared" si="6"/>
        <v>1.4310314837363016</v>
      </c>
      <c r="U56" s="10">
        <f t="shared" si="3"/>
        <v>0.13871076611542354</v>
      </c>
      <c r="V56" s="21">
        <f t="shared" si="9"/>
        <v>3.0109890109890109</v>
      </c>
      <c r="W56" s="15">
        <f>J56/detalle!$D$2</f>
        <v>1941.878847160431</v>
      </c>
      <c r="X56" s="15">
        <f>E56/detalle!$D$2</f>
        <v>540.66782786472061</v>
      </c>
      <c r="Y56" s="22">
        <f>F56/detalle!$D$2</f>
        <v>24.907579650197221</v>
      </c>
      <c r="Z56" s="20">
        <v>93.52</v>
      </c>
      <c r="AA56" s="14">
        <f>E56/(detalle!$D$2*1000000)</f>
        <v>5.4066782786472067E-4</v>
      </c>
      <c r="AB56" s="14">
        <f>F56/(detalle!$D$2*1000000)</f>
        <v>2.4907579650197223E-5</v>
      </c>
      <c r="AC56" s="11">
        <v>0</v>
      </c>
      <c r="AD56" s="20">
        <v>0</v>
      </c>
      <c r="AE56" s="20">
        <v>0</v>
      </c>
      <c r="AF56" s="22">
        <f t="shared" si="7"/>
        <v>6</v>
      </c>
      <c r="AG56" s="12">
        <v>0</v>
      </c>
      <c r="AH56" s="12">
        <v>0</v>
      </c>
      <c r="AI56" s="20">
        <v>0</v>
      </c>
      <c r="AJ56" s="23">
        <f t="shared" si="8"/>
        <v>0</v>
      </c>
      <c r="AK56" s="23">
        <v>0</v>
      </c>
      <c r="AL56" s="28">
        <f>AK56/detalle!$D$2</f>
        <v>0</v>
      </c>
    </row>
    <row r="57" spans="1:38">
      <c r="A57" s="12">
        <v>56</v>
      </c>
      <c r="B57" s="19">
        <v>43946</v>
      </c>
      <c r="C57" s="12">
        <v>38</v>
      </c>
      <c r="D57" s="23">
        <f t="shared" si="4"/>
        <v>209</v>
      </c>
      <c r="E57" s="12">
        <v>6135</v>
      </c>
      <c r="F57" s="12">
        <v>278</v>
      </c>
      <c r="G57" s="12">
        <v>910</v>
      </c>
      <c r="H57" s="23">
        <f t="shared" si="0"/>
        <v>4947</v>
      </c>
      <c r="I57" s="23">
        <f t="shared" si="15"/>
        <v>1214</v>
      </c>
      <c r="J57" s="12">
        <v>22498</v>
      </c>
      <c r="K57" s="23">
        <f t="shared" si="14"/>
        <v>16363</v>
      </c>
      <c r="L57" s="9">
        <f t="shared" si="5"/>
        <v>88</v>
      </c>
      <c r="M57" s="14">
        <f t="shared" si="1"/>
        <v>4.5313773431132846E-2</v>
      </c>
      <c r="N57" s="14">
        <f t="shared" si="11"/>
        <v>0.17215815485996705</v>
      </c>
      <c r="O57" s="12">
        <v>3825</v>
      </c>
      <c r="P57" s="12">
        <v>1121</v>
      </c>
      <c r="Q57" s="12">
        <v>136</v>
      </c>
      <c r="R57" s="23">
        <f t="shared" si="2"/>
        <v>1188</v>
      </c>
      <c r="S57" s="25">
        <f>(((H57+R57)/(H56+R56))-1)+detalle!$D$1</f>
        <v>0.10669688057470708</v>
      </c>
      <c r="T57" s="25">
        <f t="shared" si="6"/>
        <v>1.4937563280458992</v>
      </c>
      <c r="U57" s="10">
        <f t="shared" si="3"/>
        <v>0.14832925835370822</v>
      </c>
      <c r="V57" s="21">
        <f t="shared" si="9"/>
        <v>3.2733812949640289</v>
      </c>
      <c r="W57" s="15">
        <f>J57/detalle!$D$2</f>
        <v>2052.6400255316375</v>
      </c>
      <c r="X57" s="15">
        <f>E57/detalle!$D$2</f>
        <v>559.73626796322333</v>
      </c>
      <c r="Y57" s="22">
        <f>F57/detalle!$D$2</f>
        <v>25.363762427673361</v>
      </c>
      <c r="Z57" s="20">
        <v>93.52</v>
      </c>
      <c r="AA57" s="14">
        <f>E57/(detalle!$D$2*1000000)</f>
        <v>5.5973626796322325E-4</v>
      </c>
      <c r="AB57" s="14">
        <f>F57/(detalle!$D$2*1000000)</f>
        <v>2.5363762427673361E-5</v>
      </c>
      <c r="AC57" s="11">
        <v>0</v>
      </c>
      <c r="AD57" s="20">
        <v>0</v>
      </c>
      <c r="AE57" s="20">
        <v>0</v>
      </c>
      <c r="AF57" s="22">
        <f t="shared" si="7"/>
        <v>5</v>
      </c>
      <c r="AG57" s="12">
        <v>0</v>
      </c>
      <c r="AH57" s="12">
        <v>0</v>
      </c>
      <c r="AI57" s="20">
        <v>0</v>
      </c>
      <c r="AJ57" s="23">
        <f t="shared" si="8"/>
        <v>0</v>
      </c>
      <c r="AK57" s="23">
        <v>0</v>
      </c>
      <c r="AL57" s="28">
        <f>AK57/detalle!$D$2</f>
        <v>0</v>
      </c>
    </row>
    <row r="58" spans="1:38">
      <c r="A58" s="12">
        <v>57</v>
      </c>
      <c r="B58" s="19">
        <v>43947</v>
      </c>
      <c r="C58" s="12">
        <v>39</v>
      </c>
      <c r="D58" s="23">
        <f t="shared" si="4"/>
        <v>158</v>
      </c>
      <c r="E58" s="12">
        <v>6293</v>
      </c>
      <c r="F58" s="12">
        <v>282</v>
      </c>
      <c r="G58" s="12">
        <v>993</v>
      </c>
      <c r="H58" s="23">
        <f t="shared" si="0"/>
        <v>5018</v>
      </c>
      <c r="I58" s="23">
        <f t="shared" si="15"/>
        <v>987</v>
      </c>
      <c r="J58" s="12">
        <v>23485</v>
      </c>
      <c r="K58" s="23">
        <f t="shared" si="14"/>
        <v>17192</v>
      </c>
      <c r="L58" s="9">
        <f t="shared" si="5"/>
        <v>83</v>
      </c>
      <c r="M58" s="14">
        <f t="shared" si="1"/>
        <v>4.481169553472112E-2</v>
      </c>
      <c r="N58" s="14">
        <f t="shared" si="11"/>
        <v>0.16008105369807499</v>
      </c>
      <c r="O58" s="12">
        <v>3898</v>
      </c>
      <c r="P58" s="12">
        <v>1119</v>
      </c>
      <c r="Q58" s="12">
        <v>143</v>
      </c>
      <c r="R58" s="23">
        <f t="shared" si="2"/>
        <v>1275</v>
      </c>
      <c r="S58" s="25">
        <f>(((H58+R58)/(H57+R57))-1)+detalle!$D$1</f>
        <v>9.718244265921519E-2</v>
      </c>
      <c r="T58" s="25">
        <f t="shared" si="6"/>
        <v>1.3605541972290127</v>
      </c>
      <c r="U58" s="10">
        <f t="shared" si="3"/>
        <v>0.15779437470204991</v>
      </c>
      <c r="V58" s="21">
        <f t="shared" si="9"/>
        <v>3.521276595744681</v>
      </c>
      <c r="W58" s="15">
        <f>J58/detalle!$D$2</f>
        <v>2142.6905058054276</v>
      </c>
      <c r="X58" s="15">
        <f>E58/detalle!$D$2</f>
        <v>574.15164373146933</v>
      </c>
      <c r="Y58" s="22">
        <f>F58/detalle!$D$2</f>
        <v>25.728708649654273</v>
      </c>
      <c r="Z58" s="20">
        <v>93.52</v>
      </c>
      <c r="AA58" s="14">
        <f>E58/(detalle!$D$2*1000000)</f>
        <v>5.7415164373146924E-4</v>
      </c>
      <c r="AB58" s="14">
        <f>F58/(detalle!$D$2*1000000)</f>
        <v>2.5728708649654272E-5</v>
      </c>
      <c r="AC58" s="11">
        <v>0</v>
      </c>
      <c r="AD58" s="20">
        <v>0</v>
      </c>
      <c r="AE58" s="20">
        <v>0</v>
      </c>
      <c r="AF58" s="22">
        <f t="shared" si="7"/>
        <v>4</v>
      </c>
      <c r="AG58" s="12">
        <v>0</v>
      </c>
      <c r="AH58" s="12">
        <v>0</v>
      </c>
      <c r="AI58" s="20">
        <v>0</v>
      </c>
      <c r="AJ58" s="23">
        <f t="shared" si="8"/>
        <v>0</v>
      </c>
      <c r="AK58" s="23">
        <v>0</v>
      </c>
      <c r="AL58" s="28">
        <f>AK58/detalle!$D$2</f>
        <v>0</v>
      </c>
    </row>
    <row r="59" spans="1:38">
      <c r="A59" s="12">
        <v>58</v>
      </c>
      <c r="B59" s="19">
        <v>43948</v>
      </c>
      <c r="C59" s="12">
        <v>40</v>
      </c>
      <c r="D59" s="23">
        <f t="shared" si="4"/>
        <v>123</v>
      </c>
      <c r="E59" s="12">
        <v>6416</v>
      </c>
      <c r="F59" s="12">
        <v>286</v>
      </c>
      <c r="G59" s="12">
        <v>1165</v>
      </c>
      <c r="H59" s="23">
        <f t="shared" si="0"/>
        <v>4965</v>
      </c>
      <c r="I59" s="23">
        <f t="shared" si="15"/>
        <v>494</v>
      </c>
      <c r="J59" s="12">
        <v>23979</v>
      </c>
      <c r="K59" s="23">
        <f t="shared" si="14"/>
        <v>17563</v>
      </c>
      <c r="L59" s="9">
        <f t="shared" si="5"/>
        <v>172</v>
      </c>
      <c r="M59" s="14">
        <f t="shared" si="1"/>
        <v>4.4576059850374064E-2</v>
      </c>
      <c r="N59" s="14">
        <f t="shared" si="11"/>
        <v>0.24898785425101214</v>
      </c>
      <c r="O59" s="12">
        <v>3849</v>
      </c>
      <c r="P59" s="12">
        <f t="shared" ref="P59:P95" si="16">H59-O59</f>
        <v>1116</v>
      </c>
      <c r="Q59" s="12">
        <v>143</v>
      </c>
      <c r="R59" s="23">
        <f t="shared" si="2"/>
        <v>1451</v>
      </c>
      <c r="S59" s="25">
        <f>(((H59+R59)/(H58+R58))-1)+detalle!$D$1</f>
        <v>9.097409820435412E-2</v>
      </c>
      <c r="T59" s="25">
        <f t="shared" si="6"/>
        <v>1.2736373748609577</v>
      </c>
      <c r="U59" s="10">
        <f t="shared" si="3"/>
        <v>0.18157730673316708</v>
      </c>
      <c r="V59" s="21">
        <f t="shared" si="9"/>
        <v>4.0734265734265733</v>
      </c>
      <c r="W59" s="15">
        <f>J59/detalle!$D$2</f>
        <v>2187.7613642200704</v>
      </c>
      <c r="X59" s="15">
        <f>E59/detalle!$D$2</f>
        <v>585.37374005738229</v>
      </c>
      <c r="Y59" s="22">
        <f>F59/detalle!$D$2</f>
        <v>26.093654871635184</v>
      </c>
      <c r="Z59" s="20">
        <v>93.52</v>
      </c>
      <c r="AA59" s="14">
        <f>E59/(detalle!$D$2*1000000)</f>
        <v>5.8537374005738227E-4</v>
      </c>
      <c r="AB59" s="14">
        <f>F59/(detalle!$D$2*1000000)</f>
        <v>2.6093654871635183E-5</v>
      </c>
      <c r="AC59" s="11">
        <v>0</v>
      </c>
      <c r="AD59" s="20">
        <v>0</v>
      </c>
      <c r="AE59" s="20">
        <v>0</v>
      </c>
      <c r="AF59" s="22">
        <f t="shared" si="7"/>
        <v>4</v>
      </c>
      <c r="AG59" s="12">
        <v>0</v>
      </c>
      <c r="AH59" s="12">
        <v>0</v>
      </c>
      <c r="AI59" s="20">
        <v>0</v>
      </c>
      <c r="AJ59" s="23">
        <f t="shared" si="8"/>
        <v>0</v>
      </c>
      <c r="AK59" s="23">
        <v>0</v>
      </c>
      <c r="AL59" s="28">
        <f>AK59/detalle!$D$2</f>
        <v>0</v>
      </c>
    </row>
    <row r="60" spans="1:38">
      <c r="A60" s="12">
        <v>59</v>
      </c>
      <c r="B60" s="19">
        <v>43949</v>
      </c>
      <c r="C60" s="12">
        <v>41</v>
      </c>
      <c r="D60" s="23">
        <f t="shared" si="4"/>
        <v>236</v>
      </c>
      <c r="E60" s="12">
        <v>6652</v>
      </c>
      <c r="F60" s="12">
        <v>293</v>
      </c>
      <c r="G60" s="12">
        <v>1228</v>
      </c>
      <c r="H60" s="23">
        <f t="shared" si="0"/>
        <v>5131</v>
      </c>
      <c r="I60" s="23">
        <f t="shared" si="15"/>
        <v>1389</v>
      </c>
      <c r="J60" s="12">
        <v>25368</v>
      </c>
      <c r="K60" s="23">
        <f t="shared" si="14"/>
        <v>18716</v>
      </c>
      <c r="L60" s="9">
        <f t="shared" si="5"/>
        <v>63</v>
      </c>
      <c r="M60" s="14">
        <f t="shared" si="1"/>
        <v>4.4046903187011426E-2</v>
      </c>
      <c r="N60" s="14">
        <f t="shared" si="11"/>
        <v>0.16990640748740102</v>
      </c>
      <c r="O60" s="12">
        <v>3966</v>
      </c>
      <c r="P60" s="12">
        <f t="shared" si="16"/>
        <v>1165</v>
      </c>
      <c r="Q60" s="12">
        <v>144</v>
      </c>
      <c r="R60" s="23">
        <f t="shared" si="2"/>
        <v>1521</v>
      </c>
      <c r="S60" s="25">
        <f>(((H60+R60)/(H59+R59))-1)+detalle!$D$1</f>
        <v>0.1082116138225864</v>
      </c>
      <c r="T60" s="25">
        <f t="shared" si="6"/>
        <v>1.5149625935162097</v>
      </c>
      <c r="U60" s="10">
        <f t="shared" si="3"/>
        <v>0.1846061334936861</v>
      </c>
      <c r="V60" s="21">
        <f t="shared" si="9"/>
        <v>4.1911262798634814</v>
      </c>
      <c r="W60" s="15">
        <f>J60/detalle!$D$2</f>
        <v>2314.4889398029418</v>
      </c>
      <c r="X60" s="15">
        <f>E60/detalle!$D$2</f>
        <v>606.90556715425612</v>
      </c>
      <c r="Y60" s="22">
        <f>F60/detalle!$D$2</f>
        <v>26.732310760101779</v>
      </c>
      <c r="Z60" s="20">
        <v>97.22</v>
      </c>
      <c r="AA60" s="14">
        <f>E60/(detalle!$D$2*1000000)</f>
        <v>6.069055671542561E-4</v>
      </c>
      <c r="AB60" s="14">
        <f>F60/(detalle!$D$2*1000000)</f>
        <v>2.6732310760101779E-5</v>
      </c>
      <c r="AC60" s="11">
        <v>0</v>
      </c>
      <c r="AD60" s="20">
        <v>0</v>
      </c>
      <c r="AE60" s="20">
        <v>0</v>
      </c>
      <c r="AF60" s="22">
        <f t="shared" si="7"/>
        <v>7</v>
      </c>
      <c r="AG60" s="12">
        <v>0</v>
      </c>
      <c r="AH60" s="12">
        <v>0</v>
      </c>
      <c r="AI60" s="20">
        <v>0</v>
      </c>
      <c r="AJ60" s="23">
        <f t="shared" si="8"/>
        <v>0</v>
      </c>
      <c r="AK60" s="23">
        <v>0</v>
      </c>
      <c r="AL60" s="28">
        <f>AK60/detalle!$D$2</f>
        <v>0</v>
      </c>
    </row>
    <row r="61" spans="1:38">
      <c r="A61" s="12">
        <v>60</v>
      </c>
      <c r="B61" s="19">
        <v>43950</v>
      </c>
      <c r="C61" s="12">
        <v>42</v>
      </c>
      <c r="D61" s="23">
        <f t="shared" si="4"/>
        <v>320</v>
      </c>
      <c r="E61" s="12">
        <v>6972</v>
      </c>
      <c r="F61" s="12">
        <v>301</v>
      </c>
      <c r="G61" s="12">
        <v>1301</v>
      </c>
      <c r="H61" s="23">
        <f t="shared" si="0"/>
        <v>5370</v>
      </c>
      <c r="I61" s="23">
        <f t="shared" si="15"/>
        <v>1613</v>
      </c>
      <c r="J61" s="12">
        <v>26981</v>
      </c>
      <c r="K61" s="23">
        <f t="shared" si="14"/>
        <v>20009</v>
      </c>
      <c r="L61" s="9">
        <f t="shared" si="5"/>
        <v>73</v>
      </c>
      <c r="M61" s="14">
        <f t="shared" si="1"/>
        <v>4.3172690763052211E-2</v>
      </c>
      <c r="N61" s="14">
        <f t="shared" si="11"/>
        <v>0.19838809671419716</v>
      </c>
      <c r="O61" s="12">
        <v>4150</v>
      </c>
      <c r="P61" s="12">
        <f t="shared" si="16"/>
        <v>1220</v>
      </c>
      <c r="Q61" s="12">
        <v>135</v>
      </c>
      <c r="R61" s="23">
        <f t="shared" si="2"/>
        <v>1602</v>
      </c>
      <c r="S61" s="25">
        <f>(((H61+R61)/(H60+R60))-1)+detalle!$D$1</f>
        <v>0.11953440426080222</v>
      </c>
      <c r="T61" s="25">
        <f t="shared" si="6"/>
        <v>1.6734816596512312</v>
      </c>
      <c r="U61" s="10">
        <f t="shared" si="3"/>
        <v>0.18660355708548479</v>
      </c>
      <c r="V61" s="21">
        <f t="shared" si="9"/>
        <v>4.3222591362126241</v>
      </c>
      <c r="W61" s="15">
        <f>J61/detalle!$D$2</f>
        <v>2461.6535038167444</v>
      </c>
      <c r="X61" s="15">
        <f>E61/detalle!$D$2</f>
        <v>636.10126491272911</v>
      </c>
      <c r="Y61" s="22">
        <f>F61/detalle!$D$2</f>
        <v>27.462203204063606</v>
      </c>
      <c r="Z61" s="20">
        <v>97.22</v>
      </c>
      <c r="AA61" s="14">
        <f>E61/(detalle!$D$2*1000000)</f>
        <v>6.3610126491272904E-4</v>
      </c>
      <c r="AB61" s="14">
        <f>F61/(detalle!$D$2*1000000)</f>
        <v>2.7462203204063604E-5</v>
      </c>
      <c r="AC61" s="11">
        <v>0</v>
      </c>
      <c r="AD61" s="20">
        <v>0</v>
      </c>
      <c r="AE61" s="20">
        <v>0</v>
      </c>
      <c r="AF61" s="22">
        <f t="shared" si="7"/>
        <v>8</v>
      </c>
      <c r="AG61" s="12">
        <v>0</v>
      </c>
      <c r="AH61" s="12">
        <v>0</v>
      </c>
      <c r="AI61" s="20">
        <v>0</v>
      </c>
      <c r="AJ61" s="23">
        <f t="shared" si="8"/>
        <v>0</v>
      </c>
      <c r="AK61" s="23">
        <v>0</v>
      </c>
      <c r="AL61" s="28">
        <f>AK61/detalle!$D$2</f>
        <v>0</v>
      </c>
    </row>
    <row r="62" spans="1:38">
      <c r="A62" s="12">
        <v>61</v>
      </c>
      <c r="B62" s="19">
        <v>43951</v>
      </c>
      <c r="C62" s="12">
        <v>43</v>
      </c>
      <c r="D62" s="23">
        <f t="shared" si="4"/>
        <v>316</v>
      </c>
      <c r="E62" s="12">
        <v>7288</v>
      </c>
      <c r="F62" s="12">
        <v>313</v>
      </c>
      <c r="G62" s="12">
        <v>1387</v>
      </c>
      <c r="H62" s="23">
        <f t="shared" si="0"/>
        <v>5588</v>
      </c>
      <c r="I62" s="23">
        <f t="shared" si="15"/>
        <v>1465</v>
      </c>
      <c r="J62" s="12">
        <v>28446</v>
      </c>
      <c r="K62" s="23">
        <f t="shared" si="14"/>
        <v>21158</v>
      </c>
      <c r="L62" s="9">
        <f t="shared" si="5"/>
        <v>86</v>
      </c>
      <c r="M62" s="14">
        <f t="shared" si="1"/>
        <v>4.2947310647639958E-2</v>
      </c>
      <c r="N62" s="14">
        <f t="shared" si="11"/>
        <v>0.21569965870307167</v>
      </c>
      <c r="O62" s="12">
        <v>4256</v>
      </c>
      <c r="P62" s="12">
        <f t="shared" si="16"/>
        <v>1332</v>
      </c>
      <c r="Q62" s="12">
        <v>108</v>
      </c>
      <c r="R62" s="23">
        <f t="shared" si="2"/>
        <v>1700</v>
      </c>
      <c r="S62" s="25">
        <f>(((H62+R62)/(H61+R61))-1)+detalle!$D$1</f>
        <v>0.11675272518646021</v>
      </c>
      <c r="T62" s="25">
        <f t="shared" si="6"/>
        <v>1.634538152610443</v>
      </c>
      <c r="U62" s="10">
        <f t="shared" si="3"/>
        <v>0.19031284302963777</v>
      </c>
      <c r="V62" s="21">
        <f t="shared" si="9"/>
        <v>4.4313099041533546</v>
      </c>
      <c r="W62" s="15">
        <f>J62/detalle!$D$2</f>
        <v>2595.3150576172534</v>
      </c>
      <c r="X62" s="15">
        <f>E62/detalle!$D$2</f>
        <v>664.93201644922112</v>
      </c>
      <c r="Y62" s="22">
        <f>F62/detalle!$D$2</f>
        <v>28.557041870006341</v>
      </c>
      <c r="Z62" s="20">
        <v>97.22</v>
      </c>
      <c r="AA62" s="14">
        <f>E62/(detalle!$D$2*1000000)</f>
        <v>6.6493201644922102E-4</v>
      </c>
      <c r="AB62" s="14">
        <f>F62/(detalle!$D$2*1000000)</f>
        <v>2.8557041870006337E-5</v>
      </c>
      <c r="AC62" s="11">
        <v>0</v>
      </c>
      <c r="AD62" s="20">
        <v>0</v>
      </c>
      <c r="AE62" s="20">
        <v>0</v>
      </c>
      <c r="AF62" s="22">
        <f t="shared" si="7"/>
        <v>12</v>
      </c>
      <c r="AG62" s="12">
        <v>0</v>
      </c>
      <c r="AH62" s="12">
        <v>0</v>
      </c>
      <c r="AI62" s="20">
        <v>0</v>
      </c>
      <c r="AJ62" s="23">
        <f t="shared" si="8"/>
        <v>0</v>
      </c>
      <c r="AK62" s="23">
        <v>0</v>
      </c>
      <c r="AL62" s="28">
        <f>AK62/detalle!$D$2</f>
        <v>0</v>
      </c>
    </row>
    <row r="63" spans="1:38">
      <c r="A63" s="12">
        <v>62</v>
      </c>
      <c r="B63" s="19">
        <v>43952</v>
      </c>
      <c r="C63" s="12">
        <v>44</v>
      </c>
      <c r="D63" s="23">
        <f t="shared" si="4"/>
        <v>290</v>
      </c>
      <c r="E63" s="12">
        <v>7578</v>
      </c>
      <c r="F63" s="12">
        <v>326</v>
      </c>
      <c r="G63" s="12">
        <v>1481</v>
      </c>
      <c r="H63" s="23">
        <f t="shared" si="0"/>
        <v>5771</v>
      </c>
      <c r="I63" s="23">
        <f t="shared" si="15"/>
        <v>1656</v>
      </c>
      <c r="J63" s="12">
        <v>30102</v>
      </c>
      <c r="K63" s="23">
        <f t="shared" si="14"/>
        <v>22524</v>
      </c>
      <c r="L63" s="9">
        <f t="shared" si="5"/>
        <v>94</v>
      </c>
      <c r="M63" s="14">
        <f t="shared" si="1"/>
        <v>4.3019266297176034E-2</v>
      </c>
      <c r="N63" s="14">
        <f t="shared" si="11"/>
        <v>0.1751207729468599</v>
      </c>
      <c r="O63" s="12">
        <v>4403</v>
      </c>
      <c r="P63" s="12">
        <f t="shared" si="16"/>
        <v>1368</v>
      </c>
      <c r="Q63" s="12">
        <v>108</v>
      </c>
      <c r="R63" s="23">
        <f t="shared" si="2"/>
        <v>1807</v>
      </c>
      <c r="S63" s="25">
        <f>(((H63+R63)/(H62+R62))-1)+detalle!$D$1</f>
        <v>0.11122000940881296</v>
      </c>
      <c r="T63" s="25">
        <f t="shared" si="6"/>
        <v>1.5570801317233816</v>
      </c>
      <c r="U63" s="10">
        <f t="shared" si="3"/>
        <v>0.19543415149115861</v>
      </c>
      <c r="V63" s="21">
        <f t="shared" si="9"/>
        <v>4.5429447852760738</v>
      </c>
      <c r="W63" s="15">
        <f>J63/detalle!$D$2</f>
        <v>2746.4027935173508</v>
      </c>
      <c r="X63" s="15">
        <f>E63/detalle!$D$2</f>
        <v>691.39061754283716</v>
      </c>
      <c r="Y63" s="22">
        <f>F63/detalle!$D$2</f>
        <v>29.743117091444301</v>
      </c>
      <c r="Z63" s="20">
        <v>97.22</v>
      </c>
      <c r="AA63" s="14">
        <f>E63/(detalle!$D$2*1000000)</f>
        <v>6.9139061754283713E-4</v>
      </c>
      <c r="AB63" s="14">
        <f>F63/(detalle!$D$2*1000000)</f>
        <v>2.9743117091444301E-5</v>
      </c>
      <c r="AC63" s="11">
        <v>0</v>
      </c>
      <c r="AD63" s="20">
        <v>0</v>
      </c>
      <c r="AE63" s="20">
        <v>0</v>
      </c>
      <c r="AF63" s="22">
        <f t="shared" si="7"/>
        <v>13</v>
      </c>
      <c r="AG63" s="12">
        <v>0</v>
      </c>
      <c r="AH63" s="12">
        <v>0</v>
      </c>
      <c r="AI63" s="20">
        <v>0</v>
      </c>
      <c r="AJ63" s="23">
        <f t="shared" si="8"/>
        <v>0</v>
      </c>
      <c r="AK63" s="23">
        <v>0</v>
      </c>
      <c r="AL63" s="28">
        <f>AK63/detalle!$D$2</f>
        <v>0</v>
      </c>
    </row>
    <row r="64" spans="1:38">
      <c r="A64" s="12">
        <v>63</v>
      </c>
      <c r="B64" s="19">
        <v>43953</v>
      </c>
      <c r="C64" s="12">
        <v>45</v>
      </c>
      <c r="D64" s="23">
        <f t="shared" si="4"/>
        <v>376</v>
      </c>
      <c r="E64" s="12">
        <v>7954</v>
      </c>
      <c r="F64" s="12">
        <v>333</v>
      </c>
      <c r="G64" s="12">
        <v>1606</v>
      </c>
      <c r="H64" s="23">
        <f t="shared" si="0"/>
        <v>6015</v>
      </c>
      <c r="I64" s="23">
        <f t="shared" si="15"/>
        <v>1923</v>
      </c>
      <c r="J64" s="12">
        <v>32025</v>
      </c>
      <c r="K64" s="23">
        <f t="shared" si="14"/>
        <v>24071</v>
      </c>
      <c r="L64" s="9">
        <f t="shared" si="5"/>
        <v>125</v>
      </c>
      <c r="M64" s="14">
        <f t="shared" si="1"/>
        <v>4.1865727935629871E-2</v>
      </c>
      <c r="N64" s="14">
        <f t="shared" si="11"/>
        <v>0.1955278211128445</v>
      </c>
      <c r="O64" s="12">
        <v>4586</v>
      </c>
      <c r="P64" s="12">
        <f t="shared" si="16"/>
        <v>1429</v>
      </c>
      <c r="Q64" s="12">
        <v>125</v>
      </c>
      <c r="R64" s="23">
        <f t="shared" si="2"/>
        <v>1939</v>
      </c>
      <c r="S64" s="25">
        <f>(((H64+R64)/(H63+R63))-1)+detalle!$D$1</f>
        <v>0.12104588470384184</v>
      </c>
      <c r="T64" s="25">
        <f t="shared" si="6"/>
        <v>1.6946423858537858</v>
      </c>
      <c r="U64" s="10">
        <f t="shared" si="3"/>
        <v>0.20191098818204678</v>
      </c>
      <c r="V64" s="21">
        <f t="shared" si="9"/>
        <v>4.8228228228228227</v>
      </c>
      <c r="W64" s="15">
        <f>J64/detalle!$D$2</f>
        <v>2921.8506897346742</v>
      </c>
      <c r="X64" s="15">
        <f>E64/detalle!$D$2</f>
        <v>725.69556240904285</v>
      </c>
      <c r="Y64" s="22">
        <f>F64/detalle!$D$2</f>
        <v>30.381772979910899</v>
      </c>
      <c r="Z64" s="20">
        <v>97.22</v>
      </c>
      <c r="AA64" s="14">
        <f>E64/(detalle!$D$2*1000000)</f>
        <v>7.2569556240904289E-4</v>
      </c>
      <c r="AB64" s="14">
        <f>F64/(detalle!$D$2*1000000)</f>
        <v>3.0381772979910896E-5</v>
      </c>
      <c r="AC64" s="11">
        <v>0</v>
      </c>
      <c r="AD64" s="20">
        <v>0</v>
      </c>
      <c r="AE64" s="20">
        <v>0</v>
      </c>
      <c r="AF64" s="22">
        <f t="shared" si="7"/>
        <v>7</v>
      </c>
      <c r="AG64" s="12">
        <v>0</v>
      </c>
      <c r="AH64" s="12">
        <v>0</v>
      </c>
      <c r="AI64" s="20">
        <v>0</v>
      </c>
      <c r="AJ64" s="23">
        <f t="shared" si="8"/>
        <v>0</v>
      </c>
      <c r="AK64" s="23">
        <v>0</v>
      </c>
      <c r="AL64" s="28">
        <f>AK64/detalle!$D$2</f>
        <v>0</v>
      </c>
    </row>
    <row r="65" spans="1:38">
      <c r="A65" s="12">
        <v>64</v>
      </c>
      <c r="B65" s="19">
        <v>43954</v>
      </c>
      <c r="C65" s="12">
        <v>46</v>
      </c>
      <c r="D65" s="23">
        <f t="shared" si="4"/>
        <v>281</v>
      </c>
      <c r="E65" s="12">
        <v>8235</v>
      </c>
      <c r="F65" s="12">
        <v>346</v>
      </c>
      <c r="G65" s="12">
        <v>1771</v>
      </c>
      <c r="H65" s="23">
        <f t="shared" si="0"/>
        <v>6118</v>
      </c>
      <c r="I65" s="23">
        <f t="shared" si="15"/>
        <v>1352</v>
      </c>
      <c r="J65" s="12">
        <v>33377</v>
      </c>
      <c r="K65" s="23">
        <f t="shared" si="14"/>
        <v>25142</v>
      </c>
      <c r="L65" s="9">
        <f t="shared" si="5"/>
        <v>165</v>
      </c>
      <c r="M65" s="14">
        <f t="shared" si="1"/>
        <v>4.2015786278081363E-2</v>
      </c>
      <c r="N65" s="14">
        <f t="shared" si="11"/>
        <v>0.20784023668639054</v>
      </c>
      <c r="O65" s="12">
        <v>4611</v>
      </c>
      <c r="P65" s="12">
        <f t="shared" si="16"/>
        <v>1507</v>
      </c>
      <c r="Q65" s="12">
        <v>132</v>
      </c>
      <c r="R65" s="23">
        <f t="shared" si="2"/>
        <v>2117</v>
      </c>
      <c r="S65" s="25">
        <f>(((H65+R65)/(H64+R64))-1)+detalle!$D$1</f>
        <v>0.106756708215094</v>
      </c>
      <c r="T65" s="25">
        <f t="shared" si="6"/>
        <v>1.4945939150113161</v>
      </c>
      <c r="U65" s="10">
        <f t="shared" si="3"/>
        <v>0.21505768063145111</v>
      </c>
      <c r="V65" s="21">
        <f t="shared" si="9"/>
        <v>5.1184971098265892</v>
      </c>
      <c r="W65" s="15">
        <f>J65/detalle!$D$2</f>
        <v>3045.2025127642223</v>
      </c>
      <c r="X65" s="15">
        <f>E65/detalle!$D$2</f>
        <v>751.33303450320193</v>
      </c>
      <c r="Y65" s="22">
        <f>F65/detalle!$D$2</f>
        <v>31.567848201348859</v>
      </c>
      <c r="Z65" s="20">
        <v>97.22</v>
      </c>
      <c r="AA65" s="14">
        <f>E65/(detalle!$D$2*1000000)</f>
        <v>7.5133303450320192E-4</v>
      </c>
      <c r="AB65" s="14">
        <f>F65/(detalle!$D$2*1000000)</f>
        <v>3.1567848201348857E-5</v>
      </c>
      <c r="AC65" s="11">
        <v>0</v>
      </c>
      <c r="AD65" s="20">
        <v>0</v>
      </c>
      <c r="AE65" s="20">
        <v>0</v>
      </c>
      <c r="AF65" s="22">
        <f t="shared" si="7"/>
        <v>13</v>
      </c>
      <c r="AG65" s="12">
        <v>0</v>
      </c>
      <c r="AH65" s="12">
        <v>0</v>
      </c>
      <c r="AI65" s="20">
        <v>0</v>
      </c>
      <c r="AJ65" s="23">
        <f t="shared" si="8"/>
        <v>0</v>
      </c>
      <c r="AK65" s="23">
        <v>0</v>
      </c>
      <c r="AL65" s="28">
        <f>AK65/detalle!$D$2</f>
        <v>0</v>
      </c>
    </row>
    <row r="66" spans="1:38">
      <c r="A66" s="12">
        <v>65</v>
      </c>
      <c r="B66" s="19">
        <v>43955</v>
      </c>
      <c r="C66" s="12">
        <v>47</v>
      </c>
      <c r="D66" s="23">
        <f t="shared" si="4"/>
        <v>245</v>
      </c>
      <c r="E66" s="12">
        <v>8480</v>
      </c>
      <c r="F66" s="12">
        <v>354</v>
      </c>
      <c r="G66" s="12">
        <v>1905</v>
      </c>
      <c r="H66" s="23">
        <f t="shared" ref="H66:H129" si="17">E66-F66-G66</f>
        <v>6221</v>
      </c>
      <c r="I66" s="23">
        <f t="shared" si="15"/>
        <v>959</v>
      </c>
      <c r="J66" s="12">
        <v>34336</v>
      </c>
      <c r="K66" s="23">
        <f t="shared" si="14"/>
        <v>25856</v>
      </c>
      <c r="L66" s="9">
        <f t="shared" si="5"/>
        <v>134</v>
      </c>
      <c r="M66" s="14">
        <f t="shared" ref="M66:M129" si="18">F66/E66</f>
        <v>4.1745283018867922E-2</v>
      </c>
      <c r="N66" s="14">
        <f t="shared" si="11"/>
        <v>0.25547445255474455</v>
      </c>
      <c r="O66" s="12">
        <v>4663</v>
      </c>
      <c r="P66" s="12">
        <f t="shared" si="16"/>
        <v>1558</v>
      </c>
      <c r="Q66" s="12">
        <v>126</v>
      </c>
      <c r="R66" s="23">
        <f t="shared" ref="R66:R129" si="19">F66+G66</f>
        <v>2259</v>
      </c>
      <c r="S66" s="25">
        <f>(((H66+R66)/(H65+R65))-1)+detalle!$D$1</f>
        <v>0.10117963396651922</v>
      </c>
      <c r="T66" s="25">
        <f t="shared" si="6"/>
        <v>1.4165148755312691</v>
      </c>
      <c r="U66" s="10">
        <f t="shared" ref="U66:U129" si="20">G66/E66</f>
        <v>0.22464622641509435</v>
      </c>
      <c r="V66" s="21">
        <f t="shared" si="9"/>
        <v>5.3813559322033901</v>
      </c>
      <c r="W66" s="15">
        <f>J66/detalle!$D$2</f>
        <v>3132.698369484146</v>
      </c>
      <c r="X66" s="15">
        <f>E66/detalle!$D$2</f>
        <v>773.68599059953272</v>
      </c>
      <c r="Y66" s="22">
        <f>F66/detalle!$D$2</f>
        <v>32.297740645310682</v>
      </c>
      <c r="Z66" s="20">
        <v>97.22</v>
      </c>
      <c r="AA66" s="14">
        <f>E66/(detalle!$D$2*1000000)</f>
        <v>7.7368599059953272E-4</v>
      </c>
      <c r="AB66" s="14">
        <f>F66/(detalle!$D$2*1000000)</f>
        <v>3.2297740645310686E-5</v>
      </c>
      <c r="AC66" s="11">
        <v>0</v>
      </c>
      <c r="AD66" s="20">
        <v>0</v>
      </c>
      <c r="AE66" s="20">
        <v>0</v>
      </c>
      <c r="AF66" s="22">
        <f t="shared" si="7"/>
        <v>8</v>
      </c>
      <c r="AG66" s="12">
        <v>0</v>
      </c>
      <c r="AH66" s="12">
        <v>0</v>
      </c>
      <c r="AI66" s="20">
        <v>0</v>
      </c>
      <c r="AJ66" s="23">
        <f t="shared" si="8"/>
        <v>0</v>
      </c>
      <c r="AK66" s="23">
        <v>0</v>
      </c>
      <c r="AL66" s="28">
        <f>AK66/detalle!$D$2</f>
        <v>0</v>
      </c>
    </row>
    <row r="67" spans="1:38">
      <c r="A67" s="12">
        <v>66</v>
      </c>
      <c r="B67" s="19">
        <v>43956</v>
      </c>
      <c r="C67" s="12">
        <v>48</v>
      </c>
      <c r="D67" s="23">
        <f t="shared" ref="D67:D130" si="21">E67-E66</f>
        <v>327</v>
      </c>
      <c r="E67" s="12">
        <v>8807</v>
      </c>
      <c r="F67" s="12">
        <v>362</v>
      </c>
      <c r="G67" s="12">
        <v>1989</v>
      </c>
      <c r="H67" s="23">
        <f t="shared" si="17"/>
        <v>6456</v>
      </c>
      <c r="I67" s="23">
        <f t="shared" si="15"/>
        <v>1004</v>
      </c>
      <c r="J67" s="12">
        <v>35340</v>
      </c>
      <c r="K67" s="23">
        <f t="shared" si="14"/>
        <v>26533</v>
      </c>
      <c r="L67" s="9">
        <f t="shared" ref="L67:L130" si="22">G67-G66</f>
        <v>84</v>
      </c>
      <c r="M67" s="14">
        <f t="shared" si="18"/>
        <v>4.1103667537186327E-2</v>
      </c>
      <c r="N67" s="14">
        <f t="shared" si="11"/>
        <v>0.32569721115537847</v>
      </c>
      <c r="O67" s="12">
        <v>4858</v>
      </c>
      <c r="P67" s="12">
        <f t="shared" si="16"/>
        <v>1598</v>
      </c>
      <c r="Q67" s="20">
        <v>134</v>
      </c>
      <c r="R67" s="23">
        <f t="shared" si="19"/>
        <v>2351</v>
      </c>
      <c r="S67" s="25">
        <f>(((H67+R67)/(H66+R66))-1)+detalle!$D$1</f>
        <v>0.1099898921832885</v>
      </c>
      <c r="T67" s="25">
        <f t="shared" ref="T67:T130" si="23">S67*14</f>
        <v>1.5398584905660391</v>
      </c>
      <c r="U67" s="10">
        <f t="shared" si="20"/>
        <v>0.225843079368684</v>
      </c>
      <c r="V67" s="21">
        <f t="shared" si="9"/>
        <v>5.4944751381215466</v>
      </c>
      <c r="W67" s="15">
        <f>J67/detalle!$D$2</f>
        <v>3224.2998712013546</v>
      </c>
      <c r="X67" s="15">
        <f>E67/detalle!$D$2</f>
        <v>803.52034424647229</v>
      </c>
      <c r="Y67" s="22">
        <f>F67/detalle!$D$2</f>
        <v>33.027633089272506</v>
      </c>
      <c r="Z67" s="20">
        <v>97.22</v>
      </c>
      <c r="AA67" s="14">
        <f>E67/(detalle!$D$2*1000000)</f>
        <v>8.0352034424647232E-4</v>
      </c>
      <c r="AB67" s="14">
        <f>F67/(detalle!$D$2*1000000)</f>
        <v>3.3027633089272508E-5</v>
      </c>
      <c r="AC67" s="11">
        <v>0</v>
      </c>
      <c r="AD67" s="20">
        <v>0</v>
      </c>
      <c r="AE67" s="20">
        <v>0</v>
      </c>
      <c r="AF67" s="22">
        <f t="shared" ref="AF67:AF130" si="24">F67-F66</f>
        <v>8</v>
      </c>
      <c r="AG67" s="12">
        <v>0</v>
      </c>
      <c r="AH67" s="12">
        <v>0</v>
      </c>
      <c r="AI67" s="20">
        <v>0</v>
      </c>
      <c r="AJ67" s="23">
        <f t="shared" ref="AJ67:AJ130" si="25">AK67-AK66</f>
        <v>0</v>
      </c>
      <c r="AK67" s="23">
        <v>0</v>
      </c>
      <c r="AL67" s="28">
        <f>AK67/detalle!$D$2</f>
        <v>0</v>
      </c>
    </row>
    <row r="68" spans="1:38">
      <c r="A68" s="12">
        <v>67</v>
      </c>
      <c r="B68" s="19">
        <v>43957</v>
      </c>
      <c r="C68" s="12">
        <v>49</v>
      </c>
      <c r="D68" s="23">
        <f t="shared" si="21"/>
        <v>288</v>
      </c>
      <c r="E68" s="12">
        <v>9095</v>
      </c>
      <c r="F68" s="12">
        <v>373</v>
      </c>
      <c r="G68" s="12">
        <v>2064</v>
      </c>
      <c r="H68" s="23">
        <f t="shared" si="17"/>
        <v>6658</v>
      </c>
      <c r="I68" s="23">
        <f t="shared" si="15"/>
        <v>1619</v>
      </c>
      <c r="J68" s="12">
        <v>36959</v>
      </c>
      <c r="K68" s="23">
        <f t="shared" si="14"/>
        <v>27864</v>
      </c>
      <c r="L68" s="9">
        <f t="shared" si="22"/>
        <v>75</v>
      </c>
      <c r="M68" s="14">
        <f t="shared" si="18"/>
        <v>4.1011544804837825E-2</v>
      </c>
      <c r="N68" s="14">
        <f t="shared" si="11"/>
        <v>0.1778875849289685</v>
      </c>
      <c r="O68" s="12">
        <v>5017</v>
      </c>
      <c r="P68" s="12">
        <f t="shared" si="16"/>
        <v>1641</v>
      </c>
      <c r="Q68" s="20">
        <v>133</v>
      </c>
      <c r="R68" s="23">
        <f t="shared" si="19"/>
        <v>2437</v>
      </c>
      <c r="S68" s="25">
        <f>(((H68+R68)/(H67+R67))-1)+detalle!$D$1</f>
        <v>0.10412983178964777</v>
      </c>
      <c r="T68" s="25">
        <f t="shared" si="23"/>
        <v>1.4578176450550688</v>
      </c>
      <c r="U68" s="10">
        <f t="shared" si="20"/>
        <v>0.22693787795492029</v>
      </c>
      <c r="V68" s="21">
        <f t="shared" si="9"/>
        <v>5.5335120643431637</v>
      </c>
      <c r="W68" s="15">
        <f>J68/detalle!$D$2</f>
        <v>3372.0118545481287</v>
      </c>
      <c r="X68" s="15">
        <f>E68/detalle!$D$2</f>
        <v>829.79647222909796</v>
      </c>
      <c r="Y68" s="22">
        <f>F68/detalle!$D$2</f>
        <v>34.031235199720015</v>
      </c>
      <c r="Z68" s="20">
        <v>97.22</v>
      </c>
      <c r="AA68" s="14">
        <f>E68/(detalle!$D$2*1000000)</f>
        <v>8.2979647222909789E-4</v>
      </c>
      <c r="AB68" s="14">
        <f>F68/(detalle!$D$2*1000000)</f>
        <v>3.4031235199720011E-5</v>
      </c>
      <c r="AC68" s="11">
        <v>0</v>
      </c>
      <c r="AD68" s="20">
        <v>0</v>
      </c>
      <c r="AE68" s="20">
        <v>0</v>
      </c>
      <c r="AF68" s="22">
        <f t="shared" si="24"/>
        <v>11</v>
      </c>
      <c r="AG68" s="12">
        <v>0</v>
      </c>
      <c r="AH68" s="12">
        <v>0</v>
      </c>
      <c r="AI68" s="20">
        <v>0</v>
      </c>
      <c r="AJ68" s="23">
        <f t="shared" si="25"/>
        <v>0</v>
      </c>
      <c r="AK68" s="23">
        <v>0</v>
      </c>
      <c r="AL68" s="28">
        <f>AK68/detalle!$D$2</f>
        <v>0</v>
      </c>
    </row>
    <row r="69" spans="1:38">
      <c r="A69" s="12">
        <v>68</v>
      </c>
      <c r="B69" s="19">
        <v>43958</v>
      </c>
      <c r="C69" s="12">
        <v>50</v>
      </c>
      <c r="D69" s="23">
        <f t="shared" si="21"/>
        <v>281</v>
      </c>
      <c r="E69" s="12">
        <v>9376</v>
      </c>
      <c r="F69" s="12">
        <v>380</v>
      </c>
      <c r="G69" s="12">
        <v>2286</v>
      </c>
      <c r="H69" s="23">
        <f t="shared" si="17"/>
        <v>6710</v>
      </c>
      <c r="I69" s="23">
        <f t="shared" si="15"/>
        <v>1584</v>
      </c>
      <c r="J69" s="12">
        <v>38543</v>
      </c>
      <c r="K69" s="23">
        <f t="shared" si="14"/>
        <v>29167</v>
      </c>
      <c r="L69" s="9">
        <f t="shared" si="22"/>
        <v>222</v>
      </c>
      <c r="M69" s="14">
        <f t="shared" si="18"/>
        <v>4.0529010238907849E-2</v>
      </c>
      <c r="N69" s="14">
        <f t="shared" si="11"/>
        <v>0.17739898989898989</v>
      </c>
      <c r="O69" s="12">
        <v>5034</v>
      </c>
      <c r="P69" s="12">
        <f t="shared" si="16"/>
        <v>1676</v>
      </c>
      <c r="Q69" s="20">
        <v>134</v>
      </c>
      <c r="R69" s="23">
        <f t="shared" si="19"/>
        <v>2666</v>
      </c>
      <c r="S69" s="25">
        <f>(((H69+R69)/(H68+R68))-1)+detalle!$D$1</f>
        <v>0.10232466818503097</v>
      </c>
      <c r="T69" s="25">
        <f t="shared" si="23"/>
        <v>1.4325453545904336</v>
      </c>
      <c r="U69" s="10">
        <f t="shared" si="20"/>
        <v>0.24381399317406144</v>
      </c>
      <c r="V69" s="21">
        <f t="shared" si="9"/>
        <v>6.0157894736842108</v>
      </c>
      <c r="W69" s="15">
        <f>J69/detalle!$D$2</f>
        <v>3516.5305584525699</v>
      </c>
      <c r="X69" s="15">
        <f>E69/detalle!$D$2</f>
        <v>855.43394432325692</v>
      </c>
      <c r="Y69" s="22">
        <f>F69/detalle!$D$2</f>
        <v>34.66989108818661</v>
      </c>
      <c r="Z69" s="20">
        <v>97.22</v>
      </c>
      <c r="AA69" s="14">
        <f>E69/(detalle!$D$2*1000000)</f>
        <v>8.5543394432325691E-4</v>
      </c>
      <c r="AB69" s="14">
        <f>F69/(detalle!$D$2*1000000)</f>
        <v>3.4669891088186606E-5</v>
      </c>
      <c r="AC69" s="11">
        <v>0</v>
      </c>
      <c r="AD69" s="20">
        <v>0</v>
      </c>
      <c r="AE69" s="20">
        <v>0</v>
      </c>
      <c r="AF69" s="22">
        <f t="shared" si="24"/>
        <v>7</v>
      </c>
      <c r="AG69" s="12">
        <v>0</v>
      </c>
      <c r="AH69" s="12">
        <v>0</v>
      </c>
      <c r="AI69" s="20">
        <v>0</v>
      </c>
      <c r="AJ69" s="23">
        <f t="shared" si="25"/>
        <v>0</v>
      </c>
      <c r="AK69" s="23">
        <v>0</v>
      </c>
      <c r="AL69" s="28">
        <f>AK69/detalle!$D$2</f>
        <v>0</v>
      </c>
    </row>
    <row r="70" spans="1:38">
      <c r="A70" s="12">
        <v>69</v>
      </c>
      <c r="B70" s="19">
        <v>43959</v>
      </c>
      <c r="C70" s="12">
        <v>51</v>
      </c>
      <c r="D70" s="23">
        <f t="shared" si="21"/>
        <v>506</v>
      </c>
      <c r="E70" s="12">
        <v>9882</v>
      </c>
      <c r="F70" s="12">
        <v>385</v>
      </c>
      <c r="G70" s="12">
        <v>2584</v>
      </c>
      <c r="H70" s="23">
        <f t="shared" si="17"/>
        <v>6913</v>
      </c>
      <c r="I70" s="23">
        <f t="shared" si="15"/>
        <v>2048</v>
      </c>
      <c r="J70" s="12">
        <v>40591</v>
      </c>
      <c r="K70" s="23">
        <f t="shared" si="14"/>
        <v>30709</v>
      </c>
      <c r="L70" s="9">
        <f t="shared" si="22"/>
        <v>298</v>
      </c>
      <c r="M70" s="14">
        <f t="shared" si="18"/>
        <v>3.895972475207448E-2</v>
      </c>
      <c r="N70" s="14">
        <f t="shared" si="11"/>
        <v>0.2470703125</v>
      </c>
      <c r="O70" s="12">
        <v>5157</v>
      </c>
      <c r="P70" s="12">
        <f t="shared" si="16"/>
        <v>1756</v>
      </c>
      <c r="Q70" s="20">
        <v>134</v>
      </c>
      <c r="R70" s="23">
        <f t="shared" si="19"/>
        <v>2969</v>
      </c>
      <c r="S70" s="25">
        <f>(((H70+R70)/(H69+R69))-1)+detalle!$D$1</f>
        <v>0.12539614822038028</v>
      </c>
      <c r="T70" s="25">
        <f t="shared" si="23"/>
        <v>1.755546075085324</v>
      </c>
      <c r="U70" s="10">
        <f t="shared" si="20"/>
        <v>0.26148552924509211</v>
      </c>
      <c r="V70" s="21">
        <f t="shared" si="9"/>
        <v>6.7116883116883113</v>
      </c>
      <c r="W70" s="15">
        <f>J70/detalle!$D$2</f>
        <v>3703.3830241067967</v>
      </c>
      <c r="X70" s="15">
        <f>E70/detalle!$D$2</f>
        <v>901.59964140384227</v>
      </c>
      <c r="Y70" s="22">
        <f>F70/detalle!$D$2</f>
        <v>35.126073865662747</v>
      </c>
      <c r="Z70" s="20">
        <v>97.22</v>
      </c>
      <c r="AA70" s="14">
        <f>E70/(detalle!$D$2*1000000)</f>
        <v>9.0159964140384226E-4</v>
      </c>
      <c r="AB70" s="14">
        <f>F70/(detalle!$D$2*1000000)</f>
        <v>3.5126073865662748E-5</v>
      </c>
      <c r="AC70" s="11">
        <v>0</v>
      </c>
      <c r="AD70" s="20">
        <v>0</v>
      </c>
      <c r="AE70" s="20">
        <v>0</v>
      </c>
      <c r="AF70" s="22">
        <f t="shared" si="24"/>
        <v>5</v>
      </c>
      <c r="AG70" s="12">
        <v>0</v>
      </c>
      <c r="AH70" s="12">
        <v>0</v>
      </c>
      <c r="AI70" s="20">
        <v>0</v>
      </c>
      <c r="AJ70" s="23">
        <f t="shared" si="25"/>
        <v>0</v>
      </c>
      <c r="AK70" s="23">
        <v>0</v>
      </c>
      <c r="AL70" s="28">
        <f>AK70/detalle!$D$2</f>
        <v>0</v>
      </c>
    </row>
    <row r="71" spans="1:38">
      <c r="A71" s="12">
        <v>70</v>
      </c>
      <c r="B71" s="19">
        <v>43960</v>
      </c>
      <c r="C71" s="12">
        <v>52</v>
      </c>
      <c r="D71" s="23">
        <f t="shared" si="21"/>
        <v>465</v>
      </c>
      <c r="E71" s="12">
        <v>10347</v>
      </c>
      <c r="F71" s="12">
        <v>388</v>
      </c>
      <c r="G71" s="12">
        <v>2763</v>
      </c>
      <c r="H71" s="23">
        <f t="shared" si="17"/>
        <v>7196</v>
      </c>
      <c r="I71" s="23">
        <f t="shared" si="15"/>
        <v>2024</v>
      </c>
      <c r="J71" s="12">
        <v>42615</v>
      </c>
      <c r="K71" s="23">
        <f t="shared" si="14"/>
        <v>32268</v>
      </c>
      <c r="L71" s="9">
        <f t="shared" si="22"/>
        <v>179</v>
      </c>
      <c r="M71" s="14">
        <f t="shared" si="18"/>
        <v>3.7498791920363393E-2</v>
      </c>
      <c r="N71" s="14">
        <f t="shared" si="11"/>
        <v>0.22974308300395258</v>
      </c>
      <c r="O71" s="12">
        <v>5255</v>
      </c>
      <c r="P71" s="12">
        <f t="shared" si="16"/>
        <v>1941</v>
      </c>
      <c r="Q71" s="20">
        <v>134</v>
      </c>
      <c r="R71" s="23">
        <f t="shared" si="19"/>
        <v>3151</v>
      </c>
      <c r="S71" s="25">
        <f>(((H71+R71)/(H70+R70))-1)+detalle!$D$1</f>
        <v>0.11848382340185618</v>
      </c>
      <c r="T71" s="25">
        <f t="shared" si="23"/>
        <v>1.6587735276259865</v>
      </c>
      <c r="U71" s="10">
        <f t="shared" si="20"/>
        <v>0.26703392287619598</v>
      </c>
      <c r="V71" s="21">
        <f t="shared" si="9"/>
        <v>7.1211340206185563</v>
      </c>
      <c r="W71" s="15">
        <f>J71/detalle!$D$2</f>
        <v>3888.0458124291376</v>
      </c>
      <c r="X71" s="15">
        <f>E71/detalle!$D$2</f>
        <v>944.02463970912333</v>
      </c>
      <c r="Y71" s="22">
        <f>F71/detalle!$D$2</f>
        <v>35.399783532148433</v>
      </c>
      <c r="Z71" s="20">
        <v>97.22</v>
      </c>
      <c r="AA71" s="14">
        <f>E71/(detalle!$D$2*1000000)</f>
        <v>9.4402463970912325E-4</v>
      </c>
      <c r="AB71" s="14">
        <f>F71/(detalle!$D$2*1000000)</f>
        <v>3.5399783532148435E-5</v>
      </c>
      <c r="AC71" s="11">
        <v>0</v>
      </c>
      <c r="AD71" s="20">
        <v>0</v>
      </c>
      <c r="AE71" s="20">
        <v>0</v>
      </c>
      <c r="AF71" s="22">
        <f t="shared" si="24"/>
        <v>3</v>
      </c>
      <c r="AG71" s="12">
        <v>0</v>
      </c>
      <c r="AH71" s="12">
        <v>0</v>
      </c>
      <c r="AI71" s="20">
        <v>0</v>
      </c>
      <c r="AJ71" s="23">
        <f t="shared" si="25"/>
        <v>0</v>
      </c>
      <c r="AK71" s="23">
        <v>0</v>
      </c>
      <c r="AL71" s="28">
        <f>AK71/detalle!$D$2</f>
        <v>0</v>
      </c>
    </row>
    <row r="72" spans="1:38">
      <c r="A72" s="12">
        <v>71</v>
      </c>
      <c r="B72" s="19">
        <v>43961</v>
      </c>
      <c r="C72" s="12">
        <v>53</v>
      </c>
      <c r="D72" s="23">
        <f t="shared" si="21"/>
        <v>287</v>
      </c>
      <c r="E72" s="12">
        <v>10634</v>
      </c>
      <c r="F72" s="12">
        <v>393</v>
      </c>
      <c r="G72" s="12">
        <v>2870</v>
      </c>
      <c r="H72" s="23">
        <f t="shared" si="17"/>
        <v>7371</v>
      </c>
      <c r="I72" s="23">
        <f t="shared" si="15"/>
        <v>1672</v>
      </c>
      <c r="J72" s="12">
        <v>44287</v>
      </c>
      <c r="K72" s="23">
        <f t="shared" si="14"/>
        <v>33653</v>
      </c>
      <c r="L72" s="9">
        <f t="shared" si="22"/>
        <v>107</v>
      </c>
      <c r="M72" s="14">
        <f t="shared" si="18"/>
        <v>3.6956930599962384E-2</v>
      </c>
      <c r="N72" s="14">
        <f t="shared" si="11"/>
        <v>0.17165071770334928</v>
      </c>
      <c r="O72" s="12">
        <v>5396</v>
      </c>
      <c r="P72" s="12">
        <f t="shared" si="16"/>
        <v>1975</v>
      </c>
      <c r="Q72" s="20">
        <v>131</v>
      </c>
      <c r="R72" s="23">
        <f t="shared" si="19"/>
        <v>3263</v>
      </c>
      <c r="S72" s="25">
        <f>(((H72+R72)/(H71+R71))-1)+detalle!$D$1</f>
        <v>9.9166079885128849E-2</v>
      </c>
      <c r="T72" s="25">
        <f t="shared" si="23"/>
        <v>1.3883251183918039</v>
      </c>
      <c r="U72" s="10">
        <f t="shared" si="20"/>
        <v>0.26988903517020879</v>
      </c>
      <c r="V72" s="21">
        <f t="shared" si="9"/>
        <v>7.3027989821882953</v>
      </c>
      <c r="W72" s="15">
        <f>J72/detalle!$D$2</f>
        <v>4040.5933332171589</v>
      </c>
      <c r="X72" s="15">
        <f>E72/detalle!$D$2</f>
        <v>970.20953113625376</v>
      </c>
      <c r="Y72" s="22">
        <f>F72/detalle!$D$2</f>
        <v>35.85596630962457</v>
      </c>
      <c r="Z72" s="20">
        <v>97.22</v>
      </c>
      <c r="AA72" s="14">
        <f>E72/(detalle!$D$2*1000000)</f>
        <v>9.7020953113625367E-4</v>
      </c>
      <c r="AB72" s="14">
        <f>F72/(detalle!$D$2*1000000)</f>
        <v>3.585596630962457E-5</v>
      </c>
      <c r="AC72" s="11">
        <v>0</v>
      </c>
      <c r="AD72" s="20">
        <v>0</v>
      </c>
      <c r="AE72" s="20">
        <v>0</v>
      </c>
      <c r="AF72" s="22">
        <f t="shared" si="24"/>
        <v>5</v>
      </c>
      <c r="AG72" s="12">
        <v>0</v>
      </c>
      <c r="AH72" s="12">
        <v>0</v>
      </c>
      <c r="AI72" s="20">
        <v>0</v>
      </c>
      <c r="AJ72" s="23">
        <f t="shared" si="25"/>
        <v>0</v>
      </c>
      <c r="AK72" s="23">
        <v>0</v>
      </c>
      <c r="AL72" s="28">
        <f>AK72/detalle!$D$2</f>
        <v>0</v>
      </c>
    </row>
    <row r="73" spans="1:38">
      <c r="A73" s="12">
        <v>72</v>
      </c>
      <c r="B73" s="19">
        <v>43962</v>
      </c>
      <c r="C73" s="12">
        <v>54</v>
      </c>
      <c r="D73" s="23">
        <f t="shared" si="21"/>
        <v>266</v>
      </c>
      <c r="E73" s="12">
        <v>10900</v>
      </c>
      <c r="F73" s="12">
        <v>402</v>
      </c>
      <c r="G73" s="12">
        <v>3221</v>
      </c>
      <c r="H73" s="23">
        <f t="shared" si="17"/>
        <v>7277</v>
      </c>
      <c r="I73" s="23">
        <f t="shared" si="15"/>
        <v>1038</v>
      </c>
      <c r="J73" s="12">
        <v>45325</v>
      </c>
      <c r="K73" s="23">
        <f t="shared" si="14"/>
        <v>34425</v>
      </c>
      <c r="L73" s="9">
        <f t="shared" si="22"/>
        <v>351</v>
      </c>
      <c r="M73" s="14">
        <f t="shared" si="18"/>
        <v>3.6880733944954128E-2</v>
      </c>
      <c r="N73" s="14">
        <f t="shared" si="11"/>
        <v>0.25626204238921002</v>
      </c>
      <c r="O73" s="12">
        <v>5440</v>
      </c>
      <c r="P73" s="12">
        <f t="shared" si="16"/>
        <v>1837</v>
      </c>
      <c r="Q73" s="20">
        <v>131</v>
      </c>
      <c r="R73" s="23">
        <f t="shared" si="19"/>
        <v>3623</v>
      </c>
      <c r="S73" s="25">
        <f>(((H73+R73)/(H72+R72))-1)+detalle!$D$1</f>
        <v>9.6442677127273752E-2</v>
      </c>
      <c r="T73" s="25">
        <f t="shared" si="23"/>
        <v>1.3501974797818326</v>
      </c>
      <c r="U73" s="10">
        <f t="shared" si="20"/>
        <v>0.29550458715596328</v>
      </c>
      <c r="V73" s="21">
        <f t="shared" si="9"/>
        <v>8.0124378109452739</v>
      </c>
      <c r="W73" s="15">
        <f>J73/detalle!$D$2</f>
        <v>4135.2968778212053</v>
      </c>
      <c r="X73" s="15">
        <f>E73/detalle!$D$2</f>
        <v>994.47845489798431</v>
      </c>
      <c r="Y73" s="22">
        <f>F73/detalle!$D$2</f>
        <v>36.677095309081622</v>
      </c>
      <c r="Z73" s="20">
        <v>97.22</v>
      </c>
      <c r="AA73" s="14">
        <f>E73/(detalle!$D$2*1000000)</f>
        <v>9.9447845489798433E-4</v>
      </c>
      <c r="AB73" s="14">
        <f>F73/(detalle!$D$2*1000000)</f>
        <v>3.6677095309081626E-5</v>
      </c>
      <c r="AC73" s="11">
        <v>0</v>
      </c>
      <c r="AD73" s="20">
        <v>0</v>
      </c>
      <c r="AE73" s="20">
        <v>0</v>
      </c>
      <c r="AF73" s="22">
        <f t="shared" si="24"/>
        <v>9</v>
      </c>
      <c r="AG73" s="12">
        <v>0</v>
      </c>
      <c r="AH73" s="12">
        <v>0</v>
      </c>
      <c r="AI73" s="20">
        <v>0</v>
      </c>
      <c r="AJ73" s="23">
        <f t="shared" si="25"/>
        <v>0</v>
      </c>
      <c r="AK73" s="23">
        <v>0</v>
      </c>
      <c r="AL73" s="28">
        <f>AK73/detalle!$D$2</f>
        <v>0</v>
      </c>
    </row>
    <row r="74" spans="1:38">
      <c r="A74" s="12">
        <v>73</v>
      </c>
      <c r="B74" s="19">
        <v>43963</v>
      </c>
      <c r="C74" s="12">
        <v>55</v>
      </c>
      <c r="D74" s="23">
        <f t="shared" si="21"/>
        <v>296</v>
      </c>
      <c r="E74" s="12">
        <v>11196</v>
      </c>
      <c r="F74" s="12">
        <v>409</v>
      </c>
      <c r="G74" s="12">
        <v>3339</v>
      </c>
      <c r="H74" s="23">
        <f t="shared" si="17"/>
        <v>7448</v>
      </c>
      <c r="I74" s="23">
        <f t="shared" si="15"/>
        <v>1792</v>
      </c>
      <c r="J74" s="12">
        <v>47117</v>
      </c>
      <c r="K74" s="23">
        <f t="shared" si="14"/>
        <v>35921</v>
      </c>
      <c r="L74" s="9">
        <f t="shared" si="22"/>
        <v>118</v>
      </c>
      <c r="M74" s="14">
        <f t="shared" si="18"/>
        <v>3.6530903894247943E-2</v>
      </c>
      <c r="N74" s="14">
        <f t="shared" si="11"/>
        <v>0.16517857142857142</v>
      </c>
      <c r="O74" s="12">
        <v>5604</v>
      </c>
      <c r="P74" s="12">
        <f t="shared" si="16"/>
        <v>1844</v>
      </c>
      <c r="Q74" s="20">
        <v>131</v>
      </c>
      <c r="R74" s="23">
        <f t="shared" si="19"/>
        <v>3748</v>
      </c>
      <c r="S74" s="25">
        <f>(((H74+R74)/(H73+R73))-1)+detalle!$D$1</f>
        <v>9.8584534731323697E-2</v>
      </c>
      <c r="T74" s="25">
        <f t="shared" si="23"/>
        <v>1.3801834862385318</v>
      </c>
      <c r="U74" s="10">
        <f t="shared" si="20"/>
        <v>0.29823151125401931</v>
      </c>
      <c r="V74" s="21">
        <f t="shared" si="9"/>
        <v>8.1638141809290961</v>
      </c>
      <c r="W74" s="15">
        <f>J74/detalle!$D$2</f>
        <v>4298.7927852686544</v>
      </c>
      <c r="X74" s="15">
        <f>E74/detalle!$D$2</f>
        <v>1021.4844753245718</v>
      </c>
      <c r="Y74" s="22">
        <f>F74/detalle!$D$2</f>
        <v>37.315751197548217</v>
      </c>
      <c r="Z74" s="20">
        <v>97.22</v>
      </c>
      <c r="AA74" s="14">
        <f>E74/(detalle!$D$2*1000000)</f>
        <v>1.0214844753245718E-3</v>
      </c>
      <c r="AB74" s="14">
        <f>F74/(detalle!$D$2*1000000)</f>
        <v>3.7315751197548221E-5</v>
      </c>
      <c r="AC74" s="11">
        <v>0</v>
      </c>
      <c r="AD74" s="20">
        <v>0</v>
      </c>
      <c r="AE74" s="20">
        <v>0</v>
      </c>
      <c r="AF74" s="22">
        <f t="shared" si="24"/>
        <v>7</v>
      </c>
      <c r="AG74" s="12">
        <v>0</v>
      </c>
      <c r="AH74" s="12">
        <v>0</v>
      </c>
      <c r="AI74" s="20">
        <v>0</v>
      </c>
      <c r="AJ74" s="23">
        <f t="shared" si="25"/>
        <v>0</v>
      </c>
      <c r="AK74" s="23">
        <v>0</v>
      </c>
      <c r="AL74" s="28">
        <f>AK74/detalle!$D$2</f>
        <v>0</v>
      </c>
    </row>
    <row r="75" spans="1:38">
      <c r="A75" s="12">
        <v>74</v>
      </c>
      <c r="B75" s="19">
        <v>43964</v>
      </c>
      <c r="C75" s="12">
        <v>56</v>
      </c>
      <c r="D75" s="23">
        <f t="shared" si="21"/>
        <v>124</v>
      </c>
      <c r="E75" s="12">
        <v>11320</v>
      </c>
      <c r="F75" s="12">
        <v>422</v>
      </c>
      <c r="G75" s="12">
        <v>3351</v>
      </c>
      <c r="H75" s="23">
        <f t="shared" si="17"/>
        <v>7547</v>
      </c>
      <c r="I75" s="23">
        <f t="shared" si="15"/>
        <v>746</v>
      </c>
      <c r="J75" s="12">
        <v>47863</v>
      </c>
      <c r="K75" s="23">
        <f t="shared" si="14"/>
        <v>36543</v>
      </c>
      <c r="L75" s="9">
        <f t="shared" si="22"/>
        <v>12</v>
      </c>
      <c r="M75" s="14">
        <f t="shared" si="18"/>
        <v>3.7279151943462895E-2</v>
      </c>
      <c r="N75" s="14">
        <f t="shared" si="11"/>
        <v>0.16621983914209115</v>
      </c>
      <c r="O75" s="12">
        <v>5641</v>
      </c>
      <c r="P75" s="12">
        <f t="shared" si="16"/>
        <v>1906</v>
      </c>
      <c r="Q75" s="20">
        <v>128</v>
      </c>
      <c r="R75" s="23">
        <f t="shared" si="19"/>
        <v>3773</v>
      </c>
      <c r="S75" s="25">
        <f>(((H75+R75)/(H74+R74))-1)+detalle!$D$1</f>
        <v>8.250395549430925E-2</v>
      </c>
      <c r="T75" s="25">
        <f t="shared" si="23"/>
        <v>1.1550553769203296</v>
      </c>
      <c r="U75" s="10">
        <f t="shared" si="20"/>
        <v>0.29602473498233217</v>
      </c>
      <c r="V75" s="21">
        <f t="shared" si="9"/>
        <v>7.9407582938388623</v>
      </c>
      <c r="W75" s="15">
        <f>J75/detalle!$D$2</f>
        <v>4366.8552556680943</v>
      </c>
      <c r="X75" s="15">
        <f>E75/detalle!$D$2</f>
        <v>1032.7978082059801</v>
      </c>
      <c r="Y75" s="22">
        <f>F75/detalle!$D$2</f>
        <v>38.501826418986184</v>
      </c>
      <c r="Z75" s="20">
        <v>97.22</v>
      </c>
      <c r="AA75" s="14">
        <f>E75/(detalle!$D$2*1000000)</f>
        <v>1.03279780820598E-3</v>
      </c>
      <c r="AB75" s="14">
        <f>F75/(detalle!$D$2*1000000)</f>
        <v>3.8501826418986178E-5</v>
      </c>
      <c r="AC75" s="11">
        <v>0</v>
      </c>
      <c r="AD75" s="20">
        <v>0</v>
      </c>
      <c r="AE75" s="20">
        <v>0</v>
      </c>
      <c r="AF75" s="22">
        <f t="shared" si="24"/>
        <v>13</v>
      </c>
      <c r="AG75" s="12">
        <v>0</v>
      </c>
      <c r="AH75" s="12">
        <v>0</v>
      </c>
      <c r="AI75" s="20">
        <v>0</v>
      </c>
      <c r="AJ75" s="23">
        <f t="shared" si="25"/>
        <v>0</v>
      </c>
      <c r="AK75" s="23">
        <v>0</v>
      </c>
      <c r="AL75" s="28">
        <f>AK75/detalle!$D$2</f>
        <v>0</v>
      </c>
    </row>
    <row r="76" spans="1:38">
      <c r="A76" s="12">
        <v>75</v>
      </c>
      <c r="B76" s="19">
        <v>43965</v>
      </c>
      <c r="C76" s="12">
        <v>57</v>
      </c>
      <c r="D76" s="23">
        <f t="shared" si="21"/>
        <v>419</v>
      </c>
      <c r="E76" s="12">
        <v>11739</v>
      </c>
      <c r="F76" s="12">
        <v>424</v>
      </c>
      <c r="G76" s="12">
        <v>3557</v>
      </c>
      <c r="H76" s="23">
        <f t="shared" si="17"/>
        <v>7758</v>
      </c>
      <c r="I76" s="23">
        <f t="shared" si="15"/>
        <v>2245</v>
      </c>
      <c r="J76" s="12">
        <v>50108</v>
      </c>
      <c r="K76" s="23">
        <f t="shared" si="14"/>
        <v>38369</v>
      </c>
      <c r="L76" s="9">
        <f t="shared" si="22"/>
        <v>206</v>
      </c>
      <c r="M76" s="14">
        <f t="shared" si="18"/>
        <v>3.6118919839850071E-2</v>
      </c>
      <c r="N76" s="14">
        <f t="shared" si="11"/>
        <v>0.1866369710467706</v>
      </c>
      <c r="O76" s="12">
        <v>5873</v>
      </c>
      <c r="P76" s="12">
        <f t="shared" si="16"/>
        <v>1885</v>
      </c>
      <c r="Q76" s="20">
        <v>127</v>
      </c>
      <c r="R76" s="23">
        <f t="shared" si="19"/>
        <v>3981</v>
      </c>
      <c r="S76" s="25">
        <f>(((H76+R76)/(H75+R75))-1)+detalle!$D$1</f>
        <v>0.10844270570418971</v>
      </c>
      <c r="T76" s="25">
        <f t="shared" si="23"/>
        <v>1.518197879858656</v>
      </c>
      <c r="U76" s="10">
        <f t="shared" si="20"/>
        <v>0.30300707044893094</v>
      </c>
      <c r="V76" s="21">
        <f t="shared" si="9"/>
        <v>8.3891509433962259</v>
      </c>
      <c r="W76" s="15">
        <f>J76/detalle!$D$2</f>
        <v>4571.681322754881</v>
      </c>
      <c r="X76" s="15">
        <f>E76/detalle!$D$2</f>
        <v>1071.0259249584806</v>
      </c>
      <c r="Y76" s="22">
        <f>F76/detalle!$D$2</f>
        <v>38.684299529976641</v>
      </c>
      <c r="Z76" s="20">
        <v>97.22</v>
      </c>
      <c r="AA76" s="14">
        <f>E76/(detalle!$D$2*1000000)</f>
        <v>1.0710259249584804E-3</v>
      </c>
      <c r="AB76" s="14">
        <f>F76/(detalle!$D$2*1000000)</f>
        <v>3.8684299529976639E-5</v>
      </c>
      <c r="AC76" s="11">
        <v>0</v>
      </c>
      <c r="AD76" s="20">
        <v>0</v>
      </c>
      <c r="AE76" s="20">
        <v>0</v>
      </c>
      <c r="AF76" s="22">
        <f t="shared" si="24"/>
        <v>2</v>
      </c>
      <c r="AG76" s="12">
        <v>0</v>
      </c>
      <c r="AH76" s="12">
        <v>0</v>
      </c>
      <c r="AI76" s="20">
        <v>0</v>
      </c>
      <c r="AJ76" s="23">
        <f t="shared" si="25"/>
        <v>0</v>
      </c>
      <c r="AK76" s="23">
        <v>0</v>
      </c>
      <c r="AL76" s="28">
        <f>AK76/detalle!$D$2</f>
        <v>0</v>
      </c>
    </row>
    <row r="77" spans="1:38">
      <c r="A77" s="12">
        <v>76</v>
      </c>
      <c r="B77" s="19">
        <v>43966</v>
      </c>
      <c r="C77" s="12">
        <v>58</v>
      </c>
      <c r="D77" s="23">
        <f t="shared" si="21"/>
        <v>371</v>
      </c>
      <c r="E77" s="12">
        <v>12110</v>
      </c>
      <c r="F77" s="12">
        <v>428</v>
      </c>
      <c r="G77" s="12">
        <v>3726</v>
      </c>
      <c r="H77" s="23">
        <f t="shared" si="17"/>
        <v>7956</v>
      </c>
      <c r="I77" s="23">
        <f t="shared" si="15"/>
        <v>2251</v>
      </c>
      <c r="J77" s="12">
        <v>52359</v>
      </c>
      <c r="K77" s="23">
        <f t="shared" si="14"/>
        <v>40249</v>
      </c>
      <c r="L77" s="9">
        <f t="shared" si="22"/>
        <v>169</v>
      </c>
      <c r="M77" s="14">
        <f t="shared" si="18"/>
        <v>3.5342691990090831E-2</v>
      </c>
      <c r="N77" s="14">
        <f t="shared" si="11"/>
        <v>0.16481563749444691</v>
      </c>
      <c r="O77" s="12">
        <v>6065</v>
      </c>
      <c r="P77" s="12">
        <f t="shared" si="16"/>
        <v>1891</v>
      </c>
      <c r="Q77" s="20">
        <v>135</v>
      </c>
      <c r="R77" s="23">
        <f t="shared" si="19"/>
        <v>4154</v>
      </c>
      <c r="S77" s="25">
        <f>(((H77+R77)/(H76+R76))-1)+detalle!$D$1</f>
        <v>0.10303262628844026</v>
      </c>
      <c r="T77" s="25">
        <f t="shared" si="23"/>
        <v>1.4424567680381637</v>
      </c>
      <c r="U77" s="10">
        <f t="shared" si="20"/>
        <v>0.30767960363336083</v>
      </c>
      <c r="V77" s="21">
        <f t="shared" si="9"/>
        <v>8.7056074766355138</v>
      </c>
      <c r="W77" s="15">
        <f>J77/detalle!$D$2</f>
        <v>4777.0548091746386</v>
      </c>
      <c r="X77" s="15">
        <f>E77/detalle!$D$2</f>
        <v>1104.87468704721</v>
      </c>
      <c r="Y77" s="22">
        <f>F77/detalle!$D$2</f>
        <v>39.04924575195755</v>
      </c>
      <c r="Z77" s="20">
        <v>97.22</v>
      </c>
      <c r="AA77" s="14">
        <f>E77/(detalle!$D$2*1000000)</f>
        <v>1.1048746870472102E-3</v>
      </c>
      <c r="AB77" s="14">
        <f>F77/(detalle!$D$2*1000000)</f>
        <v>3.9049245751957546E-5</v>
      </c>
      <c r="AC77" s="11">
        <v>0</v>
      </c>
      <c r="AD77" s="20">
        <v>0</v>
      </c>
      <c r="AE77" s="20">
        <v>0</v>
      </c>
      <c r="AF77" s="22">
        <f t="shared" si="24"/>
        <v>4</v>
      </c>
      <c r="AG77" s="12">
        <v>0</v>
      </c>
      <c r="AH77" s="12">
        <v>0</v>
      </c>
      <c r="AI77" s="20">
        <v>0</v>
      </c>
      <c r="AJ77" s="23">
        <f t="shared" si="25"/>
        <v>0</v>
      </c>
      <c r="AK77" s="23">
        <v>0</v>
      </c>
      <c r="AL77" s="28">
        <f>AK77/detalle!$D$2</f>
        <v>0</v>
      </c>
    </row>
    <row r="78" spans="1:38">
      <c r="A78" s="12">
        <v>77</v>
      </c>
      <c r="B78" s="19">
        <v>43967</v>
      </c>
      <c r="C78" s="12">
        <v>59</v>
      </c>
      <c r="D78" s="23">
        <f t="shared" si="21"/>
        <v>204</v>
      </c>
      <c r="E78" s="12">
        <v>12314</v>
      </c>
      <c r="F78" s="12">
        <v>428</v>
      </c>
      <c r="G78" s="12">
        <v>5847</v>
      </c>
      <c r="H78" s="23">
        <f t="shared" si="17"/>
        <v>6039</v>
      </c>
      <c r="I78" s="23">
        <f t="shared" si="15"/>
        <v>921</v>
      </c>
      <c r="J78" s="12">
        <v>53280</v>
      </c>
      <c r="K78" s="23">
        <f t="shared" si="14"/>
        <v>40966</v>
      </c>
      <c r="L78" s="9">
        <f t="shared" si="22"/>
        <v>2121</v>
      </c>
      <c r="M78" s="14">
        <f t="shared" si="18"/>
        <v>3.4757186941692379E-2</v>
      </c>
      <c r="N78" s="14">
        <f t="shared" si="11"/>
        <v>0.22149837133550487</v>
      </c>
      <c r="O78" s="12">
        <v>4037</v>
      </c>
      <c r="P78" s="12">
        <f t="shared" si="16"/>
        <v>2002</v>
      </c>
      <c r="Q78" s="20">
        <v>145</v>
      </c>
      <c r="R78" s="23">
        <f t="shared" si="19"/>
        <v>6275</v>
      </c>
      <c r="S78" s="25">
        <f>(((H78+R78)/(H77+R77))-1)+detalle!$D$1</f>
        <v>8.8274153592072607E-2</v>
      </c>
      <c r="T78" s="25">
        <f t="shared" si="23"/>
        <v>1.2358381502890166</v>
      </c>
      <c r="U78" s="10">
        <f t="shared" si="20"/>
        <v>0.47482540198148449</v>
      </c>
      <c r="V78" s="21">
        <f t="shared" si="9"/>
        <v>13.661214953271028</v>
      </c>
      <c r="W78" s="15">
        <f>J78/detalle!$D$2</f>
        <v>4861.0836767857436</v>
      </c>
      <c r="X78" s="15">
        <f>E78/detalle!$D$2</f>
        <v>1123.4869443682367</v>
      </c>
      <c r="Y78" s="22">
        <f>F78/detalle!$D$2</f>
        <v>39.04924575195755</v>
      </c>
      <c r="Z78" s="20">
        <v>97.22</v>
      </c>
      <c r="AA78" s="14">
        <f>E78/(detalle!$D$2*1000000)</f>
        <v>1.1234869443682365E-3</v>
      </c>
      <c r="AB78" s="14">
        <f>F78/(detalle!$D$2*1000000)</f>
        <v>3.9049245751957546E-5</v>
      </c>
      <c r="AC78" s="11">
        <v>0</v>
      </c>
      <c r="AD78" s="20">
        <v>0</v>
      </c>
      <c r="AE78" s="20">
        <v>0</v>
      </c>
      <c r="AF78" s="22">
        <f t="shared" si="24"/>
        <v>0</v>
      </c>
      <c r="AG78" s="12">
        <v>0</v>
      </c>
      <c r="AH78" s="12">
        <v>0</v>
      </c>
      <c r="AI78" s="20">
        <v>0</v>
      </c>
      <c r="AJ78" s="23">
        <f t="shared" si="25"/>
        <v>0</v>
      </c>
      <c r="AK78" s="23">
        <v>0</v>
      </c>
      <c r="AL78" s="28">
        <f>AK78/detalle!$D$2</f>
        <v>0</v>
      </c>
    </row>
    <row r="79" spans="1:38">
      <c r="A79" s="12">
        <v>78</v>
      </c>
      <c r="B79" s="19">
        <v>43968</v>
      </c>
      <c r="C79" s="12">
        <v>60</v>
      </c>
      <c r="D79" s="23">
        <f t="shared" si="21"/>
        <v>411</v>
      </c>
      <c r="E79" s="12">
        <v>12725</v>
      </c>
      <c r="F79" s="12">
        <v>434</v>
      </c>
      <c r="G79" s="12">
        <v>6613</v>
      </c>
      <c r="H79" s="23">
        <f t="shared" si="17"/>
        <v>5678</v>
      </c>
      <c r="I79" s="23">
        <f t="shared" si="15"/>
        <v>2189</v>
      </c>
      <c r="J79" s="12">
        <v>55469</v>
      </c>
      <c r="K79" s="23">
        <f t="shared" si="14"/>
        <v>42744</v>
      </c>
      <c r="L79" s="9">
        <f t="shared" si="22"/>
        <v>766</v>
      </c>
      <c r="M79" s="14">
        <f t="shared" si="18"/>
        <v>3.4106090373280946E-2</v>
      </c>
      <c r="N79" s="14">
        <f t="shared" si="11"/>
        <v>0.18775696665143901</v>
      </c>
      <c r="O79" s="12">
        <v>3638</v>
      </c>
      <c r="P79" s="12">
        <f t="shared" si="16"/>
        <v>2040</v>
      </c>
      <c r="Q79" s="20">
        <v>142</v>
      </c>
      <c r="R79" s="23">
        <f t="shared" si="19"/>
        <v>7047</v>
      </c>
      <c r="S79" s="25">
        <f>(((H79+R79)/(H78+R78))-1)+detalle!$D$1</f>
        <v>0.10480521589828065</v>
      </c>
      <c r="T79" s="25">
        <f t="shared" si="23"/>
        <v>1.4672730225759292</v>
      </c>
      <c r="U79" s="10">
        <f t="shared" si="20"/>
        <v>0.51968565815324164</v>
      </c>
      <c r="V79" s="21">
        <f t="shared" si="9"/>
        <v>15.237327188940093</v>
      </c>
      <c r="W79" s="15">
        <f>J79/detalle!$D$2</f>
        <v>5060.8004967647976</v>
      </c>
      <c r="X79" s="15">
        <f>E79/detalle!$D$2</f>
        <v>1160.9851686767752</v>
      </c>
      <c r="Y79" s="22">
        <f>F79/detalle!$D$2</f>
        <v>39.596665084928915</v>
      </c>
      <c r="Z79" s="20">
        <v>97.22</v>
      </c>
      <c r="AA79" s="14">
        <f>E79/(detalle!$D$2*1000000)</f>
        <v>1.1609851686767753E-3</v>
      </c>
      <c r="AB79" s="14">
        <f>F79/(detalle!$D$2*1000000)</f>
        <v>3.9596665084928915E-5</v>
      </c>
      <c r="AC79" s="11">
        <v>0</v>
      </c>
      <c r="AD79" s="20">
        <v>0</v>
      </c>
      <c r="AE79" s="20">
        <v>0</v>
      </c>
      <c r="AF79" s="22">
        <f t="shared" si="24"/>
        <v>6</v>
      </c>
      <c r="AG79" s="12">
        <v>0</v>
      </c>
      <c r="AH79" s="12">
        <v>0</v>
      </c>
      <c r="AI79" s="20">
        <v>0</v>
      </c>
      <c r="AJ79" s="23">
        <f t="shared" si="25"/>
        <v>0</v>
      </c>
      <c r="AK79" s="23">
        <v>0</v>
      </c>
      <c r="AL79" s="28">
        <f>AK79/detalle!$D$2</f>
        <v>0</v>
      </c>
    </row>
    <row r="80" spans="1:38">
      <c r="A80" s="12">
        <v>79</v>
      </c>
      <c r="B80" s="19">
        <v>43969</v>
      </c>
      <c r="C80" s="12">
        <v>61</v>
      </c>
      <c r="D80" s="23">
        <f t="shared" si="21"/>
        <v>498</v>
      </c>
      <c r="E80" s="12">
        <v>13223</v>
      </c>
      <c r="F80" s="12">
        <v>441</v>
      </c>
      <c r="G80" s="12">
        <v>6785</v>
      </c>
      <c r="H80" s="23">
        <f t="shared" si="17"/>
        <v>5997</v>
      </c>
      <c r="I80" s="23">
        <f t="shared" si="15"/>
        <v>2888</v>
      </c>
      <c r="J80" s="12">
        <v>58357</v>
      </c>
      <c r="K80" s="23">
        <f t="shared" si="14"/>
        <v>45134</v>
      </c>
      <c r="L80" s="9">
        <f t="shared" si="22"/>
        <v>172</v>
      </c>
      <c r="M80" s="14">
        <f t="shared" si="18"/>
        <v>3.3350979354155638E-2</v>
      </c>
      <c r="N80" s="14">
        <f t="shared" si="11"/>
        <v>0.1724376731301939</v>
      </c>
      <c r="O80" s="12">
        <v>3962</v>
      </c>
      <c r="P80" s="12">
        <f t="shared" si="16"/>
        <v>2035</v>
      </c>
      <c r="Q80" s="20">
        <v>136</v>
      </c>
      <c r="R80" s="23">
        <f t="shared" si="19"/>
        <v>7226</v>
      </c>
      <c r="S80" s="25">
        <f>(((H80+R80)/(H79+R79))-1)+detalle!$D$1</f>
        <v>0.11056413134998591</v>
      </c>
      <c r="T80" s="25">
        <f t="shared" si="23"/>
        <v>1.5478978388998028</v>
      </c>
      <c r="U80" s="10">
        <f t="shared" si="20"/>
        <v>0.51312107691144215</v>
      </c>
      <c r="V80" s="21">
        <f t="shared" si="9"/>
        <v>15.385487528344671</v>
      </c>
      <c r="W80" s="15">
        <f>J80/detalle!$D$2</f>
        <v>5324.2916690350157</v>
      </c>
      <c r="X80" s="15">
        <f>E80/detalle!$D$2</f>
        <v>1206.4209733133987</v>
      </c>
      <c r="Y80" s="22">
        <f>F80/detalle!$D$2</f>
        <v>40.23532097339551</v>
      </c>
      <c r="Z80" s="20">
        <v>93.52</v>
      </c>
      <c r="AA80" s="14">
        <f>E80/(detalle!$D$2*1000000)</f>
        <v>1.2064209733133988E-3</v>
      </c>
      <c r="AB80" s="14">
        <f>F80/(detalle!$D$2*1000000)</f>
        <v>4.023532097339551E-5</v>
      </c>
      <c r="AC80" s="11">
        <v>0</v>
      </c>
      <c r="AD80" s="20">
        <v>0</v>
      </c>
      <c r="AE80" s="20">
        <v>0</v>
      </c>
      <c r="AF80" s="22">
        <f t="shared" si="24"/>
        <v>7</v>
      </c>
      <c r="AG80" s="12">
        <v>0</v>
      </c>
      <c r="AH80" s="12">
        <v>0</v>
      </c>
      <c r="AI80" s="20">
        <v>0</v>
      </c>
      <c r="AJ80" s="23">
        <f t="shared" si="25"/>
        <v>0</v>
      </c>
      <c r="AK80" s="23">
        <v>0</v>
      </c>
      <c r="AL80" s="28">
        <f>AK80/detalle!$D$2</f>
        <v>0</v>
      </c>
    </row>
    <row r="81" spans="1:38">
      <c r="A81" s="12">
        <v>80</v>
      </c>
      <c r="B81" s="19">
        <v>43970</v>
      </c>
      <c r="C81" s="12">
        <v>62</v>
      </c>
      <c r="D81" s="23">
        <f t="shared" si="21"/>
        <v>254</v>
      </c>
      <c r="E81" s="12">
        <v>13477</v>
      </c>
      <c r="F81" s="12">
        <v>446</v>
      </c>
      <c r="G81" s="12">
        <v>7142</v>
      </c>
      <c r="H81" s="23">
        <f t="shared" si="17"/>
        <v>5889</v>
      </c>
      <c r="I81" s="23">
        <f t="shared" si="15"/>
        <v>1619</v>
      </c>
      <c r="J81" s="12">
        <v>59976</v>
      </c>
      <c r="K81" s="23">
        <f t="shared" si="14"/>
        <v>46499</v>
      </c>
      <c r="L81" s="9">
        <f t="shared" si="22"/>
        <v>357</v>
      </c>
      <c r="M81" s="14">
        <f t="shared" si="18"/>
        <v>3.3093418416561549E-2</v>
      </c>
      <c r="N81" s="14">
        <f t="shared" si="11"/>
        <v>0.15688696726374304</v>
      </c>
      <c r="O81" s="12">
        <v>3823</v>
      </c>
      <c r="P81" s="12">
        <f t="shared" si="16"/>
        <v>2066</v>
      </c>
      <c r="Q81" s="30">
        <v>126</v>
      </c>
      <c r="R81" s="23">
        <f t="shared" si="19"/>
        <v>7588</v>
      </c>
      <c r="S81" s="25">
        <f>(((H81+R81)/(H80+R80))-1)+detalle!$D$1</f>
        <v>9.0637525523708656E-2</v>
      </c>
      <c r="T81" s="25">
        <f t="shared" si="23"/>
        <v>1.2689253573319212</v>
      </c>
      <c r="U81" s="10">
        <f t="shared" si="20"/>
        <v>0.52993989760332416</v>
      </c>
      <c r="V81" s="21">
        <f t="shared" ref="V81:V144" si="26">G81/F81</f>
        <v>16.013452914798208</v>
      </c>
      <c r="W81" s="15">
        <f>J81/detalle!$D$2</f>
        <v>5472.0036523817898</v>
      </c>
      <c r="X81" s="15">
        <f>E81/detalle!$D$2</f>
        <v>1229.5950584091868</v>
      </c>
      <c r="Y81" s="22">
        <f>F81/detalle!$D$2</f>
        <v>40.691503750871654</v>
      </c>
      <c r="Z81" s="20">
        <v>93.52</v>
      </c>
      <c r="AA81" s="14">
        <f>E81/(detalle!$D$2*1000000)</f>
        <v>1.2295950584091866E-3</v>
      </c>
      <c r="AB81" s="14">
        <f>F81/(detalle!$D$2*1000000)</f>
        <v>4.0691503750871651E-5</v>
      </c>
      <c r="AC81" s="11">
        <v>0</v>
      </c>
      <c r="AD81" s="20">
        <v>0</v>
      </c>
      <c r="AE81" s="20">
        <v>0</v>
      </c>
      <c r="AF81" s="22">
        <f t="shared" si="24"/>
        <v>5</v>
      </c>
      <c r="AG81" s="12">
        <v>0</v>
      </c>
      <c r="AH81" s="12">
        <v>0</v>
      </c>
      <c r="AI81" s="20">
        <v>0</v>
      </c>
      <c r="AJ81" s="23">
        <f t="shared" si="25"/>
        <v>0</v>
      </c>
      <c r="AK81" s="23">
        <v>0</v>
      </c>
      <c r="AL81" s="28">
        <f>AK81/detalle!$D$2</f>
        <v>0</v>
      </c>
    </row>
    <row r="82" spans="1:38">
      <c r="A82" s="12">
        <v>81</v>
      </c>
      <c r="B82" s="19">
        <v>43971</v>
      </c>
      <c r="C82" s="12">
        <v>63</v>
      </c>
      <c r="D82" s="23">
        <f t="shared" si="21"/>
        <v>180</v>
      </c>
      <c r="E82" s="12">
        <v>13657</v>
      </c>
      <c r="F82" s="12">
        <v>448</v>
      </c>
      <c r="G82" s="12">
        <v>7366</v>
      </c>
      <c r="H82" s="23">
        <f t="shared" si="17"/>
        <v>5843</v>
      </c>
      <c r="I82" s="23">
        <f t="shared" si="15"/>
        <v>1354</v>
      </c>
      <c r="J82" s="12">
        <v>61330</v>
      </c>
      <c r="K82" s="23">
        <f t="shared" si="14"/>
        <v>47673</v>
      </c>
      <c r="L82" s="9">
        <f t="shared" si="22"/>
        <v>224</v>
      </c>
      <c r="M82" s="14">
        <f t="shared" si="18"/>
        <v>3.2803690415171706E-2</v>
      </c>
      <c r="N82" s="14">
        <f t="shared" si="11"/>
        <v>0.13293943870014771</v>
      </c>
      <c r="O82" s="12">
        <v>3777</v>
      </c>
      <c r="P82" s="12">
        <f t="shared" si="16"/>
        <v>2066</v>
      </c>
      <c r="Q82" s="30">
        <v>113</v>
      </c>
      <c r="R82" s="23">
        <f t="shared" si="19"/>
        <v>7814</v>
      </c>
      <c r="S82" s="25">
        <f>(((H82+R82)/(H81+R81))-1)+detalle!$D$1</f>
        <v>8.4784659578753169E-2</v>
      </c>
      <c r="T82" s="25">
        <f t="shared" si="23"/>
        <v>1.1869852341025444</v>
      </c>
      <c r="U82" s="10">
        <f t="shared" si="20"/>
        <v>0.53935710624588118</v>
      </c>
      <c r="V82" s="21">
        <f t="shared" si="26"/>
        <v>16.441964285714285</v>
      </c>
      <c r="W82" s="15">
        <f>J82/detalle!$D$2</f>
        <v>5595.5379485223284</v>
      </c>
      <c r="X82" s="15">
        <f>E82/detalle!$D$2</f>
        <v>1246.0176383983278</v>
      </c>
      <c r="Y82" s="22">
        <f>F82/detalle!$D$2</f>
        <v>40.873976861862111</v>
      </c>
      <c r="Z82" s="20">
        <v>84.26</v>
      </c>
      <c r="AA82" s="14">
        <f>E82/(detalle!$D$2*1000000)</f>
        <v>1.2460176383983276E-3</v>
      </c>
      <c r="AB82" s="14">
        <f>F82/(detalle!$D$2*1000000)</f>
        <v>4.0873976861862105E-5</v>
      </c>
      <c r="AC82" s="11">
        <v>0</v>
      </c>
      <c r="AD82" s="20">
        <v>0</v>
      </c>
      <c r="AE82" s="20">
        <v>0</v>
      </c>
      <c r="AF82" s="22">
        <f t="shared" si="24"/>
        <v>2</v>
      </c>
      <c r="AG82" s="12">
        <v>0</v>
      </c>
      <c r="AH82" s="12">
        <v>0</v>
      </c>
      <c r="AI82" s="20">
        <v>0</v>
      </c>
      <c r="AJ82" s="23">
        <f t="shared" si="25"/>
        <v>0</v>
      </c>
      <c r="AK82" s="23">
        <v>0</v>
      </c>
      <c r="AL82" s="28">
        <f>AK82/detalle!$D$2</f>
        <v>0</v>
      </c>
    </row>
    <row r="83" spans="1:38">
      <c r="A83" s="12">
        <v>82</v>
      </c>
      <c r="B83" s="19">
        <v>43972</v>
      </c>
      <c r="C83" s="12">
        <v>64</v>
      </c>
      <c r="D83" s="23">
        <f t="shared" si="21"/>
        <v>332</v>
      </c>
      <c r="E83" s="12">
        <v>13989</v>
      </c>
      <c r="F83" s="12">
        <v>456</v>
      </c>
      <c r="G83" s="12">
        <v>7572</v>
      </c>
      <c r="H83" s="23">
        <f t="shared" si="17"/>
        <v>5961</v>
      </c>
      <c r="I83" s="23">
        <f t="shared" si="15"/>
        <v>2189</v>
      </c>
      <c r="J83" s="12">
        <v>63519</v>
      </c>
      <c r="K83" s="23">
        <f t="shared" si="14"/>
        <v>49530</v>
      </c>
      <c r="L83" s="9">
        <f t="shared" si="22"/>
        <v>206</v>
      </c>
      <c r="M83" s="14">
        <f t="shared" si="18"/>
        <v>3.259704053184645E-2</v>
      </c>
      <c r="N83" s="14">
        <f t="shared" si="11"/>
        <v>0.15166742804933761</v>
      </c>
      <c r="O83" s="12">
        <v>3831</v>
      </c>
      <c r="P83" s="12">
        <f t="shared" si="16"/>
        <v>2130</v>
      </c>
      <c r="Q83" s="30">
        <v>113</v>
      </c>
      <c r="R83" s="23">
        <f t="shared" si="19"/>
        <v>8028</v>
      </c>
      <c r="S83" s="25">
        <f>(((H83+R83)/(H82+R82))-1)+detalle!$D$1</f>
        <v>9.5738449146957533E-2</v>
      </c>
      <c r="T83" s="25">
        <f t="shared" si="23"/>
        <v>1.3403382880574055</v>
      </c>
      <c r="U83" s="10">
        <f t="shared" si="20"/>
        <v>0.54128243619987138</v>
      </c>
      <c r="V83" s="21">
        <f t="shared" si="26"/>
        <v>16.605263157894736</v>
      </c>
      <c r="W83" s="15">
        <f>J83/detalle!$D$2</f>
        <v>5795.2547685013824</v>
      </c>
      <c r="X83" s="15">
        <f>E83/detalle!$D$2</f>
        <v>1276.3081748227435</v>
      </c>
      <c r="Y83" s="22">
        <f>F83/detalle!$D$2</f>
        <v>41.603869305823935</v>
      </c>
      <c r="Z83" s="20">
        <v>84.26</v>
      </c>
      <c r="AA83" s="14">
        <f>E83/(detalle!$D$2*1000000)</f>
        <v>1.2763081748227434E-3</v>
      </c>
      <c r="AB83" s="14">
        <f>F83/(detalle!$D$2*1000000)</f>
        <v>4.1603869305823927E-5</v>
      </c>
      <c r="AC83" s="11">
        <v>0</v>
      </c>
      <c r="AD83" s="20">
        <v>0</v>
      </c>
      <c r="AE83" s="20">
        <v>0</v>
      </c>
      <c r="AF83" s="22">
        <f t="shared" si="24"/>
        <v>8</v>
      </c>
      <c r="AG83" s="12">
        <v>0</v>
      </c>
      <c r="AH83" s="12">
        <v>0</v>
      </c>
      <c r="AI83" s="20">
        <v>0</v>
      </c>
      <c r="AJ83" s="23">
        <f t="shared" si="25"/>
        <v>0</v>
      </c>
      <c r="AK83" s="23">
        <v>0</v>
      </c>
      <c r="AL83" s="28">
        <f>AK83/detalle!$D$2</f>
        <v>0</v>
      </c>
    </row>
    <row r="84" spans="1:38">
      <c r="A84" s="12">
        <v>83</v>
      </c>
      <c r="B84" s="19">
        <v>43973</v>
      </c>
      <c r="C84" s="12">
        <v>65</v>
      </c>
      <c r="D84" s="23">
        <f t="shared" si="21"/>
        <v>433</v>
      </c>
      <c r="E84" s="12">
        <v>14422</v>
      </c>
      <c r="F84" s="12">
        <v>458</v>
      </c>
      <c r="G84" s="12">
        <v>7854</v>
      </c>
      <c r="H84" s="23">
        <f t="shared" si="17"/>
        <v>6110</v>
      </c>
      <c r="I84" s="23">
        <f t="shared" ref="I84:I105" si="27">J84-J83</f>
        <v>1836</v>
      </c>
      <c r="J84" s="12">
        <v>65355</v>
      </c>
      <c r="K84" s="23">
        <f t="shared" si="14"/>
        <v>50933</v>
      </c>
      <c r="L84" s="9">
        <f t="shared" si="22"/>
        <v>282</v>
      </c>
      <c r="M84" s="14">
        <f t="shared" si="18"/>
        <v>3.1757037858826789E-2</v>
      </c>
      <c r="N84" s="14">
        <f t="shared" ref="N84:N147" si="28">D84/I84</f>
        <v>0.23583877995642702</v>
      </c>
      <c r="O84" s="12">
        <v>3820</v>
      </c>
      <c r="P84" s="12">
        <f t="shared" si="16"/>
        <v>2290</v>
      </c>
      <c r="Q84" s="30">
        <v>120</v>
      </c>
      <c r="R84" s="23">
        <f t="shared" si="19"/>
        <v>8312</v>
      </c>
      <c r="S84" s="25">
        <f>(((H84+R84)/(H83+R83))-1)+detalle!$D$1</f>
        <v>0.10238146298622389</v>
      </c>
      <c r="T84" s="25">
        <f t="shared" si="23"/>
        <v>1.4333404818071345</v>
      </c>
      <c r="U84" s="10">
        <f t="shared" si="20"/>
        <v>0.54458466232145331</v>
      </c>
      <c r="V84" s="21">
        <f t="shared" si="26"/>
        <v>17.148471615720524</v>
      </c>
      <c r="W84" s="15">
        <f>J84/detalle!$D$2</f>
        <v>5962.7650843906204</v>
      </c>
      <c r="X84" s="15">
        <f>E84/detalle!$D$2</f>
        <v>1315.8136033521771</v>
      </c>
      <c r="Y84" s="22">
        <f>F84/detalle!$D$2</f>
        <v>41.786342416814385</v>
      </c>
      <c r="Z84" s="20">
        <v>84.26</v>
      </c>
      <c r="AA84" s="14">
        <f>E84/(detalle!$D$2*1000000)</f>
        <v>1.3158136033521771E-3</v>
      </c>
      <c r="AB84" s="14">
        <f>F84/(detalle!$D$2*1000000)</f>
        <v>4.1786342416814388E-5</v>
      </c>
      <c r="AC84" s="11">
        <v>0</v>
      </c>
      <c r="AD84" s="20">
        <v>0</v>
      </c>
      <c r="AE84" s="20">
        <v>0</v>
      </c>
      <c r="AF84" s="22">
        <f t="shared" si="24"/>
        <v>2</v>
      </c>
      <c r="AG84" s="12">
        <v>0</v>
      </c>
      <c r="AH84" s="12">
        <v>0</v>
      </c>
      <c r="AI84" s="20">
        <v>0</v>
      </c>
      <c r="AJ84" s="23">
        <f t="shared" si="25"/>
        <v>0</v>
      </c>
      <c r="AK84" s="23">
        <v>0</v>
      </c>
      <c r="AL84" s="28">
        <f>AK84/detalle!$D$2</f>
        <v>0</v>
      </c>
    </row>
    <row r="85" spans="1:38">
      <c r="A85" s="12">
        <v>84</v>
      </c>
      <c r="B85" s="19">
        <v>43974</v>
      </c>
      <c r="C85" s="12">
        <v>66</v>
      </c>
      <c r="D85" s="23">
        <f t="shared" si="21"/>
        <v>379</v>
      </c>
      <c r="E85" s="12">
        <v>14801</v>
      </c>
      <c r="F85" s="12">
        <v>458</v>
      </c>
      <c r="G85" s="12">
        <v>8133</v>
      </c>
      <c r="H85" s="23">
        <f t="shared" si="17"/>
        <v>6210</v>
      </c>
      <c r="I85" s="23">
        <f t="shared" si="27"/>
        <v>2585</v>
      </c>
      <c r="J85" s="12">
        <v>67940</v>
      </c>
      <c r="K85" s="23">
        <f t="shared" si="14"/>
        <v>53139</v>
      </c>
      <c r="L85" s="9">
        <f t="shared" si="22"/>
        <v>279</v>
      </c>
      <c r="M85" s="14">
        <f t="shared" si="18"/>
        <v>3.0943855144922639E-2</v>
      </c>
      <c r="N85" s="14">
        <f t="shared" si="28"/>
        <v>0.14661508704061896</v>
      </c>
      <c r="O85" s="12">
        <v>3915</v>
      </c>
      <c r="P85" s="12">
        <f t="shared" si="16"/>
        <v>2295</v>
      </c>
      <c r="Q85" s="30">
        <v>122</v>
      </c>
      <c r="R85" s="23">
        <f t="shared" si="19"/>
        <v>8591</v>
      </c>
      <c r="S85" s="25">
        <f>(((H85+R85)/(H84+R84))-1)+detalle!$D$1</f>
        <v>9.7707866949303696E-2</v>
      </c>
      <c r="T85" s="25">
        <f t="shared" si="23"/>
        <v>1.3679101372902518</v>
      </c>
      <c r="U85" s="10">
        <f t="shared" si="20"/>
        <v>0.54948989933112624</v>
      </c>
      <c r="V85" s="21">
        <f t="shared" si="26"/>
        <v>17.757641921397379</v>
      </c>
      <c r="W85" s="15">
        <f>J85/detalle!$D$2</f>
        <v>6198.6115803457851</v>
      </c>
      <c r="X85" s="15">
        <f>E85/detalle!$D$2</f>
        <v>1350.3922578848685</v>
      </c>
      <c r="Y85" s="22">
        <f>F85/detalle!$D$2</f>
        <v>41.786342416814385</v>
      </c>
      <c r="Z85" s="20">
        <v>84.26</v>
      </c>
      <c r="AA85" s="14">
        <f>E85/(detalle!$D$2*1000000)</f>
        <v>1.3503922578848684E-3</v>
      </c>
      <c r="AB85" s="14">
        <f>F85/(detalle!$D$2*1000000)</f>
        <v>4.1786342416814388E-5</v>
      </c>
      <c r="AC85" s="11">
        <v>0</v>
      </c>
      <c r="AD85" s="20">
        <v>0</v>
      </c>
      <c r="AE85" s="20">
        <v>0</v>
      </c>
      <c r="AF85" s="22">
        <f t="shared" si="24"/>
        <v>0</v>
      </c>
      <c r="AG85" s="12">
        <v>0</v>
      </c>
      <c r="AH85" s="12">
        <v>0</v>
      </c>
      <c r="AI85" s="20">
        <v>0</v>
      </c>
      <c r="AJ85" s="23">
        <f t="shared" si="25"/>
        <v>0</v>
      </c>
      <c r="AK85" s="23">
        <v>0</v>
      </c>
      <c r="AL85" s="28">
        <f>AK85/detalle!$D$2</f>
        <v>0</v>
      </c>
    </row>
    <row r="86" spans="1:38">
      <c r="A86" s="12">
        <v>85</v>
      </c>
      <c r="B86" s="19">
        <v>43975</v>
      </c>
      <c r="C86" s="12">
        <v>67</v>
      </c>
      <c r="D86" s="23">
        <f t="shared" si="21"/>
        <v>272</v>
      </c>
      <c r="E86" s="12">
        <v>15073</v>
      </c>
      <c r="F86" s="12">
        <v>460</v>
      </c>
      <c r="G86" s="12">
        <v>8285</v>
      </c>
      <c r="H86" s="23">
        <f t="shared" si="17"/>
        <v>6328</v>
      </c>
      <c r="I86" s="23">
        <f t="shared" si="27"/>
        <v>1668</v>
      </c>
      <c r="J86" s="12">
        <v>69608</v>
      </c>
      <c r="K86" s="23">
        <f t="shared" si="14"/>
        <v>54535</v>
      </c>
      <c r="L86" s="9">
        <f t="shared" si="22"/>
        <v>152</v>
      </c>
      <c r="M86" s="14">
        <f t="shared" si="18"/>
        <v>3.0518145027532674E-2</v>
      </c>
      <c r="N86" s="14">
        <f t="shared" si="28"/>
        <v>0.16306954436450841</v>
      </c>
      <c r="O86" s="12">
        <v>4036</v>
      </c>
      <c r="P86" s="12">
        <f t="shared" si="16"/>
        <v>2292</v>
      </c>
      <c r="Q86" s="30">
        <v>123</v>
      </c>
      <c r="R86" s="23">
        <f t="shared" si="19"/>
        <v>8745</v>
      </c>
      <c r="S86" s="25">
        <f>(((H86+R86)/(H85+R85))-1)+detalle!$D$1</f>
        <v>8.9805708108525534E-2</v>
      </c>
      <c r="T86" s="25">
        <f t="shared" si="23"/>
        <v>1.2572799135193575</v>
      </c>
      <c r="U86" s="10">
        <f t="shared" si="20"/>
        <v>0.54965832946327875</v>
      </c>
      <c r="V86" s="21">
        <f t="shared" si="26"/>
        <v>18.010869565217391</v>
      </c>
      <c r="W86" s="15">
        <f>J86/detalle!$D$2</f>
        <v>6350.794154911825</v>
      </c>
      <c r="X86" s="15">
        <f>E86/detalle!$D$2</f>
        <v>1375.2086009795705</v>
      </c>
      <c r="Y86" s="22">
        <f>F86/detalle!$D$2</f>
        <v>41.968815527804843</v>
      </c>
      <c r="Z86" s="20">
        <v>84.26</v>
      </c>
      <c r="AA86" s="14">
        <f>E86/(detalle!$D$2*1000000)</f>
        <v>1.3752086009795703E-3</v>
      </c>
      <c r="AB86" s="14">
        <f>F86/(detalle!$D$2*1000000)</f>
        <v>4.1968815527804842E-5</v>
      </c>
      <c r="AC86" s="11">
        <v>0</v>
      </c>
      <c r="AD86" s="20">
        <v>0</v>
      </c>
      <c r="AE86" s="20">
        <v>0</v>
      </c>
      <c r="AF86" s="22">
        <f t="shared" si="24"/>
        <v>2</v>
      </c>
      <c r="AG86" s="12">
        <v>0</v>
      </c>
      <c r="AH86" s="12">
        <v>0</v>
      </c>
      <c r="AI86" s="20">
        <v>0</v>
      </c>
      <c r="AJ86" s="23">
        <f t="shared" si="25"/>
        <v>0</v>
      </c>
      <c r="AK86" s="23">
        <v>0</v>
      </c>
      <c r="AL86" s="28">
        <f>AK86/detalle!$D$2</f>
        <v>0</v>
      </c>
    </row>
    <row r="87" spans="1:38">
      <c r="A87" s="12">
        <v>86</v>
      </c>
      <c r="B87" s="19">
        <v>43976</v>
      </c>
      <c r="C87" s="12">
        <v>68</v>
      </c>
      <c r="D87" s="23">
        <f t="shared" si="21"/>
        <v>191</v>
      </c>
      <c r="E87" s="12">
        <v>15264</v>
      </c>
      <c r="F87" s="12">
        <v>468</v>
      </c>
      <c r="G87" s="12">
        <v>8534</v>
      </c>
      <c r="H87" s="23">
        <f t="shared" si="17"/>
        <v>6262</v>
      </c>
      <c r="I87" s="23">
        <f t="shared" si="27"/>
        <v>1364</v>
      </c>
      <c r="J87" s="12">
        <v>70972</v>
      </c>
      <c r="K87" s="23">
        <f t="shared" si="14"/>
        <v>55708</v>
      </c>
      <c r="L87" s="9">
        <f t="shared" si="22"/>
        <v>249</v>
      </c>
      <c r="M87" s="14">
        <f t="shared" si="18"/>
        <v>3.0660377358490566E-2</v>
      </c>
      <c r="N87" s="14">
        <f t="shared" si="28"/>
        <v>0.14002932551319647</v>
      </c>
      <c r="O87" s="12">
        <v>4052</v>
      </c>
      <c r="P87" s="12">
        <f t="shared" si="16"/>
        <v>2210</v>
      </c>
      <c r="Q87" s="30">
        <v>116</v>
      </c>
      <c r="R87" s="23">
        <f t="shared" si="19"/>
        <v>9002</v>
      </c>
      <c r="S87" s="25">
        <f>(((H87+R87)/(H86+R86))-1)+detalle!$D$1</f>
        <v>8.4100235994351263E-2</v>
      </c>
      <c r="T87" s="25">
        <f t="shared" si="23"/>
        <v>1.1774033039209177</v>
      </c>
      <c r="U87" s="10">
        <f t="shared" si="20"/>
        <v>0.55909329140461217</v>
      </c>
      <c r="V87" s="21">
        <f t="shared" si="26"/>
        <v>18.235042735042736</v>
      </c>
      <c r="W87" s="15">
        <f>J87/detalle!$D$2</f>
        <v>6475.2408166073155</v>
      </c>
      <c r="X87" s="15">
        <f>E87/detalle!$D$2</f>
        <v>1392.634783079159</v>
      </c>
      <c r="Y87" s="22">
        <f>F87/detalle!$D$2</f>
        <v>42.698707971766666</v>
      </c>
      <c r="Z87" s="20">
        <v>84.26</v>
      </c>
      <c r="AA87" s="14">
        <f>E87/(detalle!$D$2*1000000)</f>
        <v>1.392634783079159E-3</v>
      </c>
      <c r="AB87" s="14">
        <f>F87/(detalle!$D$2*1000000)</f>
        <v>4.2698707971766664E-5</v>
      </c>
      <c r="AC87" s="11">
        <v>0</v>
      </c>
      <c r="AD87" s="20">
        <v>0</v>
      </c>
      <c r="AE87" s="20">
        <v>0</v>
      </c>
      <c r="AF87" s="22">
        <f t="shared" si="24"/>
        <v>8</v>
      </c>
      <c r="AG87" s="12">
        <v>0</v>
      </c>
      <c r="AH87" s="12">
        <v>0</v>
      </c>
      <c r="AI87" s="20">
        <v>0</v>
      </c>
      <c r="AJ87" s="23">
        <f t="shared" si="25"/>
        <v>0</v>
      </c>
      <c r="AK87" s="23">
        <v>0</v>
      </c>
      <c r="AL87" s="28">
        <f>AK87/detalle!$D$2</f>
        <v>0</v>
      </c>
    </row>
    <row r="88" spans="1:38">
      <c r="A88" s="12">
        <v>87</v>
      </c>
      <c r="B88" s="19">
        <v>43977</v>
      </c>
      <c r="C88" s="12">
        <v>69</v>
      </c>
      <c r="D88" s="23">
        <f t="shared" si="21"/>
        <v>459</v>
      </c>
      <c r="E88" s="12">
        <v>15723</v>
      </c>
      <c r="F88" s="12">
        <v>474</v>
      </c>
      <c r="G88" s="12">
        <v>8790</v>
      </c>
      <c r="H88" s="23">
        <f t="shared" si="17"/>
        <v>6459</v>
      </c>
      <c r="I88" s="23">
        <f t="shared" si="27"/>
        <v>2149</v>
      </c>
      <c r="J88" s="12">
        <v>73121</v>
      </c>
      <c r="K88" s="23">
        <f t="shared" si="14"/>
        <v>57398</v>
      </c>
      <c r="L88" s="9">
        <f t="shared" si="22"/>
        <v>256</v>
      </c>
      <c r="M88" s="14">
        <f t="shared" si="18"/>
        <v>3.0146918526998665E-2</v>
      </c>
      <c r="N88" s="14">
        <f t="shared" si="28"/>
        <v>0.2135877152163797</v>
      </c>
      <c r="O88" s="12">
        <v>4228</v>
      </c>
      <c r="P88" s="12">
        <f t="shared" si="16"/>
        <v>2231</v>
      </c>
      <c r="Q88" s="30">
        <v>112</v>
      </c>
      <c r="R88" s="23">
        <f t="shared" si="19"/>
        <v>9264</v>
      </c>
      <c r="S88" s="25">
        <f>(((H88+R88)/(H87+R87))-1)+detalle!$D$1</f>
        <v>0.1014993261455526</v>
      </c>
      <c r="T88" s="25">
        <f t="shared" si="23"/>
        <v>1.4209905660377364</v>
      </c>
      <c r="U88" s="10">
        <f t="shared" si="20"/>
        <v>0.55905361572219037</v>
      </c>
      <c r="V88" s="21">
        <f t="shared" si="26"/>
        <v>18.544303797468356</v>
      </c>
      <c r="W88" s="15">
        <f>J88/detalle!$D$2</f>
        <v>6671.3081743665607</v>
      </c>
      <c r="X88" s="15">
        <f>E88/detalle!$D$2</f>
        <v>1434.5123620514687</v>
      </c>
      <c r="Y88" s="22">
        <f>F88/detalle!$D$2</f>
        <v>43.246127304738032</v>
      </c>
      <c r="Z88" s="20">
        <v>84.26</v>
      </c>
      <c r="AA88" s="14">
        <f>E88/(detalle!$D$2*1000000)</f>
        <v>1.4345123620514686E-3</v>
      </c>
      <c r="AB88" s="14">
        <f>F88/(detalle!$D$2*1000000)</f>
        <v>4.3246127304738032E-5</v>
      </c>
      <c r="AC88" s="11">
        <v>0</v>
      </c>
      <c r="AD88" s="20">
        <v>0</v>
      </c>
      <c r="AE88" s="20">
        <v>0</v>
      </c>
      <c r="AF88" s="22">
        <f t="shared" si="24"/>
        <v>6</v>
      </c>
      <c r="AG88" s="12">
        <v>0</v>
      </c>
      <c r="AH88" s="12">
        <v>0</v>
      </c>
      <c r="AI88" s="20">
        <v>0</v>
      </c>
      <c r="AJ88" s="23">
        <f t="shared" si="25"/>
        <v>0</v>
      </c>
      <c r="AK88" s="23">
        <v>0</v>
      </c>
      <c r="AL88" s="28">
        <f>AK88/detalle!$D$2</f>
        <v>0</v>
      </c>
    </row>
    <row r="89" spans="1:38">
      <c r="A89" s="12">
        <v>88</v>
      </c>
      <c r="B89" s="19">
        <v>43978</v>
      </c>
      <c r="C89" s="12">
        <v>70</v>
      </c>
      <c r="D89" s="23">
        <f t="shared" si="21"/>
        <v>345</v>
      </c>
      <c r="E89" s="12">
        <v>16068</v>
      </c>
      <c r="F89" s="12">
        <v>485</v>
      </c>
      <c r="G89" s="12">
        <v>8952</v>
      </c>
      <c r="H89" s="23">
        <f t="shared" si="17"/>
        <v>6631</v>
      </c>
      <c r="I89" s="23">
        <f t="shared" si="27"/>
        <v>1491</v>
      </c>
      <c r="J89" s="12">
        <v>74612</v>
      </c>
      <c r="K89" s="23">
        <f t="shared" si="14"/>
        <v>58544</v>
      </c>
      <c r="L89" s="9">
        <f t="shared" si="22"/>
        <v>162</v>
      </c>
      <c r="M89" s="14">
        <f t="shared" si="18"/>
        <v>3.0184217077420961E-2</v>
      </c>
      <c r="N89" s="14">
        <f t="shared" si="28"/>
        <v>0.23138832997987926</v>
      </c>
      <c r="O89" s="12">
        <v>4458</v>
      </c>
      <c r="P89" s="12">
        <f t="shared" si="16"/>
        <v>2173</v>
      </c>
      <c r="Q89" s="30">
        <v>111</v>
      </c>
      <c r="R89" s="23">
        <f t="shared" si="19"/>
        <v>9437</v>
      </c>
      <c r="S89" s="25">
        <f>(((H89+R89)/(H88+R88))-1)+detalle!$D$1</f>
        <v>9.3370948837462803E-2</v>
      </c>
      <c r="T89" s="25">
        <f t="shared" si="23"/>
        <v>1.3071932837244793</v>
      </c>
      <c r="U89" s="10">
        <f t="shared" si="20"/>
        <v>0.55713218820014931</v>
      </c>
      <c r="V89" s="21">
        <f t="shared" si="26"/>
        <v>18.457731958762885</v>
      </c>
      <c r="W89" s="15">
        <f>J89/detalle!$D$2</f>
        <v>6807.3418786099455</v>
      </c>
      <c r="X89" s="15">
        <f>E89/detalle!$D$2</f>
        <v>1465.9889736973223</v>
      </c>
      <c r="Y89" s="22">
        <f>F89/detalle!$D$2</f>
        <v>44.249729415185541</v>
      </c>
      <c r="Z89" s="20">
        <v>84.26</v>
      </c>
      <c r="AA89" s="14">
        <f>E89/(detalle!$D$2*1000000)</f>
        <v>1.4659889736973221E-3</v>
      </c>
      <c r="AB89" s="14">
        <f>F89/(detalle!$D$2*1000000)</f>
        <v>4.4249729415185542E-5</v>
      </c>
      <c r="AC89" s="11">
        <v>0</v>
      </c>
      <c r="AD89" s="20">
        <v>0</v>
      </c>
      <c r="AE89" s="20">
        <v>0</v>
      </c>
      <c r="AF89" s="22">
        <f t="shared" si="24"/>
        <v>11</v>
      </c>
      <c r="AG89" s="12">
        <v>0</v>
      </c>
      <c r="AH89" s="12">
        <v>0</v>
      </c>
      <c r="AI89" s="20">
        <v>0</v>
      </c>
      <c r="AJ89" s="23">
        <f t="shared" si="25"/>
        <v>0</v>
      </c>
      <c r="AK89" s="23">
        <v>0</v>
      </c>
      <c r="AL89" s="28">
        <f>AK89/detalle!$D$2</f>
        <v>0</v>
      </c>
    </row>
    <row r="90" spans="1:38">
      <c r="A90" s="12">
        <v>89</v>
      </c>
      <c r="B90" s="19">
        <v>43979</v>
      </c>
      <c r="C90" s="12">
        <v>71</v>
      </c>
      <c r="D90" s="23">
        <f t="shared" si="21"/>
        <v>463</v>
      </c>
      <c r="E90" s="12">
        <v>16531</v>
      </c>
      <c r="F90" s="12">
        <v>488</v>
      </c>
      <c r="G90" s="12">
        <v>9266</v>
      </c>
      <c r="H90" s="23">
        <f t="shared" si="17"/>
        <v>6777</v>
      </c>
      <c r="I90" s="23">
        <f t="shared" si="27"/>
        <v>2318</v>
      </c>
      <c r="J90" s="12">
        <v>76930</v>
      </c>
      <c r="K90" s="23">
        <f t="shared" si="14"/>
        <v>60399</v>
      </c>
      <c r="L90" s="9">
        <f t="shared" si="22"/>
        <v>314</v>
      </c>
      <c r="M90" s="14">
        <f t="shared" si="18"/>
        <v>2.9520295202952029E-2</v>
      </c>
      <c r="N90" s="14">
        <f t="shared" si="28"/>
        <v>0.19974115616911131</v>
      </c>
      <c r="O90" s="12">
        <v>4583</v>
      </c>
      <c r="P90" s="12">
        <f t="shared" si="16"/>
        <v>2194</v>
      </c>
      <c r="Q90" s="30">
        <v>106</v>
      </c>
      <c r="R90" s="23">
        <f t="shared" si="19"/>
        <v>9754</v>
      </c>
      <c r="S90" s="25">
        <f>(((H90+R90)/(H89+R89))-1)+detalle!$D$1</f>
        <v>0.10024360752516095</v>
      </c>
      <c r="T90" s="25">
        <f t="shared" si="23"/>
        <v>1.4034105053522534</v>
      </c>
      <c r="U90" s="10">
        <f t="shared" si="20"/>
        <v>0.56052265440687199</v>
      </c>
      <c r="V90" s="21">
        <f t="shared" si="26"/>
        <v>18.987704918032787</v>
      </c>
      <c r="W90" s="15">
        <f>J90/detalle!$D$2</f>
        <v>7018.8282142478838</v>
      </c>
      <c r="X90" s="15">
        <f>E90/detalle!$D$2</f>
        <v>1508.2314988916128</v>
      </c>
      <c r="Y90" s="22">
        <f>F90/detalle!$D$2</f>
        <v>44.523439081671228</v>
      </c>
      <c r="Z90" s="20">
        <v>84.26</v>
      </c>
      <c r="AA90" s="14">
        <f>E90/(detalle!$D$2*1000000)</f>
        <v>1.5082314988916128E-3</v>
      </c>
      <c r="AB90" s="14">
        <f>F90/(detalle!$D$2*1000000)</f>
        <v>4.4523439081671223E-5</v>
      </c>
      <c r="AC90" s="11">
        <v>0</v>
      </c>
      <c r="AD90" s="20">
        <v>0</v>
      </c>
      <c r="AE90" s="20">
        <v>0</v>
      </c>
      <c r="AF90" s="22">
        <f t="shared" si="24"/>
        <v>3</v>
      </c>
      <c r="AG90" s="12">
        <v>0</v>
      </c>
      <c r="AH90" s="12">
        <v>0</v>
      </c>
      <c r="AI90" s="20">
        <v>0</v>
      </c>
      <c r="AJ90" s="23">
        <f t="shared" si="25"/>
        <v>0</v>
      </c>
      <c r="AK90" s="23">
        <v>0</v>
      </c>
      <c r="AL90" s="28">
        <f>AK90/detalle!$D$2</f>
        <v>0</v>
      </c>
    </row>
    <row r="91" spans="1:38">
      <c r="A91" s="12">
        <v>90</v>
      </c>
      <c r="B91" s="19">
        <v>43980</v>
      </c>
      <c r="C91" s="12">
        <v>72</v>
      </c>
      <c r="D91" s="23">
        <f t="shared" si="21"/>
        <v>377</v>
      </c>
      <c r="E91" s="12">
        <v>16908</v>
      </c>
      <c r="F91" s="12">
        <v>498</v>
      </c>
      <c r="G91" s="12">
        <v>9557</v>
      </c>
      <c r="H91" s="23">
        <f t="shared" si="17"/>
        <v>6853</v>
      </c>
      <c r="I91" s="23">
        <f t="shared" si="27"/>
        <v>2242</v>
      </c>
      <c r="J91" s="12">
        <v>79172</v>
      </c>
      <c r="K91" s="23">
        <f t="shared" si="14"/>
        <v>62264</v>
      </c>
      <c r="L91" s="9">
        <f t="shared" si="22"/>
        <v>291</v>
      </c>
      <c r="M91" s="14">
        <f t="shared" si="18"/>
        <v>2.9453513129879347E-2</v>
      </c>
      <c r="N91" s="14">
        <f t="shared" si="28"/>
        <v>0.16815343443354147</v>
      </c>
      <c r="O91" s="12">
        <v>4582</v>
      </c>
      <c r="P91" s="12">
        <f t="shared" si="16"/>
        <v>2271</v>
      </c>
      <c r="Q91" s="30">
        <v>111</v>
      </c>
      <c r="R91" s="23">
        <f t="shared" si="19"/>
        <v>10055</v>
      </c>
      <c r="S91" s="25">
        <f>(((H91+R91)/(H90+R90))-1)+detalle!$D$1</f>
        <v>9.4234209321016033E-2</v>
      </c>
      <c r="T91" s="25">
        <f t="shared" si="23"/>
        <v>1.3192789304942245</v>
      </c>
      <c r="U91" s="10">
        <f t="shared" si="20"/>
        <v>0.5652353915306364</v>
      </c>
      <c r="V91" s="21">
        <f t="shared" si="26"/>
        <v>19.190763052208837</v>
      </c>
      <c r="W91" s="15">
        <f>J91/detalle!$D$2</f>
        <v>7223.3805716681845</v>
      </c>
      <c r="X91" s="15">
        <f>E91/detalle!$D$2</f>
        <v>1542.6276803133137</v>
      </c>
      <c r="Y91" s="22">
        <f>F91/detalle!$D$2</f>
        <v>45.435804636623502</v>
      </c>
      <c r="Z91" s="20">
        <v>84.26</v>
      </c>
      <c r="AA91" s="14">
        <f>E91/(detalle!$D$2*1000000)</f>
        <v>1.5426276803133137E-3</v>
      </c>
      <c r="AB91" s="14">
        <f>F91/(detalle!$D$2*1000000)</f>
        <v>4.5435804636623506E-5</v>
      </c>
      <c r="AC91" s="11">
        <v>0</v>
      </c>
      <c r="AD91" s="20">
        <v>0</v>
      </c>
      <c r="AE91" s="20">
        <v>0</v>
      </c>
      <c r="AF91" s="22">
        <f t="shared" si="24"/>
        <v>10</v>
      </c>
      <c r="AG91" s="12">
        <v>0</v>
      </c>
      <c r="AH91" s="12">
        <v>0</v>
      </c>
      <c r="AI91" s="20">
        <v>0</v>
      </c>
      <c r="AJ91" s="23">
        <f t="shared" si="25"/>
        <v>0</v>
      </c>
      <c r="AK91" s="23">
        <v>0</v>
      </c>
      <c r="AL91" s="28">
        <f>AK91/detalle!$D$2</f>
        <v>0</v>
      </c>
    </row>
    <row r="92" spans="1:38">
      <c r="A92" s="12">
        <v>91</v>
      </c>
      <c r="B92" s="19">
        <v>43981</v>
      </c>
      <c r="C92" s="12">
        <v>73</v>
      </c>
      <c r="D92" s="23">
        <f t="shared" si="21"/>
        <v>377</v>
      </c>
      <c r="E92" s="12">
        <v>17285</v>
      </c>
      <c r="F92" s="12">
        <v>502</v>
      </c>
      <c r="G92" s="12">
        <v>10559</v>
      </c>
      <c r="H92" s="23">
        <f t="shared" si="17"/>
        <v>6224</v>
      </c>
      <c r="I92" s="23">
        <f t="shared" si="27"/>
        <v>2475</v>
      </c>
      <c r="J92" s="12">
        <v>81647</v>
      </c>
      <c r="K92" s="23">
        <f t="shared" si="14"/>
        <v>64362</v>
      </c>
      <c r="L92" s="9">
        <f t="shared" si="22"/>
        <v>1002</v>
      </c>
      <c r="M92" s="14">
        <f t="shared" si="18"/>
        <v>2.9042522418281747E-2</v>
      </c>
      <c r="N92" s="14">
        <f t="shared" si="28"/>
        <v>0.15232323232323233</v>
      </c>
      <c r="O92" s="12">
        <v>4264</v>
      </c>
      <c r="P92" s="12">
        <f t="shared" si="16"/>
        <v>1960</v>
      </c>
      <c r="Q92" s="30">
        <v>110</v>
      </c>
      <c r="R92" s="23">
        <f t="shared" si="19"/>
        <v>11061</v>
      </c>
      <c r="S92" s="25">
        <f>(((H92+R92)/(H91+R91))-1)+detalle!$D$1</f>
        <v>9.3725708878299258E-2</v>
      </c>
      <c r="T92" s="25">
        <f t="shared" si="23"/>
        <v>1.3121599242961897</v>
      </c>
      <c r="U92" s="10">
        <f t="shared" si="20"/>
        <v>0.61087648249927684</v>
      </c>
      <c r="V92" s="21">
        <f t="shared" si="26"/>
        <v>21.033864541832671</v>
      </c>
      <c r="W92" s="15">
        <f>J92/detalle!$D$2</f>
        <v>7449.1910465188739</v>
      </c>
      <c r="X92" s="15">
        <f>E92/detalle!$D$2</f>
        <v>1577.0238617350146</v>
      </c>
      <c r="Y92" s="22">
        <f>F92/detalle!$D$2</f>
        <v>45.800750858604417</v>
      </c>
      <c r="Z92" s="20">
        <v>84.26</v>
      </c>
      <c r="AA92" s="14">
        <f>E92/(detalle!$D$2*1000000)</f>
        <v>1.5770238617350146E-3</v>
      </c>
      <c r="AB92" s="14">
        <f>F92/(detalle!$D$2*1000000)</f>
        <v>4.5800750858604414E-5</v>
      </c>
      <c r="AC92" s="11">
        <v>0</v>
      </c>
      <c r="AD92" s="20">
        <v>0</v>
      </c>
      <c r="AE92" s="20">
        <v>0</v>
      </c>
      <c r="AF92" s="22">
        <f t="shared" si="24"/>
        <v>4</v>
      </c>
      <c r="AG92" s="12">
        <v>0</v>
      </c>
      <c r="AH92" s="12">
        <v>0</v>
      </c>
      <c r="AI92" s="20">
        <v>0</v>
      </c>
      <c r="AJ92" s="23">
        <f t="shared" si="25"/>
        <v>0</v>
      </c>
      <c r="AK92" s="23">
        <v>0</v>
      </c>
      <c r="AL92" s="28">
        <f>AK92/detalle!$D$2</f>
        <v>0</v>
      </c>
    </row>
    <row r="93" spans="1:38">
      <c r="A93" s="12">
        <v>92</v>
      </c>
      <c r="B93" s="19">
        <v>43982</v>
      </c>
      <c r="C93" s="12">
        <v>74</v>
      </c>
      <c r="D93" s="23">
        <f t="shared" si="21"/>
        <v>287</v>
      </c>
      <c r="E93" s="12">
        <v>17572</v>
      </c>
      <c r="F93" s="12">
        <v>502</v>
      </c>
      <c r="G93" s="12">
        <v>10893</v>
      </c>
      <c r="H93" s="23">
        <f t="shared" si="17"/>
        <v>6177</v>
      </c>
      <c r="I93" s="23">
        <f t="shared" si="27"/>
        <v>1797</v>
      </c>
      <c r="J93" s="12">
        <v>83444</v>
      </c>
      <c r="K93" s="23">
        <f t="shared" si="14"/>
        <v>65872</v>
      </c>
      <c r="L93" s="9">
        <f t="shared" si="22"/>
        <v>334</v>
      </c>
      <c r="M93" s="14">
        <f t="shared" si="18"/>
        <v>2.8568176644661963E-2</v>
      </c>
      <c r="N93" s="14">
        <f t="shared" si="28"/>
        <v>0.15971062882582082</v>
      </c>
      <c r="O93" s="12">
        <v>4189</v>
      </c>
      <c r="P93" s="12">
        <f t="shared" si="16"/>
        <v>1988</v>
      </c>
      <c r="Q93" s="30">
        <v>117</v>
      </c>
      <c r="R93" s="23">
        <f t="shared" si="19"/>
        <v>11395</v>
      </c>
      <c r="S93" s="25">
        <f>(((H93+R93)/(H92+R92))-1)+detalle!$D$1</f>
        <v>8.803256332906309E-2</v>
      </c>
      <c r="T93" s="25">
        <f t="shared" si="23"/>
        <v>1.2324558866068833</v>
      </c>
      <c r="U93" s="10">
        <f t="shared" si="20"/>
        <v>0.61990666970179831</v>
      </c>
      <c r="V93" s="21">
        <f t="shared" si="26"/>
        <v>21.699203187250998</v>
      </c>
      <c r="W93" s="15">
        <f>J93/detalle!$D$2</f>
        <v>7613.143136743799</v>
      </c>
      <c r="X93" s="15">
        <f>E93/detalle!$D$2</f>
        <v>1603.2087531621451</v>
      </c>
      <c r="Y93" s="22">
        <f>F93/detalle!$D$2</f>
        <v>45.800750858604417</v>
      </c>
      <c r="Z93" s="20">
        <v>84.26</v>
      </c>
      <c r="AA93" s="14">
        <f>E93/(detalle!$D$2*1000000)</f>
        <v>1.6032087531621449E-3</v>
      </c>
      <c r="AB93" s="14">
        <f>F93/(detalle!$D$2*1000000)</f>
        <v>4.5800750858604414E-5</v>
      </c>
      <c r="AC93" s="11">
        <v>0</v>
      </c>
      <c r="AD93" s="20">
        <v>0</v>
      </c>
      <c r="AE93" s="20">
        <v>0</v>
      </c>
      <c r="AF93" s="22">
        <f t="shared" si="24"/>
        <v>0</v>
      </c>
      <c r="AG93" s="12">
        <v>0</v>
      </c>
      <c r="AH93" s="12">
        <v>0</v>
      </c>
      <c r="AI93" s="20">
        <v>0</v>
      </c>
      <c r="AJ93" s="23">
        <f t="shared" si="25"/>
        <v>0</v>
      </c>
      <c r="AK93" s="23">
        <v>0</v>
      </c>
      <c r="AL93" s="28">
        <f>AK93/detalle!$D$2</f>
        <v>0</v>
      </c>
    </row>
    <row r="94" spans="1:38">
      <c r="A94" s="12">
        <v>93</v>
      </c>
      <c r="B94" s="19">
        <v>43983</v>
      </c>
      <c r="C94" s="12">
        <v>75</v>
      </c>
      <c r="D94" s="23">
        <f t="shared" si="21"/>
        <v>180</v>
      </c>
      <c r="E94" s="12">
        <v>17752</v>
      </c>
      <c r="F94" s="12">
        <v>515</v>
      </c>
      <c r="G94" s="12">
        <v>11075</v>
      </c>
      <c r="H94" s="23">
        <f t="shared" si="17"/>
        <v>6162</v>
      </c>
      <c r="I94" s="23">
        <f t="shared" si="27"/>
        <v>1194</v>
      </c>
      <c r="J94" s="12">
        <v>84638</v>
      </c>
      <c r="K94" s="23">
        <f t="shared" si="14"/>
        <v>66886</v>
      </c>
      <c r="L94" s="9">
        <f t="shared" si="22"/>
        <v>182</v>
      </c>
      <c r="M94" s="14">
        <f t="shared" si="18"/>
        <v>2.9010815682739974E-2</v>
      </c>
      <c r="N94" s="14">
        <f t="shared" si="28"/>
        <v>0.15075376884422109</v>
      </c>
      <c r="O94" s="12">
        <v>4173</v>
      </c>
      <c r="P94" s="12">
        <f t="shared" si="16"/>
        <v>1989</v>
      </c>
      <c r="Q94" s="30">
        <v>111</v>
      </c>
      <c r="R94" s="23">
        <f t="shared" si="19"/>
        <v>11590</v>
      </c>
      <c r="S94" s="25">
        <f>(((H94+R94)/(H93+R93))-1)+detalle!$D$1</f>
        <v>8.1672140743390492E-2</v>
      </c>
      <c r="T94" s="25">
        <f t="shared" si="23"/>
        <v>1.1434099704074669</v>
      </c>
      <c r="U94" s="10">
        <f t="shared" si="20"/>
        <v>0.62387336638125279</v>
      </c>
      <c r="V94" s="21">
        <f t="shared" si="26"/>
        <v>21.50485436893204</v>
      </c>
      <c r="W94" s="15">
        <f>J94/detalle!$D$2</f>
        <v>7722.0795840051005</v>
      </c>
      <c r="X94" s="15">
        <f>E94/detalle!$D$2</f>
        <v>1619.6313331512861</v>
      </c>
      <c r="Y94" s="22">
        <f>F94/detalle!$D$2</f>
        <v>46.986826080042377</v>
      </c>
      <c r="Z94" s="20">
        <v>78.7</v>
      </c>
      <c r="AA94" s="14">
        <f>E94/(detalle!$D$2*1000000)</f>
        <v>1.6196313331512859E-3</v>
      </c>
      <c r="AB94" s="14">
        <f>F94/(detalle!$D$2*1000000)</f>
        <v>4.6986826080042377E-5</v>
      </c>
      <c r="AC94" s="11">
        <v>0</v>
      </c>
      <c r="AD94" s="20">
        <v>0</v>
      </c>
      <c r="AE94" s="20">
        <v>0</v>
      </c>
      <c r="AF94" s="22">
        <f t="shared" si="24"/>
        <v>13</v>
      </c>
      <c r="AG94" s="12">
        <v>0</v>
      </c>
      <c r="AH94" s="12">
        <v>0</v>
      </c>
      <c r="AI94" s="20">
        <v>0</v>
      </c>
      <c r="AJ94" s="23">
        <f t="shared" si="25"/>
        <v>0</v>
      </c>
      <c r="AK94" s="23">
        <v>0</v>
      </c>
      <c r="AL94" s="28">
        <f>AK94/detalle!$D$2</f>
        <v>0</v>
      </c>
    </row>
    <row r="95" spans="1:38">
      <c r="A95" s="12">
        <v>94</v>
      </c>
      <c r="B95" s="19">
        <v>43984</v>
      </c>
      <c r="C95" s="12">
        <v>76</v>
      </c>
      <c r="D95" s="23">
        <f t="shared" si="21"/>
        <v>288</v>
      </c>
      <c r="E95" s="12">
        <v>18040</v>
      </c>
      <c r="F95" s="12">
        <v>516</v>
      </c>
      <c r="G95" s="12">
        <v>11224</v>
      </c>
      <c r="H95" s="23">
        <f t="shared" si="17"/>
        <v>6300</v>
      </c>
      <c r="I95" s="23">
        <f t="shared" si="27"/>
        <v>1647</v>
      </c>
      <c r="J95" s="12">
        <v>86285</v>
      </c>
      <c r="K95" s="23">
        <f t="shared" si="14"/>
        <v>68245</v>
      </c>
      <c r="L95" s="9">
        <f t="shared" si="22"/>
        <v>149</v>
      </c>
      <c r="M95" s="14">
        <f t="shared" si="18"/>
        <v>2.860310421286031E-2</v>
      </c>
      <c r="N95" s="14">
        <f t="shared" si="28"/>
        <v>0.17486338797814208</v>
      </c>
      <c r="O95" s="12">
        <v>4246</v>
      </c>
      <c r="P95" s="12">
        <f t="shared" si="16"/>
        <v>2054</v>
      </c>
      <c r="Q95" s="30">
        <v>110</v>
      </c>
      <c r="R95" s="23">
        <f t="shared" si="19"/>
        <v>11740</v>
      </c>
      <c r="S95" s="25">
        <f>(((H95+R95)/(H94+R94))-1)+detalle!$D$1</f>
        <v>8.7652095538530955E-2</v>
      </c>
      <c r="T95" s="25">
        <f t="shared" si="23"/>
        <v>1.2271293375394334</v>
      </c>
      <c r="U95" s="10">
        <f t="shared" si="20"/>
        <v>0.62217294900221731</v>
      </c>
      <c r="V95" s="21">
        <f t="shared" si="26"/>
        <v>21.751937984496124</v>
      </c>
      <c r="W95" s="15">
        <f>J95/detalle!$D$2</f>
        <v>7872.3461909057414</v>
      </c>
      <c r="X95" s="15">
        <f>E95/detalle!$D$2</f>
        <v>1645.9074611339117</v>
      </c>
      <c r="Y95" s="22">
        <f>F95/detalle!$D$2</f>
        <v>47.078062635537606</v>
      </c>
      <c r="Z95" s="20">
        <v>78.7</v>
      </c>
      <c r="AA95" s="14">
        <f>E95/(detalle!$D$2*1000000)</f>
        <v>1.6459074611339117E-3</v>
      </c>
      <c r="AB95" s="14">
        <f>F95/(detalle!$D$2*1000000)</f>
        <v>4.7078062635537604E-5</v>
      </c>
      <c r="AC95" s="11">
        <v>0</v>
      </c>
      <c r="AD95" s="20">
        <v>0</v>
      </c>
      <c r="AE95" s="20">
        <v>0</v>
      </c>
      <c r="AF95" s="22">
        <f t="shared" si="24"/>
        <v>1</v>
      </c>
      <c r="AG95" s="12">
        <v>0</v>
      </c>
      <c r="AH95" s="12">
        <v>0</v>
      </c>
      <c r="AI95" s="20">
        <v>0</v>
      </c>
      <c r="AJ95" s="23">
        <f t="shared" si="25"/>
        <v>0</v>
      </c>
      <c r="AK95" s="23">
        <v>0</v>
      </c>
      <c r="AL95" s="28">
        <f>AK95/detalle!$D$2</f>
        <v>0</v>
      </c>
    </row>
    <row r="96" spans="1:38">
      <c r="A96" s="12">
        <v>95</v>
      </c>
      <c r="B96" s="19">
        <v>43985</v>
      </c>
      <c r="C96" s="12">
        <v>77</v>
      </c>
      <c r="D96" s="23">
        <f t="shared" si="21"/>
        <v>279</v>
      </c>
      <c r="E96" s="12">
        <v>18319</v>
      </c>
      <c r="F96" s="12">
        <v>520</v>
      </c>
      <c r="G96" s="12">
        <v>11474</v>
      </c>
      <c r="H96" s="23">
        <f t="shared" si="17"/>
        <v>6325</v>
      </c>
      <c r="I96" s="23">
        <f t="shared" si="27"/>
        <v>1771</v>
      </c>
      <c r="J96" s="12">
        <v>88056</v>
      </c>
      <c r="K96" s="23">
        <f t="shared" si="14"/>
        <v>69737</v>
      </c>
      <c r="L96" s="9">
        <f t="shared" si="22"/>
        <v>250</v>
      </c>
      <c r="M96" s="14">
        <f t="shared" si="18"/>
        <v>2.8385828920792621E-2</v>
      </c>
      <c r="N96" s="14">
        <f t="shared" si="28"/>
        <v>0.15753811405985318</v>
      </c>
      <c r="O96" s="12">
        <v>4232</v>
      </c>
      <c r="P96" s="12">
        <v>2093</v>
      </c>
      <c r="Q96" s="12">
        <v>100</v>
      </c>
      <c r="R96" s="23">
        <f t="shared" si="19"/>
        <v>11994</v>
      </c>
      <c r="S96" s="25">
        <f>(((H96+R96)/(H95+R95))-1)+detalle!$D$1</f>
        <v>8.6894203357617911E-2</v>
      </c>
      <c r="T96" s="25">
        <f t="shared" si="23"/>
        <v>1.2165188470066508</v>
      </c>
      <c r="U96" s="10">
        <f t="shared" si="20"/>
        <v>0.62634423276379714</v>
      </c>
      <c r="V96" s="21">
        <f t="shared" si="26"/>
        <v>22.065384615384616</v>
      </c>
      <c r="W96" s="15">
        <f>J96/detalle!$D$2</f>
        <v>8033.9261306877897</v>
      </c>
      <c r="X96" s="15">
        <f>E96/detalle!$D$2</f>
        <v>1671.3624601170802</v>
      </c>
      <c r="Y96" s="22">
        <f>F96/detalle!$D$2</f>
        <v>47.443008857518521</v>
      </c>
      <c r="Z96" s="20">
        <v>78.7</v>
      </c>
      <c r="AA96" s="14">
        <f>E96/(detalle!$D$2*1000000)</f>
        <v>1.6713624601170803E-3</v>
      </c>
      <c r="AB96" s="14">
        <f>F96/(detalle!$D$2*1000000)</f>
        <v>4.7443008857518519E-5</v>
      </c>
      <c r="AC96" s="11">
        <v>0</v>
      </c>
      <c r="AD96" s="20">
        <v>0</v>
      </c>
      <c r="AE96" s="20">
        <v>0</v>
      </c>
      <c r="AF96" s="22">
        <f t="shared" si="24"/>
        <v>4</v>
      </c>
      <c r="AG96" s="12">
        <v>0</v>
      </c>
      <c r="AH96" s="12">
        <v>0</v>
      </c>
      <c r="AI96" s="20">
        <v>0</v>
      </c>
      <c r="AJ96" s="23">
        <f t="shared" si="25"/>
        <v>0</v>
      </c>
      <c r="AK96" s="23">
        <v>0</v>
      </c>
      <c r="AL96" s="28">
        <f>AK96/detalle!$D$2</f>
        <v>0</v>
      </c>
    </row>
    <row r="97" spans="1:38">
      <c r="A97" s="12">
        <v>96</v>
      </c>
      <c r="B97" s="19">
        <v>43986</v>
      </c>
      <c r="C97" s="12">
        <v>78</v>
      </c>
      <c r="D97" s="23">
        <f t="shared" si="21"/>
        <v>389</v>
      </c>
      <c r="E97" s="12">
        <v>18708</v>
      </c>
      <c r="F97" s="12">
        <v>525</v>
      </c>
      <c r="G97" s="12">
        <v>11736</v>
      </c>
      <c r="H97" s="23">
        <f t="shared" si="17"/>
        <v>6447</v>
      </c>
      <c r="I97" s="23">
        <f t="shared" si="27"/>
        <v>2085</v>
      </c>
      <c r="J97" s="12">
        <v>90141</v>
      </c>
      <c r="K97" s="23">
        <f t="shared" si="14"/>
        <v>71433</v>
      </c>
      <c r="L97" s="9">
        <f t="shared" si="22"/>
        <v>262</v>
      </c>
      <c r="M97" s="14">
        <f t="shared" si="18"/>
        <v>2.8062860808210393E-2</v>
      </c>
      <c r="N97" s="14">
        <f t="shared" si="28"/>
        <v>0.18657074340527577</v>
      </c>
      <c r="O97" s="12">
        <v>4327</v>
      </c>
      <c r="P97" s="12">
        <v>2120</v>
      </c>
      <c r="Q97" s="20">
        <v>100</v>
      </c>
      <c r="R97" s="23">
        <f t="shared" si="19"/>
        <v>12261</v>
      </c>
      <c r="S97" s="25">
        <f>(((H97+R97)/(H96+R96))-1)+detalle!$D$1</f>
        <v>9.266335498662584E-2</v>
      </c>
      <c r="T97" s="25">
        <f t="shared" si="23"/>
        <v>1.2972869698127618</v>
      </c>
      <c r="U97" s="10">
        <f t="shared" si="20"/>
        <v>0.62732520846696604</v>
      </c>
      <c r="V97" s="21">
        <f t="shared" si="26"/>
        <v>22.354285714285716</v>
      </c>
      <c r="W97" s="15">
        <f>J97/detalle!$D$2</f>
        <v>8224.1543488953394</v>
      </c>
      <c r="X97" s="15">
        <f>E97/detalle!$D$2</f>
        <v>1706.8534802047238</v>
      </c>
      <c r="Y97" s="22">
        <f>F97/detalle!$D$2</f>
        <v>47.899191634994658</v>
      </c>
      <c r="Z97" s="20">
        <v>78.7</v>
      </c>
      <c r="AA97" s="14">
        <f>E97/(detalle!$D$2*1000000)</f>
        <v>1.7068534802047238E-3</v>
      </c>
      <c r="AB97" s="14">
        <f>F97/(detalle!$D$2*1000000)</f>
        <v>4.7899191634994653E-5</v>
      </c>
      <c r="AC97" s="11">
        <v>0</v>
      </c>
      <c r="AD97" s="20">
        <v>0</v>
      </c>
      <c r="AE97" s="20">
        <v>0</v>
      </c>
      <c r="AF97" s="22">
        <f t="shared" si="24"/>
        <v>5</v>
      </c>
      <c r="AG97" s="12">
        <v>0</v>
      </c>
      <c r="AH97" s="12">
        <v>0</v>
      </c>
      <c r="AI97" s="20">
        <v>0</v>
      </c>
      <c r="AJ97" s="23">
        <f t="shared" si="25"/>
        <v>0</v>
      </c>
      <c r="AK97" s="23">
        <v>0</v>
      </c>
      <c r="AL97" s="28">
        <f>AK97/detalle!$D$2</f>
        <v>0</v>
      </c>
    </row>
    <row r="98" spans="1:38">
      <c r="A98" s="12">
        <v>97</v>
      </c>
      <c r="B98" s="19">
        <v>43987</v>
      </c>
      <c r="C98" s="12">
        <v>79</v>
      </c>
      <c r="D98" s="23">
        <f t="shared" si="21"/>
        <v>487</v>
      </c>
      <c r="E98" s="12">
        <v>19195</v>
      </c>
      <c r="F98" s="12">
        <v>536</v>
      </c>
      <c r="G98" s="12">
        <v>11919</v>
      </c>
      <c r="H98" s="23">
        <f t="shared" si="17"/>
        <v>6740</v>
      </c>
      <c r="I98" s="23">
        <f t="shared" si="27"/>
        <v>2079</v>
      </c>
      <c r="J98" s="12">
        <v>92220</v>
      </c>
      <c r="K98" s="23">
        <f t="shared" si="14"/>
        <v>73025</v>
      </c>
      <c r="L98" s="9">
        <f t="shared" si="22"/>
        <v>183</v>
      </c>
      <c r="M98" s="14">
        <f t="shared" si="18"/>
        <v>2.7923938525657725E-2</v>
      </c>
      <c r="N98" s="14">
        <f t="shared" si="28"/>
        <v>0.23424723424723426</v>
      </c>
      <c r="O98" s="12">
        <v>4401</v>
      </c>
      <c r="P98" s="12">
        <v>2339</v>
      </c>
      <c r="Q98" s="20">
        <v>103</v>
      </c>
      <c r="R98" s="23">
        <f t="shared" si="19"/>
        <v>12455</v>
      </c>
      <c r="S98" s="25">
        <f>(((H98+R98)/(H97+R97))-1)+detalle!$D$1</f>
        <v>9.7460215644949361E-2</v>
      </c>
      <c r="T98" s="25">
        <f t="shared" si="23"/>
        <v>1.3644430190292911</v>
      </c>
      <c r="U98" s="10">
        <f t="shared" si="20"/>
        <v>0.62094295389424325</v>
      </c>
      <c r="V98" s="21">
        <f t="shared" si="26"/>
        <v>22.236940298507463</v>
      </c>
      <c r="W98" s="15">
        <f>J98/detalle!$D$2</f>
        <v>8413.835147769918</v>
      </c>
      <c r="X98" s="15">
        <f>E98/detalle!$D$2</f>
        <v>1751.2856827308999</v>
      </c>
      <c r="Y98" s="22">
        <f>F98/detalle!$D$2</f>
        <v>48.902793745442168</v>
      </c>
      <c r="Z98" s="20">
        <v>78.7</v>
      </c>
      <c r="AA98" s="14">
        <f>E98/(detalle!$D$2*1000000)</f>
        <v>1.7512856827308998E-3</v>
      </c>
      <c r="AB98" s="14">
        <f>F98/(detalle!$D$2*1000000)</f>
        <v>4.8902793745442163E-5</v>
      </c>
      <c r="AC98" s="11">
        <v>0</v>
      </c>
      <c r="AD98" s="20">
        <v>0</v>
      </c>
      <c r="AE98" s="20">
        <v>0</v>
      </c>
      <c r="AF98" s="22">
        <f t="shared" si="24"/>
        <v>11</v>
      </c>
      <c r="AG98" s="12">
        <v>0</v>
      </c>
      <c r="AH98" s="12">
        <v>0</v>
      </c>
      <c r="AI98" s="20">
        <v>0</v>
      </c>
      <c r="AJ98" s="23">
        <f t="shared" si="25"/>
        <v>0</v>
      </c>
      <c r="AK98" s="23">
        <v>0</v>
      </c>
      <c r="AL98" s="28">
        <f>AK98/detalle!$D$2</f>
        <v>0</v>
      </c>
    </row>
    <row r="99" spans="1:38">
      <c r="A99" s="12">
        <v>98</v>
      </c>
      <c r="B99" s="19">
        <v>43988</v>
      </c>
      <c r="C99" s="12">
        <v>80</v>
      </c>
      <c r="D99" s="23">
        <f t="shared" si="21"/>
        <v>405</v>
      </c>
      <c r="E99" s="12">
        <v>19600</v>
      </c>
      <c r="F99" s="12">
        <v>538</v>
      </c>
      <c r="G99" s="12">
        <v>12007</v>
      </c>
      <c r="H99" s="23">
        <f t="shared" si="17"/>
        <v>7055</v>
      </c>
      <c r="I99" s="23">
        <f t="shared" si="27"/>
        <v>2291</v>
      </c>
      <c r="J99" s="12">
        <v>94511</v>
      </c>
      <c r="K99" s="23">
        <f t="shared" si="14"/>
        <v>74911</v>
      </c>
      <c r="L99" s="9">
        <f t="shared" si="22"/>
        <v>88</v>
      </c>
      <c r="M99" s="14">
        <f t="shared" si="18"/>
        <v>2.7448979591836734E-2</v>
      </c>
      <c r="N99" s="14">
        <f t="shared" si="28"/>
        <v>0.17677869925796597</v>
      </c>
      <c r="O99" s="12">
        <v>4715</v>
      </c>
      <c r="P99" s="12">
        <v>2340</v>
      </c>
      <c r="Q99" s="20">
        <v>109</v>
      </c>
      <c r="R99" s="23">
        <f t="shared" si="19"/>
        <v>12545</v>
      </c>
      <c r="S99" s="25">
        <f>(((H99+R99)/(H98+R98))-1)+detalle!$D$1</f>
        <v>9.2527816023517923E-2</v>
      </c>
      <c r="T99" s="25">
        <f t="shared" si="23"/>
        <v>1.295389424329251</v>
      </c>
      <c r="U99" s="10">
        <f t="shared" si="20"/>
        <v>0.61260204081632652</v>
      </c>
      <c r="V99" s="21">
        <f t="shared" si="26"/>
        <v>22.317843866171003</v>
      </c>
      <c r="W99" s="15">
        <f>J99/detalle!$D$2</f>
        <v>8622.8580964094854</v>
      </c>
      <c r="X99" s="15">
        <f>E99/detalle!$D$2</f>
        <v>1788.2364877064672</v>
      </c>
      <c r="Y99" s="22">
        <f>F99/detalle!$D$2</f>
        <v>49.085266856432618</v>
      </c>
      <c r="Z99" s="20">
        <v>78.7</v>
      </c>
      <c r="AA99" s="14">
        <f>E99/(detalle!$D$2*1000000)</f>
        <v>1.7882364877064671E-3</v>
      </c>
      <c r="AB99" s="14">
        <f>F99/(detalle!$D$2*1000000)</f>
        <v>4.9085266856432617E-5</v>
      </c>
      <c r="AC99" s="11">
        <v>0</v>
      </c>
      <c r="AD99" s="20">
        <v>0</v>
      </c>
      <c r="AE99" s="20">
        <v>0</v>
      </c>
      <c r="AF99" s="22">
        <f t="shared" si="24"/>
        <v>2</v>
      </c>
      <c r="AG99" s="12">
        <v>0</v>
      </c>
      <c r="AH99" s="12">
        <v>0</v>
      </c>
      <c r="AI99" s="20">
        <v>0</v>
      </c>
      <c r="AJ99" s="23">
        <f t="shared" si="25"/>
        <v>0</v>
      </c>
      <c r="AK99" s="23">
        <v>0</v>
      </c>
      <c r="AL99" s="28">
        <f>AK99/detalle!$D$2</f>
        <v>0</v>
      </c>
    </row>
    <row r="100" spans="1:38">
      <c r="A100" s="12">
        <v>99</v>
      </c>
      <c r="B100" s="19">
        <v>43989</v>
      </c>
      <c r="C100" s="12">
        <v>81</v>
      </c>
      <c r="D100" s="23">
        <f t="shared" si="21"/>
        <v>526</v>
      </c>
      <c r="E100" s="12">
        <v>20126</v>
      </c>
      <c r="F100" s="12">
        <v>539</v>
      </c>
      <c r="G100" s="12">
        <v>12158</v>
      </c>
      <c r="H100" s="23">
        <f t="shared" si="17"/>
        <v>7429</v>
      </c>
      <c r="I100" s="23">
        <f t="shared" si="27"/>
        <v>2529</v>
      </c>
      <c r="J100" s="12">
        <v>97040</v>
      </c>
      <c r="K100" s="23">
        <f t="shared" si="14"/>
        <v>76914</v>
      </c>
      <c r="L100" s="9">
        <f t="shared" si="22"/>
        <v>151</v>
      </c>
      <c r="M100" s="14">
        <f t="shared" si="18"/>
        <v>2.6781277948921791E-2</v>
      </c>
      <c r="N100" s="14">
        <f t="shared" si="28"/>
        <v>0.20798734677738237</v>
      </c>
      <c r="O100" s="12">
        <v>4958</v>
      </c>
      <c r="P100" s="12">
        <v>2471</v>
      </c>
      <c r="Q100" s="20">
        <v>112</v>
      </c>
      <c r="R100" s="23">
        <f t="shared" si="19"/>
        <v>12697</v>
      </c>
      <c r="S100" s="25">
        <f>(((H100+R100)/(H99+R99))-1)+detalle!$D$1</f>
        <v>9.826530612244902E-2</v>
      </c>
      <c r="T100" s="25">
        <f t="shared" si="23"/>
        <v>1.3757142857142863</v>
      </c>
      <c r="U100" s="10">
        <f t="shared" si="20"/>
        <v>0.60409420649905599</v>
      </c>
      <c r="V100" s="21">
        <f t="shared" si="26"/>
        <v>22.556586270871986</v>
      </c>
      <c r="W100" s="15">
        <f>J100/detalle!$D$2</f>
        <v>8853.5953452569174</v>
      </c>
      <c r="X100" s="15">
        <f>E100/detalle!$D$2</f>
        <v>1836.2269158969571</v>
      </c>
      <c r="Y100" s="22">
        <f>F100/detalle!$D$2</f>
        <v>49.176503411927847</v>
      </c>
      <c r="Z100" s="20">
        <v>78.7</v>
      </c>
      <c r="AA100" s="14">
        <f>E100/(detalle!$D$2*1000000)</f>
        <v>1.8362269158969571E-3</v>
      </c>
      <c r="AB100" s="14">
        <f>F100/(detalle!$D$2*1000000)</f>
        <v>4.9176503411927851E-5</v>
      </c>
      <c r="AC100" s="11">
        <v>0</v>
      </c>
      <c r="AD100" s="20">
        <v>0</v>
      </c>
      <c r="AE100" s="20">
        <v>0</v>
      </c>
      <c r="AF100" s="22">
        <f t="shared" si="24"/>
        <v>1</v>
      </c>
      <c r="AG100" s="12">
        <v>0</v>
      </c>
      <c r="AH100" s="12">
        <v>0</v>
      </c>
      <c r="AI100" s="20">
        <v>0</v>
      </c>
      <c r="AJ100" s="23">
        <f t="shared" si="25"/>
        <v>0</v>
      </c>
      <c r="AK100" s="23">
        <v>0</v>
      </c>
      <c r="AL100" s="28">
        <f>AK100/detalle!$D$2</f>
        <v>0</v>
      </c>
    </row>
    <row r="101" spans="1:38">
      <c r="A101" s="12">
        <v>100</v>
      </c>
      <c r="B101" s="19">
        <v>43990</v>
      </c>
      <c r="C101" s="12">
        <v>82</v>
      </c>
      <c r="D101" s="23">
        <f t="shared" si="21"/>
        <v>289</v>
      </c>
      <c r="E101" s="12">
        <v>20415</v>
      </c>
      <c r="F101" s="12">
        <v>544</v>
      </c>
      <c r="G101" s="12">
        <v>12208</v>
      </c>
      <c r="H101" s="23">
        <f t="shared" si="17"/>
        <v>7663</v>
      </c>
      <c r="I101" s="23">
        <f t="shared" si="27"/>
        <v>1060</v>
      </c>
      <c r="J101" s="12">
        <v>98100</v>
      </c>
      <c r="K101" s="23">
        <f t="shared" si="14"/>
        <v>77685</v>
      </c>
      <c r="L101" s="9">
        <f t="shared" si="22"/>
        <v>50</v>
      </c>
      <c r="M101" s="14">
        <f t="shared" si="18"/>
        <v>2.6647073230467794E-2</v>
      </c>
      <c r="N101" s="14">
        <f t="shared" si="28"/>
        <v>0.27264150943396226</v>
      </c>
      <c r="O101" s="12">
        <v>5109</v>
      </c>
      <c r="P101" s="12">
        <v>2554</v>
      </c>
      <c r="Q101" s="20">
        <v>116</v>
      </c>
      <c r="R101" s="23">
        <f t="shared" si="19"/>
        <v>12752</v>
      </c>
      <c r="S101" s="25">
        <f>(((H101+R101)/(H100+R100))-1)+detalle!$D$1</f>
        <v>8.5788106358512889E-2</v>
      </c>
      <c r="T101" s="25">
        <f t="shared" si="23"/>
        <v>1.2010334890191805</v>
      </c>
      <c r="U101" s="10">
        <f t="shared" si="20"/>
        <v>0.59799167278961551</v>
      </c>
      <c r="V101" s="21">
        <f t="shared" si="26"/>
        <v>22.441176470588236</v>
      </c>
      <c r="W101" s="15">
        <f>J101/detalle!$D$2</f>
        <v>8950.3060940818596</v>
      </c>
      <c r="X101" s="15">
        <f>E101/detalle!$D$2</f>
        <v>1862.594280435078</v>
      </c>
      <c r="Y101" s="22">
        <f>F101/detalle!$D$2</f>
        <v>49.632686189403991</v>
      </c>
      <c r="Z101" s="20">
        <v>78.7</v>
      </c>
      <c r="AA101" s="14">
        <f>E101/(detalle!$D$2*1000000)</f>
        <v>1.8625942804350779E-3</v>
      </c>
      <c r="AB101" s="14">
        <f>F101/(detalle!$D$2*1000000)</f>
        <v>4.9632686189403985E-5</v>
      </c>
      <c r="AC101" s="11">
        <v>0</v>
      </c>
      <c r="AD101" s="20">
        <v>0</v>
      </c>
      <c r="AE101" s="20">
        <v>0</v>
      </c>
      <c r="AF101" s="22">
        <f t="shared" si="24"/>
        <v>5</v>
      </c>
      <c r="AG101" s="12">
        <v>0</v>
      </c>
      <c r="AH101" s="12">
        <v>0</v>
      </c>
      <c r="AI101" s="20">
        <v>0</v>
      </c>
      <c r="AJ101" s="23">
        <f t="shared" si="25"/>
        <v>0</v>
      </c>
      <c r="AK101" s="23">
        <v>0</v>
      </c>
      <c r="AL101" s="28">
        <f>AK101/detalle!$D$2</f>
        <v>0</v>
      </c>
    </row>
    <row r="102" spans="1:38">
      <c r="A102" s="12">
        <v>101</v>
      </c>
      <c r="B102" s="19">
        <v>43991</v>
      </c>
      <c r="C102" s="30">
        <v>83</v>
      </c>
      <c r="D102" s="23">
        <f t="shared" si="21"/>
        <v>393</v>
      </c>
      <c r="E102" s="12">
        <v>20808</v>
      </c>
      <c r="F102" s="12">
        <v>550</v>
      </c>
      <c r="G102" s="12">
        <v>12318</v>
      </c>
      <c r="H102" s="23">
        <f t="shared" si="17"/>
        <v>7940</v>
      </c>
      <c r="I102" s="23">
        <f t="shared" si="27"/>
        <v>1935</v>
      </c>
      <c r="J102" s="29">
        <v>100035</v>
      </c>
      <c r="K102" s="23">
        <f t="shared" si="14"/>
        <v>79227</v>
      </c>
      <c r="L102" s="9">
        <f t="shared" si="22"/>
        <v>110</v>
      </c>
      <c r="M102" s="14">
        <f t="shared" si="18"/>
        <v>2.6432141484044599E-2</v>
      </c>
      <c r="N102" s="14">
        <f t="shared" si="28"/>
        <v>0.20310077519379846</v>
      </c>
      <c r="O102" s="12">
        <v>5331</v>
      </c>
      <c r="P102" s="12">
        <v>2609</v>
      </c>
      <c r="Q102" s="12">
        <v>117</v>
      </c>
      <c r="R102" s="23">
        <f t="shared" si="19"/>
        <v>12868</v>
      </c>
      <c r="S102" s="25">
        <f>(((H102+R102)/(H101+R101))-1)+detalle!$D$1</f>
        <v>9.0679122493964509E-2</v>
      </c>
      <c r="T102" s="25">
        <f t="shared" si="23"/>
        <v>1.2695077149155032</v>
      </c>
      <c r="U102" s="10">
        <f t="shared" si="20"/>
        <v>0.59198385236447515</v>
      </c>
      <c r="V102" s="21">
        <f t="shared" si="26"/>
        <v>22.396363636363635</v>
      </c>
      <c r="W102" s="15">
        <f>J102/detalle!$D$2</f>
        <v>9126.848828965125</v>
      </c>
      <c r="X102" s="15">
        <f>E102/detalle!$D$2</f>
        <v>1898.4502467447026</v>
      </c>
      <c r="Y102" s="22">
        <f>F102/detalle!$D$2</f>
        <v>50.180105522375356</v>
      </c>
      <c r="Z102" s="20">
        <v>78.7</v>
      </c>
      <c r="AA102" s="14">
        <f>E102/(detalle!$D$2*1000000)</f>
        <v>1.8984502467447025E-3</v>
      </c>
      <c r="AB102" s="14">
        <f>F102/(detalle!$D$2*1000000)</f>
        <v>5.0180105522375354E-5</v>
      </c>
      <c r="AC102" s="11">
        <v>0</v>
      </c>
      <c r="AD102" s="20">
        <v>0</v>
      </c>
      <c r="AE102" s="20">
        <v>0</v>
      </c>
      <c r="AF102" s="22">
        <f t="shared" si="24"/>
        <v>6</v>
      </c>
      <c r="AG102" s="12">
        <v>0</v>
      </c>
      <c r="AH102" s="12">
        <v>0</v>
      </c>
      <c r="AI102" s="20">
        <v>0</v>
      </c>
      <c r="AJ102" s="23">
        <f t="shared" si="25"/>
        <v>0</v>
      </c>
      <c r="AK102" s="23">
        <v>0</v>
      </c>
      <c r="AL102" s="28">
        <f>AK102/detalle!$D$2</f>
        <v>0</v>
      </c>
    </row>
    <row r="103" spans="1:38">
      <c r="A103" s="12">
        <v>102</v>
      </c>
      <c r="B103" s="19">
        <v>43992</v>
      </c>
      <c r="C103" s="30">
        <v>84</v>
      </c>
      <c r="D103" s="23">
        <f t="shared" si="21"/>
        <v>629</v>
      </c>
      <c r="E103" s="12">
        <v>21437</v>
      </c>
      <c r="F103" s="12">
        <v>561</v>
      </c>
      <c r="G103" s="12">
        <v>12541</v>
      </c>
      <c r="H103" s="23">
        <f t="shared" si="17"/>
        <v>8335</v>
      </c>
      <c r="I103" s="23">
        <f t="shared" si="27"/>
        <v>2465</v>
      </c>
      <c r="J103" s="29">
        <v>102500</v>
      </c>
      <c r="K103" s="23">
        <f t="shared" si="14"/>
        <v>81063</v>
      </c>
      <c r="L103" s="9">
        <f t="shared" si="22"/>
        <v>223</v>
      </c>
      <c r="M103" s="14">
        <f t="shared" si="18"/>
        <v>2.6169706582077717E-2</v>
      </c>
      <c r="N103" s="14">
        <f t="shared" si="28"/>
        <v>0.25517241379310346</v>
      </c>
      <c r="O103" s="12">
        <v>5547</v>
      </c>
      <c r="P103" s="12">
        <v>2788</v>
      </c>
      <c r="Q103" s="12">
        <v>124</v>
      </c>
      <c r="R103" s="23">
        <f t="shared" si="19"/>
        <v>13102</v>
      </c>
      <c r="S103" s="25">
        <f>(((H103+R103)/(H102+R102))-1)+detalle!$D$1</f>
        <v>0.10165732959850596</v>
      </c>
      <c r="T103" s="25">
        <f t="shared" si="23"/>
        <v>1.4232026143790835</v>
      </c>
      <c r="U103" s="10">
        <f t="shared" si="20"/>
        <v>0.58501656015300652</v>
      </c>
      <c r="V103" s="21">
        <f t="shared" si="26"/>
        <v>22.354723707664885</v>
      </c>
      <c r="W103" s="15">
        <f>J103/detalle!$D$2</f>
        <v>9351.7469382608615</v>
      </c>
      <c r="X103" s="15">
        <f>E103/detalle!$D$2</f>
        <v>1955.8380401512009</v>
      </c>
      <c r="Y103" s="22">
        <f>F103/detalle!$D$2</f>
        <v>51.183707632822866</v>
      </c>
      <c r="Z103" s="20">
        <v>78.7</v>
      </c>
      <c r="AA103" s="14">
        <f>E103/(detalle!$D$2*1000000)</f>
        <v>1.955838040151201E-3</v>
      </c>
      <c r="AB103" s="14">
        <f>F103/(detalle!$D$2*1000000)</f>
        <v>5.1183707632822864E-5</v>
      </c>
      <c r="AC103" s="11">
        <v>0</v>
      </c>
      <c r="AD103" s="20">
        <v>0</v>
      </c>
      <c r="AE103" s="20">
        <v>0</v>
      </c>
      <c r="AF103" s="22">
        <f t="shared" si="24"/>
        <v>11</v>
      </c>
      <c r="AG103" s="12">
        <v>0</v>
      </c>
      <c r="AH103" s="12">
        <v>0</v>
      </c>
      <c r="AI103" s="20">
        <v>0</v>
      </c>
      <c r="AJ103" s="23">
        <f t="shared" si="25"/>
        <v>0</v>
      </c>
      <c r="AK103" s="23">
        <v>0</v>
      </c>
      <c r="AL103" s="28">
        <f>AK103/detalle!$D$2</f>
        <v>0</v>
      </c>
    </row>
    <row r="104" spans="1:38">
      <c r="A104" s="12">
        <v>103</v>
      </c>
      <c r="B104" s="19">
        <v>43993</v>
      </c>
      <c r="C104" s="30">
        <v>85</v>
      </c>
      <c r="D104" s="23">
        <f t="shared" si="21"/>
        <v>571</v>
      </c>
      <c r="E104" s="12">
        <v>22008</v>
      </c>
      <c r="F104" s="12">
        <v>568</v>
      </c>
      <c r="G104" s="12">
        <v>12754</v>
      </c>
      <c r="H104" s="23">
        <f t="shared" si="17"/>
        <v>8686</v>
      </c>
      <c r="I104" s="23">
        <f t="shared" si="27"/>
        <v>2516</v>
      </c>
      <c r="J104" s="29">
        <v>105016</v>
      </c>
      <c r="K104" s="23">
        <f t="shared" si="14"/>
        <v>83008</v>
      </c>
      <c r="L104" s="9">
        <f t="shared" si="22"/>
        <v>213</v>
      </c>
      <c r="M104" s="14">
        <f t="shared" si="18"/>
        <v>2.5808796801163214E-2</v>
      </c>
      <c r="N104" s="14">
        <f t="shared" si="28"/>
        <v>0.22694753577106519</v>
      </c>
      <c r="O104" s="12">
        <v>5851</v>
      </c>
      <c r="P104" s="12">
        <v>2835</v>
      </c>
      <c r="Q104" s="12">
        <v>114</v>
      </c>
      <c r="R104" s="23">
        <f t="shared" si="19"/>
        <v>13322</v>
      </c>
      <c r="S104" s="25">
        <f>(((H104+R104)/(H103+R103))-1)+detalle!$D$1</f>
        <v>9.8064761193930289E-2</v>
      </c>
      <c r="T104" s="25">
        <f t="shared" si="23"/>
        <v>1.3729066567150241</v>
      </c>
      <c r="U104" s="10">
        <f t="shared" si="20"/>
        <v>0.57951653944020354</v>
      </c>
      <c r="V104" s="21">
        <f t="shared" si="26"/>
        <v>22.454225352112676</v>
      </c>
      <c r="W104" s="15">
        <f>J104/detalle!$D$2</f>
        <v>9581.2981118868556</v>
      </c>
      <c r="X104" s="15">
        <f>E104/detalle!$D$2</f>
        <v>2007.934113338976</v>
      </c>
      <c r="Y104" s="22">
        <f>F104/detalle!$D$2</f>
        <v>51.822363521289461</v>
      </c>
      <c r="Z104" s="20">
        <v>78.7</v>
      </c>
      <c r="AA104" s="14">
        <f>E104/(detalle!$D$2*1000000)</f>
        <v>2.0079341133389761E-3</v>
      </c>
      <c r="AB104" s="14">
        <f>F104/(detalle!$D$2*1000000)</f>
        <v>5.1822363521289459E-5</v>
      </c>
      <c r="AC104" s="11">
        <v>0</v>
      </c>
      <c r="AD104" s="20">
        <v>0</v>
      </c>
      <c r="AE104" s="20">
        <v>0</v>
      </c>
      <c r="AF104" s="22">
        <f t="shared" si="24"/>
        <v>7</v>
      </c>
      <c r="AG104" s="12">
        <v>0</v>
      </c>
      <c r="AH104" s="12">
        <v>0</v>
      </c>
      <c r="AI104" s="20">
        <v>0</v>
      </c>
      <c r="AJ104" s="23">
        <f t="shared" si="25"/>
        <v>0</v>
      </c>
      <c r="AK104" s="23">
        <v>0</v>
      </c>
      <c r="AL104" s="28">
        <f>AK104/detalle!$D$2</f>
        <v>0</v>
      </c>
    </row>
    <row r="105" spans="1:38">
      <c r="A105" s="12">
        <v>104</v>
      </c>
      <c r="B105" s="19">
        <v>43994</v>
      </c>
      <c r="C105" s="30">
        <v>86</v>
      </c>
      <c r="D105" s="23">
        <f t="shared" si="21"/>
        <v>564</v>
      </c>
      <c r="E105" s="12">
        <v>22572</v>
      </c>
      <c r="F105" s="12">
        <v>577</v>
      </c>
      <c r="G105" s="12">
        <v>13084</v>
      </c>
      <c r="H105" s="23">
        <f t="shared" si="17"/>
        <v>8911</v>
      </c>
      <c r="I105" s="23">
        <f t="shared" si="27"/>
        <v>2159</v>
      </c>
      <c r="J105" s="29">
        <v>107175</v>
      </c>
      <c r="K105" s="23">
        <f t="shared" si="14"/>
        <v>84603</v>
      </c>
      <c r="L105" s="9">
        <f t="shared" si="22"/>
        <v>330</v>
      </c>
      <c r="M105" s="14">
        <f t="shared" si="18"/>
        <v>2.5562643983696617E-2</v>
      </c>
      <c r="N105" s="14">
        <f t="shared" si="28"/>
        <v>0.26123205187586845</v>
      </c>
      <c r="O105" s="12">
        <v>6172</v>
      </c>
      <c r="P105" s="12">
        <v>2739</v>
      </c>
      <c r="Q105" s="12">
        <v>124</v>
      </c>
      <c r="R105" s="23">
        <f t="shared" si="19"/>
        <v>13661</v>
      </c>
      <c r="S105" s="25">
        <f>(((H105+R105)/(H104+R104))-1)+detalle!$D$1</f>
        <v>9.7055616139585493E-2</v>
      </c>
      <c r="T105" s="25">
        <f t="shared" si="23"/>
        <v>1.358778625954197</v>
      </c>
      <c r="U105" s="10">
        <f t="shared" si="20"/>
        <v>0.57965621123515865</v>
      </c>
      <c r="V105" s="21">
        <f t="shared" si="26"/>
        <v>22.675909878682841</v>
      </c>
      <c r="W105" s="15">
        <f>J105/detalle!$D$2</f>
        <v>9778.2778352010519</v>
      </c>
      <c r="X105" s="15">
        <f>E105/detalle!$D$2</f>
        <v>2059.3915306382846</v>
      </c>
      <c r="Y105" s="22">
        <f>F105/detalle!$D$2</f>
        <v>52.643492520746513</v>
      </c>
      <c r="Z105" s="20"/>
      <c r="AA105" s="14">
        <f>E105/(detalle!$D$2*1000000)</f>
        <v>2.0593915306382844E-3</v>
      </c>
      <c r="AB105" s="14">
        <f>F105/(detalle!$D$2*1000000)</f>
        <v>5.2643492520746508E-5</v>
      </c>
      <c r="AC105" s="11">
        <v>0</v>
      </c>
      <c r="AD105" s="20">
        <v>0</v>
      </c>
      <c r="AE105" s="20">
        <v>0</v>
      </c>
      <c r="AF105" s="22">
        <f t="shared" si="24"/>
        <v>9</v>
      </c>
      <c r="AG105" s="12">
        <v>0</v>
      </c>
      <c r="AH105" s="12">
        <v>0</v>
      </c>
      <c r="AI105" s="20">
        <v>0</v>
      </c>
      <c r="AJ105" s="23">
        <f t="shared" si="25"/>
        <v>0</v>
      </c>
      <c r="AK105" s="23">
        <v>0</v>
      </c>
      <c r="AL105" s="28">
        <f>AK105/detalle!$D$2</f>
        <v>0</v>
      </c>
    </row>
    <row r="106" spans="1:38">
      <c r="A106" s="12">
        <v>105</v>
      </c>
      <c r="B106" s="19">
        <v>43995</v>
      </c>
      <c r="C106" s="12">
        <v>87</v>
      </c>
      <c r="D106" s="23">
        <f t="shared" si="21"/>
        <v>390</v>
      </c>
      <c r="E106" s="12">
        <v>22962</v>
      </c>
      <c r="F106" s="12">
        <v>592</v>
      </c>
      <c r="G106" s="12">
        <v>13320</v>
      </c>
      <c r="H106" s="23">
        <f t="shared" si="17"/>
        <v>9050</v>
      </c>
      <c r="I106" s="23">
        <v>1847</v>
      </c>
      <c r="J106" s="29">
        <v>109022</v>
      </c>
      <c r="K106" s="23">
        <f t="shared" si="14"/>
        <v>86060</v>
      </c>
      <c r="L106" s="9">
        <f t="shared" si="22"/>
        <v>236</v>
      </c>
      <c r="M106" s="14">
        <f t="shared" si="18"/>
        <v>2.5781726330459019E-2</v>
      </c>
      <c r="N106" s="14">
        <f t="shared" si="28"/>
        <v>0.21115322144017326</v>
      </c>
      <c r="O106" s="12">
        <v>6315</v>
      </c>
      <c r="P106" s="12">
        <v>2735</v>
      </c>
      <c r="Q106" s="12">
        <v>134</v>
      </c>
      <c r="R106" s="23">
        <f t="shared" si="19"/>
        <v>13912</v>
      </c>
      <c r="S106" s="25">
        <f>(((H106+R106)/(H105+R105))-1)+detalle!$D$1</f>
        <v>8.8706615022404539E-2</v>
      </c>
      <c r="T106" s="25">
        <f t="shared" si="23"/>
        <v>1.2418926103136636</v>
      </c>
      <c r="U106" s="10">
        <f t="shared" si="20"/>
        <v>0.58008884243532788</v>
      </c>
      <c r="V106" s="32">
        <f t="shared" si="26"/>
        <v>22.5</v>
      </c>
      <c r="W106" s="15">
        <f>J106/detalle!$D$2</f>
        <v>9946.7917532007377</v>
      </c>
      <c r="X106" s="15">
        <f>E106/detalle!$D$2</f>
        <v>2094.9737872814235</v>
      </c>
      <c r="Y106" s="22">
        <f>F106/detalle!$D$2</f>
        <v>54.012040853174931</v>
      </c>
      <c r="Z106" s="20"/>
      <c r="AA106" s="14">
        <f>E106/(detalle!$D$2*1000000)</f>
        <v>2.0949737872814236E-3</v>
      </c>
      <c r="AB106" s="14">
        <f>F106/(detalle!$D$2*1000000)</f>
        <v>5.4012040853174925E-5</v>
      </c>
      <c r="AC106" s="11">
        <v>0</v>
      </c>
      <c r="AD106" s="20">
        <v>0</v>
      </c>
      <c r="AE106" s="20">
        <v>0</v>
      </c>
      <c r="AF106" s="22">
        <f t="shared" si="24"/>
        <v>15</v>
      </c>
      <c r="AG106" s="12">
        <v>0</v>
      </c>
      <c r="AH106" s="12">
        <v>0</v>
      </c>
      <c r="AI106" s="20">
        <v>0</v>
      </c>
      <c r="AJ106" s="23">
        <f t="shared" si="25"/>
        <v>0</v>
      </c>
      <c r="AK106" s="23">
        <v>0</v>
      </c>
      <c r="AL106" s="28">
        <f>AK106/detalle!$D$2</f>
        <v>0</v>
      </c>
    </row>
    <row r="107" spans="1:38">
      <c r="A107" s="12">
        <v>106</v>
      </c>
      <c r="B107" s="19">
        <v>43996</v>
      </c>
      <c r="C107" s="30">
        <v>88</v>
      </c>
      <c r="D107" s="23">
        <f t="shared" si="21"/>
        <v>309</v>
      </c>
      <c r="E107" s="12">
        <v>23271</v>
      </c>
      <c r="F107" s="12">
        <v>605</v>
      </c>
      <c r="G107" s="12">
        <v>14025</v>
      </c>
      <c r="H107" s="23">
        <f t="shared" si="17"/>
        <v>8641</v>
      </c>
      <c r="I107" s="23">
        <f t="shared" ref="I107:I170" si="29">J107-J106</f>
        <v>1759</v>
      </c>
      <c r="J107" s="29">
        <v>110781</v>
      </c>
      <c r="K107" s="23">
        <f t="shared" si="14"/>
        <v>87510</v>
      </c>
      <c r="L107" s="9">
        <f t="shared" si="22"/>
        <v>705</v>
      </c>
      <c r="M107" s="14">
        <f t="shared" si="18"/>
        <v>2.5998023290791112E-2</v>
      </c>
      <c r="N107" s="14">
        <f t="shared" si="28"/>
        <v>0.17566799317794202</v>
      </c>
      <c r="O107" s="12">
        <v>5939</v>
      </c>
      <c r="P107" s="12">
        <v>2702</v>
      </c>
      <c r="Q107" s="12">
        <v>145</v>
      </c>
      <c r="R107" s="23">
        <f t="shared" si="19"/>
        <v>14630</v>
      </c>
      <c r="S107" s="25">
        <f>(((H107+R107)/(H106+R106))-1)+detalle!$D$1</f>
        <v>8.4885587367949517E-2</v>
      </c>
      <c r="T107" s="25">
        <f t="shared" si="23"/>
        <v>1.1883982231512933</v>
      </c>
      <c r="U107" s="10">
        <f t="shared" si="20"/>
        <v>0.60268144901379395</v>
      </c>
      <c r="V107" s="21">
        <f t="shared" si="26"/>
        <v>23.181818181818183</v>
      </c>
      <c r="W107" s="15">
        <f>J107/detalle!$D$2</f>
        <v>10107.276854316844</v>
      </c>
      <c r="X107" s="15">
        <f>E107/detalle!$D$2</f>
        <v>2123.1658829294488</v>
      </c>
      <c r="Y107" s="22">
        <f>F107/detalle!$D$2</f>
        <v>55.198116074612891</v>
      </c>
      <c r="Z107" s="20"/>
      <c r="AA107" s="14">
        <f>E107/(detalle!$D$2*1000000)</f>
        <v>2.1231658829294489E-3</v>
      </c>
      <c r="AB107" s="14">
        <f>F107/(detalle!$D$2*1000000)</f>
        <v>5.5198116074612889E-5</v>
      </c>
      <c r="AC107" s="11">
        <v>0</v>
      </c>
      <c r="AD107" s="20">
        <v>0</v>
      </c>
      <c r="AE107" s="20">
        <v>0</v>
      </c>
      <c r="AF107" s="22">
        <f t="shared" si="24"/>
        <v>13</v>
      </c>
      <c r="AG107" s="12">
        <v>0</v>
      </c>
      <c r="AH107" s="12">
        <v>0</v>
      </c>
      <c r="AI107" s="20">
        <v>0</v>
      </c>
      <c r="AJ107" s="23">
        <f t="shared" si="25"/>
        <v>0</v>
      </c>
      <c r="AK107" s="23">
        <v>0</v>
      </c>
      <c r="AL107" s="28">
        <f>AK107/detalle!$D$2</f>
        <v>0</v>
      </c>
    </row>
    <row r="108" spans="1:38">
      <c r="A108" s="12">
        <v>107</v>
      </c>
      <c r="B108" s="19">
        <v>43997</v>
      </c>
      <c r="C108" s="30">
        <v>89</v>
      </c>
      <c r="D108" s="23">
        <f t="shared" si="21"/>
        <v>415</v>
      </c>
      <c r="E108" s="12">
        <v>23686</v>
      </c>
      <c r="F108" s="12">
        <v>615</v>
      </c>
      <c r="G108" s="12">
        <v>14133</v>
      </c>
      <c r="H108" s="23">
        <f t="shared" si="17"/>
        <v>8938</v>
      </c>
      <c r="I108" s="23">
        <f t="shared" si="29"/>
        <v>1822</v>
      </c>
      <c r="J108" s="29">
        <v>112603</v>
      </c>
      <c r="K108" s="23">
        <f t="shared" si="14"/>
        <v>88917</v>
      </c>
      <c r="L108" s="9">
        <f t="shared" si="22"/>
        <v>108</v>
      </c>
      <c r="M108" s="14">
        <f t="shared" si="18"/>
        <v>2.5964704888963946E-2</v>
      </c>
      <c r="N108" s="14">
        <f t="shared" si="28"/>
        <v>0.22777167947310648</v>
      </c>
      <c r="O108" s="12">
        <v>6185</v>
      </c>
      <c r="P108" s="12">
        <v>2753</v>
      </c>
      <c r="Q108" s="12">
        <v>145</v>
      </c>
      <c r="R108" s="23">
        <f t="shared" si="19"/>
        <v>14748</v>
      </c>
      <c r="S108" s="25">
        <f>(((H108+R108)/(H107+R107))-1)+detalle!$D$1</f>
        <v>8.9261926247874462E-2</v>
      </c>
      <c r="T108" s="25">
        <f t="shared" si="23"/>
        <v>1.2496669674702425</v>
      </c>
      <c r="U108" s="10">
        <f t="shared" si="20"/>
        <v>0.59668158405809335</v>
      </c>
      <c r="V108" s="21">
        <f t="shared" si="26"/>
        <v>22.980487804878049</v>
      </c>
      <c r="W108" s="15">
        <f>J108/detalle!$D$2</f>
        <v>10273.50985842915</v>
      </c>
      <c r="X108" s="15">
        <f>E108/detalle!$D$2</f>
        <v>2161.0290534599685</v>
      </c>
      <c r="Y108" s="22">
        <f>F108/detalle!$D$2</f>
        <v>56.110481629565172</v>
      </c>
      <c r="Z108" s="20"/>
      <c r="AA108" s="14">
        <f>E108/(detalle!$D$2*1000000)</f>
        <v>2.1610290534599683E-3</v>
      </c>
      <c r="AB108" s="14">
        <f>F108/(detalle!$D$2*1000000)</f>
        <v>5.6110481629565172E-5</v>
      </c>
      <c r="AC108" s="11">
        <v>0</v>
      </c>
      <c r="AD108" s="20">
        <v>0</v>
      </c>
      <c r="AE108" s="20">
        <v>0</v>
      </c>
      <c r="AF108" s="22">
        <f t="shared" si="24"/>
        <v>10</v>
      </c>
      <c r="AG108" s="12">
        <v>0</v>
      </c>
      <c r="AH108" s="12">
        <v>0</v>
      </c>
      <c r="AI108" s="20">
        <v>0</v>
      </c>
      <c r="AJ108" s="23">
        <f t="shared" si="25"/>
        <v>0</v>
      </c>
      <c r="AK108" s="23">
        <v>0</v>
      </c>
      <c r="AL108" s="28">
        <f>AK108/detalle!$D$2</f>
        <v>0</v>
      </c>
    </row>
    <row r="109" spans="1:38">
      <c r="A109" s="12">
        <v>108</v>
      </c>
      <c r="B109" s="19">
        <v>43998</v>
      </c>
      <c r="C109" s="30">
        <v>90</v>
      </c>
      <c r="D109" s="23">
        <f t="shared" si="21"/>
        <v>419</v>
      </c>
      <c r="E109" s="12">
        <v>24105</v>
      </c>
      <c r="F109" s="12">
        <v>633</v>
      </c>
      <c r="G109" s="12">
        <v>14216</v>
      </c>
      <c r="H109" s="23">
        <f t="shared" si="17"/>
        <v>9256</v>
      </c>
      <c r="I109" s="23">
        <f t="shared" si="29"/>
        <v>1932</v>
      </c>
      <c r="J109" s="12">
        <v>114535</v>
      </c>
      <c r="K109" s="23">
        <f t="shared" si="14"/>
        <v>90430</v>
      </c>
      <c r="L109" s="9">
        <f t="shared" si="22"/>
        <v>83</v>
      </c>
      <c r="M109" s="14">
        <f t="shared" si="18"/>
        <v>2.6260112009956441E-2</v>
      </c>
      <c r="N109" s="14">
        <f t="shared" si="28"/>
        <v>0.2168737060041408</v>
      </c>
      <c r="O109" s="12">
        <v>6569</v>
      </c>
      <c r="P109" s="12">
        <v>2687</v>
      </c>
      <c r="Q109" s="12">
        <v>137</v>
      </c>
      <c r="R109" s="23">
        <f t="shared" si="19"/>
        <v>14849</v>
      </c>
      <c r="S109" s="25">
        <f>(((H109+R109)/(H108+R108))-1)+detalle!$D$1</f>
        <v>8.9118345978938668E-2</v>
      </c>
      <c r="T109" s="25">
        <f t="shared" si="23"/>
        <v>1.2476568437051414</v>
      </c>
      <c r="U109" s="10">
        <f t="shared" si="20"/>
        <v>0.58975316324414018</v>
      </c>
      <c r="V109" s="21">
        <f t="shared" si="26"/>
        <v>22.458135860979464</v>
      </c>
      <c r="W109" s="15">
        <f>J109/detalle!$D$2</f>
        <v>10449.778883645929</v>
      </c>
      <c r="X109" s="15">
        <f>E109/detalle!$D$2</f>
        <v>2199.2571702124692</v>
      </c>
      <c r="Y109" s="22">
        <f>F109/detalle!$D$2</f>
        <v>57.752739628479276</v>
      </c>
      <c r="Z109" s="20"/>
      <c r="AA109" s="14">
        <f>E109/(detalle!$D$2*1000000)</f>
        <v>2.1992571702124692E-3</v>
      </c>
      <c r="AB109" s="14">
        <f>F109/(detalle!$D$2*1000000)</f>
        <v>5.775273962847927E-5</v>
      </c>
      <c r="AC109" s="11">
        <v>0</v>
      </c>
      <c r="AD109" s="20">
        <v>0</v>
      </c>
      <c r="AE109" s="20">
        <v>0</v>
      </c>
      <c r="AF109" s="22">
        <f t="shared" si="24"/>
        <v>18</v>
      </c>
      <c r="AG109" s="12">
        <v>0</v>
      </c>
      <c r="AH109" s="12">
        <v>0</v>
      </c>
      <c r="AI109" s="20">
        <v>0</v>
      </c>
      <c r="AJ109" s="23">
        <f t="shared" si="25"/>
        <v>0</v>
      </c>
      <c r="AK109" s="23">
        <v>0</v>
      </c>
      <c r="AL109" s="28">
        <f>AK109/detalle!$D$2</f>
        <v>0</v>
      </c>
    </row>
    <row r="110" spans="1:38">
      <c r="A110" s="12">
        <v>109</v>
      </c>
      <c r="B110" s="19">
        <v>43999</v>
      </c>
      <c r="C110" s="30">
        <v>91</v>
      </c>
      <c r="D110" s="23">
        <f t="shared" si="21"/>
        <v>540</v>
      </c>
      <c r="E110" s="12">
        <v>24645</v>
      </c>
      <c r="F110" s="12">
        <v>635</v>
      </c>
      <c r="G110" s="12">
        <v>14293</v>
      </c>
      <c r="H110" s="23">
        <f t="shared" si="17"/>
        <v>9717</v>
      </c>
      <c r="I110" s="23">
        <f t="shared" si="29"/>
        <v>2584</v>
      </c>
      <c r="J110" s="29">
        <v>117119</v>
      </c>
      <c r="K110" s="23">
        <f t="shared" si="14"/>
        <v>92474</v>
      </c>
      <c r="L110" s="9">
        <f t="shared" si="22"/>
        <v>77</v>
      </c>
      <c r="M110" s="14">
        <f t="shared" si="18"/>
        <v>2.576587543112193E-2</v>
      </c>
      <c r="N110" s="14">
        <f t="shared" si="28"/>
        <v>0.20897832817337461</v>
      </c>
      <c r="O110" s="12">
        <v>6974</v>
      </c>
      <c r="P110" s="12">
        <v>2743</v>
      </c>
      <c r="Q110" s="12">
        <v>162</v>
      </c>
      <c r="R110" s="23">
        <f t="shared" si="19"/>
        <v>14928</v>
      </c>
      <c r="S110" s="25">
        <f>(((H110+R110)/(H109+R109))-1)+detalle!$D$1</f>
        <v>9.3830562716686022E-2</v>
      </c>
      <c r="T110" s="25">
        <f t="shared" si="23"/>
        <v>1.3136278780336044</v>
      </c>
      <c r="U110" s="10">
        <f t="shared" si="20"/>
        <v>0.57995536620004062</v>
      </c>
      <c r="V110" s="21">
        <f t="shared" si="26"/>
        <v>22.508661417322834</v>
      </c>
      <c r="W110" s="15">
        <f>J110/detalle!$D$2</f>
        <v>10685.534143045599</v>
      </c>
      <c r="X110" s="15">
        <f>E110/detalle!$D$2</f>
        <v>2248.5249101798922</v>
      </c>
      <c r="Y110" s="22">
        <f>F110/detalle!$D$2</f>
        <v>57.935212739469726</v>
      </c>
      <c r="Z110" s="20"/>
      <c r="AA110" s="14">
        <f>E110/(detalle!$D$2*1000000)</f>
        <v>2.248524910179892E-3</v>
      </c>
      <c r="AB110" s="14">
        <f>F110/(detalle!$D$2*1000000)</f>
        <v>5.7935212739469731E-5</v>
      </c>
      <c r="AC110" s="11">
        <v>0</v>
      </c>
      <c r="AD110" s="20">
        <v>0</v>
      </c>
      <c r="AE110" s="20">
        <v>0</v>
      </c>
      <c r="AF110" s="22">
        <f t="shared" si="24"/>
        <v>2</v>
      </c>
      <c r="AG110" s="12">
        <v>0</v>
      </c>
      <c r="AH110" s="12">
        <v>0</v>
      </c>
      <c r="AI110" s="20">
        <v>0</v>
      </c>
      <c r="AJ110" s="23">
        <f t="shared" si="25"/>
        <v>0</v>
      </c>
      <c r="AK110" s="23">
        <v>0</v>
      </c>
      <c r="AL110" s="28">
        <f>AK110/detalle!$D$2</f>
        <v>0</v>
      </c>
    </row>
    <row r="111" spans="1:38">
      <c r="A111" s="12">
        <v>110</v>
      </c>
      <c r="B111" s="19">
        <v>44000</v>
      </c>
      <c r="C111" s="30">
        <v>92</v>
      </c>
      <c r="D111" s="23">
        <f t="shared" si="21"/>
        <v>423</v>
      </c>
      <c r="E111" s="12">
        <v>25068</v>
      </c>
      <c r="F111" s="12">
        <v>647</v>
      </c>
      <c r="G111" s="12">
        <v>14605</v>
      </c>
      <c r="H111" s="23">
        <f t="shared" si="17"/>
        <v>9816</v>
      </c>
      <c r="I111" s="23">
        <f t="shared" si="29"/>
        <v>2200</v>
      </c>
      <c r="J111" s="29">
        <v>119319</v>
      </c>
      <c r="K111" s="23">
        <f t="shared" si="14"/>
        <v>94251</v>
      </c>
      <c r="L111" s="9">
        <f t="shared" si="22"/>
        <v>312</v>
      </c>
      <c r="M111" s="14">
        <f t="shared" si="18"/>
        <v>2.5809797351204724E-2</v>
      </c>
      <c r="N111" s="14">
        <f t="shared" si="28"/>
        <v>0.19227272727272726</v>
      </c>
      <c r="O111" s="12">
        <v>7211</v>
      </c>
      <c r="P111" s="12">
        <v>2605</v>
      </c>
      <c r="Q111" s="12">
        <v>167</v>
      </c>
      <c r="R111" s="23">
        <f t="shared" si="19"/>
        <v>15252</v>
      </c>
      <c r="S111" s="25">
        <f>(((H111+R111)/(H110+R110))-1)+detalle!$D$1</f>
        <v>8.8592296322058922E-2</v>
      </c>
      <c r="T111" s="25">
        <f t="shared" si="23"/>
        <v>1.240292148508825</v>
      </c>
      <c r="U111" s="10">
        <f t="shared" si="20"/>
        <v>0.58261528642093507</v>
      </c>
      <c r="V111" s="21">
        <f t="shared" si="26"/>
        <v>22.573415765069551</v>
      </c>
      <c r="W111" s="15">
        <f>J111/detalle!$D$2</f>
        <v>10886.254565135101</v>
      </c>
      <c r="X111" s="15">
        <f>E111/detalle!$D$2</f>
        <v>2287.1179731543734</v>
      </c>
      <c r="Y111" s="22">
        <f>F111/detalle!$D$2</f>
        <v>59.030051405412465</v>
      </c>
      <c r="Z111" s="20"/>
      <c r="AA111" s="14">
        <f>E111/(detalle!$D$2*1000000)</f>
        <v>2.2871179731543735E-3</v>
      </c>
      <c r="AB111" s="14">
        <f>F111/(detalle!$D$2*1000000)</f>
        <v>5.9030051405412461E-5</v>
      </c>
      <c r="AC111" s="11">
        <v>0</v>
      </c>
      <c r="AD111" s="20">
        <v>0</v>
      </c>
      <c r="AE111" s="20">
        <v>0</v>
      </c>
      <c r="AF111" s="22">
        <f t="shared" si="24"/>
        <v>12</v>
      </c>
      <c r="AG111" s="12">
        <v>0</v>
      </c>
      <c r="AH111" s="12">
        <v>0</v>
      </c>
      <c r="AI111" s="20">
        <v>0</v>
      </c>
      <c r="AJ111" s="23">
        <f t="shared" si="25"/>
        <v>0</v>
      </c>
      <c r="AK111" s="23">
        <v>0</v>
      </c>
      <c r="AL111" s="28">
        <f>AK111/detalle!$D$2</f>
        <v>0</v>
      </c>
    </row>
    <row r="112" spans="1:38">
      <c r="A112" s="12">
        <v>111</v>
      </c>
      <c r="B112" s="19">
        <v>44001</v>
      </c>
      <c r="C112" s="12">
        <v>93</v>
      </c>
      <c r="D112" s="23">
        <f t="shared" si="21"/>
        <v>710</v>
      </c>
      <c r="E112" s="12">
        <v>25778</v>
      </c>
      <c r="F112" s="12">
        <v>655</v>
      </c>
      <c r="G112" s="12">
        <v>14957</v>
      </c>
      <c r="H112" s="23">
        <f t="shared" si="17"/>
        <v>10166</v>
      </c>
      <c r="I112" s="23">
        <f t="shared" si="29"/>
        <v>3327</v>
      </c>
      <c r="J112" s="12">
        <v>122646</v>
      </c>
      <c r="K112" s="23">
        <f t="shared" ref="K112:K175" si="30">J112-E112</f>
        <v>96868</v>
      </c>
      <c r="L112" s="9">
        <f t="shared" si="22"/>
        <v>352</v>
      </c>
      <c r="M112" s="14">
        <f t="shared" si="18"/>
        <v>2.5409263713243851E-2</v>
      </c>
      <c r="N112" s="14">
        <f t="shared" si="28"/>
        <v>0.21340547039374813</v>
      </c>
      <c r="O112" s="12">
        <v>7633</v>
      </c>
      <c r="P112" s="12">
        <v>2533</v>
      </c>
      <c r="Q112" s="20">
        <v>174</v>
      </c>
      <c r="R112" s="23">
        <f t="shared" si="19"/>
        <v>15612</v>
      </c>
      <c r="S112" s="25">
        <f>(((H112+R112)/(H111+R111))-1)+detalle!$D$1</f>
        <v>9.9751532973170215E-2</v>
      </c>
      <c r="T112" s="25">
        <f t="shared" si="23"/>
        <v>1.3965214616243831</v>
      </c>
      <c r="U112" s="10">
        <f t="shared" si="20"/>
        <v>0.58022344634960044</v>
      </c>
      <c r="V112" s="21">
        <f t="shared" si="26"/>
        <v>22.835114503816794</v>
      </c>
      <c r="W112" s="15">
        <f>J112/detalle!$D$2</f>
        <v>11189.798585267723</v>
      </c>
      <c r="X112" s="15">
        <f>E112/detalle!$D$2</f>
        <v>2351.8959275559855</v>
      </c>
      <c r="Y112" s="22">
        <f>F112/detalle!$D$2</f>
        <v>59.759943849374288</v>
      </c>
      <c r="Z112" s="20"/>
      <c r="AA112" s="14">
        <f>E112/(detalle!$D$2*1000000)</f>
        <v>2.3518959275559853E-3</v>
      </c>
      <c r="AB112" s="14">
        <f>F112/(detalle!$D$2*1000000)</f>
        <v>5.9759943849374283E-5</v>
      </c>
      <c r="AC112" s="11">
        <v>0</v>
      </c>
      <c r="AD112" s="20">
        <v>0</v>
      </c>
      <c r="AE112" s="20">
        <v>0</v>
      </c>
      <c r="AF112" s="22">
        <f t="shared" si="24"/>
        <v>8</v>
      </c>
      <c r="AG112" s="12">
        <v>0</v>
      </c>
      <c r="AH112" s="12">
        <v>0</v>
      </c>
      <c r="AI112" s="20">
        <v>0</v>
      </c>
      <c r="AJ112" s="23">
        <f t="shared" si="25"/>
        <v>0</v>
      </c>
      <c r="AK112" s="23">
        <v>0</v>
      </c>
      <c r="AL112" s="28">
        <f>AK112/detalle!$D$2</f>
        <v>0</v>
      </c>
    </row>
    <row r="113" spans="1:38">
      <c r="A113" s="12">
        <v>112</v>
      </c>
      <c r="B113" s="19">
        <v>44002</v>
      </c>
      <c r="C113" s="12">
        <v>94</v>
      </c>
      <c r="D113" s="23">
        <f t="shared" si="21"/>
        <v>899</v>
      </c>
      <c r="E113" s="12">
        <v>26677</v>
      </c>
      <c r="F113" s="12">
        <v>662</v>
      </c>
      <c r="G113" s="12">
        <v>15138</v>
      </c>
      <c r="H113" s="23">
        <f t="shared" si="17"/>
        <v>10877</v>
      </c>
      <c r="I113" s="23">
        <f t="shared" si="29"/>
        <v>3222</v>
      </c>
      <c r="J113" s="12">
        <v>125868</v>
      </c>
      <c r="K113" s="23">
        <f t="shared" si="30"/>
        <v>99191</v>
      </c>
      <c r="L113" s="9">
        <f t="shared" si="22"/>
        <v>181</v>
      </c>
      <c r="M113" s="14">
        <f t="shared" si="18"/>
        <v>2.4815384038685009E-2</v>
      </c>
      <c r="N113" s="14">
        <f t="shared" si="28"/>
        <v>0.27901924270639356</v>
      </c>
      <c r="O113" s="12">
        <v>8184</v>
      </c>
      <c r="P113" s="12">
        <v>2693</v>
      </c>
      <c r="Q113" s="20">
        <v>165</v>
      </c>
      <c r="R113" s="23">
        <f t="shared" si="19"/>
        <v>15800</v>
      </c>
      <c r="S113" s="25">
        <f>(((H113+R113)/(H112+R112))-1)+detalle!$D$1</f>
        <v>0.10630327078461146</v>
      </c>
      <c r="T113" s="25">
        <f t="shared" si="23"/>
        <v>1.4882457909845606</v>
      </c>
      <c r="U113" s="10">
        <f t="shared" si="20"/>
        <v>0.56745511114443148</v>
      </c>
      <c r="V113" s="21">
        <f t="shared" si="26"/>
        <v>22.867069486404834</v>
      </c>
      <c r="W113" s="15">
        <f>J113/detalle!$D$2</f>
        <v>11483.762767073347</v>
      </c>
      <c r="X113" s="15">
        <f>E113/detalle!$D$2</f>
        <v>2433.9175909461951</v>
      </c>
      <c r="Y113" s="22">
        <f>F113/detalle!$D$2</f>
        <v>60.398599737840883</v>
      </c>
      <c r="Z113" s="20"/>
      <c r="AA113" s="14">
        <f>E113/(detalle!$D$2*1000000)</f>
        <v>2.433917590946195E-3</v>
      </c>
      <c r="AB113" s="14">
        <f>F113/(detalle!$D$2*1000000)</f>
        <v>6.0398599737840878E-5</v>
      </c>
      <c r="AC113" s="11">
        <v>0</v>
      </c>
      <c r="AD113" s="20">
        <v>0</v>
      </c>
      <c r="AE113" s="20">
        <v>0</v>
      </c>
      <c r="AF113" s="22">
        <f t="shared" si="24"/>
        <v>7</v>
      </c>
      <c r="AG113" s="12">
        <v>0</v>
      </c>
      <c r="AH113" s="12">
        <v>0</v>
      </c>
      <c r="AI113" s="20">
        <v>0</v>
      </c>
      <c r="AJ113" s="23">
        <f t="shared" si="25"/>
        <v>0</v>
      </c>
      <c r="AK113" s="23">
        <v>0</v>
      </c>
      <c r="AL113" s="28">
        <f>AK113/detalle!$D$2</f>
        <v>0</v>
      </c>
    </row>
    <row r="114" spans="1:38">
      <c r="A114" s="12">
        <v>113</v>
      </c>
      <c r="B114" s="19">
        <v>44003</v>
      </c>
      <c r="C114" s="12">
        <v>95</v>
      </c>
      <c r="D114" s="23">
        <f t="shared" si="21"/>
        <v>693</v>
      </c>
      <c r="E114" s="12">
        <v>27370</v>
      </c>
      <c r="F114" s="12">
        <v>669</v>
      </c>
      <c r="G114" s="12">
        <v>15338</v>
      </c>
      <c r="H114" s="23">
        <f t="shared" si="17"/>
        <v>11363</v>
      </c>
      <c r="I114" s="23">
        <f t="shared" si="29"/>
        <v>2907</v>
      </c>
      <c r="J114" s="12">
        <v>128775</v>
      </c>
      <c r="K114" s="23">
        <f t="shared" si="30"/>
        <v>101405</v>
      </c>
      <c r="L114" s="9">
        <f t="shared" si="22"/>
        <v>200</v>
      </c>
      <c r="M114" s="14">
        <f t="shared" si="18"/>
        <v>2.4442820606503469E-2</v>
      </c>
      <c r="N114" s="14">
        <f t="shared" si="28"/>
        <v>0.23839009287925697</v>
      </c>
      <c r="O114" s="12">
        <v>8637</v>
      </c>
      <c r="P114" s="12">
        <v>2726</v>
      </c>
      <c r="Q114" s="20">
        <v>175</v>
      </c>
      <c r="R114" s="23">
        <f t="shared" si="19"/>
        <v>16007</v>
      </c>
      <c r="S114" s="25">
        <f>(((H114+R114)/(H113+R113))-1)+detalle!$D$1</f>
        <v>9.7406005172995497E-2</v>
      </c>
      <c r="T114" s="25">
        <f t="shared" si="23"/>
        <v>1.363684072421937</v>
      </c>
      <c r="U114" s="10">
        <f t="shared" si="20"/>
        <v>0.56039459261965652</v>
      </c>
      <c r="V114" s="21">
        <f t="shared" si="26"/>
        <v>22.92675635276532</v>
      </c>
      <c r="W114" s="15">
        <f>J114/detalle!$D$2</f>
        <v>11748.987433897975</v>
      </c>
      <c r="X114" s="15">
        <f>E114/detalle!$D$2</f>
        <v>2497.1445239043883</v>
      </c>
      <c r="Y114" s="22">
        <f>F114/detalle!$D$2</f>
        <v>61.037255626307477</v>
      </c>
      <c r="Z114" s="20"/>
      <c r="AA114" s="14">
        <f>E114/(detalle!$D$2*1000000)</f>
        <v>2.4971445239043879E-3</v>
      </c>
      <c r="AB114" s="14">
        <f>F114/(detalle!$D$2*1000000)</f>
        <v>6.103725562630748E-5</v>
      </c>
      <c r="AC114" s="11">
        <v>0</v>
      </c>
      <c r="AD114" s="20">
        <v>0</v>
      </c>
      <c r="AE114" s="20">
        <v>0</v>
      </c>
      <c r="AF114" s="22">
        <f t="shared" si="24"/>
        <v>7</v>
      </c>
      <c r="AG114" s="12">
        <v>0</v>
      </c>
      <c r="AH114" s="12">
        <v>0</v>
      </c>
      <c r="AI114" s="20">
        <v>0</v>
      </c>
      <c r="AJ114" s="23">
        <f t="shared" si="25"/>
        <v>0</v>
      </c>
      <c r="AK114" s="23">
        <v>0</v>
      </c>
      <c r="AL114" s="28">
        <f>AK114/detalle!$D$2</f>
        <v>0</v>
      </c>
    </row>
    <row r="115" spans="1:38">
      <c r="A115" s="12">
        <v>114</v>
      </c>
      <c r="B115" s="19">
        <v>44004</v>
      </c>
      <c r="C115" s="12">
        <v>96</v>
      </c>
      <c r="D115" s="23">
        <f t="shared" si="21"/>
        <v>566</v>
      </c>
      <c r="E115" s="12">
        <v>27936</v>
      </c>
      <c r="F115" s="12">
        <v>675</v>
      </c>
      <c r="G115" s="12">
        <v>15551</v>
      </c>
      <c r="H115" s="23">
        <f t="shared" si="17"/>
        <v>11710</v>
      </c>
      <c r="I115" s="23">
        <f t="shared" si="29"/>
        <v>1970</v>
      </c>
      <c r="J115" s="12">
        <v>130745</v>
      </c>
      <c r="K115" s="23">
        <f t="shared" si="30"/>
        <v>102809</v>
      </c>
      <c r="L115" s="9">
        <f t="shared" si="22"/>
        <v>213</v>
      </c>
      <c r="M115" s="14">
        <f t="shared" si="18"/>
        <v>2.4162371134020619E-2</v>
      </c>
      <c r="N115" s="14">
        <f t="shared" si="28"/>
        <v>0.28730964467005077</v>
      </c>
      <c r="O115" s="12">
        <v>8886</v>
      </c>
      <c r="P115" s="12">
        <v>2824</v>
      </c>
      <c r="Q115" s="20">
        <v>173</v>
      </c>
      <c r="R115" s="23">
        <f t="shared" si="19"/>
        <v>16226</v>
      </c>
      <c r="S115" s="25">
        <f>(((H115+R115)/(H114+R114))-1)+detalle!$D$1</f>
        <v>9.2108147606868834E-2</v>
      </c>
      <c r="T115" s="25">
        <f t="shared" si="23"/>
        <v>1.2895140664961637</v>
      </c>
      <c r="U115" s="10">
        <f t="shared" si="20"/>
        <v>0.55666523482245134</v>
      </c>
      <c r="V115" s="21">
        <f t="shared" si="26"/>
        <v>23.038518518518519</v>
      </c>
      <c r="W115" s="15">
        <f>J115/detalle!$D$2</f>
        <v>11928.723448223574</v>
      </c>
      <c r="X115" s="15">
        <f>E115/detalle!$D$2</f>
        <v>2548.7844143146872</v>
      </c>
      <c r="Y115" s="22">
        <f>F115/detalle!$D$2</f>
        <v>61.584674959278843</v>
      </c>
      <c r="Z115" s="20"/>
      <c r="AA115" s="14">
        <f>E115/(detalle!$D$2*1000000)</f>
        <v>2.5487844143146873E-3</v>
      </c>
      <c r="AB115" s="14">
        <f>F115/(detalle!$D$2*1000000)</f>
        <v>6.1584674959278842E-5</v>
      </c>
      <c r="AC115" s="11">
        <v>0</v>
      </c>
      <c r="AD115" s="20">
        <v>0</v>
      </c>
      <c r="AE115" s="20">
        <v>0</v>
      </c>
      <c r="AF115" s="22">
        <f t="shared" si="24"/>
        <v>6</v>
      </c>
      <c r="AG115" s="12">
        <v>0</v>
      </c>
      <c r="AH115" s="12">
        <v>0</v>
      </c>
      <c r="AI115" s="20">
        <v>0</v>
      </c>
      <c r="AJ115" s="23">
        <f t="shared" si="25"/>
        <v>0</v>
      </c>
      <c r="AK115" s="23">
        <v>0</v>
      </c>
      <c r="AL115" s="28">
        <f>AK115/detalle!$D$2</f>
        <v>0</v>
      </c>
    </row>
    <row r="116" spans="1:38">
      <c r="A116" s="12">
        <v>115</v>
      </c>
      <c r="B116" s="19">
        <v>44005</v>
      </c>
      <c r="C116" s="12">
        <v>97</v>
      </c>
      <c r="D116" s="23">
        <f t="shared" si="21"/>
        <v>695</v>
      </c>
      <c r="E116" s="12">
        <v>28631</v>
      </c>
      <c r="F116" s="12">
        <v>691</v>
      </c>
      <c r="G116" s="12">
        <v>16006</v>
      </c>
      <c r="H116" s="23">
        <f t="shared" si="17"/>
        <v>11934</v>
      </c>
      <c r="I116" s="23">
        <f t="shared" si="29"/>
        <v>2973</v>
      </c>
      <c r="J116" s="12">
        <v>133718</v>
      </c>
      <c r="K116" s="23">
        <f t="shared" si="30"/>
        <v>105087</v>
      </c>
      <c r="L116" s="9">
        <f t="shared" si="22"/>
        <v>455</v>
      </c>
      <c r="M116" s="14">
        <f t="shared" si="18"/>
        <v>2.4134679193880758E-2</v>
      </c>
      <c r="N116" s="14">
        <f t="shared" si="28"/>
        <v>0.2337706020854356</v>
      </c>
      <c r="O116" s="12">
        <v>9095</v>
      </c>
      <c r="P116" s="12">
        <v>2839</v>
      </c>
      <c r="Q116" s="20">
        <v>182</v>
      </c>
      <c r="R116" s="23">
        <f t="shared" si="19"/>
        <v>16697</v>
      </c>
      <c r="S116" s="25">
        <f>(((H116+R116)/(H115+R115))-1)+detalle!$D$1</f>
        <v>9.6306864670266751E-2</v>
      </c>
      <c r="T116" s="25">
        <f t="shared" si="23"/>
        <v>1.3482961053837346</v>
      </c>
      <c r="U116" s="10">
        <f t="shared" si="20"/>
        <v>0.55904439244175896</v>
      </c>
      <c r="V116" s="21">
        <f t="shared" si="26"/>
        <v>23.163531114327061</v>
      </c>
      <c r="W116" s="15">
        <f>J116/detalle!$D$2</f>
        <v>12199.969727710886</v>
      </c>
      <c r="X116" s="15">
        <f>E116/detalle!$D$2</f>
        <v>2612.1938203838704</v>
      </c>
      <c r="Y116" s="22">
        <f>F116/detalle!$D$2</f>
        <v>63.044459847202496</v>
      </c>
      <c r="Z116" s="20"/>
      <c r="AA116" s="14">
        <f>E116/(detalle!$D$2*1000000)</f>
        <v>2.6121938203838707E-3</v>
      </c>
      <c r="AB116" s="14">
        <f>F116/(detalle!$D$2*1000000)</f>
        <v>6.3044459847202486E-5</v>
      </c>
      <c r="AC116" s="11">
        <v>0</v>
      </c>
      <c r="AD116" s="20">
        <v>0</v>
      </c>
      <c r="AE116" s="20">
        <v>0</v>
      </c>
      <c r="AF116" s="22">
        <f t="shared" si="24"/>
        <v>16</v>
      </c>
      <c r="AG116" s="12">
        <v>0</v>
      </c>
      <c r="AH116" s="12">
        <v>0</v>
      </c>
      <c r="AI116" s="20">
        <v>0</v>
      </c>
      <c r="AJ116" s="23">
        <f t="shared" si="25"/>
        <v>0</v>
      </c>
      <c r="AK116" s="23">
        <v>0</v>
      </c>
      <c r="AL116" s="28">
        <f>AK116/detalle!$D$2</f>
        <v>0</v>
      </c>
    </row>
    <row r="117" spans="1:38">
      <c r="A117" s="12">
        <v>116</v>
      </c>
      <c r="B117" s="19">
        <v>44006</v>
      </c>
      <c r="C117" s="12">
        <v>98</v>
      </c>
      <c r="D117" s="23">
        <f t="shared" si="21"/>
        <v>510</v>
      </c>
      <c r="E117" s="12">
        <v>29141</v>
      </c>
      <c r="F117" s="12">
        <v>698</v>
      </c>
      <c r="G117" s="12">
        <v>16223</v>
      </c>
      <c r="H117" s="23">
        <f t="shared" si="17"/>
        <v>12220</v>
      </c>
      <c r="I117" s="23">
        <f t="shared" si="29"/>
        <v>2251</v>
      </c>
      <c r="J117" s="12">
        <v>135969</v>
      </c>
      <c r="K117" s="23">
        <f t="shared" si="30"/>
        <v>106828</v>
      </c>
      <c r="L117" s="9">
        <f t="shared" si="22"/>
        <v>217</v>
      </c>
      <c r="M117" s="14">
        <f t="shared" si="18"/>
        <v>2.3952506777392676E-2</v>
      </c>
      <c r="N117" s="14">
        <f t="shared" si="28"/>
        <v>0.22656597067969791</v>
      </c>
      <c r="O117" s="12">
        <v>9476</v>
      </c>
      <c r="P117" s="12">
        <v>2744</v>
      </c>
      <c r="Q117" s="20">
        <v>181</v>
      </c>
      <c r="R117" s="23">
        <f t="shared" si="19"/>
        <v>16921</v>
      </c>
      <c r="S117" s="25">
        <f>(((H117+R117)/(H116+R116))-1)+detalle!$D$1</f>
        <v>8.9241431615082495E-2</v>
      </c>
      <c r="T117" s="25">
        <f t="shared" si="23"/>
        <v>1.249380042611155</v>
      </c>
      <c r="U117" s="10">
        <f t="shared" si="20"/>
        <v>0.5567070450567928</v>
      </c>
      <c r="V117" s="21">
        <f t="shared" si="26"/>
        <v>23.242120343839542</v>
      </c>
      <c r="W117" s="15">
        <f>J117/detalle!$D$2</f>
        <v>12405.343214130646</v>
      </c>
      <c r="X117" s="15">
        <f>E117/detalle!$D$2</f>
        <v>2658.724463686437</v>
      </c>
      <c r="Y117" s="22">
        <f>F117/detalle!$D$2</f>
        <v>63.683115735669091</v>
      </c>
      <c r="Z117" s="20"/>
      <c r="AA117" s="14">
        <f>E117/(detalle!$D$2*1000000)</f>
        <v>2.6587244636864368E-3</v>
      </c>
      <c r="AB117" s="14">
        <f>F117/(detalle!$D$2*1000000)</f>
        <v>6.3683115735669088E-5</v>
      </c>
      <c r="AC117" s="11">
        <v>0</v>
      </c>
      <c r="AD117" s="20">
        <v>0</v>
      </c>
      <c r="AE117" s="20">
        <v>0</v>
      </c>
      <c r="AF117" s="22">
        <f t="shared" si="24"/>
        <v>7</v>
      </c>
      <c r="AG117" s="12">
        <v>0</v>
      </c>
      <c r="AH117" s="12">
        <v>0</v>
      </c>
      <c r="AI117" s="20">
        <v>0</v>
      </c>
      <c r="AJ117" s="23">
        <f t="shared" si="25"/>
        <v>0</v>
      </c>
      <c r="AK117" s="23">
        <v>0</v>
      </c>
      <c r="AL117" s="28">
        <f>AK117/detalle!$D$2</f>
        <v>0</v>
      </c>
    </row>
    <row r="118" spans="1:38">
      <c r="A118" s="12">
        <v>117</v>
      </c>
      <c r="B118" s="19">
        <v>44007</v>
      </c>
      <c r="C118" s="12">
        <v>99</v>
      </c>
      <c r="D118" s="23">
        <f t="shared" si="21"/>
        <v>623</v>
      </c>
      <c r="E118" s="12">
        <v>29764</v>
      </c>
      <c r="F118" s="12">
        <v>712</v>
      </c>
      <c r="G118" s="12">
        <v>16357</v>
      </c>
      <c r="H118" s="23">
        <f t="shared" si="17"/>
        <v>12695</v>
      </c>
      <c r="I118" s="23">
        <f t="shared" si="29"/>
        <v>2729</v>
      </c>
      <c r="J118" s="12">
        <v>138698</v>
      </c>
      <c r="K118" s="23">
        <f t="shared" si="30"/>
        <v>108934</v>
      </c>
      <c r="L118" s="9">
        <f t="shared" si="22"/>
        <v>134</v>
      </c>
      <c r="M118" s="14">
        <f t="shared" si="18"/>
        <v>2.3921515925278861E-2</v>
      </c>
      <c r="N118" s="14">
        <f t="shared" si="28"/>
        <v>0.22828875045804323</v>
      </c>
      <c r="O118" s="12">
        <v>9833</v>
      </c>
      <c r="P118" s="12">
        <v>2862</v>
      </c>
      <c r="Q118" s="20">
        <v>193</v>
      </c>
      <c r="R118" s="23">
        <f t="shared" si="19"/>
        <v>17069</v>
      </c>
      <c r="S118" s="25">
        <f>(((H118+R118)/(H117+R117))-1)+detalle!$D$1</f>
        <v>9.2807384784324515E-2</v>
      </c>
      <c r="T118" s="25">
        <f t="shared" si="23"/>
        <v>1.2993033869805433</v>
      </c>
      <c r="U118" s="10">
        <f t="shared" si="20"/>
        <v>0.54955651122160998</v>
      </c>
      <c r="V118" s="21">
        <f t="shared" si="26"/>
        <v>22.973314606741575</v>
      </c>
      <c r="W118" s="15">
        <f>J118/detalle!$D$2</f>
        <v>12654.327774077123</v>
      </c>
      <c r="X118" s="15">
        <f>E118/detalle!$D$2</f>
        <v>2715.5648377599637</v>
      </c>
      <c r="Y118" s="22">
        <f>F118/detalle!$D$2</f>
        <v>64.96042751260228</v>
      </c>
      <c r="Z118" s="20"/>
      <c r="AA118" s="14">
        <f>E118/(detalle!$D$2*1000000)</f>
        <v>2.7155648377599636E-3</v>
      </c>
      <c r="AB118" s="14">
        <f>F118/(detalle!$D$2*1000000)</f>
        <v>6.4960427512602279E-5</v>
      </c>
      <c r="AC118" s="11">
        <v>0</v>
      </c>
      <c r="AD118" s="20">
        <v>0</v>
      </c>
      <c r="AE118" s="20">
        <v>0</v>
      </c>
      <c r="AF118" s="22">
        <f t="shared" si="24"/>
        <v>14</v>
      </c>
      <c r="AG118" s="12">
        <v>0</v>
      </c>
      <c r="AH118" s="12">
        <v>0</v>
      </c>
      <c r="AI118" s="20">
        <v>0</v>
      </c>
      <c r="AJ118" s="23">
        <f t="shared" si="25"/>
        <v>0</v>
      </c>
      <c r="AK118" s="23">
        <v>0</v>
      </c>
      <c r="AL118" s="28">
        <f>AK118/detalle!$D$2</f>
        <v>0</v>
      </c>
    </row>
    <row r="119" spans="1:38">
      <c r="A119" s="12">
        <v>118</v>
      </c>
      <c r="B119" s="19">
        <v>44008</v>
      </c>
      <c r="C119" s="12">
        <v>100</v>
      </c>
      <c r="D119" s="23">
        <f t="shared" si="21"/>
        <v>855</v>
      </c>
      <c r="E119" s="12">
        <v>30619</v>
      </c>
      <c r="F119" s="12">
        <v>718</v>
      </c>
      <c r="G119" s="12">
        <v>16666</v>
      </c>
      <c r="H119" s="23">
        <f t="shared" si="17"/>
        <v>13235</v>
      </c>
      <c r="I119" s="23">
        <f t="shared" si="29"/>
        <v>3642</v>
      </c>
      <c r="J119" s="12">
        <v>142340</v>
      </c>
      <c r="K119" s="23">
        <f t="shared" si="30"/>
        <v>111721</v>
      </c>
      <c r="L119" s="9">
        <f t="shared" si="22"/>
        <v>309</v>
      </c>
      <c r="M119" s="14">
        <f t="shared" si="18"/>
        <v>2.3449492145399917E-2</v>
      </c>
      <c r="N119" s="14">
        <f t="shared" si="28"/>
        <v>0.23476112026359144</v>
      </c>
      <c r="O119" s="12">
        <v>10198</v>
      </c>
      <c r="P119" s="12">
        <v>3037</v>
      </c>
      <c r="Q119" s="20">
        <v>198</v>
      </c>
      <c r="R119" s="23">
        <f t="shared" si="19"/>
        <v>17384</v>
      </c>
      <c r="S119" s="25">
        <f>(((H119+R119)/(H118+R118))-1)+detalle!$D$1</f>
        <v>0.100154549119742</v>
      </c>
      <c r="T119" s="25">
        <f t="shared" si="23"/>
        <v>1.4021636876763881</v>
      </c>
      <c r="U119" s="10">
        <f t="shared" si="20"/>
        <v>0.54430255723570331</v>
      </c>
      <c r="V119" s="21">
        <f t="shared" si="26"/>
        <v>23.211699164345404</v>
      </c>
      <c r="W119" s="15">
        <f>J119/detalle!$D$2</f>
        <v>12986.611309190743</v>
      </c>
      <c r="X119" s="15">
        <f>E119/detalle!$D$2</f>
        <v>2793.5720927083835</v>
      </c>
      <c r="Y119" s="22">
        <f>F119/detalle!$D$2</f>
        <v>65.507846845573653</v>
      </c>
      <c r="Z119" s="20"/>
      <c r="AA119" s="14">
        <f>E119/(detalle!$D$2*1000000)</f>
        <v>2.7935720927083837E-3</v>
      </c>
      <c r="AB119" s="14">
        <f>F119/(detalle!$D$2*1000000)</f>
        <v>6.5507846845573641E-5</v>
      </c>
      <c r="AC119" s="11">
        <v>0</v>
      </c>
      <c r="AD119" s="20">
        <v>0</v>
      </c>
      <c r="AE119" s="20">
        <v>0</v>
      </c>
      <c r="AF119" s="22">
        <f t="shared" si="24"/>
        <v>6</v>
      </c>
      <c r="AG119" s="12">
        <v>0</v>
      </c>
      <c r="AH119" s="12">
        <v>0</v>
      </c>
      <c r="AI119" s="20">
        <v>0</v>
      </c>
      <c r="AJ119" s="23">
        <f t="shared" si="25"/>
        <v>0</v>
      </c>
      <c r="AK119" s="23">
        <v>0</v>
      </c>
      <c r="AL119" s="28">
        <f>AK119/detalle!$D$2</f>
        <v>0</v>
      </c>
    </row>
    <row r="120" spans="1:38">
      <c r="A120" s="12">
        <v>119</v>
      </c>
      <c r="B120" s="19">
        <v>44009</v>
      </c>
      <c r="C120" s="12">
        <v>101</v>
      </c>
      <c r="D120" s="23">
        <f t="shared" si="21"/>
        <v>754</v>
      </c>
      <c r="E120" s="12">
        <v>31373</v>
      </c>
      <c r="F120" s="12">
        <v>726</v>
      </c>
      <c r="G120" s="12">
        <v>17142</v>
      </c>
      <c r="H120" s="23">
        <f t="shared" si="17"/>
        <v>13505</v>
      </c>
      <c r="I120" s="23">
        <f t="shared" si="29"/>
        <v>3720</v>
      </c>
      <c r="J120" s="12">
        <v>146060</v>
      </c>
      <c r="K120" s="23">
        <f t="shared" si="30"/>
        <v>114687</v>
      </c>
      <c r="L120" s="9">
        <f t="shared" si="22"/>
        <v>476</v>
      </c>
      <c r="M120" s="14">
        <f t="shared" si="18"/>
        <v>2.3140917349313103E-2</v>
      </c>
      <c r="N120" s="14">
        <f t="shared" si="28"/>
        <v>0.20268817204301076</v>
      </c>
      <c r="O120" s="12">
        <v>10463</v>
      </c>
      <c r="P120" s="12">
        <v>3042</v>
      </c>
      <c r="Q120" s="20">
        <v>201</v>
      </c>
      <c r="R120" s="23">
        <f t="shared" si="19"/>
        <v>17868</v>
      </c>
      <c r="S120" s="25">
        <f>(((H120+R120)/(H119+R119))-1)+detalle!$D$1</f>
        <v>9.6053804127222558E-2</v>
      </c>
      <c r="T120" s="25">
        <f t="shared" si="23"/>
        <v>1.3447532577811159</v>
      </c>
      <c r="U120" s="10">
        <f t="shared" si="20"/>
        <v>0.54639339559493827</v>
      </c>
      <c r="V120" s="21">
        <f t="shared" si="26"/>
        <v>23.611570247933884</v>
      </c>
      <c r="W120" s="15">
        <f>J120/detalle!$D$2</f>
        <v>13326.01129563299</v>
      </c>
      <c r="X120" s="15">
        <f>E120/detalle!$D$2</f>
        <v>2862.3644555517853</v>
      </c>
      <c r="Y120" s="22">
        <f>F120/detalle!$D$2</f>
        <v>66.237739289535469</v>
      </c>
      <c r="Z120" s="20"/>
      <c r="AA120" s="14">
        <f>E120/(detalle!$D$2*1000000)</f>
        <v>2.8623644555517856E-3</v>
      </c>
      <c r="AB120" s="14">
        <f>F120/(detalle!$D$2*1000000)</f>
        <v>6.623773928953547E-5</v>
      </c>
      <c r="AC120" s="11">
        <v>0</v>
      </c>
      <c r="AD120" s="20">
        <v>0</v>
      </c>
      <c r="AE120" s="20">
        <v>0</v>
      </c>
      <c r="AF120" s="22">
        <f t="shared" si="24"/>
        <v>8</v>
      </c>
      <c r="AG120" s="12">
        <v>0</v>
      </c>
      <c r="AH120" s="12">
        <v>0</v>
      </c>
      <c r="AI120" s="20">
        <v>0</v>
      </c>
      <c r="AJ120" s="23">
        <f t="shared" si="25"/>
        <v>0</v>
      </c>
      <c r="AK120" s="23">
        <v>0</v>
      </c>
      <c r="AL120" s="28">
        <f>AK120/detalle!$D$2</f>
        <v>0</v>
      </c>
    </row>
    <row r="121" spans="1:38">
      <c r="A121" s="12">
        <v>120</v>
      </c>
      <c r="B121" s="19">
        <v>44010</v>
      </c>
      <c r="C121" s="12">
        <v>102</v>
      </c>
      <c r="D121" s="23">
        <f t="shared" si="21"/>
        <v>443</v>
      </c>
      <c r="E121" s="12">
        <v>31816</v>
      </c>
      <c r="F121" s="12">
        <v>733</v>
      </c>
      <c r="G121" s="12">
        <v>17280</v>
      </c>
      <c r="H121" s="23">
        <f t="shared" si="17"/>
        <v>13803</v>
      </c>
      <c r="I121" s="23">
        <f t="shared" si="29"/>
        <v>2148</v>
      </c>
      <c r="J121" s="12">
        <v>148208</v>
      </c>
      <c r="K121" s="23">
        <f t="shared" si="30"/>
        <v>116392</v>
      </c>
      <c r="L121" s="9">
        <f t="shared" si="22"/>
        <v>138</v>
      </c>
      <c r="M121" s="14">
        <f t="shared" si="18"/>
        <v>2.3038722655267789E-2</v>
      </c>
      <c r="N121" s="14">
        <f t="shared" si="28"/>
        <v>0.20623836126629422</v>
      </c>
      <c r="O121" s="12">
        <v>10745</v>
      </c>
      <c r="P121" s="12">
        <v>3058</v>
      </c>
      <c r="Q121" s="20">
        <v>202</v>
      </c>
      <c r="R121" s="23">
        <f t="shared" si="19"/>
        <v>18013</v>
      </c>
      <c r="S121" s="25">
        <f>(((H121+R121)/(H120+R120))-1)+detalle!$D$1</f>
        <v>8.5548993447504912E-2</v>
      </c>
      <c r="T121" s="25">
        <f t="shared" si="23"/>
        <v>1.1976859082650688</v>
      </c>
      <c r="U121" s="10">
        <f t="shared" si="20"/>
        <v>0.54312295700276592</v>
      </c>
      <c r="V121" s="21">
        <f t="shared" si="26"/>
        <v>23.574351978171897</v>
      </c>
      <c r="W121" s="15">
        <f>J121/detalle!$D$2</f>
        <v>13521.987416836739</v>
      </c>
      <c r="X121" s="15">
        <f>E121/detalle!$D$2</f>
        <v>2902.7822496361714</v>
      </c>
      <c r="Y121" s="22">
        <f>F121/detalle!$D$2</f>
        <v>66.87639517800207</v>
      </c>
      <c r="Z121" s="20"/>
      <c r="AA121" s="14">
        <f>E121/(detalle!$D$2*1000000)</f>
        <v>2.9027822496361716E-3</v>
      </c>
      <c r="AB121" s="14">
        <f>F121/(detalle!$D$2*1000000)</f>
        <v>6.6876395178002058E-5</v>
      </c>
      <c r="AC121" s="11">
        <v>0</v>
      </c>
      <c r="AD121" s="20">
        <v>0</v>
      </c>
      <c r="AE121" s="20">
        <v>0</v>
      </c>
      <c r="AF121" s="22">
        <f t="shared" si="24"/>
        <v>7</v>
      </c>
      <c r="AG121" s="12">
        <v>0</v>
      </c>
      <c r="AH121" s="12">
        <v>0</v>
      </c>
      <c r="AI121" s="20">
        <v>0</v>
      </c>
      <c r="AJ121" s="23">
        <f t="shared" si="25"/>
        <v>0</v>
      </c>
      <c r="AK121" s="23">
        <v>0</v>
      </c>
      <c r="AL121" s="28">
        <f>AK121/detalle!$D$2</f>
        <v>0</v>
      </c>
    </row>
    <row r="122" spans="1:38">
      <c r="A122" s="12">
        <v>121</v>
      </c>
      <c r="B122" s="19">
        <v>44011</v>
      </c>
      <c r="C122" s="12">
        <v>103</v>
      </c>
      <c r="D122" s="23">
        <f t="shared" si="21"/>
        <v>752</v>
      </c>
      <c r="E122" s="12">
        <v>32568</v>
      </c>
      <c r="F122" s="12">
        <v>747</v>
      </c>
      <c r="G122" s="12">
        <v>17580</v>
      </c>
      <c r="H122" s="23">
        <f t="shared" si="17"/>
        <v>14241</v>
      </c>
      <c r="I122" s="23">
        <f t="shared" si="29"/>
        <v>2711</v>
      </c>
      <c r="J122" s="12">
        <v>150919</v>
      </c>
      <c r="K122" s="23">
        <f t="shared" si="30"/>
        <v>118351</v>
      </c>
      <c r="L122" s="9">
        <f t="shared" si="22"/>
        <v>300</v>
      </c>
      <c r="M122" s="14">
        <f t="shared" si="18"/>
        <v>2.2936624907885041E-2</v>
      </c>
      <c r="N122" s="14">
        <f t="shared" si="28"/>
        <v>0.27738841755809662</v>
      </c>
      <c r="O122" s="12">
        <v>11000</v>
      </c>
      <c r="P122" s="12">
        <v>3241</v>
      </c>
      <c r="Q122" s="20">
        <v>207</v>
      </c>
      <c r="R122" s="23">
        <f t="shared" si="19"/>
        <v>18327</v>
      </c>
      <c r="S122" s="25">
        <f>(((H122+R122)/(H121+R121))-1)+detalle!$D$1</f>
        <v>9.5064477890728832E-2</v>
      </c>
      <c r="T122" s="25">
        <f t="shared" si="23"/>
        <v>1.3309026904702037</v>
      </c>
      <c r="U122" s="10">
        <f t="shared" si="20"/>
        <v>0.53979366249078853</v>
      </c>
      <c r="V122" s="21">
        <f t="shared" si="26"/>
        <v>23.53413654618474</v>
      </c>
      <c r="W122" s="15">
        <f>J122/detalle!$D$2</f>
        <v>13769.329718784302</v>
      </c>
      <c r="X122" s="15">
        <f>E122/detalle!$D$2</f>
        <v>2971.3921393685828</v>
      </c>
      <c r="Y122" s="22">
        <f>F122/detalle!$D$2</f>
        <v>68.153706954935259</v>
      </c>
      <c r="Z122" s="20"/>
      <c r="AA122" s="14">
        <f>E122/(detalle!$D$2*1000000)</f>
        <v>2.9713921393685829E-3</v>
      </c>
      <c r="AB122" s="14">
        <f>F122/(detalle!$D$2*1000000)</f>
        <v>6.8153706954935249E-5</v>
      </c>
      <c r="AC122" s="11">
        <v>0</v>
      </c>
      <c r="AD122" s="20">
        <v>0</v>
      </c>
      <c r="AE122" s="20">
        <v>0</v>
      </c>
      <c r="AF122" s="22">
        <f t="shared" si="24"/>
        <v>14</v>
      </c>
      <c r="AG122" s="12">
        <v>0</v>
      </c>
      <c r="AH122" s="12">
        <v>0</v>
      </c>
      <c r="AI122" s="20">
        <v>0</v>
      </c>
      <c r="AJ122" s="23">
        <f t="shared" si="25"/>
        <v>0</v>
      </c>
      <c r="AK122" s="23">
        <v>0</v>
      </c>
      <c r="AL122" s="28">
        <f>AK122/detalle!$D$2</f>
        <v>0</v>
      </c>
    </row>
    <row r="123" spans="1:38">
      <c r="A123" s="12">
        <v>122</v>
      </c>
      <c r="B123" s="19">
        <v>44012</v>
      </c>
      <c r="C123" s="12">
        <v>104</v>
      </c>
      <c r="D123" s="23">
        <f t="shared" si="21"/>
        <v>819</v>
      </c>
      <c r="E123" s="12">
        <v>33387</v>
      </c>
      <c r="F123" s="12">
        <v>754</v>
      </c>
      <c r="G123" s="12">
        <v>17904</v>
      </c>
      <c r="H123" s="23">
        <f t="shared" si="17"/>
        <v>14729</v>
      </c>
      <c r="I123" s="23">
        <f t="shared" si="29"/>
        <v>3210</v>
      </c>
      <c r="J123" s="12">
        <v>154129</v>
      </c>
      <c r="K123" s="23">
        <f t="shared" si="30"/>
        <v>120742</v>
      </c>
      <c r="L123" s="9">
        <f t="shared" si="22"/>
        <v>324</v>
      </c>
      <c r="M123" s="14">
        <f t="shared" si="18"/>
        <v>2.2583640339054124E-2</v>
      </c>
      <c r="N123" s="14">
        <f t="shared" si="28"/>
        <v>0.25514018691588786</v>
      </c>
      <c r="O123" s="12">
        <v>11406</v>
      </c>
      <c r="P123" s="12">
        <v>3323</v>
      </c>
      <c r="Q123" s="20">
        <v>200</v>
      </c>
      <c r="R123" s="23">
        <f t="shared" si="19"/>
        <v>18658</v>
      </c>
      <c r="S123" s="25">
        <f>(((H123+R123)/(H122+R122))-1)+detalle!$D$1</f>
        <v>9.657595536372246E-2</v>
      </c>
      <c r="T123" s="25">
        <f t="shared" si="23"/>
        <v>1.3520633750921145</v>
      </c>
      <c r="U123" s="10">
        <f t="shared" si="20"/>
        <v>0.53625662683080244</v>
      </c>
      <c r="V123" s="21">
        <f t="shared" si="26"/>
        <v>23.745358090185675</v>
      </c>
      <c r="W123" s="15">
        <f>J123/detalle!$D$2</f>
        <v>14062.199061923984</v>
      </c>
      <c r="X123" s="15">
        <f>E123/detalle!$D$2</f>
        <v>3046.1148783191747</v>
      </c>
      <c r="Y123" s="22">
        <f>F123/detalle!$D$2</f>
        <v>68.792362843401847</v>
      </c>
      <c r="Z123" s="20"/>
      <c r="AA123" s="14">
        <f>E123/(detalle!$D$2*1000000)</f>
        <v>3.0461148783191743E-3</v>
      </c>
      <c r="AB123" s="14">
        <f>F123/(detalle!$D$2*1000000)</f>
        <v>6.8792362843401851E-5</v>
      </c>
      <c r="AC123" s="11">
        <v>0</v>
      </c>
      <c r="AD123" s="20">
        <v>0</v>
      </c>
      <c r="AE123" s="20">
        <v>0</v>
      </c>
      <c r="AF123" s="22">
        <f t="shared" si="24"/>
        <v>7</v>
      </c>
      <c r="AG123" s="12">
        <v>0</v>
      </c>
      <c r="AH123" s="12">
        <v>0</v>
      </c>
      <c r="AI123" s="20">
        <v>0</v>
      </c>
      <c r="AJ123" s="23">
        <f t="shared" si="25"/>
        <v>0</v>
      </c>
      <c r="AK123" s="23">
        <v>0</v>
      </c>
      <c r="AL123" s="28">
        <f>AK123/detalle!$D$2</f>
        <v>0</v>
      </c>
    </row>
    <row r="124" spans="1:38">
      <c r="A124" s="12">
        <v>123</v>
      </c>
      <c r="B124" s="19">
        <v>44013</v>
      </c>
      <c r="C124" s="12">
        <v>105</v>
      </c>
      <c r="D124" s="23">
        <f t="shared" si="21"/>
        <v>810</v>
      </c>
      <c r="E124" s="12">
        <v>34197</v>
      </c>
      <c r="F124" s="12">
        <v>765</v>
      </c>
      <c r="G124" s="12">
        <v>18141</v>
      </c>
      <c r="H124" s="23">
        <f t="shared" si="17"/>
        <v>15291</v>
      </c>
      <c r="I124" s="23">
        <f t="shared" si="29"/>
        <v>2916</v>
      </c>
      <c r="J124" s="12">
        <v>157045</v>
      </c>
      <c r="K124" s="23">
        <f t="shared" si="30"/>
        <v>122848</v>
      </c>
      <c r="L124" s="9">
        <f t="shared" si="22"/>
        <v>237</v>
      </c>
      <c r="M124" s="14">
        <f t="shared" si="18"/>
        <v>2.2370383366962013E-2</v>
      </c>
      <c r="N124" s="14">
        <f t="shared" si="28"/>
        <v>0.27777777777777779</v>
      </c>
      <c r="O124" s="12">
        <v>11863</v>
      </c>
      <c r="P124" s="12">
        <v>3428</v>
      </c>
      <c r="Q124" s="20">
        <v>200</v>
      </c>
      <c r="R124" s="23">
        <f t="shared" si="19"/>
        <v>18906</v>
      </c>
      <c r="S124" s="25">
        <f>(((H124+R124)/(H123+R123))-1)+detalle!$D$1</f>
        <v>9.5689511315353776E-2</v>
      </c>
      <c r="T124" s="25">
        <f t="shared" si="23"/>
        <v>1.3396531584149529</v>
      </c>
      <c r="U124" s="10">
        <f t="shared" si="20"/>
        <v>0.53048513027458544</v>
      </c>
      <c r="V124" s="21">
        <f t="shared" si="26"/>
        <v>23.713725490196079</v>
      </c>
      <c r="W124" s="15">
        <f>J124/detalle!$D$2</f>
        <v>14328.244857748068</v>
      </c>
      <c r="X124" s="15">
        <f>E124/detalle!$D$2</f>
        <v>3120.0164882703093</v>
      </c>
      <c r="Y124" s="22">
        <f>F124/detalle!$D$2</f>
        <v>69.795964953849364</v>
      </c>
      <c r="Z124" s="20"/>
      <c r="AA124" s="14">
        <f>E124/(detalle!$D$2*1000000)</f>
        <v>3.1200164882703089E-3</v>
      </c>
      <c r="AB124" s="14">
        <f>F124/(detalle!$D$2*1000000)</f>
        <v>6.9795964953849361E-5</v>
      </c>
      <c r="AC124" s="11">
        <v>0</v>
      </c>
      <c r="AD124" s="20">
        <v>0</v>
      </c>
      <c r="AE124" s="20">
        <v>0</v>
      </c>
      <c r="AF124" s="22">
        <f t="shared" si="24"/>
        <v>11</v>
      </c>
      <c r="AG124" s="12">
        <v>0</v>
      </c>
      <c r="AH124" s="12">
        <v>0</v>
      </c>
      <c r="AI124" s="20">
        <v>0</v>
      </c>
      <c r="AJ124" s="23">
        <f t="shared" si="25"/>
        <v>0</v>
      </c>
      <c r="AK124" s="23">
        <v>0</v>
      </c>
      <c r="AL124" s="28">
        <f>AK124/detalle!$D$2</f>
        <v>0</v>
      </c>
    </row>
    <row r="125" spans="1:38">
      <c r="A125" s="12">
        <v>124</v>
      </c>
      <c r="B125" s="19">
        <v>44014</v>
      </c>
      <c r="C125" s="12">
        <v>106</v>
      </c>
      <c r="D125" s="23">
        <f t="shared" si="21"/>
        <v>951</v>
      </c>
      <c r="E125" s="12">
        <v>35148</v>
      </c>
      <c r="F125" s="12">
        <v>775</v>
      </c>
      <c r="G125" s="12">
        <v>18392</v>
      </c>
      <c r="H125" s="23">
        <f t="shared" si="17"/>
        <v>15981</v>
      </c>
      <c r="I125" s="23">
        <f t="shared" si="29"/>
        <v>3496</v>
      </c>
      <c r="J125" s="12">
        <v>160541</v>
      </c>
      <c r="K125" s="23">
        <f t="shared" si="30"/>
        <v>125393</v>
      </c>
      <c r="L125" s="9">
        <f t="shared" si="22"/>
        <v>251</v>
      </c>
      <c r="M125" s="14">
        <f t="shared" si="18"/>
        <v>2.2049618754978947E-2</v>
      </c>
      <c r="N125" s="14">
        <f t="shared" si="28"/>
        <v>0.27202517162471396</v>
      </c>
      <c r="O125" s="12">
        <v>12470</v>
      </c>
      <c r="P125" s="12">
        <v>3511</v>
      </c>
      <c r="Q125" s="20">
        <v>193</v>
      </c>
      <c r="R125" s="23">
        <f t="shared" si="19"/>
        <v>19167</v>
      </c>
      <c r="S125" s="25">
        <f>(((H125+R125)/(H124+R124))-1)+detalle!$D$1</f>
        <v>9.9238028398481087E-2</v>
      </c>
      <c r="T125" s="25">
        <f t="shared" si="23"/>
        <v>1.3893323975787353</v>
      </c>
      <c r="U125" s="10">
        <f t="shared" si="20"/>
        <v>0.52327301695686812</v>
      </c>
      <c r="V125" s="21">
        <f t="shared" si="26"/>
        <v>23.731612903225805</v>
      </c>
      <c r="W125" s="15">
        <f>J125/detalle!$D$2</f>
        <v>14647.207855759385</v>
      </c>
      <c r="X125" s="15">
        <f>E125/detalle!$D$2</f>
        <v>3206.7824525462711</v>
      </c>
      <c r="Y125" s="22">
        <f>F125/detalle!$D$2</f>
        <v>70.708330508801637</v>
      </c>
      <c r="Z125" s="20"/>
      <c r="AA125" s="14">
        <f>E125/(detalle!$D$2*1000000)</f>
        <v>3.2067824525462709E-3</v>
      </c>
      <c r="AB125" s="14">
        <f>F125/(detalle!$D$2*1000000)</f>
        <v>7.070833050880163E-5</v>
      </c>
      <c r="AC125" s="11">
        <v>0</v>
      </c>
      <c r="AD125" s="20">
        <v>0</v>
      </c>
      <c r="AE125" s="20">
        <v>0</v>
      </c>
      <c r="AF125" s="22">
        <f t="shared" si="24"/>
        <v>10</v>
      </c>
      <c r="AG125" s="12">
        <v>0</v>
      </c>
      <c r="AH125" s="12">
        <v>0</v>
      </c>
      <c r="AI125" s="20">
        <v>0</v>
      </c>
      <c r="AJ125" s="23">
        <f t="shared" si="25"/>
        <v>0</v>
      </c>
      <c r="AK125" s="23">
        <v>0</v>
      </c>
      <c r="AL125" s="28">
        <f>AK125/detalle!$D$2</f>
        <v>0</v>
      </c>
    </row>
    <row r="126" spans="1:38">
      <c r="A126" s="12">
        <v>125</v>
      </c>
      <c r="B126" s="19">
        <v>44015</v>
      </c>
      <c r="C126" s="12">
        <v>107</v>
      </c>
      <c r="D126" s="23">
        <f t="shared" si="21"/>
        <v>1036</v>
      </c>
      <c r="E126" s="12">
        <v>36184</v>
      </c>
      <c r="F126" s="12">
        <v>786</v>
      </c>
      <c r="G126" s="12">
        <v>18602</v>
      </c>
      <c r="H126" s="23">
        <f t="shared" si="17"/>
        <v>16796</v>
      </c>
      <c r="I126" s="23">
        <f t="shared" si="29"/>
        <v>3186</v>
      </c>
      <c r="J126" s="12">
        <v>163727</v>
      </c>
      <c r="K126" s="23">
        <f t="shared" si="30"/>
        <v>127543</v>
      </c>
      <c r="L126" s="9">
        <f t="shared" si="22"/>
        <v>210</v>
      </c>
      <c r="M126" s="14">
        <f t="shared" si="18"/>
        <v>2.1722308202520451E-2</v>
      </c>
      <c r="N126" s="14">
        <f t="shared" si="28"/>
        <v>0.32517263025737603</v>
      </c>
      <c r="O126" s="12">
        <v>13107</v>
      </c>
      <c r="P126" s="12">
        <v>3689</v>
      </c>
      <c r="Q126" s="20">
        <v>191</v>
      </c>
      <c r="R126" s="23">
        <f t="shared" si="19"/>
        <v>19388</v>
      </c>
      <c r="S126" s="25">
        <f>(((H126+R126)/(H125+R125))-1)+detalle!$D$1</f>
        <v>0.10090393275780787</v>
      </c>
      <c r="T126" s="25">
        <f t="shared" si="23"/>
        <v>1.4126550586093103</v>
      </c>
      <c r="U126" s="10">
        <f t="shared" si="20"/>
        <v>0.51409462745965062</v>
      </c>
      <c r="V126" s="21">
        <f t="shared" si="26"/>
        <v>23.666666666666668</v>
      </c>
      <c r="W126" s="15">
        <f>J126/detalle!$D$2</f>
        <v>14937.887521567181</v>
      </c>
      <c r="X126" s="15">
        <f>E126/detalle!$D$2</f>
        <v>3301.3035240393269</v>
      </c>
      <c r="Y126" s="22">
        <f>F126/detalle!$D$2</f>
        <v>71.71193261924914</v>
      </c>
      <c r="Z126" s="20"/>
      <c r="AA126" s="14">
        <f>E126/(detalle!$D$2*1000000)</f>
        <v>3.3013035240393269E-3</v>
      </c>
      <c r="AB126" s="14">
        <f>F126/(detalle!$D$2*1000000)</f>
        <v>7.171193261924914E-5</v>
      </c>
      <c r="AC126" s="11">
        <v>0</v>
      </c>
      <c r="AD126" s="20">
        <v>0</v>
      </c>
      <c r="AE126" s="20">
        <v>0</v>
      </c>
      <c r="AF126" s="22">
        <f t="shared" si="24"/>
        <v>11</v>
      </c>
      <c r="AG126" s="12">
        <v>0</v>
      </c>
      <c r="AH126" s="12">
        <v>0</v>
      </c>
      <c r="AI126" s="20">
        <v>0</v>
      </c>
      <c r="AJ126" s="23">
        <f t="shared" si="25"/>
        <v>0</v>
      </c>
      <c r="AK126" s="23">
        <v>0</v>
      </c>
      <c r="AL126" s="28">
        <f>AK126/detalle!$D$2</f>
        <v>0</v>
      </c>
    </row>
    <row r="127" spans="1:38">
      <c r="A127" s="12">
        <v>126</v>
      </c>
      <c r="B127" s="19">
        <v>44016</v>
      </c>
      <c r="C127" s="12">
        <v>108</v>
      </c>
      <c r="D127" s="23">
        <f t="shared" si="21"/>
        <v>1241</v>
      </c>
      <c r="E127" s="12">
        <v>37425</v>
      </c>
      <c r="F127" s="12">
        <v>794</v>
      </c>
      <c r="G127" s="12">
        <v>18943</v>
      </c>
      <c r="H127" s="23">
        <f t="shared" si="17"/>
        <v>17688</v>
      </c>
      <c r="I127" s="23">
        <f t="shared" si="29"/>
        <v>3645</v>
      </c>
      <c r="J127" s="12">
        <v>167372</v>
      </c>
      <c r="K127" s="23">
        <f t="shared" si="30"/>
        <v>129947</v>
      </c>
      <c r="L127" s="9">
        <f t="shared" si="22"/>
        <v>341</v>
      </c>
      <c r="M127" s="14">
        <f t="shared" si="18"/>
        <v>2.1215764863059452E-2</v>
      </c>
      <c r="N127" s="14">
        <f t="shared" si="28"/>
        <v>0.34046639231824416</v>
      </c>
      <c r="O127" s="12">
        <v>13858</v>
      </c>
      <c r="P127" s="12">
        <v>3830</v>
      </c>
      <c r="Q127" s="20">
        <v>196</v>
      </c>
      <c r="R127" s="23">
        <f t="shared" si="19"/>
        <v>19737</v>
      </c>
      <c r="S127" s="25">
        <f>(((H127+R127)/(H126+R126))-1)+detalle!$D$1</f>
        <v>0.10572549824705482</v>
      </c>
      <c r="T127" s="25">
        <f t="shared" si="23"/>
        <v>1.4801569754587676</v>
      </c>
      <c r="U127" s="10">
        <f t="shared" si="20"/>
        <v>0.50615898463593856</v>
      </c>
      <c r="V127" s="21">
        <f t="shared" si="26"/>
        <v>23.857682619647356</v>
      </c>
      <c r="W127" s="15">
        <f>J127/detalle!$D$2</f>
        <v>15270.444766347287</v>
      </c>
      <c r="X127" s="15">
        <f>E127/detalle!$D$2</f>
        <v>3414.5280894089051</v>
      </c>
      <c r="Y127" s="22">
        <f>F127/detalle!$D$2</f>
        <v>72.44182506321097</v>
      </c>
      <c r="Z127" s="20"/>
      <c r="AA127" s="14">
        <f>E127/(detalle!$D$2*1000000)</f>
        <v>3.4145280894089048E-3</v>
      </c>
      <c r="AB127" s="14">
        <f>F127/(detalle!$D$2*1000000)</f>
        <v>7.2441825063210969E-5</v>
      </c>
      <c r="AC127" s="11">
        <v>0</v>
      </c>
      <c r="AD127" s="20">
        <v>0</v>
      </c>
      <c r="AE127" s="20">
        <v>0</v>
      </c>
      <c r="AF127" s="22">
        <f t="shared" si="24"/>
        <v>8</v>
      </c>
      <c r="AG127" s="12">
        <v>0</v>
      </c>
      <c r="AH127" s="12">
        <v>0</v>
      </c>
      <c r="AI127" s="20">
        <v>0</v>
      </c>
      <c r="AJ127" s="23">
        <f t="shared" si="25"/>
        <v>0</v>
      </c>
      <c r="AK127" s="23">
        <v>0</v>
      </c>
      <c r="AL127" s="28">
        <f>AK127/detalle!$D$2</f>
        <v>0</v>
      </c>
    </row>
    <row r="128" spans="1:38">
      <c r="A128" s="12">
        <v>127</v>
      </c>
      <c r="B128" s="19">
        <v>44017</v>
      </c>
      <c r="C128" s="12">
        <v>109</v>
      </c>
      <c r="D128" s="23">
        <f t="shared" si="21"/>
        <v>703</v>
      </c>
      <c r="E128" s="12">
        <v>38128</v>
      </c>
      <c r="F128" s="12">
        <v>804</v>
      </c>
      <c r="G128" s="12">
        <v>19489</v>
      </c>
      <c r="H128" s="23">
        <f t="shared" si="17"/>
        <v>17835</v>
      </c>
      <c r="I128" s="23">
        <f t="shared" si="29"/>
        <v>2627</v>
      </c>
      <c r="J128" s="12">
        <v>169999</v>
      </c>
      <c r="K128" s="23">
        <f t="shared" si="30"/>
        <v>131871</v>
      </c>
      <c r="L128" s="9">
        <f t="shared" si="22"/>
        <v>546</v>
      </c>
      <c r="M128" s="14">
        <f t="shared" si="18"/>
        <v>2.1086865295845574E-2</v>
      </c>
      <c r="N128" s="14">
        <f t="shared" si="28"/>
        <v>0.26760563380281688</v>
      </c>
      <c r="O128" s="12">
        <v>14032</v>
      </c>
      <c r="P128" s="12">
        <v>3803</v>
      </c>
      <c r="Q128" s="20">
        <v>208</v>
      </c>
      <c r="R128" s="23">
        <f t="shared" si="19"/>
        <v>20293</v>
      </c>
      <c r="S128" s="25">
        <f>(((H128+R128)/(H127+R127))-1)+detalle!$D$1</f>
        <v>9.0212806565511922E-2</v>
      </c>
      <c r="T128" s="25">
        <f t="shared" si="23"/>
        <v>1.262979291917167</v>
      </c>
      <c r="U128" s="10">
        <f t="shared" si="20"/>
        <v>0.51114666386907259</v>
      </c>
      <c r="V128" s="21">
        <f t="shared" si="26"/>
        <v>24.240049751243781</v>
      </c>
      <c r="W128" s="15">
        <f>J128/detalle!$D$2</f>
        <v>15510.123197633251</v>
      </c>
      <c r="X128" s="15">
        <f>E128/detalle!$D$2</f>
        <v>3478.6673879220502</v>
      </c>
      <c r="Y128" s="22">
        <f>F128/detalle!$D$2</f>
        <v>73.354190618163244</v>
      </c>
      <c r="Z128" s="20"/>
      <c r="AA128" s="14">
        <f>E128/(detalle!$D$2*1000000)</f>
        <v>3.4786673879220499E-3</v>
      </c>
      <c r="AB128" s="14">
        <f>F128/(detalle!$D$2*1000000)</f>
        <v>7.3354190618163251E-5</v>
      </c>
      <c r="AC128" s="11">
        <v>0</v>
      </c>
      <c r="AD128" s="20">
        <v>0</v>
      </c>
      <c r="AE128" s="20">
        <v>0</v>
      </c>
      <c r="AF128" s="22">
        <f t="shared" si="24"/>
        <v>10</v>
      </c>
      <c r="AG128" s="12">
        <v>0</v>
      </c>
      <c r="AH128" s="12">
        <v>0</v>
      </c>
      <c r="AI128" s="20">
        <v>0</v>
      </c>
      <c r="AJ128" s="23">
        <f t="shared" si="25"/>
        <v>0</v>
      </c>
      <c r="AK128" s="23">
        <v>0</v>
      </c>
      <c r="AL128" s="28">
        <f>AK128/detalle!$D$2</f>
        <v>0</v>
      </c>
    </row>
    <row r="129" spans="1:38">
      <c r="A129" s="12">
        <v>128</v>
      </c>
      <c r="B129" s="19">
        <v>44018</v>
      </c>
      <c r="C129" s="12">
        <v>110</v>
      </c>
      <c r="D129" s="23">
        <f t="shared" si="21"/>
        <v>302</v>
      </c>
      <c r="E129" s="12">
        <v>38430</v>
      </c>
      <c r="F129" s="12">
        <v>821</v>
      </c>
      <c r="G129" s="12">
        <v>19564</v>
      </c>
      <c r="H129" s="23">
        <f t="shared" si="17"/>
        <v>18045</v>
      </c>
      <c r="I129" s="23">
        <f t="shared" si="29"/>
        <v>1098</v>
      </c>
      <c r="J129" s="12">
        <v>171097</v>
      </c>
      <c r="K129" s="23">
        <f t="shared" si="30"/>
        <v>132667</v>
      </c>
      <c r="L129" s="9">
        <f t="shared" si="22"/>
        <v>75</v>
      </c>
      <c r="M129" s="14">
        <f t="shared" si="18"/>
        <v>2.1363518084829562E-2</v>
      </c>
      <c r="N129" s="14">
        <f t="shared" si="28"/>
        <v>0.27504553734061932</v>
      </c>
      <c r="O129" s="12">
        <v>14222</v>
      </c>
      <c r="P129" s="12">
        <v>3823</v>
      </c>
      <c r="Q129" s="20">
        <v>211</v>
      </c>
      <c r="R129" s="23">
        <f t="shared" si="19"/>
        <v>20385</v>
      </c>
      <c r="S129" s="25">
        <f>(((H129+R129)/(H128+R128))-1)+detalle!$D$1</f>
        <v>7.9349259636712494E-2</v>
      </c>
      <c r="T129" s="25">
        <f t="shared" si="23"/>
        <v>1.110889634913975</v>
      </c>
      <c r="U129" s="10">
        <f t="shared" si="20"/>
        <v>0.5090814467863648</v>
      </c>
      <c r="V129" s="21">
        <f t="shared" si="26"/>
        <v>23.829476248477466</v>
      </c>
      <c r="W129" s="15">
        <f>J129/detalle!$D$2</f>
        <v>15610.300935567011</v>
      </c>
      <c r="X129" s="15">
        <f>E129/detalle!$D$2</f>
        <v>3506.2208276816091</v>
      </c>
      <c r="Y129" s="22">
        <f>F129/detalle!$D$2</f>
        <v>74.90521206158212</v>
      </c>
      <c r="Z129" s="20"/>
      <c r="AA129" s="14">
        <f>E129/(detalle!$D$2*1000000)</f>
        <v>3.506220827681609E-3</v>
      </c>
      <c r="AB129" s="14">
        <f>F129/(detalle!$D$2*1000000)</f>
        <v>7.4905212061582123E-5</v>
      </c>
      <c r="AC129" s="11">
        <v>0</v>
      </c>
      <c r="AD129" s="20">
        <v>0</v>
      </c>
      <c r="AE129" s="20">
        <v>0</v>
      </c>
      <c r="AF129" s="22">
        <f t="shared" si="24"/>
        <v>17</v>
      </c>
      <c r="AG129" s="12">
        <v>0</v>
      </c>
      <c r="AH129" s="12">
        <v>0</v>
      </c>
      <c r="AI129" s="20">
        <v>0</v>
      </c>
      <c r="AJ129" s="23">
        <f t="shared" si="25"/>
        <v>0</v>
      </c>
      <c r="AK129" s="23">
        <v>0</v>
      </c>
      <c r="AL129" s="28">
        <f>AK129/detalle!$D$2</f>
        <v>0</v>
      </c>
    </row>
    <row r="130" spans="1:38">
      <c r="A130" s="12">
        <v>129</v>
      </c>
      <c r="B130" s="19">
        <v>44019</v>
      </c>
      <c r="C130" s="12">
        <v>111</v>
      </c>
      <c r="D130" s="23">
        <f t="shared" si="21"/>
        <v>1158</v>
      </c>
      <c r="E130" s="12">
        <v>39588</v>
      </c>
      <c r="F130" s="12">
        <v>829</v>
      </c>
      <c r="G130" s="12">
        <v>20056</v>
      </c>
      <c r="H130" s="23">
        <f t="shared" ref="H130:H193" si="31">E130-F130-G130</f>
        <v>18703</v>
      </c>
      <c r="I130" s="23">
        <f t="shared" si="29"/>
        <v>3654</v>
      </c>
      <c r="J130" s="12">
        <v>174751</v>
      </c>
      <c r="K130" s="23">
        <f t="shared" si="30"/>
        <v>135163</v>
      </c>
      <c r="L130" s="9">
        <f t="shared" si="22"/>
        <v>492</v>
      </c>
      <c r="M130" s="14">
        <f t="shared" ref="M130:M193" si="32">F130/E130</f>
        <v>2.0940689097706376E-2</v>
      </c>
      <c r="N130" s="14">
        <f t="shared" si="28"/>
        <v>0.31691297208538588</v>
      </c>
      <c r="O130" s="12">
        <v>14819</v>
      </c>
      <c r="P130" s="12">
        <v>3884</v>
      </c>
      <c r="Q130" s="20">
        <v>216</v>
      </c>
      <c r="R130" s="23">
        <f t="shared" ref="R130:R193" si="33">F130+G130</f>
        <v>20885</v>
      </c>
      <c r="S130" s="25">
        <f>(((H130+R130)/(H129+R129))-1)+detalle!$D$1</f>
        <v>0.10156128024980474</v>
      </c>
      <c r="T130" s="25">
        <f t="shared" si="23"/>
        <v>1.4218579234972664</v>
      </c>
      <c r="U130" s="10">
        <f t="shared" ref="U130:U193" si="34">G130/E130</f>
        <v>0.50661816712134988</v>
      </c>
      <c r="V130" s="21">
        <f t="shared" si="26"/>
        <v>24.193003618817851</v>
      </c>
      <c r="W130" s="15">
        <f>J130/detalle!$D$2</f>
        <v>15943.679309346575</v>
      </c>
      <c r="X130" s="15">
        <f>E130/detalle!$D$2</f>
        <v>3611.8727589450828</v>
      </c>
      <c r="Y130" s="22">
        <f>F130/detalle!$D$2</f>
        <v>75.63510450554395</v>
      </c>
      <c r="Z130" s="20"/>
      <c r="AA130" s="14">
        <f>E130/(detalle!$D$2*1000000)</f>
        <v>3.6118727589450829E-3</v>
      </c>
      <c r="AB130" s="14">
        <f>F130/(detalle!$D$2*1000000)</f>
        <v>7.5635104505543938E-5</v>
      </c>
      <c r="AC130" s="11">
        <v>0</v>
      </c>
      <c r="AD130" s="20">
        <v>0</v>
      </c>
      <c r="AE130" s="20">
        <v>0</v>
      </c>
      <c r="AF130" s="22">
        <f t="shared" si="24"/>
        <v>8</v>
      </c>
      <c r="AG130" s="12">
        <v>0</v>
      </c>
      <c r="AH130" s="12">
        <v>0</v>
      </c>
      <c r="AI130" s="20">
        <v>0</v>
      </c>
      <c r="AJ130" s="23">
        <f t="shared" si="25"/>
        <v>0</v>
      </c>
      <c r="AK130" s="23">
        <v>0</v>
      </c>
      <c r="AL130" s="28">
        <f>AK130/detalle!$D$2</f>
        <v>0</v>
      </c>
    </row>
    <row r="131" spans="1:38">
      <c r="A131" s="12">
        <v>130</v>
      </c>
      <c r="B131" s="19">
        <v>44020</v>
      </c>
      <c r="C131" s="12">
        <v>112</v>
      </c>
      <c r="D131" s="23">
        <f t="shared" ref="D131:D194" si="35">E131-E130</f>
        <v>1202</v>
      </c>
      <c r="E131" s="12">
        <v>40790</v>
      </c>
      <c r="F131" s="12">
        <v>842</v>
      </c>
      <c r="G131" s="12">
        <v>20426</v>
      </c>
      <c r="H131" s="23">
        <f t="shared" si="31"/>
        <v>19522</v>
      </c>
      <c r="I131" s="23">
        <f t="shared" si="29"/>
        <v>4087</v>
      </c>
      <c r="J131" s="12">
        <v>178838</v>
      </c>
      <c r="K131" s="23">
        <f t="shared" si="30"/>
        <v>138048</v>
      </c>
      <c r="L131" s="9">
        <f t="shared" ref="L131:L194" si="36">G131-G130</f>
        <v>370</v>
      </c>
      <c r="M131" s="14">
        <f t="shared" si="32"/>
        <v>2.0642314292718802E-2</v>
      </c>
      <c r="N131" s="14">
        <f t="shared" si="28"/>
        <v>0.29410325422069977</v>
      </c>
      <c r="O131" s="12">
        <v>15459</v>
      </c>
      <c r="P131" s="12">
        <v>4063</v>
      </c>
      <c r="Q131" s="20">
        <v>217</v>
      </c>
      <c r="R131" s="23">
        <f t="shared" si="33"/>
        <v>21268</v>
      </c>
      <c r="S131" s="25">
        <f>(((H131+R131)/(H130+R130))-1)+detalle!$D$1</f>
        <v>0.10179130761125313</v>
      </c>
      <c r="T131" s="25">
        <f t="shared" ref="T131:T194" si="37">S131*14</f>
        <v>1.4250783065575439</v>
      </c>
      <c r="U131" s="10">
        <f t="shared" si="34"/>
        <v>0.5007599901936749</v>
      </c>
      <c r="V131" s="21">
        <f t="shared" si="26"/>
        <v>24.258907363420427</v>
      </c>
      <c r="W131" s="15">
        <f>J131/detalle!$D$2</f>
        <v>16316.563111655571</v>
      </c>
      <c r="X131" s="15">
        <f>E131/detalle!$D$2</f>
        <v>3721.5390986503467</v>
      </c>
      <c r="Y131" s="22">
        <f>F131/detalle!$D$2</f>
        <v>76.82117972698191</v>
      </c>
      <c r="Z131" s="20"/>
      <c r="AA131" s="14">
        <f>E131/(detalle!$D$2*1000000)</f>
        <v>3.7215390986503468E-3</v>
      </c>
      <c r="AB131" s="14">
        <f>F131/(detalle!$D$2*1000000)</f>
        <v>7.6821179726981902E-5</v>
      </c>
      <c r="AC131" s="11">
        <v>0</v>
      </c>
      <c r="AD131" s="20">
        <v>0</v>
      </c>
      <c r="AE131" s="20">
        <v>0</v>
      </c>
      <c r="AF131" s="22">
        <f t="shared" ref="AF131:AF194" si="38">F131-F130</f>
        <v>13</v>
      </c>
      <c r="AG131" s="12">
        <v>0</v>
      </c>
      <c r="AH131" s="12">
        <v>0</v>
      </c>
      <c r="AI131" s="20">
        <v>0</v>
      </c>
      <c r="AJ131" s="23">
        <f t="shared" ref="AJ131:AJ194" si="39">AK131-AK130</f>
        <v>0</v>
      </c>
      <c r="AK131" s="23">
        <v>0</v>
      </c>
      <c r="AL131" s="28">
        <f>AK131/detalle!$D$2</f>
        <v>0</v>
      </c>
    </row>
    <row r="132" spans="1:38">
      <c r="A132" s="12">
        <v>131</v>
      </c>
      <c r="B132" s="19">
        <v>44021</v>
      </c>
      <c r="C132" s="12">
        <v>113</v>
      </c>
      <c r="D132" s="23">
        <f t="shared" si="35"/>
        <v>1125</v>
      </c>
      <c r="E132" s="12">
        <v>41915</v>
      </c>
      <c r="F132" s="12">
        <v>864</v>
      </c>
      <c r="G132" s="12">
        <v>20830</v>
      </c>
      <c r="H132" s="23">
        <f t="shared" si="31"/>
        <v>20221</v>
      </c>
      <c r="I132" s="23">
        <f t="shared" si="29"/>
        <v>3425</v>
      </c>
      <c r="J132" s="12">
        <v>182263</v>
      </c>
      <c r="K132" s="23">
        <f t="shared" si="30"/>
        <v>140348</v>
      </c>
      <c r="L132" s="9">
        <f t="shared" si="36"/>
        <v>404</v>
      </c>
      <c r="M132" s="14">
        <f t="shared" si="32"/>
        <v>2.0613145651914588E-2</v>
      </c>
      <c r="N132" s="14">
        <f t="shared" si="28"/>
        <v>0.32846715328467152</v>
      </c>
      <c r="O132" s="12">
        <v>16102</v>
      </c>
      <c r="P132" s="12">
        <v>4119</v>
      </c>
      <c r="Q132" s="20">
        <v>226</v>
      </c>
      <c r="R132" s="23">
        <f t="shared" si="33"/>
        <v>21694</v>
      </c>
      <c r="S132" s="25">
        <f>(((H132+R132)/(H131+R131))-1)+detalle!$D$1</f>
        <v>9.9008860715161379E-2</v>
      </c>
      <c r="T132" s="25">
        <f t="shared" si="37"/>
        <v>1.3861240500122594</v>
      </c>
      <c r="U132" s="10">
        <f t="shared" si="34"/>
        <v>0.49695812954789453</v>
      </c>
      <c r="V132" s="21">
        <f t="shared" si="26"/>
        <v>24.108796296296298</v>
      </c>
      <c r="W132" s="15">
        <f>J132/detalle!$D$2</f>
        <v>16629.048314226726</v>
      </c>
      <c r="X132" s="15">
        <f>E132/detalle!$D$2</f>
        <v>3824.1802235824784</v>
      </c>
      <c r="Y132" s="22">
        <f>F132/detalle!$D$2</f>
        <v>78.828383947876929</v>
      </c>
      <c r="Z132" s="20"/>
      <c r="AA132" s="14">
        <f>E132/(detalle!$D$2*1000000)</f>
        <v>3.824180223582478E-3</v>
      </c>
      <c r="AB132" s="14">
        <f>F132/(detalle!$D$2*1000000)</f>
        <v>7.8828383947876922E-5</v>
      </c>
      <c r="AC132" s="11">
        <v>0</v>
      </c>
      <c r="AD132" s="20">
        <v>0</v>
      </c>
      <c r="AE132" s="20">
        <v>0</v>
      </c>
      <c r="AF132" s="22">
        <f t="shared" si="38"/>
        <v>22</v>
      </c>
      <c r="AG132" s="12">
        <v>0</v>
      </c>
      <c r="AH132" s="12">
        <v>0</v>
      </c>
      <c r="AI132" s="20">
        <v>0</v>
      </c>
      <c r="AJ132" s="23">
        <f t="shared" si="39"/>
        <v>0</v>
      </c>
      <c r="AK132" s="23">
        <v>0</v>
      </c>
      <c r="AL132" s="28">
        <f>AK132/detalle!$D$2</f>
        <v>0</v>
      </c>
    </row>
    <row r="133" spans="1:38">
      <c r="A133" s="12">
        <v>132</v>
      </c>
      <c r="B133" s="19">
        <v>44022</v>
      </c>
      <c r="C133" s="12">
        <v>114</v>
      </c>
      <c r="D133" s="23">
        <f t="shared" si="35"/>
        <v>1199</v>
      </c>
      <c r="E133" s="12">
        <v>43114</v>
      </c>
      <c r="F133" s="12">
        <v>880</v>
      </c>
      <c r="G133" s="12">
        <v>20996</v>
      </c>
      <c r="H133" s="23">
        <f t="shared" si="31"/>
        <v>21238</v>
      </c>
      <c r="I133" s="23">
        <f t="shared" si="29"/>
        <v>3590</v>
      </c>
      <c r="J133" s="12">
        <v>185853</v>
      </c>
      <c r="K133" s="23">
        <f t="shared" si="30"/>
        <v>142739</v>
      </c>
      <c r="L133" s="9">
        <f t="shared" si="36"/>
        <v>166</v>
      </c>
      <c r="M133" s="14">
        <f t="shared" si="32"/>
        <v>2.0411003386371016E-2</v>
      </c>
      <c r="N133" s="14">
        <f t="shared" si="28"/>
        <v>0.33398328690807799</v>
      </c>
      <c r="O133" s="12">
        <v>17135</v>
      </c>
      <c r="P133" s="12">
        <v>4103</v>
      </c>
      <c r="Q133" s="20">
        <v>226</v>
      </c>
      <c r="R133" s="23">
        <f t="shared" si="33"/>
        <v>21876</v>
      </c>
      <c r="S133" s="25">
        <f>(((H133+R133)/(H132+R132))-1)+detalle!$D$1</f>
        <v>0.10003408258209648</v>
      </c>
      <c r="T133" s="25">
        <f t="shared" si="37"/>
        <v>1.4004771561493508</v>
      </c>
      <c r="U133" s="10">
        <f t="shared" si="34"/>
        <v>0.48698798534118848</v>
      </c>
      <c r="V133" s="21">
        <f t="shared" si="26"/>
        <v>23.859090909090909</v>
      </c>
      <c r="W133" s="15">
        <f>J133/detalle!$D$2</f>
        <v>16956.587548454594</v>
      </c>
      <c r="X133" s="15">
        <f>E133/detalle!$D$2</f>
        <v>3933.5728536212564</v>
      </c>
      <c r="Y133" s="22">
        <f>F133/detalle!$D$2</f>
        <v>80.288168835800576</v>
      </c>
      <c r="Z133" s="20"/>
      <c r="AA133" s="14">
        <f>E133/(detalle!$D$2*1000000)</f>
        <v>3.9335728536212568E-3</v>
      </c>
      <c r="AB133" s="14">
        <f>F133/(detalle!$D$2*1000000)</f>
        <v>8.0288168835800566E-5</v>
      </c>
      <c r="AC133" s="11">
        <v>0</v>
      </c>
      <c r="AD133" s="20">
        <v>0</v>
      </c>
      <c r="AE133" s="20">
        <v>0</v>
      </c>
      <c r="AF133" s="22">
        <f t="shared" si="38"/>
        <v>16</v>
      </c>
      <c r="AG133" s="12">
        <v>0</v>
      </c>
      <c r="AH133" s="12">
        <v>0</v>
      </c>
      <c r="AI133" s="20">
        <v>0</v>
      </c>
      <c r="AJ133" s="23">
        <f t="shared" si="39"/>
        <v>0</v>
      </c>
      <c r="AK133" s="23">
        <v>0</v>
      </c>
      <c r="AL133" s="28">
        <f>AK133/detalle!$D$2</f>
        <v>0</v>
      </c>
    </row>
    <row r="134" spans="1:38">
      <c r="A134" s="12">
        <v>133</v>
      </c>
      <c r="B134" s="19">
        <v>44023</v>
      </c>
      <c r="C134" s="12">
        <v>115</v>
      </c>
      <c r="D134" s="23">
        <f t="shared" si="35"/>
        <v>1418</v>
      </c>
      <c r="E134" s="12">
        <v>44532</v>
      </c>
      <c r="F134" s="12">
        <v>897</v>
      </c>
      <c r="G134" s="12">
        <v>21459</v>
      </c>
      <c r="H134" s="23">
        <f t="shared" si="31"/>
        <v>22176</v>
      </c>
      <c r="I134" s="23">
        <f t="shared" si="29"/>
        <v>3538</v>
      </c>
      <c r="J134" s="12">
        <v>189391</v>
      </c>
      <c r="K134" s="23">
        <f t="shared" si="30"/>
        <v>144859</v>
      </c>
      <c r="L134" s="9">
        <f t="shared" si="36"/>
        <v>463</v>
      </c>
      <c r="M134" s="14">
        <f t="shared" si="32"/>
        <v>2.0142818647264887E-2</v>
      </c>
      <c r="N134" s="14">
        <f t="shared" si="28"/>
        <v>0.40079140757490106</v>
      </c>
      <c r="O134" s="12">
        <v>18537</v>
      </c>
      <c r="P134" s="12">
        <v>3639</v>
      </c>
      <c r="Q134" s="20">
        <v>235</v>
      </c>
      <c r="R134" s="23">
        <f t="shared" si="33"/>
        <v>22356</v>
      </c>
      <c r="S134" s="25">
        <f>(((H134+R134)/(H133+R133))-1)+detalle!$D$1</f>
        <v>0.10431812006706467</v>
      </c>
      <c r="T134" s="25">
        <f t="shared" si="37"/>
        <v>1.4604536809389055</v>
      </c>
      <c r="U134" s="10">
        <f t="shared" si="34"/>
        <v>0.48187819994610614</v>
      </c>
      <c r="V134" s="21">
        <f t="shared" si="26"/>
        <v>23.923076923076923</v>
      </c>
      <c r="W134" s="15">
        <f>J134/detalle!$D$2</f>
        <v>17279.382481796711</v>
      </c>
      <c r="X134" s="15">
        <f>E134/detalle!$D$2</f>
        <v>4062.9462893134896</v>
      </c>
      <c r="Y134" s="22">
        <f>F134/detalle!$D$2</f>
        <v>81.839190279219451</v>
      </c>
      <c r="Z134" s="20"/>
      <c r="AA134" s="14">
        <f>E134/(detalle!$D$2*1000000)</f>
        <v>4.0629462893134894E-3</v>
      </c>
      <c r="AB134" s="14">
        <f>F134/(detalle!$D$2*1000000)</f>
        <v>8.1839190279219437E-5</v>
      </c>
      <c r="AC134" s="11">
        <v>0</v>
      </c>
      <c r="AD134" s="20">
        <v>0</v>
      </c>
      <c r="AE134" s="20">
        <v>0</v>
      </c>
      <c r="AF134" s="22">
        <f t="shared" si="38"/>
        <v>17</v>
      </c>
      <c r="AG134" s="12">
        <v>0</v>
      </c>
      <c r="AH134" s="12">
        <v>0</v>
      </c>
      <c r="AI134" s="20">
        <v>0</v>
      </c>
      <c r="AJ134" s="23">
        <f t="shared" si="39"/>
        <v>0</v>
      </c>
      <c r="AK134" s="23">
        <v>0</v>
      </c>
      <c r="AL134" s="28">
        <f>AK134/detalle!$D$2</f>
        <v>0</v>
      </c>
    </row>
    <row r="135" spans="1:38">
      <c r="A135" s="12">
        <v>134</v>
      </c>
      <c r="B135" s="19">
        <v>44024</v>
      </c>
      <c r="C135" s="12">
        <v>116</v>
      </c>
      <c r="D135" s="23">
        <f t="shared" si="35"/>
        <v>974</v>
      </c>
      <c r="E135" s="12">
        <v>45506</v>
      </c>
      <c r="F135" s="12">
        <v>903</v>
      </c>
      <c r="G135" s="12">
        <v>22441</v>
      </c>
      <c r="H135" s="23">
        <f t="shared" si="31"/>
        <v>22162</v>
      </c>
      <c r="I135" s="23">
        <f t="shared" si="29"/>
        <v>2969</v>
      </c>
      <c r="J135" s="12">
        <v>192360</v>
      </c>
      <c r="K135" s="23">
        <f t="shared" si="30"/>
        <v>146854</v>
      </c>
      <c r="L135" s="9">
        <f t="shared" si="36"/>
        <v>982</v>
      </c>
      <c r="M135" s="14">
        <f t="shared" si="32"/>
        <v>1.9843537115984706E-2</v>
      </c>
      <c r="N135" s="14">
        <f t="shared" si="28"/>
        <v>0.32805658470865612</v>
      </c>
      <c r="O135" s="12">
        <v>18602</v>
      </c>
      <c r="P135" s="12">
        <v>3560</v>
      </c>
      <c r="Q135" s="20">
        <v>240</v>
      </c>
      <c r="R135" s="23">
        <f t="shared" si="33"/>
        <v>23344</v>
      </c>
      <c r="S135" s="25">
        <f>(((H135+R135)/(H134+R134))-1)+detalle!$D$1</f>
        <v>9.3300483761275893E-2</v>
      </c>
      <c r="T135" s="25">
        <f t="shared" si="37"/>
        <v>1.3062067726578626</v>
      </c>
      <c r="U135" s="10">
        <f t="shared" si="34"/>
        <v>0.49314376126225112</v>
      </c>
      <c r="V135" s="21">
        <f t="shared" si="26"/>
        <v>24.851605758582505</v>
      </c>
      <c r="W135" s="15">
        <f>J135/detalle!$D$2</f>
        <v>17550.263815062044</v>
      </c>
      <c r="X135" s="15">
        <f>E135/detalle!$D$2</f>
        <v>4151.8106943658413</v>
      </c>
      <c r="Y135" s="22">
        <f>F135/detalle!$D$2</f>
        <v>82.38660961219081</v>
      </c>
      <c r="Z135" s="20"/>
      <c r="AA135" s="14">
        <f>E135/(detalle!$D$2*1000000)</f>
        <v>4.1518106943658414E-3</v>
      </c>
      <c r="AB135" s="14">
        <f>F135/(detalle!$D$2*1000000)</f>
        <v>8.2386609612190812E-5</v>
      </c>
      <c r="AC135" s="11">
        <v>0</v>
      </c>
      <c r="AD135" s="20">
        <v>0</v>
      </c>
      <c r="AE135" s="20">
        <v>0</v>
      </c>
      <c r="AF135" s="22">
        <f t="shared" si="38"/>
        <v>6</v>
      </c>
      <c r="AG135" s="12">
        <v>0</v>
      </c>
      <c r="AH135" s="12">
        <v>0</v>
      </c>
      <c r="AI135" s="20">
        <v>0</v>
      </c>
      <c r="AJ135" s="23">
        <f t="shared" si="39"/>
        <v>0</v>
      </c>
      <c r="AK135" s="23">
        <v>0</v>
      </c>
      <c r="AL135" s="28">
        <f>AK135/detalle!$D$2</f>
        <v>0</v>
      </c>
    </row>
    <row r="136" spans="1:38">
      <c r="A136" s="12">
        <v>135</v>
      </c>
      <c r="B136" s="19">
        <v>44025</v>
      </c>
      <c r="C136" s="12">
        <v>117</v>
      </c>
      <c r="D136" s="23">
        <f t="shared" si="35"/>
        <v>799</v>
      </c>
      <c r="E136" s="12">
        <v>46305</v>
      </c>
      <c r="F136" s="12">
        <v>910</v>
      </c>
      <c r="G136" s="12">
        <v>23134</v>
      </c>
      <c r="H136" s="23">
        <f t="shared" si="31"/>
        <v>22261</v>
      </c>
      <c r="I136" s="23">
        <f t="shared" si="29"/>
        <v>2101</v>
      </c>
      <c r="J136" s="12">
        <v>194461</v>
      </c>
      <c r="K136" s="23">
        <f t="shared" si="30"/>
        <v>148156</v>
      </c>
      <c r="L136" s="9">
        <f t="shared" si="36"/>
        <v>693</v>
      </c>
      <c r="M136" s="14">
        <f t="shared" si="32"/>
        <v>1.9652305366591082E-2</v>
      </c>
      <c r="N136" s="14">
        <f t="shared" si="28"/>
        <v>0.38029509757258451</v>
      </c>
      <c r="O136" s="12">
        <v>18810</v>
      </c>
      <c r="P136" s="12">
        <v>3451</v>
      </c>
      <c r="Q136" s="20">
        <v>238</v>
      </c>
      <c r="R136" s="23">
        <f t="shared" si="33"/>
        <v>24044</v>
      </c>
      <c r="S136" s="25">
        <f>(((H136+R136)/(H135+R135))-1)+detalle!$D$1</f>
        <v>8.8986695631973173E-2</v>
      </c>
      <c r="T136" s="25">
        <f t="shared" si="37"/>
        <v>1.2458137388476245</v>
      </c>
      <c r="U136" s="10">
        <f t="shared" si="34"/>
        <v>0.49960047511067918</v>
      </c>
      <c r="V136" s="21">
        <f t="shared" si="26"/>
        <v>25.42197802197802</v>
      </c>
      <c r="W136" s="15">
        <f>J136/detalle!$D$2</f>
        <v>17741.951818157515</v>
      </c>
      <c r="X136" s="15">
        <f>E136/detalle!$D$2</f>
        <v>4224.7087022065289</v>
      </c>
      <c r="Y136" s="22">
        <f>F136/detalle!$D$2</f>
        <v>83.025265500657412</v>
      </c>
      <c r="Z136" s="20"/>
      <c r="AA136" s="14">
        <f>E136/(detalle!$D$2*1000000)</f>
        <v>4.2247087022065288E-3</v>
      </c>
      <c r="AB136" s="14">
        <f>F136/(detalle!$D$2*1000000)</f>
        <v>8.3025265500657401E-5</v>
      </c>
      <c r="AC136" s="11">
        <v>0</v>
      </c>
      <c r="AD136" s="20">
        <v>0</v>
      </c>
      <c r="AE136" s="20">
        <v>0</v>
      </c>
      <c r="AF136" s="22">
        <f t="shared" si="38"/>
        <v>7</v>
      </c>
      <c r="AG136" s="12">
        <v>0</v>
      </c>
      <c r="AH136" s="12">
        <v>0</v>
      </c>
      <c r="AI136" s="20">
        <v>0</v>
      </c>
      <c r="AJ136" s="23">
        <f t="shared" si="39"/>
        <v>0</v>
      </c>
      <c r="AK136" s="23">
        <v>0</v>
      </c>
      <c r="AL136" s="28">
        <f>AK136/detalle!$D$2</f>
        <v>0</v>
      </c>
    </row>
    <row r="137" spans="1:38">
      <c r="A137" s="12">
        <v>136</v>
      </c>
      <c r="B137" s="19">
        <v>44026</v>
      </c>
      <c r="C137" s="12">
        <v>118</v>
      </c>
      <c r="D137" s="23">
        <f t="shared" si="35"/>
        <v>1366</v>
      </c>
      <c r="E137" s="12">
        <v>47671</v>
      </c>
      <c r="F137" s="12">
        <v>929</v>
      </c>
      <c r="G137" s="12">
        <v>23459</v>
      </c>
      <c r="H137" s="23">
        <f t="shared" si="31"/>
        <v>23283</v>
      </c>
      <c r="I137" s="23">
        <f t="shared" si="29"/>
        <v>4035</v>
      </c>
      <c r="J137" s="12">
        <v>198496</v>
      </c>
      <c r="K137" s="23">
        <f t="shared" si="30"/>
        <v>150825</v>
      </c>
      <c r="L137" s="9">
        <f t="shared" si="36"/>
        <v>325</v>
      </c>
      <c r="M137" s="14">
        <f t="shared" si="32"/>
        <v>1.9487738876885319E-2</v>
      </c>
      <c r="N137" s="14">
        <f t="shared" si="28"/>
        <v>0.33853779429987607</v>
      </c>
      <c r="O137" s="12">
        <v>19788</v>
      </c>
      <c r="P137" s="12">
        <v>3495</v>
      </c>
      <c r="Q137" s="20">
        <v>246</v>
      </c>
      <c r="R137" s="23">
        <f t="shared" si="33"/>
        <v>24388</v>
      </c>
      <c r="S137" s="25">
        <f>(((H137+R137)/(H136+R136))-1)+detalle!$D$1</f>
        <v>0.10092862541842143</v>
      </c>
      <c r="T137" s="25">
        <f t="shared" si="37"/>
        <v>1.4130007558579001</v>
      </c>
      <c r="U137" s="10">
        <f t="shared" si="34"/>
        <v>0.49210211659079944</v>
      </c>
      <c r="V137" s="21">
        <f t="shared" si="26"/>
        <v>25.251883745963401</v>
      </c>
      <c r="W137" s="15">
        <f>J137/detalle!$D$2</f>
        <v>18110.091319580763</v>
      </c>
      <c r="X137" s="15">
        <f>E137/detalle!$D$2</f>
        <v>4349.3378370130104</v>
      </c>
      <c r="Y137" s="22">
        <f>F137/detalle!$D$2</f>
        <v>84.758760055066745</v>
      </c>
      <c r="Z137" s="20"/>
      <c r="AA137" s="14">
        <f>E137/(detalle!$D$2*1000000)</f>
        <v>4.3493378370130101E-3</v>
      </c>
      <c r="AB137" s="14">
        <f>F137/(detalle!$D$2*1000000)</f>
        <v>8.475876005506674E-5</v>
      </c>
      <c r="AC137" s="11">
        <v>0</v>
      </c>
      <c r="AD137" s="20">
        <v>0</v>
      </c>
      <c r="AE137" s="20">
        <v>0</v>
      </c>
      <c r="AF137" s="22">
        <f t="shared" si="38"/>
        <v>19</v>
      </c>
      <c r="AG137" s="12">
        <v>0</v>
      </c>
      <c r="AH137" s="12">
        <v>0</v>
      </c>
      <c r="AI137" s="20">
        <v>0</v>
      </c>
      <c r="AJ137" s="23">
        <f t="shared" si="39"/>
        <v>0</v>
      </c>
      <c r="AK137" s="23">
        <v>0</v>
      </c>
      <c r="AL137" s="28">
        <f>AK137/detalle!$D$2</f>
        <v>0</v>
      </c>
    </row>
    <row r="138" spans="1:38">
      <c r="A138" s="12">
        <v>137</v>
      </c>
      <c r="B138" s="19">
        <v>44027</v>
      </c>
      <c r="C138" s="12">
        <v>119</v>
      </c>
      <c r="D138" s="23">
        <f t="shared" si="35"/>
        <v>1072</v>
      </c>
      <c r="E138" s="12">
        <v>48743</v>
      </c>
      <c r="F138" s="12">
        <v>941</v>
      </c>
      <c r="G138" s="12">
        <v>23636</v>
      </c>
      <c r="H138" s="23">
        <f t="shared" si="31"/>
        <v>24166</v>
      </c>
      <c r="I138" s="23">
        <f t="shared" si="29"/>
        <v>3173</v>
      </c>
      <c r="J138" s="12">
        <v>201669</v>
      </c>
      <c r="K138" s="23">
        <f t="shared" si="30"/>
        <v>152926</v>
      </c>
      <c r="L138" s="9">
        <f t="shared" si="36"/>
        <v>177</v>
      </c>
      <c r="M138" s="14">
        <f t="shared" si="32"/>
        <v>1.9305336150831916E-2</v>
      </c>
      <c r="N138" s="14">
        <f t="shared" si="28"/>
        <v>0.33785061456035298</v>
      </c>
      <c r="O138" s="12">
        <v>20556</v>
      </c>
      <c r="P138" s="12">
        <v>3610</v>
      </c>
      <c r="Q138" s="20">
        <v>243</v>
      </c>
      <c r="R138" s="23">
        <f t="shared" si="33"/>
        <v>24577</v>
      </c>
      <c r="S138" s="25">
        <f>(((H138+R138)/(H137+R137))-1)+detalle!$D$1</f>
        <v>9.3916037602975094E-2</v>
      </c>
      <c r="T138" s="25">
        <f t="shared" si="37"/>
        <v>1.3148245264416514</v>
      </c>
      <c r="U138" s="10">
        <f t="shared" si="34"/>
        <v>0.48491065383747411</v>
      </c>
      <c r="V138" s="21">
        <f t="shared" si="26"/>
        <v>25.117959617428269</v>
      </c>
      <c r="W138" s="15">
        <f>J138/detalle!$D$2</f>
        <v>18399.584910167119</v>
      </c>
      <c r="X138" s="15">
        <f>E138/detalle!$D$2</f>
        <v>4447.1434245038945</v>
      </c>
      <c r="Y138" s="22">
        <f>F138/detalle!$D$2</f>
        <v>85.853598721009476</v>
      </c>
      <c r="Z138" s="20"/>
      <c r="AA138" s="14">
        <f>E138/(detalle!$D$2*1000000)</f>
        <v>4.4471434245038945E-3</v>
      </c>
      <c r="AB138" s="14">
        <f>F138/(detalle!$D$2*1000000)</f>
        <v>8.5853598721009476E-5</v>
      </c>
      <c r="AC138" s="11">
        <v>0</v>
      </c>
      <c r="AD138" s="20">
        <v>0</v>
      </c>
      <c r="AE138" s="20">
        <v>0</v>
      </c>
      <c r="AF138" s="22">
        <f t="shared" si="38"/>
        <v>12</v>
      </c>
      <c r="AG138" s="12">
        <v>0</v>
      </c>
      <c r="AH138" s="12">
        <v>0</v>
      </c>
      <c r="AI138" s="20">
        <v>0</v>
      </c>
      <c r="AJ138" s="23">
        <f t="shared" si="39"/>
        <v>0</v>
      </c>
      <c r="AK138" s="23">
        <v>0</v>
      </c>
      <c r="AL138" s="28">
        <f>AK138/detalle!$D$2</f>
        <v>0</v>
      </c>
    </row>
    <row r="139" spans="1:38">
      <c r="A139" s="12">
        <v>138</v>
      </c>
      <c r="B139" s="19">
        <v>44028</v>
      </c>
      <c r="C139" s="12">
        <v>120</v>
      </c>
      <c r="D139" s="23">
        <f t="shared" si="35"/>
        <v>1370</v>
      </c>
      <c r="E139" s="12">
        <v>50113</v>
      </c>
      <c r="F139" s="12">
        <v>942</v>
      </c>
      <c r="G139" s="12">
        <v>24423</v>
      </c>
      <c r="H139" s="23">
        <f t="shared" si="31"/>
        <v>24748</v>
      </c>
      <c r="I139" s="23">
        <f t="shared" si="29"/>
        <v>3769</v>
      </c>
      <c r="J139" s="12">
        <v>205438</v>
      </c>
      <c r="K139" s="23">
        <f t="shared" si="30"/>
        <v>155325</v>
      </c>
      <c r="L139" s="9">
        <f t="shared" si="36"/>
        <v>787</v>
      </c>
      <c r="M139" s="14">
        <f t="shared" si="32"/>
        <v>1.8797517610200945E-2</v>
      </c>
      <c r="N139" s="14">
        <f t="shared" si="28"/>
        <v>0.36349164234544973</v>
      </c>
      <c r="O139" s="12">
        <v>21296</v>
      </c>
      <c r="P139" s="12">
        <v>3452</v>
      </c>
      <c r="Q139" s="20">
        <v>245</v>
      </c>
      <c r="R139" s="23">
        <f t="shared" si="33"/>
        <v>25365</v>
      </c>
      <c r="S139" s="25">
        <f>(((H139+R139)/(H138+R138))-1)+detalle!$D$1</f>
        <v>9.9535171350611434E-2</v>
      </c>
      <c r="T139" s="25">
        <f t="shared" si="37"/>
        <v>1.3934923989085601</v>
      </c>
      <c r="U139" s="10">
        <f t="shared" si="34"/>
        <v>0.48735856963263025</v>
      </c>
      <c r="V139" s="21">
        <f t="shared" si="26"/>
        <v>25.926751592356688</v>
      </c>
      <c r="W139" s="15">
        <f>J139/detalle!$D$2</f>
        <v>18743.455487828633</v>
      </c>
      <c r="X139" s="15">
        <f>E139/detalle!$D$2</f>
        <v>4572.137505532357</v>
      </c>
      <c r="Y139" s="22">
        <f>F139/detalle!$D$2</f>
        <v>85.944835276504705</v>
      </c>
      <c r="Z139" s="20"/>
      <c r="AA139" s="14">
        <f>E139/(detalle!$D$2*1000000)</f>
        <v>4.5721375055323569E-3</v>
      </c>
      <c r="AB139" s="14">
        <f>F139/(detalle!$D$2*1000000)</f>
        <v>8.5944835276504703E-5</v>
      </c>
      <c r="AC139" s="11">
        <v>0</v>
      </c>
      <c r="AD139" s="20">
        <v>0</v>
      </c>
      <c r="AE139" s="20">
        <v>0</v>
      </c>
      <c r="AF139" s="22">
        <f t="shared" si="38"/>
        <v>1</v>
      </c>
      <c r="AG139" s="12">
        <v>0</v>
      </c>
      <c r="AH139" s="12">
        <v>0</v>
      </c>
      <c r="AI139" s="20">
        <v>0</v>
      </c>
      <c r="AJ139" s="23">
        <f t="shared" si="39"/>
        <v>0</v>
      </c>
      <c r="AK139" s="23">
        <v>0</v>
      </c>
      <c r="AL139" s="28">
        <f>AK139/detalle!$D$2</f>
        <v>0</v>
      </c>
    </row>
    <row r="140" spans="1:38">
      <c r="A140" s="12">
        <v>139</v>
      </c>
      <c r="B140" s="19">
        <v>44029</v>
      </c>
      <c r="C140" s="12">
        <v>121</v>
      </c>
      <c r="D140" s="23">
        <f t="shared" si="35"/>
        <v>1406</v>
      </c>
      <c r="E140" s="12">
        <v>51519</v>
      </c>
      <c r="F140" s="12">
        <v>971</v>
      </c>
      <c r="G140" s="12">
        <v>24607</v>
      </c>
      <c r="H140" s="23">
        <f t="shared" si="31"/>
        <v>25941</v>
      </c>
      <c r="I140" s="23">
        <f t="shared" si="29"/>
        <v>3814</v>
      </c>
      <c r="J140" s="12">
        <v>209252</v>
      </c>
      <c r="K140" s="23">
        <f t="shared" si="30"/>
        <v>157733</v>
      </c>
      <c r="L140" s="9">
        <f t="shared" si="36"/>
        <v>184</v>
      </c>
      <c r="M140" s="14">
        <f t="shared" si="32"/>
        <v>1.8847415516605525E-2</v>
      </c>
      <c r="N140" s="14">
        <f t="shared" si="28"/>
        <v>0.3686418458311484</v>
      </c>
      <c r="O140" s="12">
        <v>22220</v>
      </c>
      <c r="P140" s="12">
        <v>3721</v>
      </c>
      <c r="Q140" s="20">
        <v>245</v>
      </c>
      <c r="R140" s="23">
        <f t="shared" si="33"/>
        <v>25578</v>
      </c>
      <c r="S140" s="25">
        <f>(((H140+R140)/(H139+R139))-1)+detalle!$D$1</f>
        <v>9.9485163530421278E-2</v>
      </c>
      <c r="T140" s="25">
        <f t="shared" si="37"/>
        <v>1.3927922894258979</v>
      </c>
      <c r="U140" s="10">
        <f t="shared" si="34"/>
        <v>0.47762961237601659</v>
      </c>
      <c r="V140" s="21">
        <f t="shared" si="26"/>
        <v>25.341915550978374</v>
      </c>
      <c r="W140" s="15">
        <f>J140/detalle!$D$2</f>
        <v>19091.431710487432</v>
      </c>
      <c r="X140" s="15">
        <f>E140/detalle!$D$2</f>
        <v>4700.4161025586473</v>
      </c>
      <c r="Y140" s="22">
        <f>F140/detalle!$D$2</f>
        <v>88.590695385866312</v>
      </c>
      <c r="Z140" s="20"/>
      <c r="AA140" s="14">
        <f>E140/(detalle!$D$2*1000000)</f>
        <v>4.7004161025586471E-3</v>
      </c>
      <c r="AB140" s="14">
        <f>F140/(detalle!$D$2*1000000)</f>
        <v>8.8590695385866311E-5</v>
      </c>
      <c r="AC140" s="11">
        <v>0</v>
      </c>
      <c r="AD140" s="20">
        <v>0</v>
      </c>
      <c r="AE140" s="20">
        <v>0</v>
      </c>
      <c r="AF140" s="22">
        <f t="shared" si="38"/>
        <v>29</v>
      </c>
      <c r="AG140" s="12">
        <v>0</v>
      </c>
      <c r="AH140" s="12">
        <v>0</v>
      </c>
      <c r="AI140" s="20">
        <v>0</v>
      </c>
      <c r="AJ140" s="23">
        <f t="shared" si="39"/>
        <v>0</v>
      </c>
      <c r="AK140" s="23">
        <v>0</v>
      </c>
      <c r="AL140" s="28">
        <f>AK140/detalle!$D$2</f>
        <v>0</v>
      </c>
    </row>
    <row r="141" spans="1:38">
      <c r="A141" s="12">
        <v>140</v>
      </c>
      <c r="B141" s="19">
        <v>44030</v>
      </c>
      <c r="C141" s="20">
        <v>122</v>
      </c>
      <c r="D141" s="23">
        <f t="shared" si="35"/>
        <v>1336</v>
      </c>
      <c r="E141" s="12">
        <v>52855</v>
      </c>
      <c r="F141" s="20">
        <v>981</v>
      </c>
      <c r="G141" s="12">
        <v>25094</v>
      </c>
      <c r="H141" s="23">
        <f t="shared" si="31"/>
        <v>26780</v>
      </c>
      <c r="I141" s="23">
        <f t="shared" si="29"/>
        <v>3833</v>
      </c>
      <c r="J141" s="12">
        <v>213085</v>
      </c>
      <c r="K141" s="23">
        <f t="shared" si="30"/>
        <v>160230</v>
      </c>
      <c r="L141" s="9">
        <f t="shared" si="36"/>
        <v>487</v>
      </c>
      <c r="M141" s="14">
        <f t="shared" si="32"/>
        <v>1.8560211900482453E-2</v>
      </c>
      <c r="N141" s="14">
        <f t="shared" si="28"/>
        <v>0.34855204800417428</v>
      </c>
      <c r="O141" s="12">
        <v>23022</v>
      </c>
      <c r="P141" s="12">
        <v>3758</v>
      </c>
      <c r="Q141" s="20">
        <v>251</v>
      </c>
      <c r="R141" s="23">
        <f t="shared" si="33"/>
        <v>26075</v>
      </c>
      <c r="S141" s="25">
        <f>(((H141+R141)/(H140+R140))-1)+detalle!$D$1</f>
        <v>9.7360751789215022E-2</v>
      </c>
      <c r="T141" s="25">
        <f t="shared" si="37"/>
        <v>1.3630505250490104</v>
      </c>
      <c r="U141" s="10">
        <f t="shared" si="34"/>
        <v>0.47477059880805977</v>
      </c>
      <c r="V141" s="21">
        <f t="shared" si="26"/>
        <v>25.580020387359838</v>
      </c>
      <c r="W141" s="15">
        <f>J141/detalle!$D$2</f>
        <v>19441.141427700641</v>
      </c>
      <c r="X141" s="15">
        <f>E141/detalle!$D$2</f>
        <v>4822.3081407002719</v>
      </c>
      <c r="Y141" s="22">
        <f>F141/detalle!$D$2</f>
        <v>89.503060940818585</v>
      </c>
      <c r="Z141" s="20"/>
      <c r="AA141" s="14">
        <f>E141/(detalle!$D$2*1000000)</f>
        <v>4.8223081407002717E-3</v>
      </c>
      <c r="AB141" s="14">
        <f>F141/(detalle!$D$2*1000000)</f>
        <v>8.9503060940818581E-5</v>
      </c>
      <c r="AC141" s="11">
        <v>0</v>
      </c>
      <c r="AD141" s="20">
        <v>0</v>
      </c>
      <c r="AE141" s="20">
        <v>0</v>
      </c>
      <c r="AF141" s="22">
        <f t="shared" si="38"/>
        <v>10</v>
      </c>
      <c r="AG141" s="12">
        <v>0</v>
      </c>
      <c r="AH141" s="12">
        <v>0</v>
      </c>
      <c r="AI141" s="20">
        <v>0</v>
      </c>
      <c r="AJ141" s="23">
        <f t="shared" si="39"/>
        <v>0</v>
      </c>
      <c r="AK141" s="23">
        <v>0</v>
      </c>
      <c r="AL141" s="28">
        <f>AK141/detalle!$D$2</f>
        <v>0</v>
      </c>
    </row>
    <row r="142" spans="1:38">
      <c r="A142" s="12">
        <v>141</v>
      </c>
      <c r="B142" s="19">
        <v>44031</v>
      </c>
      <c r="C142" s="12">
        <v>123</v>
      </c>
      <c r="D142" s="23">
        <f t="shared" si="35"/>
        <v>1101</v>
      </c>
      <c r="E142" s="12">
        <v>53956</v>
      </c>
      <c r="F142" s="20">
        <v>993</v>
      </c>
      <c r="G142" s="12">
        <v>25561</v>
      </c>
      <c r="H142" s="23">
        <f t="shared" si="31"/>
        <v>27402</v>
      </c>
      <c r="I142" s="23">
        <f t="shared" si="29"/>
        <v>3396</v>
      </c>
      <c r="J142" s="12">
        <v>216481</v>
      </c>
      <c r="K142" s="23">
        <f t="shared" si="30"/>
        <v>162525</v>
      </c>
      <c r="L142" s="9">
        <f t="shared" si="36"/>
        <v>467</v>
      </c>
      <c r="M142" s="14">
        <f t="shared" si="32"/>
        <v>1.8403884646749202E-2</v>
      </c>
      <c r="N142" s="14">
        <f t="shared" si="28"/>
        <v>0.32420494699646646</v>
      </c>
      <c r="O142" s="12">
        <v>23728</v>
      </c>
      <c r="P142" s="12">
        <v>3674</v>
      </c>
      <c r="Q142" s="20">
        <v>244</v>
      </c>
      <c r="R142" s="23">
        <f t="shared" si="33"/>
        <v>26554</v>
      </c>
      <c r="S142" s="25">
        <f>(((H142+R142)/(H141+R141))-1)+detalle!$D$1</f>
        <v>9.2259145641039569E-2</v>
      </c>
      <c r="T142" s="25">
        <f t="shared" si="37"/>
        <v>1.291628038974554</v>
      </c>
      <c r="U142" s="10">
        <f t="shared" si="34"/>
        <v>0.47373786047890876</v>
      </c>
      <c r="V142" s="21">
        <f t="shared" si="26"/>
        <v>25.741188318227593</v>
      </c>
      <c r="W142" s="15">
        <f>J142/detalle!$D$2</f>
        <v>19750.980770162434</v>
      </c>
      <c r="X142" s="15">
        <f>E142/detalle!$D$2</f>
        <v>4922.7595883005179</v>
      </c>
      <c r="Y142" s="22">
        <f>F142/detalle!$D$2</f>
        <v>90.597899606761331</v>
      </c>
      <c r="Z142" s="20"/>
      <c r="AA142" s="14">
        <f>E142/(detalle!$D$2*1000000)</f>
        <v>4.9227595883005173E-3</v>
      </c>
      <c r="AB142" s="14">
        <f>F142/(detalle!$D$2*1000000)</f>
        <v>9.0597899606761317E-5</v>
      </c>
      <c r="AC142" s="11">
        <v>0</v>
      </c>
      <c r="AD142" s="20">
        <v>0</v>
      </c>
      <c r="AE142" s="20">
        <v>0</v>
      </c>
      <c r="AF142" s="22">
        <f t="shared" si="38"/>
        <v>12</v>
      </c>
      <c r="AG142" s="12">
        <v>0</v>
      </c>
      <c r="AH142" s="12">
        <v>0</v>
      </c>
      <c r="AI142" s="20">
        <v>0</v>
      </c>
      <c r="AJ142" s="23">
        <f t="shared" si="39"/>
        <v>0</v>
      </c>
      <c r="AK142" s="23">
        <v>0</v>
      </c>
      <c r="AL142" s="28">
        <f>AK142/detalle!$D$2</f>
        <v>0</v>
      </c>
    </row>
    <row r="143" spans="1:38">
      <c r="A143" s="12">
        <v>142</v>
      </c>
      <c r="B143" s="19">
        <v>44032</v>
      </c>
      <c r="C143" s="20">
        <v>124</v>
      </c>
      <c r="D143" s="23">
        <f t="shared" si="35"/>
        <v>841</v>
      </c>
      <c r="E143" s="12">
        <v>54797</v>
      </c>
      <c r="F143" s="20">
        <v>999</v>
      </c>
      <c r="G143" s="12">
        <v>25976</v>
      </c>
      <c r="H143" s="23">
        <f t="shared" si="31"/>
        <v>27822</v>
      </c>
      <c r="I143" s="23">
        <f t="shared" si="29"/>
        <v>2345</v>
      </c>
      <c r="J143" s="12">
        <v>218826</v>
      </c>
      <c r="K143" s="23">
        <f t="shared" si="30"/>
        <v>164029</v>
      </c>
      <c r="L143" s="9">
        <f t="shared" si="36"/>
        <v>415</v>
      </c>
      <c r="M143" s="14">
        <f t="shared" si="32"/>
        <v>1.8230925050641458E-2</v>
      </c>
      <c r="N143" s="14">
        <f t="shared" si="28"/>
        <v>0.35863539445629</v>
      </c>
      <c r="O143" s="12">
        <v>24170</v>
      </c>
      <c r="P143" s="12">
        <v>3652</v>
      </c>
      <c r="Q143" s="20">
        <v>240</v>
      </c>
      <c r="R143" s="23">
        <f t="shared" si="33"/>
        <v>26975</v>
      </c>
      <c r="S143" s="25">
        <f>(((H143+R143)/(H142+R142))-1)+detalle!$D$1</f>
        <v>8.7015345837348851E-2</v>
      </c>
      <c r="T143" s="25">
        <f t="shared" si="37"/>
        <v>1.218214841722884</v>
      </c>
      <c r="U143" s="10">
        <f t="shared" si="34"/>
        <v>0.47404054966512765</v>
      </c>
      <c r="V143" s="21">
        <f t="shared" si="26"/>
        <v>26.002002002002001</v>
      </c>
      <c r="W143" s="15">
        <f>J143/detalle!$D$2</f>
        <v>19964.930492798743</v>
      </c>
      <c r="X143" s="15">
        <f>E143/detalle!$D$2</f>
        <v>4999.4895314720043</v>
      </c>
      <c r="Y143" s="22">
        <f>F143/detalle!$D$2</f>
        <v>91.14531893973269</v>
      </c>
      <c r="Z143" s="20"/>
      <c r="AA143" s="14">
        <f>E143/(detalle!$D$2*1000000)</f>
        <v>4.9994895314720046E-3</v>
      </c>
      <c r="AB143" s="14">
        <f>F143/(detalle!$D$2*1000000)</f>
        <v>9.1145318939732693E-5</v>
      </c>
      <c r="AC143" s="11">
        <v>0</v>
      </c>
      <c r="AD143" s="20">
        <v>0</v>
      </c>
      <c r="AE143" s="20">
        <v>0</v>
      </c>
      <c r="AF143" s="22">
        <f t="shared" si="38"/>
        <v>6</v>
      </c>
      <c r="AG143" s="12">
        <v>0</v>
      </c>
      <c r="AH143" s="12">
        <v>0</v>
      </c>
      <c r="AI143" s="20">
        <v>0</v>
      </c>
      <c r="AJ143" s="23">
        <f t="shared" si="39"/>
        <v>0</v>
      </c>
      <c r="AK143" s="23">
        <v>0</v>
      </c>
      <c r="AL143" s="28">
        <f>AK143/detalle!$D$2</f>
        <v>0</v>
      </c>
    </row>
    <row r="144" spans="1:38">
      <c r="A144" s="12">
        <v>143</v>
      </c>
      <c r="B144" s="19">
        <v>44033</v>
      </c>
      <c r="C144" s="12">
        <v>125</v>
      </c>
      <c r="D144" s="23">
        <f t="shared" si="35"/>
        <v>1246</v>
      </c>
      <c r="E144" s="12">
        <v>56043</v>
      </c>
      <c r="F144" s="20">
        <v>1005</v>
      </c>
      <c r="G144" s="12">
        <v>26466</v>
      </c>
      <c r="H144" s="23">
        <f t="shared" si="31"/>
        <v>28572</v>
      </c>
      <c r="I144" s="23">
        <f t="shared" si="29"/>
        <v>3760</v>
      </c>
      <c r="J144" s="12">
        <v>222586</v>
      </c>
      <c r="K144" s="23">
        <f t="shared" si="30"/>
        <v>166543</v>
      </c>
      <c r="L144" s="9">
        <f t="shared" si="36"/>
        <v>490</v>
      </c>
      <c r="M144" s="14">
        <f t="shared" si="32"/>
        <v>1.7932658851239226E-2</v>
      </c>
      <c r="N144" s="14">
        <f t="shared" si="28"/>
        <v>0.33138297872340428</v>
      </c>
      <c r="O144" s="12">
        <v>25014</v>
      </c>
      <c r="P144" s="12">
        <v>3558</v>
      </c>
      <c r="Q144" s="20">
        <v>246</v>
      </c>
      <c r="R144" s="23">
        <f t="shared" si="33"/>
        <v>27471</v>
      </c>
      <c r="S144" s="25">
        <f>(((H144+R144)/(H143+R143))-1)+detalle!$D$1</f>
        <v>9.4167042512754789E-2</v>
      </c>
      <c r="T144" s="25">
        <f t="shared" si="37"/>
        <v>1.3183385951785671</v>
      </c>
      <c r="U144" s="10">
        <f t="shared" si="34"/>
        <v>0.47224452652427601</v>
      </c>
      <c r="V144" s="21">
        <f t="shared" si="26"/>
        <v>26.334328358208957</v>
      </c>
      <c r="W144" s="15">
        <f>J144/detalle!$D$2</f>
        <v>20307.979941460802</v>
      </c>
      <c r="X144" s="15">
        <f>E144/detalle!$D$2</f>
        <v>5113.1702796190584</v>
      </c>
      <c r="Y144" s="22">
        <f>F144/detalle!$D$2</f>
        <v>91.692738272704062</v>
      </c>
      <c r="Z144" s="20"/>
      <c r="AA144" s="14">
        <f>E144/(detalle!$D$2*1000000)</f>
        <v>5.1131702796190582E-3</v>
      </c>
      <c r="AB144" s="14">
        <f>F144/(detalle!$D$2*1000000)</f>
        <v>9.1692738272704054E-5</v>
      </c>
      <c r="AC144" s="11">
        <v>0</v>
      </c>
      <c r="AD144" s="20">
        <v>0</v>
      </c>
      <c r="AE144" s="20">
        <v>0</v>
      </c>
      <c r="AF144" s="22">
        <f t="shared" si="38"/>
        <v>6</v>
      </c>
      <c r="AG144" s="12">
        <v>0</v>
      </c>
      <c r="AH144" s="12">
        <v>0</v>
      </c>
      <c r="AI144" s="20">
        <v>0</v>
      </c>
      <c r="AJ144" s="23">
        <f t="shared" si="39"/>
        <v>0</v>
      </c>
      <c r="AK144" s="23">
        <v>0</v>
      </c>
      <c r="AL144" s="28">
        <f>AK144/detalle!$D$2</f>
        <v>0</v>
      </c>
    </row>
    <row r="145" spans="1:38">
      <c r="A145" s="12">
        <v>144</v>
      </c>
      <c r="B145" s="19">
        <v>44034</v>
      </c>
      <c r="C145" s="20">
        <v>126</v>
      </c>
      <c r="D145" s="23">
        <f t="shared" si="35"/>
        <v>1572</v>
      </c>
      <c r="E145" s="12">
        <v>57615</v>
      </c>
      <c r="F145" s="20">
        <v>1006</v>
      </c>
      <c r="G145" s="12">
        <v>26905</v>
      </c>
      <c r="H145" s="23">
        <f t="shared" si="31"/>
        <v>29704</v>
      </c>
      <c r="I145" s="23">
        <f t="shared" si="29"/>
        <v>4107</v>
      </c>
      <c r="J145" s="12">
        <v>226693</v>
      </c>
      <c r="K145" s="23">
        <f t="shared" si="30"/>
        <v>169078</v>
      </c>
      <c r="L145" s="9">
        <f t="shared" si="36"/>
        <v>439</v>
      </c>
      <c r="M145" s="14">
        <f t="shared" si="32"/>
        <v>1.7460730712488066E-2</v>
      </c>
      <c r="N145" s="14">
        <f t="shared" si="28"/>
        <v>0.38276113951789625</v>
      </c>
      <c r="O145" s="12">
        <v>26068</v>
      </c>
      <c r="P145" s="12">
        <v>3636</v>
      </c>
      <c r="Q145" s="20">
        <v>246</v>
      </c>
      <c r="R145" s="23">
        <f t="shared" si="33"/>
        <v>27911</v>
      </c>
      <c r="S145" s="25">
        <f>(((H145+R145)/(H144+R144))-1)+detalle!$D$1</f>
        <v>9.9478461691405312E-2</v>
      </c>
      <c r="T145" s="25">
        <f t="shared" si="37"/>
        <v>1.3926984636796744</v>
      </c>
      <c r="U145" s="10">
        <f t="shared" si="34"/>
        <v>0.46697908530764559</v>
      </c>
      <c r="V145" s="21">
        <f t="shared" ref="V145:V208" si="40">G145/F145</f>
        <v>26.744532803180913</v>
      </c>
      <c r="W145" s="15">
        <f>J145/detalle!$D$2</f>
        <v>20682.688474879702</v>
      </c>
      <c r="X145" s="15">
        <f>E145/detalle!$D$2</f>
        <v>5256.5941448575568</v>
      </c>
      <c r="Y145" s="22">
        <f>F145/detalle!$D$2</f>
        <v>91.783974828199291</v>
      </c>
      <c r="Z145" s="20"/>
      <c r="AA145" s="14">
        <f>E145/(detalle!$D$2*1000000)</f>
        <v>5.2565941448575564E-3</v>
      </c>
      <c r="AB145" s="14">
        <f>F145/(detalle!$D$2*1000000)</f>
        <v>9.1783974828199281E-5</v>
      </c>
      <c r="AC145" s="11">
        <v>0</v>
      </c>
      <c r="AD145" s="20">
        <v>0</v>
      </c>
      <c r="AE145" s="20">
        <v>0</v>
      </c>
      <c r="AF145" s="22">
        <f t="shared" si="38"/>
        <v>1</v>
      </c>
      <c r="AG145" s="12">
        <v>0</v>
      </c>
      <c r="AH145" s="12">
        <v>0</v>
      </c>
      <c r="AI145" s="20">
        <v>0</v>
      </c>
      <c r="AJ145" s="23">
        <f t="shared" si="39"/>
        <v>0</v>
      </c>
      <c r="AK145" s="23">
        <v>0</v>
      </c>
      <c r="AL145" s="28">
        <f>AK145/detalle!$D$2</f>
        <v>0</v>
      </c>
    </row>
    <row r="146" spans="1:38">
      <c r="A146" s="12">
        <v>145</v>
      </c>
      <c r="B146" s="19">
        <v>44035</v>
      </c>
      <c r="C146" s="12">
        <v>127</v>
      </c>
      <c r="D146" s="23">
        <f t="shared" si="35"/>
        <v>1462</v>
      </c>
      <c r="E146" s="12">
        <v>59077</v>
      </c>
      <c r="F146" s="20">
        <v>1036</v>
      </c>
      <c r="G146" s="12">
        <v>27625</v>
      </c>
      <c r="H146" s="23">
        <f t="shared" si="31"/>
        <v>30416</v>
      </c>
      <c r="I146" s="23">
        <f t="shared" si="29"/>
        <v>3961</v>
      </c>
      <c r="J146" s="12">
        <v>230654</v>
      </c>
      <c r="K146" s="23">
        <f t="shared" si="30"/>
        <v>171577</v>
      </c>
      <c r="L146" s="9">
        <f t="shared" si="36"/>
        <v>720</v>
      </c>
      <c r="M146" s="14">
        <f t="shared" si="32"/>
        <v>1.7536435499432942E-2</v>
      </c>
      <c r="N146" s="14">
        <f t="shared" si="28"/>
        <v>0.36909871244635195</v>
      </c>
      <c r="O146" s="12">
        <v>26914</v>
      </c>
      <c r="P146" s="12">
        <v>3502</v>
      </c>
      <c r="Q146" s="20">
        <v>252</v>
      </c>
      <c r="R146" s="23">
        <f t="shared" si="33"/>
        <v>28661</v>
      </c>
      <c r="S146" s="25">
        <f>(((H146+R146)/(H145+R145))-1)+detalle!$D$1</f>
        <v>9.6803907712525367E-2</v>
      </c>
      <c r="T146" s="25">
        <f t="shared" si="37"/>
        <v>1.3552547079753552</v>
      </c>
      <c r="U146" s="10">
        <f t="shared" si="34"/>
        <v>0.467610068216057</v>
      </c>
      <c r="V146" s="21">
        <f t="shared" si="40"/>
        <v>26.665057915057915</v>
      </c>
      <c r="W146" s="15">
        <f>J146/detalle!$D$2</f>
        <v>21044.076471196302</v>
      </c>
      <c r="X146" s="15">
        <f>E146/detalle!$D$2</f>
        <v>5389.9819889915798</v>
      </c>
      <c r="Y146" s="22">
        <f>F146/detalle!$D$2</f>
        <v>94.521071493056127</v>
      </c>
      <c r="Z146" s="20"/>
      <c r="AA146" s="14">
        <f>E146/(detalle!$D$2*1000000)</f>
        <v>5.3899819889915799E-3</v>
      </c>
      <c r="AB146" s="14">
        <f>F146/(detalle!$D$2*1000000)</f>
        <v>9.4521071493056116E-5</v>
      </c>
      <c r="AC146" s="11">
        <v>0</v>
      </c>
      <c r="AD146" s="20">
        <v>0</v>
      </c>
      <c r="AE146" s="20">
        <v>0</v>
      </c>
      <c r="AF146" s="22">
        <f t="shared" si="38"/>
        <v>30</v>
      </c>
      <c r="AG146" s="12">
        <v>0</v>
      </c>
      <c r="AH146" s="12">
        <v>0</v>
      </c>
      <c r="AI146" s="20">
        <v>0</v>
      </c>
      <c r="AJ146" s="23">
        <f t="shared" si="39"/>
        <v>0</v>
      </c>
      <c r="AK146" s="23">
        <v>0</v>
      </c>
      <c r="AL146" s="28">
        <f>AK146/detalle!$D$2</f>
        <v>0</v>
      </c>
    </row>
    <row r="147" spans="1:38">
      <c r="A147" s="12">
        <v>146</v>
      </c>
      <c r="B147" s="19">
        <v>44036</v>
      </c>
      <c r="C147" s="20">
        <v>128</v>
      </c>
      <c r="D147" s="23">
        <f t="shared" si="35"/>
        <v>1819</v>
      </c>
      <c r="E147" s="12">
        <v>60896</v>
      </c>
      <c r="F147" s="20">
        <v>1055</v>
      </c>
      <c r="G147" s="12">
        <v>27980</v>
      </c>
      <c r="H147" s="23">
        <f t="shared" si="31"/>
        <v>31861</v>
      </c>
      <c r="I147" s="23">
        <f t="shared" si="29"/>
        <v>4635</v>
      </c>
      <c r="J147" s="12">
        <v>235289</v>
      </c>
      <c r="K147" s="23">
        <f t="shared" si="30"/>
        <v>174393</v>
      </c>
      <c r="L147" s="9">
        <f t="shared" si="36"/>
        <v>355</v>
      </c>
      <c r="M147" s="14">
        <f t="shared" si="32"/>
        <v>1.73246190225959E-2</v>
      </c>
      <c r="N147" s="14">
        <f t="shared" si="28"/>
        <v>0.39244875943905072</v>
      </c>
      <c r="O147" s="12">
        <v>27997</v>
      </c>
      <c r="P147" s="12">
        <v>3864</v>
      </c>
      <c r="Q147" s="20">
        <v>267</v>
      </c>
      <c r="R147" s="23">
        <f t="shared" si="33"/>
        <v>29035</v>
      </c>
      <c r="S147" s="25">
        <f>(((H147+R147)/(H146+R146))-1)+detalle!$D$1</f>
        <v>0.10221889592033631</v>
      </c>
      <c r="T147" s="25">
        <f t="shared" si="37"/>
        <v>1.4310645428847084</v>
      </c>
      <c r="U147" s="10">
        <f t="shared" si="34"/>
        <v>0.45947188649500786</v>
      </c>
      <c r="V147" s="21">
        <f t="shared" si="40"/>
        <v>26.521327014218009</v>
      </c>
      <c r="W147" s="15">
        <f>J147/detalle!$D$2</f>
        <v>21466.957905916683</v>
      </c>
      <c r="X147" s="15">
        <f>E147/detalle!$D$2</f>
        <v>5555.9412834373998</v>
      </c>
      <c r="Y147" s="22">
        <f>F147/detalle!$D$2</f>
        <v>96.25456604746546</v>
      </c>
      <c r="Z147" s="20"/>
      <c r="AA147" s="14">
        <f>E147/(detalle!$D$2*1000000)</f>
        <v>5.5559412834373994E-3</v>
      </c>
      <c r="AB147" s="14">
        <f>F147/(detalle!$D$2*1000000)</f>
        <v>9.6254566047465455E-5</v>
      </c>
      <c r="AC147" s="11">
        <v>0</v>
      </c>
      <c r="AD147" s="20">
        <v>0</v>
      </c>
      <c r="AE147" s="20">
        <v>0</v>
      </c>
      <c r="AF147" s="22">
        <f t="shared" si="38"/>
        <v>19</v>
      </c>
      <c r="AG147" s="12">
        <v>0</v>
      </c>
      <c r="AH147" s="12">
        <v>0</v>
      </c>
      <c r="AI147" s="20">
        <v>0</v>
      </c>
      <c r="AJ147" s="23">
        <f t="shared" si="39"/>
        <v>0</v>
      </c>
      <c r="AK147" s="23">
        <v>0</v>
      </c>
      <c r="AL147" s="28">
        <f>AK147/detalle!$D$2</f>
        <v>0</v>
      </c>
    </row>
    <row r="148" spans="1:38">
      <c r="A148" s="12">
        <v>147</v>
      </c>
      <c r="B148" s="19">
        <v>44037</v>
      </c>
      <c r="C148" s="12">
        <v>129</v>
      </c>
      <c r="D148" s="23">
        <f t="shared" si="35"/>
        <v>2012</v>
      </c>
      <c r="E148" s="12">
        <v>62908</v>
      </c>
      <c r="F148" s="20">
        <v>1063</v>
      </c>
      <c r="G148" s="12">
        <v>28603</v>
      </c>
      <c r="H148" s="23">
        <f t="shared" si="31"/>
        <v>33242</v>
      </c>
      <c r="I148" s="23">
        <f t="shared" si="29"/>
        <v>5487</v>
      </c>
      <c r="J148" s="12">
        <v>240776</v>
      </c>
      <c r="K148" s="23">
        <f t="shared" si="30"/>
        <v>177868</v>
      </c>
      <c r="L148" s="9">
        <f t="shared" si="36"/>
        <v>623</v>
      </c>
      <c r="M148" s="14">
        <f t="shared" si="32"/>
        <v>1.6897691867489031E-2</v>
      </c>
      <c r="N148" s="14">
        <f t="shared" ref="N148:N211" si="41">D148/I148</f>
        <v>0.3666848915618735</v>
      </c>
      <c r="O148" s="12">
        <v>29073</v>
      </c>
      <c r="P148" s="12">
        <v>4169</v>
      </c>
      <c r="Q148" s="20">
        <v>277</v>
      </c>
      <c r="R148" s="23">
        <f t="shared" si="33"/>
        <v>29666</v>
      </c>
      <c r="S148" s="25">
        <f>(((H148+R148)/(H147+R147))-1)+detalle!$D$1</f>
        <v>0.10446850837024238</v>
      </c>
      <c r="T148" s="25">
        <f t="shared" si="37"/>
        <v>1.4625591171833934</v>
      </c>
      <c r="U148" s="10">
        <f t="shared" si="34"/>
        <v>0.45467984993959432</v>
      </c>
      <c r="V148" s="21">
        <f t="shared" si="40"/>
        <v>26.907808090310443</v>
      </c>
      <c r="W148" s="15">
        <f>J148/detalle!$D$2</f>
        <v>21967.572885918999</v>
      </c>
      <c r="X148" s="15">
        <f>E148/detalle!$D$2</f>
        <v>5739.5092330937978</v>
      </c>
      <c r="Y148" s="22">
        <f>F148/detalle!$D$2</f>
        <v>96.984458491427276</v>
      </c>
      <c r="Z148" s="20"/>
      <c r="AA148" s="14">
        <f>E148/(detalle!$D$2*1000000)</f>
        <v>5.739509233093798E-3</v>
      </c>
      <c r="AB148" s="14">
        <f>F148/(detalle!$D$2*1000000)</f>
        <v>9.698445849142727E-5</v>
      </c>
      <c r="AC148" s="11">
        <v>0</v>
      </c>
      <c r="AD148" s="20">
        <v>0</v>
      </c>
      <c r="AE148" s="20">
        <v>0</v>
      </c>
      <c r="AF148" s="22">
        <f t="shared" si="38"/>
        <v>8</v>
      </c>
      <c r="AG148" s="12">
        <v>0</v>
      </c>
      <c r="AH148" s="12">
        <v>0</v>
      </c>
      <c r="AI148" s="20">
        <v>0</v>
      </c>
      <c r="AJ148" s="23">
        <f t="shared" si="39"/>
        <v>0</v>
      </c>
      <c r="AK148" s="23">
        <v>0</v>
      </c>
      <c r="AL148" s="28">
        <f>AK148/detalle!$D$2</f>
        <v>0</v>
      </c>
    </row>
    <row r="149" spans="1:38">
      <c r="A149" s="12">
        <v>148</v>
      </c>
      <c r="B149" s="19">
        <v>44038</v>
      </c>
      <c r="C149" s="20">
        <v>130</v>
      </c>
      <c r="D149" s="23">
        <f t="shared" si="35"/>
        <v>1248</v>
      </c>
      <c r="E149" s="12">
        <v>64156</v>
      </c>
      <c r="F149" s="20">
        <v>1083</v>
      </c>
      <c r="G149" s="12">
        <v>30204</v>
      </c>
      <c r="H149" s="23">
        <f t="shared" si="31"/>
        <v>32869</v>
      </c>
      <c r="I149" s="23">
        <f t="shared" si="29"/>
        <v>3867</v>
      </c>
      <c r="J149" s="12">
        <v>244643</v>
      </c>
      <c r="K149" s="23">
        <f t="shared" si="30"/>
        <v>180487</v>
      </c>
      <c r="L149" s="9">
        <f t="shared" si="36"/>
        <v>1601</v>
      </c>
      <c r="M149" s="14">
        <f t="shared" si="32"/>
        <v>1.688072822495168E-2</v>
      </c>
      <c r="N149" s="14">
        <f t="shared" si="41"/>
        <v>0.32273079906904578</v>
      </c>
      <c r="O149" s="12">
        <v>28662</v>
      </c>
      <c r="P149" s="12">
        <v>4207</v>
      </c>
      <c r="Q149" s="20">
        <v>268</v>
      </c>
      <c r="R149" s="23">
        <f t="shared" si="33"/>
        <v>31287</v>
      </c>
      <c r="S149" s="25">
        <f>(((H149+R149)/(H148+R148))-1)+detalle!$D$1</f>
        <v>9.1267065737721281E-2</v>
      </c>
      <c r="T149" s="25">
        <f t="shared" si="37"/>
        <v>1.277738920328098</v>
      </c>
      <c r="U149" s="10">
        <f t="shared" si="34"/>
        <v>0.47078994949809838</v>
      </c>
      <c r="V149" s="21">
        <f t="shared" si="40"/>
        <v>27.889196675900276</v>
      </c>
      <c r="W149" s="15">
        <f>J149/detalle!$D$2</f>
        <v>22320.384646019043</v>
      </c>
      <c r="X149" s="15">
        <f>E149/detalle!$D$2</f>
        <v>5853.3724543518429</v>
      </c>
      <c r="Y149" s="22">
        <f>F149/detalle!$D$2</f>
        <v>98.809189601331838</v>
      </c>
      <c r="Z149" s="20"/>
      <c r="AA149" s="14">
        <f>E149/(detalle!$D$2*1000000)</f>
        <v>5.8533724543518425E-3</v>
      </c>
      <c r="AB149" s="14">
        <f>F149/(detalle!$D$2*1000000)</f>
        <v>9.8809189601331836E-5</v>
      </c>
      <c r="AC149" s="11">
        <v>0</v>
      </c>
      <c r="AD149" s="20">
        <v>0</v>
      </c>
      <c r="AE149" s="20">
        <v>0</v>
      </c>
      <c r="AF149" s="22">
        <f t="shared" si="38"/>
        <v>20</v>
      </c>
      <c r="AG149" s="12">
        <v>0</v>
      </c>
      <c r="AH149" s="12">
        <v>0</v>
      </c>
      <c r="AI149" s="20">
        <v>0</v>
      </c>
      <c r="AJ149" s="23">
        <f t="shared" si="39"/>
        <v>0</v>
      </c>
      <c r="AK149" s="23">
        <v>0</v>
      </c>
      <c r="AL149" s="28">
        <f>AK149/detalle!$D$2</f>
        <v>0</v>
      </c>
    </row>
    <row r="150" spans="1:38">
      <c r="A150" s="12">
        <v>149</v>
      </c>
      <c r="B150" s="19">
        <v>44039</v>
      </c>
      <c r="C150" s="12">
        <v>131</v>
      </c>
      <c r="D150" s="23">
        <f t="shared" si="35"/>
        <v>534</v>
      </c>
      <c r="E150" s="12">
        <v>64690</v>
      </c>
      <c r="F150" s="12">
        <v>1101</v>
      </c>
      <c r="G150" s="12">
        <v>32014</v>
      </c>
      <c r="H150" s="23">
        <f t="shared" si="31"/>
        <v>31575</v>
      </c>
      <c r="I150" s="23">
        <f t="shared" si="29"/>
        <v>2310</v>
      </c>
      <c r="J150" s="12">
        <v>246953</v>
      </c>
      <c r="K150" s="23">
        <f t="shared" si="30"/>
        <v>182263</v>
      </c>
      <c r="L150" s="9">
        <f t="shared" si="36"/>
        <v>1810</v>
      </c>
      <c r="M150" s="14">
        <f t="shared" si="32"/>
        <v>1.7019632091513373E-2</v>
      </c>
      <c r="N150" s="14">
        <f t="shared" si="41"/>
        <v>0.23116883116883116</v>
      </c>
      <c r="O150" s="12">
        <v>27383</v>
      </c>
      <c r="P150" s="12">
        <v>4192</v>
      </c>
      <c r="Q150" s="12">
        <v>279</v>
      </c>
      <c r="R150" s="23">
        <f t="shared" si="33"/>
        <v>33115</v>
      </c>
      <c r="S150" s="25">
        <f>(((H150+R150)/(H149+R149))-1)+detalle!$D$1</f>
        <v>7.9752032991012883E-2</v>
      </c>
      <c r="T150" s="25">
        <f t="shared" si="37"/>
        <v>1.1165284618741804</v>
      </c>
      <c r="U150" s="10">
        <f t="shared" si="34"/>
        <v>0.49488328953470395</v>
      </c>
      <c r="V150" s="21">
        <f t="shared" si="40"/>
        <v>29.077202543142597</v>
      </c>
      <c r="W150" s="15">
        <f>J150/detalle!$D$2</f>
        <v>22531.141089213019</v>
      </c>
      <c r="X150" s="15">
        <f>E150/detalle!$D$2</f>
        <v>5902.092774986294</v>
      </c>
      <c r="Y150" s="22">
        <f>F150/detalle!$D$2</f>
        <v>100.45144760024594</v>
      </c>
      <c r="Z150" s="20"/>
      <c r="AA150" s="14">
        <f>E150/(detalle!$D$2*1000000)</f>
        <v>5.9020927749862942E-3</v>
      </c>
      <c r="AB150" s="14">
        <f>F150/(detalle!$D$2*1000000)</f>
        <v>1.0045144760024593E-4</v>
      </c>
      <c r="AC150" s="11">
        <v>0</v>
      </c>
      <c r="AD150" s="20">
        <v>0</v>
      </c>
      <c r="AE150" s="20">
        <v>0</v>
      </c>
      <c r="AF150" s="22">
        <f t="shared" si="38"/>
        <v>18</v>
      </c>
      <c r="AG150" s="12">
        <v>0</v>
      </c>
      <c r="AH150" s="12">
        <v>0</v>
      </c>
      <c r="AI150" s="20">
        <v>0</v>
      </c>
      <c r="AJ150" s="23">
        <f t="shared" si="39"/>
        <v>0</v>
      </c>
      <c r="AK150" s="23">
        <v>0</v>
      </c>
      <c r="AL150" s="28">
        <f>AK150/detalle!$D$2</f>
        <v>0</v>
      </c>
    </row>
    <row r="151" spans="1:38">
      <c r="A151" s="12">
        <v>150</v>
      </c>
      <c r="B151" s="19">
        <v>44040</v>
      </c>
      <c r="C151" s="12">
        <v>132</v>
      </c>
      <c r="D151" s="23">
        <f t="shared" si="35"/>
        <v>1492</v>
      </c>
      <c r="E151" s="12">
        <v>66182</v>
      </c>
      <c r="F151" s="12">
        <v>1123</v>
      </c>
      <c r="G151" s="12">
        <v>33947</v>
      </c>
      <c r="H151" s="23">
        <f t="shared" si="31"/>
        <v>31112</v>
      </c>
      <c r="I151" s="23">
        <f t="shared" si="29"/>
        <v>3471</v>
      </c>
      <c r="J151" s="12">
        <v>250424</v>
      </c>
      <c r="K151" s="23">
        <f t="shared" si="30"/>
        <v>184242</v>
      </c>
      <c r="L151" s="9">
        <f t="shared" si="36"/>
        <v>1933</v>
      </c>
      <c r="M151" s="14">
        <f t="shared" si="32"/>
        <v>1.696835997703303E-2</v>
      </c>
      <c r="N151" s="14">
        <f t="shared" si="41"/>
        <v>0.42984730625180062</v>
      </c>
      <c r="O151" s="12">
        <v>26512</v>
      </c>
      <c r="P151" s="12">
        <v>4600</v>
      </c>
      <c r="Q151" s="12">
        <v>286</v>
      </c>
      <c r="R151" s="23">
        <f t="shared" si="33"/>
        <v>35070</v>
      </c>
      <c r="S151" s="25">
        <f>(((H151+R151)/(H150+R150))-1)+detalle!$D$1</f>
        <v>9.4492414371839334E-2</v>
      </c>
      <c r="T151" s="25">
        <f t="shared" si="37"/>
        <v>1.3228938012057507</v>
      </c>
      <c r="U151" s="10">
        <f t="shared" si="34"/>
        <v>0.51293403040101537</v>
      </c>
      <c r="V151" s="21">
        <f t="shared" si="40"/>
        <v>30.228851291184327</v>
      </c>
      <c r="W151" s="15">
        <f>J151/detalle!$D$2</f>
        <v>22847.823173336958</v>
      </c>
      <c r="X151" s="15">
        <f>E151/detalle!$D$2</f>
        <v>6038.2177157851738</v>
      </c>
      <c r="Y151" s="22">
        <f>F151/detalle!$D$2</f>
        <v>102.45865182114096</v>
      </c>
      <c r="Z151" s="20"/>
      <c r="AA151" s="14">
        <f>E151/(detalle!$D$2*1000000)</f>
        <v>6.0382177157851744E-3</v>
      </c>
      <c r="AB151" s="14">
        <f>F151/(detalle!$D$2*1000000)</f>
        <v>1.0245865182114095E-4</v>
      </c>
      <c r="AC151" s="11">
        <v>0</v>
      </c>
      <c r="AD151" s="20">
        <v>0</v>
      </c>
      <c r="AE151" s="20">
        <v>0</v>
      </c>
      <c r="AF151" s="22">
        <f t="shared" si="38"/>
        <v>22</v>
      </c>
      <c r="AG151" s="12">
        <v>0</v>
      </c>
      <c r="AH151" s="12">
        <v>0</v>
      </c>
      <c r="AI151" s="20">
        <v>0</v>
      </c>
      <c r="AJ151" s="23">
        <f t="shared" si="39"/>
        <v>0</v>
      </c>
      <c r="AK151" s="23">
        <v>0</v>
      </c>
      <c r="AL151" s="28">
        <f>AK151/detalle!$D$2</f>
        <v>0</v>
      </c>
    </row>
    <row r="152" spans="1:38">
      <c r="A152" s="12">
        <v>151</v>
      </c>
      <c r="B152" s="19">
        <v>44041</v>
      </c>
      <c r="C152" s="12">
        <v>133</v>
      </c>
      <c r="D152" s="23">
        <f t="shared" si="35"/>
        <v>1733</v>
      </c>
      <c r="E152" s="12">
        <v>67915</v>
      </c>
      <c r="F152" s="12">
        <v>1146</v>
      </c>
      <c r="G152" s="12">
        <v>35302</v>
      </c>
      <c r="H152" s="23">
        <f t="shared" si="31"/>
        <v>31467</v>
      </c>
      <c r="I152" s="23">
        <f t="shared" si="29"/>
        <v>4932</v>
      </c>
      <c r="J152" s="12">
        <v>255356</v>
      </c>
      <c r="K152" s="23">
        <f t="shared" si="30"/>
        <v>187441</v>
      </c>
      <c r="L152" s="9">
        <f t="shared" si="36"/>
        <v>1355</v>
      </c>
      <c r="M152" s="14">
        <f t="shared" si="32"/>
        <v>1.6874033718618862E-2</v>
      </c>
      <c r="N152" s="14">
        <f t="shared" si="41"/>
        <v>0.35137875101378752</v>
      </c>
      <c r="O152" s="12">
        <v>26476</v>
      </c>
      <c r="P152" s="12">
        <v>4991</v>
      </c>
      <c r="Q152" s="12">
        <v>284</v>
      </c>
      <c r="R152" s="23">
        <f t="shared" si="33"/>
        <v>36448</v>
      </c>
      <c r="S152" s="25">
        <f>(((H152+R152)/(H151+R151))-1)+detalle!$D$1</f>
        <v>9.7613939051187898E-2</v>
      </c>
      <c r="T152" s="25">
        <f t="shared" si="37"/>
        <v>1.3665951467166306</v>
      </c>
      <c r="U152" s="10">
        <f t="shared" si="34"/>
        <v>0.51979680482956636</v>
      </c>
      <c r="V152" s="21">
        <f t="shared" si="40"/>
        <v>30.804537521815007</v>
      </c>
      <c r="W152" s="15">
        <f>J152/detalle!$D$2</f>
        <v>23297.801865039422</v>
      </c>
      <c r="X152" s="15">
        <f>E152/detalle!$D$2</f>
        <v>6196.3306664584043</v>
      </c>
      <c r="Y152" s="22">
        <f>F152/detalle!$D$2</f>
        <v>104.5570925975312</v>
      </c>
      <c r="Z152" s="20"/>
      <c r="AA152" s="14">
        <f>E152/(detalle!$D$2*1000000)</f>
        <v>6.196330666458404E-3</v>
      </c>
      <c r="AB152" s="14">
        <f>F152/(detalle!$D$2*1000000)</f>
        <v>1.0455709259753119E-4</v>
      </c>
      <c r="AC152" s="11">
        <v>0</v>
      </c>
      <c r="AD152" s="20">
        <v>0</v>
      </c>
      <c r="AE152" s="20">
        <v>0</v>
      </c>
      <c r="AF152" s="22">
        <f t="shared" si="38"/>
        <v>23</v>
      </c>
      <c r="AG152" s="12">
        <v>0</v>
      </c>
      <c r="AH152" s="12">
        <v>0</v>
      </c>
      <c r="AI152" s="20">
        <v>0</v>
      </c>
      <c r="AJ152" s="23">
        <f t="shared" si="39"/>
        <v>0</v>
      </c>
      <c r="AK152" s="23">
        <v>0</v>
      </c>
      <c r="AL152" s="28">
        <f>AK152/detalle!$D$2</f>
        <v>0</v>
      </c>
    </row>
    <row r="153" spans="1:38">
      <c r="A153" s="12">
        <v>152</v>
      </c>
      <c r="B153" s="19">
        <v>44042</v>
      </c>
      <c r="C153" s="12">
        <v>134</v>
      </c>
      <c r="D153" s="23">
        <f t="shared" si="35"/>
        <v>1734</v>
      </c>
      <c r="E153" s="12">
        <v>69649</v>
      </c>
      <c r="F153" s="12">
        <v>1160</v>
      </c>
      <c r="G153" s="12">
        <v>36470</v>
      </c>
      <c r="H153" s="23">
        <f t="shared" si="31"/>
        <v>32019</v>
      </c>
      <c r="I153" s="23">
        <f t="shared" si="29"/>
        <v>4815</v>
      </c>
      <c r="J153" s="12">
        <v>260171</v>
      </c>
      <c r="K153" s="23">
        <f t="shared" si="30"/>
        <v>190522</v>
      </c>
      <c r="L153" s="9">
        <f t="shared" si="36"/>
        <v>1168</v>
      </c>
      <c r="M153" s="14">
        <f t="shared" si="32"/>
        <v>1.6654941205186003E-2</v>
      </c>
      <c r="N153" s="14">
        <f t="shared" si="41"/>
        <v>0.36012461059190032</v>
      </c>
      <c r="O153" s="12">
        <v>26624</v>
      </c>
      <c r="P153" s="12">
        <v>5395</v>
      </c>
      <c r="Q153" s="12">
        <v>284</v>
      </c>
      <c r="R153" s="23">
        <f t="shared" si="33"/>
        <v>37630</v>
      </c>
      <c r="S153" s="25">
        <f>(((H153+R153)/(H152+R152))-1)+detalle!$D$1</f>
        <v>9.6960486322188483E-2</v>
      </c>
      <c r="T153" s="25">
        <f t="shared" si="37"/>
        <v>1.3574468085106388</v>
      </c>
      <c r="U153" s="10">
        <f t="shared" si="34"/>
        <v>0.52362560840787375</v>
      </c>
      <c r="V153" s="21">
        <f t="shared" si="40"/>
        <v>31.439655172413794</v>
      </c>
      <c r="W153" s="15">
        <f>J153/detalle!$D$2</f>
        <v>23737.105879748942</v>
      </c>
      <c r="X153" s="15">
        <f>E153/detalle!$D$2</f>
        <v>6354.5348536871297</v>
      </c>
      <c r="Y153" s="22">
        <f>F153/detalle!$D$2</f>
        <v>105.83440437446438</v>
      </c>
      <c r="Z153" s="20"/>
      <c r="AA153" s="14">
        <f>E153/(detalle!$D$2*1000000)</f>
        <v>6.354534853687129E-3</v>
      </c>
      <c r="AB153" s="14">
        <f>F153/(detalle!$D$2*1000000)</f>
        <v>1.0583440437446439E-4</v>
      </c>
      <c r="AC153" s="11">
        <v>0</v>
      </c>
      <c r="AD153" s="20">
        <v>0</v>
      </c>
      <c r="AE153" s="20">
        <v>0</v>
      </c>
      <c r="AF153" s="22">
        <f t="shared" si="38"/>
        <v>14</v>
      </c>
      <c r="AG153" s="12">
        <v>0</v>
      </c>
      <c r="AH153" s="12">
        <v>0</v>
      </c>
      <c r="AI153" s="20">
        <v>0</v>
      </c>
      <c r="AJ153" s="23">
        <f t="shared" si="39"/>
        <v>0</v>
      </c>
      <c r="AK153" s="23">
        <v>0</v>
      </c>
      <c r="AL153" s="28">
        <f>AK153/detalle!$D$2</f>
        <v>0</v>
      </c>
    </row>
    <row r="154" spans="1:38">
      <c r="A154" s="12">
        <v>153</v>
      </c>
      <c r="B154" s="19">
        <v>44043</v>
      </c>
      <c r="C154" s="12">
        <v>135</v>
      </c>
      <c r="D154" s="23">
        <f t="shared" si="35"/>
        <v>1766</v>
      </c>
      <c r="E154" s="12">
        <v>71415</v>
      </c>
      <c r="F154" s="12">
        <v>1170</v>
      </c>
      <c r="G154" s="12">
        <v>37509</v>
      </c>
      <c r="H154" s="23">
        <f t="shared" si="31"/>
        <v>32736</v>
      </c>
      <c r="I154" s="23">
        <f t="shared" si="29"/>
        <v>4115</v>
      </c>
      <c r="J154" s="12">
        <v>264286</v>
      </c>
      <c r="K154" s="23">
        <f t="shared" si="30"/>
        <v>192871</v>
      </c>
      <c r="L154" s="9">
        <f t="shared" si="36"/>
        <v>1039</v>
      </c>
      <c r="M154" s="14">
        <f t="shared" si="32"/>
        <v>1.6383112791430371E-2</v>
      </c>
      <c r="N154" s="14">
        <f t="shared" si="41"/>
        <v>0.42916160388821384</v>
      </c>
      <c r="O154" s="12">
        <v>26865</v>
      </c>
      <c r="P154" s="12">
        <v>5871</v>
      </c>
      <c r="Q154" s="12">
        <v>325</v>
      </c>
      <c r="R154" s="23">
        <f t="shared" si="33"/>
        <v>38679</v>
      </c>
      <c r="S154" s="25">
        <f>(((H154+R154)/(H153+R153))-1)+detalle!$D$1</f>
        <v>9.678428364267358E-2</v>
      </c>
      <c r="T154" s="25">
        <f t="shared" si="37"/>
        <v>1.3549799709974302</v>
      </c>
      <c r="U154" s="10">
        <f t="shared" si="34"/>
        <v>0.52522579290065108</v>
      </c>
      <c r="V154" s="21">
        <f t="shared" si="40"/>
        <v>32.058974358974361</v>
      </c>
      <c r="W154" s="15">
        <f>J154/detalle!$D$2</f>
        <v>24112.544305611806</v>
      </c>
      <c r="X154" s="15">
        <f>E154/detalle!$D$2</f>
        <v>6515.6586106917021</v>
      </c>
      <c r="Y154" s="22">
        <f>F154/detalle!$D$2</f>
        <v>106.74676992941667</v>
      </c>
      <c r="Z154" s="20"/>
      <c r="AA154" s="14">
        <f>E154/(detalle!$D$2*1000000)</f>
        <v>6.5156586106917018E-3</v>
      </c>
      <c r="AB154" s="14">
        <f>F154/(detalle!$D$2*1000000)</f>
        <v>1.0674676992941666E-4</v>
      </c>
      <c r="AC154" s="11">
        <v>0</v>
      </c>
      <c r="AD154" s="20">
        <v>0</v>
      </c>
      <c r="AE154" s="20">
        <v>0</v>
      </c>
      <c r="AF154" s="22">
        <f t="shared" si="38"/>
        <v>10</v>
      </c>
      <c r="AG154" s="12">
        <v>0</v>
      </c>
      <c r="AH154" s="12">
        <v>0</v>
      </c>
      <c r="AI154" s="20">
        <v>0</v>
      </c>
      <c r="AJ154" s="23">
        <f t="shared" si="39"/>
        <v>0</v>
      </c>
      <c r="AK154" s="23">
        <v>0</v>
      </c>
      <c r="AL154" s="28">
        <f>AK154/detalle!$D$2</f>
        <v>0</v>
      </c>
    </row>
    <row r="155" spans="1:38">
      <c r="A155" s="12">
        <v>154</v>
      </c>
      <c r="B155" s="19">
        <v>44044</v>
      </c>
      <c r="C155" s="12">
        <v>136</v>
      </c>
      <c r="D155" s="23">
        <f t="shared" si="35"/>
        <v>828</v>
      </c>
      <c r="E155" s="12">
        <v>72243</v>
      </c>
      <c r="F155" s="12">
        <v>1178</v>
      </c>
      <c r="G155" s="12">
        <v>38244</v>
      </c>
      <c r="H155" s="23">
        <f t="shared" si="31"/>
        <v>32821</v>
      </c>
      <c r="I155" s="23">
        <f t="shared" si="29"/>
        <v>2558</v>
      </c>
      <c r="J155" s="12">
        <v>266844</v>
      </c>
      <c r="K155" s="23">
        <f t="shared" si="30"/>
        <v>194601</v>
      </c>
      <c r="L155" s="9">
        <f t="shared" si="36"/>
        <v>735</v>
      </c>
      <c r="M155" s="14">
        <f t="shared" si="32"/>
        <v>1.6306078097531942E-2</v>
      </c>
      <c r="N155" s="14">
        <f t="shared" si="41"/>
        <v>0.32369038311180609</v>
      </c>
      <c r="O155" s="12">
        <v>26768</v>
      </c>
      <c r="P155" s="12">
        <v>6053</v>
      </c>
      <c r="Q155" s="12">
        <v>325</v>
      </c>
      <c r="R155" s="23">
        <f t="shared" si="33"/>
        <v>39422</v>
      </c>
      <c r="S155" s="25">
        <f>(((H155+R155)/(H154+R154))-1)+detalle!$D$1</f>
        <v>8.3022774327122156E-2</v>
      </c>
      <c r="T155" s="25">
        <f t="shared" si="37"/>
        <v>1.1623188405797102</v>
      </c>
      <c r="U155" s="10">
        <f t="shared" si="34"/>
        <v>0.52938000913583327</v>
      </c>
      <c r="V155" s="21">
        <f t="shared" si="40"/>
        <v>32.465195246179967</v>
      </c>
      <c r="W155" s="15">
        <f>J155/detalle!$D$2</f>
        <v>24345.927414568599</v>
      </c>
      <c r="X155" s="15">
        <f>E155/detalle!$D$2</f>
        <v>6591.2024786417505</v>
      </c>
      <c r="Y155" s="22">
        <f>F155/detalle!$D$2</f>
        <v>107.47666237337849</v>
      </c>
      <c r="Z155" s="20"/>
      <c r="AA155" s="14">
        <f>E155/(detalle!$D$2*1000000)</f>
        <v>6.5912024786417504E-3</v>
      </c>
      <c r="AB155" s="14">
        <f>F155/(detalle!$D$2*1000000)</f>
        <v>1.0747666237337849E-4</v>
      </c>
      <c r="AC155" s="11">
        <v>0</v>
      </c>
      <c r="AD155" s="20">
        <v>0</v>
      </c>
      <c r="AE155" s="20">
        <v>0</v>
      </c>
      <c r="AF155" s="22">
        <f t="shared" si="38"/>
        <v>8</v>
      </c>
      <c r="AG155" s="12">
        <v>0</v>
      </c>
      <c r="AH155" s="12">
        <v>0</v>
      </c>
      <c r="AI155" s="20">
        <v>0</v>
      </c>
      <c r="AJ155" s="23">
        <f t="shared" si="39"/>
        <v>0</v>
      </c>
      <c r="AK155" s="23">
        <v>0</v>
      </c>
      <c r="AL155" s="28">
        <f>AK155/detalle!$D$2</f>
        <v>0</v>
      </c>
    </row>
    <row r="156" spans="1:38">
      <c r="A156" s="12">
        <v>155</v>
      </c>
      <c r="B156" s="19">
        <v>44045</v>
      </c>
      <c r="C156" s="12">
        <v>137</v>
      </c>
      <c r="D156" s="23">
        <f t="shared" si="35"/>
        <v>874</v>
      </c>
      <c r="E156" s="12">
        <v>73117</v>
      </c>
      <c r="F156" s="12">
        <v>1183</v>
      </c>
      <c r="G156" s="12">
        <v>38824</v>
      </c>
      <c r="H156" s="23">
        <f t="shared" si="31"/>
        <v>33110</v>
      </c>
      <c r="I156" s="23">
        <f t="shared" si="29"/>
        <v>1685</v>
      </c>
      <c r="J156" s="12">
        <v>268529</v>
      </c>
      <c r="K156" s="23">
        <f t="shared" si="30"/>
        <v>195412</v>
      </c>
      <c r="L156" s="9">
        <f t="shared" si="36"/>
        <v>580</v>
      </c>
      <c r="M156" s="14">
        <f t="shared" si="32"/>
        <v>1.6179547847969693E-2</v>
      </c>
      <c r="N156" s="14">
        <f t="shared" si="41"/>
        <v>0.51869436201780417</v>
      </c>
      <c r="O156" s="12">
        <v>26848</v>
      </c>
      <c r="P156" s="12">
        <v>6262</v>
      </c>
      <c r="Q156" s="12">
        <v>322</v>
      </c>
      <c r="R156" s="23">
        <f t="shared" si="33"/>
        <v>40007</v>
      </c>
      <c r="S156" s="25">
        <f>(((H156+R156)/(H155+R155))-1)+detalle!$D$1</f>
        <v>8.3526629371901501E-2</v>
      </c>
      <c r="T156" s="25">
        <f t="shared" si="37"/>
        <v>1.1693728112066211</v>
      </c>
      <c r="U156" s="10">
        <f t="shared" si="34"/>
        <v>0.53098458634790813</v>
      </c>
      <c r="V156" s="21">
        <f t="shared" si="40"/>
        <v>32.818258664412511</v>
      </c>
      <c r="W156" s="15">
        <f>J156/detalle!$D$2</f>
        <v>24499.661010578056</v>
      </c>
      <c r="X156" s="15">
        <f>E156/detalle!$D$2</f>
        <v>6670.9432281445797</v>
      </c>
      <c r="Y156" s="22">
        <f>F156/detalle!$D$2</f>
        <v>107.93284515085463</v>
      </c>
      <c r="Z156" s="20"/>
      <c r="AA156" s="14">
        <f>E156/(detalle!$D$2*1000000)</f>
        <v>6.67094322814458E-3</v>
      </c>
      <c r="AB156" s="14">
        <f>F156/(detalle!$D$2*1000000)</f>
        <v>1.0793284515085462E-4</v>
      </c>
      <c r="AC156" s="11">
        <v>0</v>
      </c>
      <c r="AD156" s="20">
        <v>0</v>
      </c>
      <c r="AE156" s="20">
        <v>0</v>
      </c>
      <c r="AF156" s="22">
        <f t="shared" si="38"/>
        <v>5</v>
      </c>
      <c r="AG156" s="12">
        <v>0</v>
      </c>
      <c r="AH156" s="12">
        <v>0</v>
      </c>
      <c r="AI156" s="20">
        <v>0</v>
      </c>
      <c r="AJ156" s="23">
        <f t="shared" si="39"/>
        <v>0</v>
      </c>
      <c r="AK156" s="23">
        <v>0</v>
      </c>
      <c r="AL156" s="28">
        <f>AK156/detalle!$D$2</f>
        <v>0</v>
      </c>
    </row>
    <row r="157" spans="1:38">
      <c r="A157" s="12">
        <v>156</v>
      </c>
      <c r="B157" s="19">
        <v>44046</v>
      </c>
      <c r="C157" s="12">
        <v>138</v>
      </c>
      <c r="D157" s="23">
        <f t="shared" si="35"/>
        <v>1178</v>
      </c>
      <c r="E157" s="12">
        <v>74295</v>
      </c>
      <c r="F157" s="12">
        <v>1213</v>
      </c>
      <c r="G157" s="12">
        <v>39305</v>
      </c>
      <c r="H157" s="23">
        <f t="shared" si="31"/>
        <v>33777</v>
      </c>
      <c r="I157" s="23">
        <f t="shared" si="29"/>
        <v>5172</v>
      </c>
      <c r="J157" s="12">
        <v>273701</v>
      </c>
      <c r="K157" s="23">
        <f t="shared" si="30"/>
        <v>199406</v>
      </c>
      <c r="L157" s="9">
        <f t="shared" si="36"/>
        <v>481</v>
      </c>
      <c r="M157" s="14">
        <f t="shared" si="32"/>
        <v>1.6326805303183256E-2</v>
      </c>
      <c r="N157" s="14">
        <f t="shared" si="41"/>
        <v>0.22776488785769528</v>
      </c>
      <c r="O157" s="12">
        <v>27620</v>
      </c>
      <c r="P157" s="12">
        <v>6157</v>
      </c>
      <c r="Q157" s="12">
        <v>309</v>
      </c>
      <c r="R157" s="23">
        <f t="shared" si="33"/>
        <v>40518</v>
      </c>
      <c r="S157" s="25">
        <f>(((H157+R157)/(H156+R156))-1)+detalle!$D$1</f>
        <v>8.7539735726887918E-2</v>
      </c>
      <c r="T157" s="25">
        <f t="shared" si="37"/>
        <v>1.2255563001764309</v>
      </c>
      <c r="U157" s="10">
        <f t="shared" si="34"/>
        <v>0.52903963927585973</v>
      </c>
      <c r="V157" s="21">
        <f t="shared" si="40"/>
        <v>32.403132728771638</v>
      </c>
      <c r="W157" s="15">
        <f>J157/detalle!$D$2</f>
        <v>24971.536475599376</v>
      </c>
      <c r="X157" s="15">
        <f>E157/detalle!$D$2</f>
        <v>6778.4198905179583</v>
      </c>
      <c r="Y157" s="22">
        <f>F157/detalle!$D$2</f>
        <v>110.66994181571147</v>
      </c>
      <c r="AA157" s="14">
        <f>E157/(detalle!$D$2*1000000)</f>
        <v>6.7784198905179579E-3</v>
      </c>
      <c r="AB157" s="14">
        <f>F157/(detalle!$D$2*1000000)</f>
        <v>1.1066994181571146E-4</v>
      </c>
      <c r="AC157" s="11">
        <v>0</v>
      </c>
      <c r="AD157" s="20">
        <v>0</v>
      </c>
      <c r="AE157" s="20">
        <v>0</v>
      </c>
      <c r="AF157" s="22">
        <f t="shared" si="38"/>
        <v>30</v>
      </c>
      <c r="AG157" s="12">
        <v>0</v>
      </c>
      <c r="AH157" s="12">
        <v>0</v>
      </c>
      <c r="AI157" s="20">
        <v>0</v>
      </c>
      <c r="AJ157" s="23">
        <f t="shared" si="39"/>
        <v>0</v>
      </c>
      <c r="AK157" s="23">
        <v>0</v>
      </c>
      <c r="AL157" s="28">
        <f>AK157/detalle!$D$2</f>
        <v>0</v>
      </c>
    </row>
    <row r="158" spans="1:38">
      <c r="A158" s="12">
        <v>157</v>
      </c>
      <c r="B158" s="19">
        <v>44047</v>
      </c>
      <c r="C158" s="12">
        <v>139</v>
      </c>
      <c r="D158" s="23">
        <f t="shared" si="35"/>
        <v>1365</v>
      </c>
      <c r="E158" s="12">
        <v>75660</v>
      </c>
      <c r="F158" s="12">
        <v>1222</v>
      </c>
      <c r="G158" s="12">
        <v>40122</v>
      </c>
      <c r="H158" s="23">
        <f t="shared" si="31"/>
        <v>34316</v>
      </c>
      <c r="I158" s="23">
        <f t="shared" si="29"/>
        <v>4734</v>
      </c>
      <c r="J158" s="12">
        <v>278435</v>
      </c>
      <c r="K158" s="23">
        <f t="shared" si="30"/>
        <v>202775</v>
      </c>
      <c r="L158" s="9">
        <f t="shared" si="36"/>
        <v>817</v>
      </c>
      <c r="M158" s="14">
        <f t="shared" si="32"/>
        <v>1.6151202749140895E-2</v>
      </c>
      <c r="N158" s="14">
        <f t="shared" si="41"/>
        <v>0.28833967046894804</v>
      </c>
      <c r="O158" s="12">
        <v>27810</v>
      </c>
      <c r="P158" s="12">
        <v>6506</v>
      </c>
      <c r="Q158" s="12">
        <v>304</v>
      </c>
      <c r="R158" s="23">
        <f t="shared" si="33"/>
        <v>41344</v>
      </c>
      <c r="S158" s="25">
        <f>(((H158+R158)/(H157+R157))-1)+detalle!$D$1</f>
        <v>8.9801274840644957E-2</v>
      </c>
      <c r="T158" s="25">
        <f t="shared" si="37"/>
        <v>1.2572178477690295</v>
      </c>
      <c r="U158" s="10">
        <f t="shared" si="34"/>
        <v>0.53029341792228391</v>
      </c>
      <c r="V158" s="21">
        <f t="shared" si="40"/>
        <v>32.833060556464815</v>
      </c>
      <c r="W158" s="15">
        <f>J158/detalle!$D$2</f>
        <v>25403.450329313786</v>
      </c>
      <c r="X158" s="15">
        <f>E158/detalle!$D$2</f>
        <v>6902.9577887689447</v>
      </c>
      <c r="Y158" s="22">
        <f>F158/detalle!$D$2</f>
        <v>111.49107081516851</v>
      </c>
      <c r="AA158" s="14">
        <f>E158/(detalle!$D$2*1000000)</f>
        <v>6.9029577887689446E-3</v>
      </c>
      <c r="AB158" s="14">
        <f>F158/(detalle!$D$2*1000000)</f>
        <v>1.1149107081516851E-4</v>
      </c>
      <c r="AC158" s="11">
        <v>0</v>
      </c>
      <c r="AD158" s="20">
        <v>0</v>
      </c>
      <c r="AE158" s="20">
        <v>0</v>
      </c>
      <c r="AF158" s="22">
        <f t="shared" si="38"/>
        <v>9</v>
      </c>
      <c r="AG158" s="12">
        <v>0</v>
      </c>
      <c r="AH158" s="12">
        <v>0</v>
      </c>
      <c r="AI158" s="20">
        <v>0</v>
      </c>
      <c r="AJ158" s="23">
        <f t="shared" si="39"/>
        <v>0</v>
      </c>
      <c r="AK158" s="23">
        <v>0</v>
      </c>
      <c r="AL158" s="28">
        <f>AK158/detalle!$D$2</f>
        <v>0</v>
      </c>
    </row>
    <row r="159" spans="1:38">
      <c r="A159" s="12">
        <v>158</v>
      </c>
      <c r="B159" s="19">
        <v>44048</v>
      </c>
      <c r="C159" s="12">
        <v>140</v>
      </c>
      <c r="D159" s="23">
        <f t="shared" si="35"/>
        <v>876</v>
      </c>
      <c r="E159" s="12">
        <v>76536</v>
      </c>
      <c r="F159" s="12">
        <v>1246</v>
      </c>
      <c r="G159" s="12">
        <v>40539</v>
      </c>
      <c r="H159" s="23">
        <f t="shared" si="31"/>
        <v>34751</v>
      </c>
      <c r="I159" s="23">
        <f t="shared" si="29"/>
        <v>3491</v>
      </c>
      <c r="J159" s="12">
        <v>281926</v>
      </c>
      <c r="K159" s="23">
        <f t="shared" si="30"/>
        <v>205390</v>
      </c>
      <c r="L159" s="9">
        <f t="shared" si="36"/>
        <v>417</v>
      </c>
      <c r="M159" s="14">
        <f t="shared" si="32"/>
        <v>1.6279920560259224E-2</v>
      </c>
      <c r="N159" s="14">
        <f t="shared" si="41"/>
        <v>0.25093096533944431</v>
      </c>
      <c r="O159" s="12">
        <v>28200</v>
      </c>
      <c r="P159" s="12">
        <v>6551</v>
      </c>
      <c r="Q159" s="12">
        <v>317</v>
      </c>
      <c r="R159" s="23">
        <f t="shared" si="33"/>
        <v>41785</v>
      </c>
      <c r="S159" s="25">
        <f>(((H159+R159)/(H158+R158))-1)+detalle!$D$1</f>
        <v>8.3006684037611828E-2</v>
      </c>
      <c r="T159" s="25">
        <f t="shared" si="37"/>
        <v>1.1620935765265656</v>
      </c>
      <c r="U159" s="10">
        <f t="shared" si="34"/>
        <v>0.52967231106930068</v>
      </c>
      <c r="V159" s="21">
        <f t="shared" si="40"/>
        <v>32.53531300160514</v>
      </c>
      <c r="W159" s="15">
        <f>J159/detalle!$D$2</f>
        <v>25721.957144547625</v>
      </c>
      <c r="X159" s="15">
        <f>E159/detalle!$D$2</f>
        <v>6982.881011382764</v>
      </c>
      <c r="Y159" s="22">
        <f>F159/detalle!$D$2</f>
        <v>113.68074814705399</v>
      </c>
      <c r="AA159" s="14">
        <f>E159/(detalle!$D$2*1000000)</f>
        <v>6.9828810113827643E-3</v>
      </c>
      <c r="AB159" s="14">
        <f>F159/(detalle!$D$2*1000000)</f>
        <v>1.1368074814705399E-4</v>
      </c>
      <c r="AC159" s="11">
        <v>0</v>
      </c>
      <c r="AD159" s="20">
        <v>0</v>
      </c>
      <c r="AE159" s="20">
        <v>0</v>
      </c>
      <c r="AF159" s="22">
        <f t="shared" si="38"/>
        <v>24</v>
      </c>
      <c r="AG159" s="12">
        <v>0</v>
      </c>
      <c r="AH159" s="12">
        <v>0</v>
      </c>
      <c r="AI159" s="20">
        <v>0</v>
      </c>
      <c r="AJ159" s="23">
        <f t="shared" si="39"/>
        <v>0</v>
      </c>
      <c r="AK159" s="23">
        <v>0</v>
      </c>
      <c r="AL159" s="28">
        <f>AK159/detalle!$D$2</f>
        <v>0</v>
      </c>
    </row>
    <row r="160" spans="1:38">
      <c r="A160" s="12">
        <v>159</v>
      </c>
      <c r="B160" s="19">
        <v>44049</v>
      </c>
      <c r="C160" s="12">
        <v>141</v>
      </c>
      <c r="D160" s="23">
        <f t="shared" si="35"/>
        <v>1173</v>
      </c>
      <c r="E160" s="12">
        <v>77709</v>
      </c>
      <c r="F160" s="12">
        <v>1259</v>
      </c>
      <c r="G160" s="12">
        <v>41393</v>
      </c>
      <c r="H160" s="23">
        <f t="shared" si="31"/>
        <v>35057</v>
      </c>
      <c r="I160" s="23">
        <f t="shared" si="29"/>
        <v>4202</v>
      </c>
      <c r="J160" s="12">
        <v>286128</v>
      </c>
      <c r="K160" s="23">
        <f t="shared" si="30"/>
        <v>208419</v>
      </c>
      <c r="L160" s="9">
        <f t="shared" si="36"/>
        <v>854</v>
      </c>
      <c r="M160" s="14">
        <f t="shared" si="32"/>
        <v>1.6201469585247527E-2</v>
      </c>
      <c r="N160" s="14">
        <f t="shared" si="41"/>
        <v>0.27915278438838648</v>
      </c>
      <c r="O160" s="12">
        <v>28445</v>
      </c>
      <c r="P160" s="12">
        <v>6612</v>
      </c>
      <c r="Q160" s="12">
        <v>305</v>
      </c>
      <c r="R160" s="23">
        <f t="shared" si="33"/>
        <v>42652</v>
      </c>
      <c r="S160" s="25">
        <f>(((H160+R160)/(H159+R159))-1)+detalle!$D$1</f>
        <v>8.6754692469650091E-2</v>
      </c>
      <c r="T160" s="25">
        <f t="shared" si="37"/>
        <v>1.2145656945751013</v>
      </c>
      <c r="U160" s="10">
        <f t="shared" si="34"/>
        <v>0.53266674387780055</v>
      </c>
      <c r="V160" s="21">
        <f t="shared" si="40"/>
        <v>32.877680698967431</v>
      </c>
      <c r="W160" s="15">
        <f>J160/detalle!$D$2</f>
        <v>26105.333150738574</v>
      </c>
      <c r="X160" s="15">
        <f>E160/detalle!$D$2</f>
        <v>7089.9014909786665</v>
      </c>
      <c r="Y160" s="22">
        <f>F160/detalle!$D$2</f>
        <v>114.86682336849195</v>
      </c>
      <c r="AA160" s="14">
        <f>E160/(detalle!$D$2*1000000)</f>
        <v>7.0899014909786666E-3</v>
      </c>
      <c r="AB160" s="14">
        <f>F160/(detalle!$D$2*1000000)</f>
        <v>1.1486682336849195E-4</v>
      </c>
      <c r="AC160" s="11">
        <v>0</v>
      </c>
      <c r="AD160" s="20">
        <v>0</v>
      </c>
      <c r="AE160" s="20">
        <v>0</v>
      </c>
      <c r="AF160" s="22">
        <f t="shared" si="38"/>
        <v>13</v>
      </c>
      <c r="AG160" s="12">
        <v>0</v>
      </c>
      <c r="AH160" s="12">
        <v>0</v>
      </c>
      <c r="AI160" s="20">
        <v>0</v>
      </c>
      <c r="AJ160" s="23">
        <f t="shared" si="39"/>
        <v>0</v>
      </c>
      <c r="AK160" s="23">
        <v>0</v>
      </c>
      <c r="AL160" s="28">
        <f>AK160/detalle!$D$2</f>
        <v>0</v>
      </c>
    </row>
    <row r="161" spans="1:38">
      <c r="A161" s="12">
        <v>160</v>
      </c>
      <c r="B161" s="19">
        <v>44050</v>
      </c>
      <c r="C161" s="12">
        <v>142</v>
      </c>
      <c r="D161" s="23">
        <f t="shared" si="35"/>
        <v>1069</v>
      </c>
      <c r="E161" s="12">
        <v>78778</v>
      </c>
      <c r="F161" s="12">
        <v>1289</v>
      </c>
      <c r="G161" s="12">
        <v>42538</v>
      </c>
      <c r="H161" s="23">
        <f t="shared" si="31"/>
        <v>34951</v>
      </c>
      <c r="I161" s="23">
        <f t="shared" si="29"/>
        <v>4139</v>
      </c>
      <c r="J161" s="12">
        <v>290267</v>
      </c>
      <c r="K161" s="23">
        <f t="shared" si="30"/>
        <v>211489</v>
      </c>
      <c r="L161" s="9">
        <f t="shared" si="36"/>
        <v>1145</v>
      </c>
      <c r="M161" s="14">
        <f t="shared" si="32"/>
        <v>1.6362436213155956E-2</v>
      </c>
      <c r="N161" s="14">
        <f t="shared" si="41"/>
        <v>0.25827494563904324</v>
      </c>
      <c r="O161" s="12">
        <v>28249</v>
      </c>
      <c r="P161" s="12">
        <v>6702</v>
      </c>
      <c r="Q161" s="12">
        <v>317</v>
      </c>
      <c r="R161" s="23">
        <f t="shared" si="33"/>
        <v>43827</v>
      </c>
      <c r="S161" s="25">
        <f>(((H161+R161)/(H160+R160))-1)+detalle!$D$1</f>
        <v>8.5185021775378039E-2</v>
      </c>
      <c r="T161" s="25">
        <f t="shared" si="37"/>
        <v>1.1925903048552926</v>
      </c>
      <c r="U161" s="10">
        <f t="shared" si="34"/>
        <v>0.53997308893345863</v>
      </c>
      <c r="V161" s="21">
        <f t="shared" si="40"/>
        <v>33.000775795190073</v>
      </c>
      <c r="W161" s="15">
        <f>J161/detalle!$D$2</f>
        <v>26482.961253933321</v>
      </c>
      <c r="X161" s="15">
        <f>E161/detalle!$D$2</f>
        <v>7187.4333688030647</v>
      </c>
      <c r="Y161" s="22">
        <f>F161/detalle!$D$2</f>
        <v>117.60392003334879</v>
      </c>
      <c r="AA161" s="14">
        <f>E161/(detalle!$D$2*1000000)</f>
        <v>7.1874333688030645E-3</v>
      </c>
      <c r="AB161" s="14">
        <f>F161/(detalle!$D$2*1000000)</f>
        <v>1.1760392003334879E-4</v>
      </c>
      <c r="AC161" s="11">
        <v>0</v>
      </c>
      <c r="AD161" s="20">
        <v>0</v>
      </c>
      <c r="AE161" s="20">
        <v>0</v>
      </c>
      <c r="AF161" s="22">
        <f t="shared" si="38"/>
        <v>30</v>
      </c>
      <c r="AG161" s="12">
        <v>0</v>
      </c>
      <c r="AH161" s="12">
        <v>0</v>
      </c>
      <c r="AI161" s="20">
        <v>0</v>
      </c>
      <c r="AJ161" s="23">
        <f t="shared" si="39"/>
        <v>0</v>
      </c>
      <c r="AK161" s="23">
        <v>0</v>
      </c>
      <c r="AL161" s="28">
        <f>AK161/detalle!$D$2</f>
        <v>0</v>
      </c>
    </row>
    <row r="162" spans="1:38">
      <c r="A162" s="12">
        <v>161</v>
      </c>
      <c r="B162" s="19">
        <v>44051</v>
      </c>
      <c r="C162" s="12">
        <v>143</v>
      </c>
      <c r="D162" s="23">
        <f t="shared" si="35"/>
        <v>954</v>
      </c>
      <c r="E162" s="12">
        <v>79732</v>
      </c>
      <c r="F162" s="12">
        <v>1309</v>
      </c>
      <c r="G162" s="12">
        <v>43744</v>
      </c>
      <c r="H162" s="23">
        <f t="shared" si="31"/>
        <v>34679</v>
      </c>
      <c r="I162" s="23">
        <f t="shared" si="29"/>
        <v>3772</v>
      </c>
      <c r="J162" s="12">
        <v>294039</v>
      </c>
      <c r="K162" s="23">
        <f t="shared" si="30"/>
        <v>214307</v>
      </c>
      <c r="L162" s="9">
        <f t="shared" si="36"/>
        <v>1206</v>
      </c>
      <c r="M162" s="14">
        <f t="shared" si="32"/>
        <v>1.6417498620378269E-2</v>
      </c>
      <c r="N162" s="14">
        <f t="shared" si="41"/>
        <v>0.25291622481442205</v>
      </c>
      <c r="O162" s="12">
        <v>27842</v>
      </c>
      <c r="P162" s="12">
        <v>6837</v>
      </c>
      <c r="Q162" s="12">
        <v>312</v>
      </c>
      <c r="R162" s="23">
        <f t="shared" si="33"/>
        <v>45053</v>
      </c>
      <c r="S162" s="25">
        <f>(((H162+R162)/(H161+R161))-1)+detalle!$D$1</f>
        <v>8.3538551372210473E-2</v>
      </c>
      <c r="T162" s="25">
        <f t="shared" si="37"/>
        <v>1.1695397192109467</v>
      </c>
      <c r="U162" s="10">
        <f t="shared" si="34"/>
        <v>0.54863793708924902</v>
      </c>
      <c r="V162" s="21">
        <f t="shared" si="40"/>
        <v>33.417876241405651</v>
      </c>
      <c r="W162" s="15">
        <f>J162/detalle!$D$2</f>
        <v>26827.105541261324</v>
      </c>
      <c r="X162" s="15">
        <f>E162/detalle!$D$2</f>
        <v>7274.4730427455124</v>
      </c>
      <c r="Y162" s="22">
        <f>F162/detalle!$D$2</f>
        <v>119.42865114325335</v>
      </c>
      <c r="AA162" s="14">
        <f>E162/(detalle!$D$2*1000000)</f>
        <v>7.274473042745512E-3</v>
      </c>
      <c r="AB162" s="14">
        <f>F162/(detalle!$D$2*1000000)</f>
        <v>1.1942865114325334E-4</v>
      </c>
      <c r="AC162" s="11">
        <v>0</v>
      </c>
      <c r="AD162" s="20">
        <v>0</v>
      </c>
      <c r="AE162" s="20">
        <v>0</v>
      </c>
      <c r="AF162" s="22">
        <f t="shared" si="38"/>
        <v>20</v>
      </c>
      <c r="AG162" s="12">
        <v>0</v>
      </c>
      <c r="AH162" s="12">
        <v>0</v>
      </c>
      <c r="AI162" s="20">
        <v>0</v>
      </c>
      <c r="AJ162" s="23">
        <f t="shared" si="39"/>
        <v>0</v>
      </c>
      <c r="AK162" s="23">
        <v>0</v>
      </c>
      <c r="AL162" s="28">
        <f>AK162/detalle!$D$2</f>
        <v>0</v>
      </c>
    </row>
    <row r="163" spans="1:38">
      <c r="A163" s="12">
        <v>162</v>
      </c>
      <c r="B163" s="19">
        <v>44052</v>
      </c>
      <c r="C163" s="12">
        <v>144</v>
      </c>
      <c r="D163" s="23">
        <f t="shared" si="35"/>
        <v>767</v>
      </c>
      <c r="E163" s="12">
        <v>80499</v>
      </c>
      <c r="F163" s="12">
        <v>1328</v>
      </c>
      <c r="G163" s="12">
        <v>44910</v>
      </c>
      <c r="H163" s="23">
        <f t="shared" si="31"/>
        <v>34261</v>
      </c>
      <c r="I163" s="23">
        <f t="shared" si="29"/>
        <v>3453</v>
      </c>
      <c r="J163" s="12">
        <v>297492</v>
      </c>
      <c r="K163" s="23">
        <f t="shared" si="30"/>
        <v>216993</v>
      </c>
      <c r="L163" s="9">
        <f t="shared" si="36"/>
        <v>1166</v>
      </c>
      <c r="M163" s="14">
        <f t="shared" si="32"/>
        <v>1.649709934284898E-2</v>
      </c>
      <c r="N163" s="14">
        <f t="shared" si="41"/>
        <v>0.22212568780770345</v>
      </c>
      <c r="O163" s="12">
        <v>27496</v>
      </c>
      <c r="P163" s="12">
        <v>6765</v>
      </c>
      <c r="Q163" s="12">
        <v>309</v>
      </c>
      <c r="R163" s="23">
        <f t="shared" si="33"/>
        <v>46238</v>
      </c>
      <c r="S163" s="25">
        <f>(((H163+R163)/(H162+R162))-1)+detalle!$D$1</f>
        <v>8.104829751094747E-2</v>
      </c>
      <c r="T163" s="25">
        <f t="shared" si="37"/>
        <v>1.1346761651532646</v>
      </c>
      <c r="U163" s="10">
        <f t="shared" si="34"/>
        <v>0.55789512913203887</v>
      </c>
      <c r="V163" s="21">
        <f t="shared" si="40"/>
        <v>33.817771084337352</v>
      </c>
      <c r="W163" s="15">
        <f>J163/detalle!$D$2</f>
        <v>27142.145367386343</v>
      </c>
      <c r="X163" s="15">
        <f>E163/detalle!$D$2</f>
        <v>7344.4514808103522</v>
      </c>
      <c r="Y163" s="22">
        <f>F163/detalle!$D$2</f>
        <v>121.16214569766268</v>
      </c>
      <c r="AA163" s="14">
        <f>E163/(detalle!$D$2*1000000)</f>
        <v>7.3444514808103517E-3</v>
      </c>
      <c r="AB163" s="14">
        <f>F163/(detalle!$D$2*1000000)</f>
        <v>1.2116214569766268E-4</v>
      </c>
      <c r="AC163" s="11">
        <v>0</v>
      </c>
      <c r="AD163" s="20">
        <v>0</v>
      </c>
      <c r="AE163" s="20">
        <v>0</v>
      </c>
      <c r="AF163" s="22">
        <f t="shared" si="38"/>
        <v>19</v>
      </c>
      <c r="AG163" s="12">
        <v>0</v>
      </c>
      <c r="AH163" s="12">
        <v>0</v>
      </c>
      <c r="AI163" s="20">
        <v>0</v>
      </c>
      <c r="AJ163" s="23">
        <f t="shared" si="39"/>
        <v>0</v>
      </c>
      <c r="AK163" s="23">
        <v>0</v>
      </c>
      <c r="AL163" s="28">
        <f>AK163/detalle!$D$2</f>
        <v>0</v>
      </c>
    </row>
    <row r="164" spans="1:38">
      <c r="A164" s="12">
        <v>163</v>
      </c>
      <c r="B164" s="19">
        <v>44053</v>
      </c>
      <c r="C164" s="12">
        <v>145</v>
      </c>
      <c r="D164" s="23">
        <f t="shared" si="35"/>
        <v>595</v>
      </c>
      <c r="E164" s="12">
        <v>81094</v>
      </c>
      <c r="F164" s="12">
        <v>1346</v>
      </c>
      <c r="G164" s="12">
        <v>45666</v>
      </c>
      <c r="H164" s="23">
        <f t="shared" si="31"/>
        <v>34082</v>
      </c>
      <c r="I164" s="23">
        <f t="shared" si="29"/>
        <v>2642</v>
      </c>
      <c r="J164" s="12">
        <v>300134</v>
      </c>
      <c r="K164" s="23">
        <f t="shared" si="30"/>
        <v>219040</v>
      </c>
      <c r="L164" s="9">
        <f t="shared" si="36"/>
        <v>756</v>
      </c>
      <c r="M164" s="14">
        <f t="shared" si="32"/>
        <v>1.6598022048486941E-2</v>
      </c>
      <c r="N164" s="14">
        <f t="shared" si="41"/>
        <v>0.22520817562452689</v>
      </c>
      <c r="O164" s="12">
        <v>27402</v>
      </c>
      <c r="P164" s="12">
        <v>6680</v>
      </c>
      <c r="Q164" s="12">
        <v>293</v>
      </c>
      <c r="R164" s="23">
        <f t="shared" si="33"/>
        <v>47012</v>
      </c>
      <c r="S164" s="25">
        <f>(((H164+R164)/(H163+R163))-1)+detalle!$D$1</f>
        <v>7.881996759498347E-2</v>
      </c>
      <c r="T164" s="25">
        <f t="shared" si="37"/>
        <v>1.1034795463297686</v>
      </c>
      <c r="U164" s="10">
        <f t="shared" si="34"/>
        <v>0.56312427553209854</v>
      </c>
      <c r="V164" s="21">
        <f t="shared" si="40"/>
        <v>33.927191679049031</v>
      </c>
      <c r="W164" s="15">
        <f>J164/detalle!$D$2</f>
        <v>27383.192347004737</v>
      </c>
      <c r="X164" s="15">
        <f>E164/detalle!$D$2</f>
        <v>7398.7372313300129</v>
      </c>
      <c r="Y164" s="22">
        <f>F164/detalle!$D$2</f>
        <v>122.80440369657678</v>
      </c>
      <c r="AA164" s="14">
        <f>E164/(detalle!$D$2*1000000)</f>
        <v>7.3987372313300132E-3</v>
      </c>
      <c r="AB164" s="14">
        <f>F164/(detalle!$D$2*1000000)</f>
        <v>1.2280440369657678E-4</v>
      </c>
      <c r="AC164" s="11">
        <v>0</v>
      </c>
      <c r="AD164" s="20">
        <v>0</v>
      </c>
      <c r="AE164" s="20">
        <v>0</v>
      </c>
      <c r="AF164" s="22">
        <f t="shared" si="38"/>
        <v>18</v>
      </c>
      <c r="AG164" s="12">
        <v>0</v>
      </c>
      <c r="AH164" s="12">
        <v>0</v>
      </c>
      <c r="AI164" s="20">
        <v>0</v>
      </c>
      <c r="AJ164" s="23">
        <f t="shared" si="39"/>
        <v>0</v>
      </c>
      <c r="AK164" s="23">
        <v>0</v>
      </c>
      <c r="AL164" s="28">
        <f>AK164/detalle!$D$2</f>
        <v>0</v>
      </c>
    </row>
    <row r="165" spans="1:38">
      <c r="A165" s="12">
        <v>164</v>
      </c>
      <c r="B165" s="19">
        <v>44054</v>
      </c>
      <c r="C165" s="12">
        <v>146</v>
      </c>
      <c r="D165" s="23">
        <f t="shared" si="35"/>
        <v>1130</v>
      </c>
      <c r="E165" s="12">
        <v>82224</v>
      </c>
      <c r="F165" s="12">
        <v>1371</v>
      </c>
      <c r="G165" s="12">
        <v>47095</v>
      </c>
      <c r="H165" s="23">
        <f t="shared" si="31"/>
        <v>33758</v>
      </c>
      <c r="I165" s="23">
        <f t="shared" si="29"/>
        <v>4367</v>
      </c>
      <c r="J165" s="12">
        <v>304501</v>
      </c>
      <c r="K165" s="23">
        <f t="shared" si="30"/>
        <v>222277</v>
      </c>
      <c r="L165" s="9">
        <f t="shared" si="36"/>
        <v>1429</v>
      </c>
      <c r="M165" s="14">
        <f t="shared" si="32"/>
        <v>1.6673963806187974E-2</v>
      </c>
      <c r="N165" s="14">
        <f t="shared" si="41"/>
        <v>0.25875887336844516</v>
      </c>
      <c r="O165" s="12">
        <v>27000</v>
      </c>
      <c r="P165" s="12">
        <v>6758</v>
      </c>
      <c r="Q165" s="12">
        <v>300</v>
      </c>
      <c r="R165" s="23">
        <f t="shared" si="33"/>
        <v>48466</v>
      </c>
      <c r="S165" s="25">
        <f>(((H165+R165)/(H164+R164))-1)+detalle!$D$1</f>
        <v>8.5363017873437946E-2</v>
      </c>
      <c r="T165" s="25">
        <f t="shared" si="37"/>
        <v>1.1950822502281313</v>
      </c>
      <c r="U165" s="10">
        <f t="shared" si="34"/>
        <v>0.57276464292663942</v>
      </c>
      <c r="V165" s="21">
        <f t="shared" si="40"/>
        <v>34.350838803792854</v>
      </c>
      <c r="W165" s="15">
        <f>J165/detalle!$D$2</f>
        <v>27781.622384852399</v>
      </c>
      <c r="X165" s="15">
        <f>E165/detalle!$D$2</f>
        <v>7501.8345390396207</v>
      </c>
      <c r="Y165" s="22">
        <f>F165/detalle!$D$2</f>
        <v>125.08531758395748</v>
      </c>
      <c r="AA165" s="14">
        <f>E165/(detalle!$D$2*1000000)</f>
        <v>7.50183453903962E-3</v>
      </c>
      <c r="AB165" s="14">
        <f>F165/(detalle!$D$2*1000000)</f>
        <v>1.2508531758395746E-4</v>
      </c>
      <c r="AC165" s="11">
        <v>0</v>
      </c>
      <c r="AD165" s="20">
        <v>0</v>
      </c>
      <c r="AE165" s="20">
        <v>0</v>
      </c>
      <c r="AF165" s="22">
        <f t="shared" si="38"/>
        <v>25</v>
      </c>
      <c r="AG165" s="12">
        <v>0</v>
      </c>
      <c r="AH165" s="12">
        <v>0</v>
      </c>
      <c r="AI165" s="20">
        <v>0</v>
      </c>
      <c r="AJ165" s="23">
        <f t="shared" si="39"/>
        <v>0</v>
      </c>
      <c r="AK165" s="23">
        <v>0</v>
      </c>
      <c r="AL165" s="28">
        <f>AK165/detalle!$D$2</f>
        <v>0</v>
      </c>
    </row>
    <row r="166" spans="1:38">
      <c r="A166" s="12">
        <v>165</v>
      </c>
      <c r="B166" s="19">
        <v>44055</v>
      </c>
      <c r="C166" s="12">
        <v>147</v>
      </c>
      <c r="D166" s="23">
        <f t="shared" si="35"/>
        <v>910</v>
      </c>
      <c r="E166" s="12">
        <v>83134</v>
      </c>
      <c r="F166" s="12">
        <v>1393</v>
      </c>
      <c r="G166" s="12">
        <v>47946</v>
      </c>
      <c r="H166" s="23">
        <f t="shared" si="31"/>
        <v>33795</v>
      </c>
      <c r="I166" s="23">
        <f t="shared" si="29"/>
        <v>3686</v>
      </c>
      <c r="J166" s="12">
        <v>308187</v>
      </c>
      <c r="K166" s="23">
        <f t="shared" si="30"/>
        <v>225053</v>
      </c>
      <c r="L166" s="9">
        <f t="shared" si="36"/>
        <v>851</v>
      </c>
      <c r="M166" s="14">
        <f t="shared" si="32"/>
        <v>1.6756080544662832E-2</v>
      </c>
      <c r="N166" s="14">
        <f t="shared" si="41"/>
        <v>0.24688008681497559</v>
      </c>
      <c r="O166" s="12">
        <v>26897</v>
      </c>
      <c r="P166" s="12">
        <v>6898</v>
      </c>
      <c r="Q166" s="12">
        <v>303</v>
      </c>
      <c r="R166" s="23">
        <f t="shared" si="33"/>
        <v>49339</v>
      </c>
      <c r="S166" s="25">
        <f>(((H166+R166)/(H165+R165))-1)+detalle!$D$1</f>
        <v>8.2495899702554693E-2</v>
      </c>
      <c r="T166" s="25">
        <f t="shared" si="37"/>
        <v>1.1549425958357658</v>
      </c>
      <c r="U166" s="10">
        <f t="shared" si="34"/>
        <v>0.5767315418481006</v>
      </c>
      <c r="V166" s="21">
        <f t="shared" si="40"/>
        <v>34.419239052404883</v>
      </c>
      <c r="W166" s="15">
        <f>J166/detalle!$D$2</f>
        <v>28117.920328407807</v>
      </c>
      <c r="X166" s="15">
        <f>E166/detalle!$D$2</f>
        <v>7584.8598045402778</v>
      </c>
      <c r="Y166" s="22">
        <f>F166/detalle!$D$2</f>
        <v>127.0925218048525</v>
      </c>
      <c r="AA166" s="14">
        <f>E166/(detalle!$D$2*1000000)</f>
        <v>7.5848598045402775E-3</v>
      </c>
      <c r="AB166" s="14">
        <f>F166/(detalle!$D$2*1000000)</f>
        <v>1.2709252180485248E-4</v>
      </c>
      <c r="AC166" s="11">
        <v>0</v>
      </c>
      <c r="AD166" s="20">
        <v>0</v>
      </c>
      <c r="AE166" s="20">
        <v>0</v>
      </c>
      <c r="AF166" s="22">
        <f t="shared" si="38"/>
        <v>22</v>
      </c>
      <c r="AG166" s="12">
        <v>0</v>
      </c>
      <c r="AH166" s="12">
        <v>0</v>
      </c>
      <c r="AI166" s="20">
        <v>0</v>
      </c>
      <c r="AJ166" s="23">
        <f t="shared" si="39"/>
        <v>0</v>
      </c>
      <c r="AK166" s="23">
        <v>0</v>
      </c>
      <c r="AL166" s="28">
        <f>AK166/detalle!$D$2</f>
        <v>0</v>
      </c>
    </row>
    <row r="167" spans="1:38">
      <c r="A167" s="12">
        <v>166</v>
      </c>
      <c r="B167" s="19">
        <v>44056</v>
      </c>
      <c r="C167" s="12">
        <v>148</v>
      </c>
      <c r="D167" s="23">
        <f t="shared" si="35"/>
        <v>1354</v>
      </c>
      <c r="E167" s="12">
        <v>84488</v>
      </c>
      <c r="F167" s="12">
        <v>1409</v>
      </c>
      <c r="G167" s="12">
        <v>49539</v>
      </c>
      <c r="H167" s="23">
        <f t="shared" si="31"/>
        <v>33540</v>
      </c>
      <c r="I167" s="23">
        <f t="shared" si="29"/>
        <v>5104</v>
      </c>
      <c r="J167" s="12">
        <v>313291</v>
      </c>
      <c r="K167" s="23">
        <f t="shared" si="30"/>
        <v>228803</v>
      </c>
      <c r="L167" s="9">
        <f t="shared" si="36"/>
        <v>1593</v>
      </c>
      <c r="M167" s="14">
        <f t="shared" si="32"/>
        <v>1.6676924533661586E-2</v>
      </c>
      <c r="N167" s="14">
        <f t="shared" si="41"/>
        <v>0.26528213166144199</v>
      </c>
      <c r="O167" s="12">
        <v>26586</v>
      </c>
      <c r="P167" s="12">
        <v>6954</v>
      </c>
      <c r="Q167" s="12">
        <v>303</v>
      </c>
      <c r="R167" s="23">
        <f t="shared" si="33"/>
        <v>50948</v>
      </c>
      <c r="S167" s="25">
        <f>(((H167+R167)/(H166+R166))-1)+detalle!$D$1</f>
        <v>8.7715529833074984E-2</v>
      </c>
      <c r="T167" s="25">
        <f t="shared" si="37"/>
        <v>1.2280174176630498</v>
      </c>
      <c r="U167" s="10">
        <f t="shared" si="34"/>
        <v>0.5863436227629959</v>
      </c>
      <c r="V167" s="21">
        <f t="shared" si="40"/>
        <v>35.158977998580554</v>
      </c>
      <c r="W167" s="15">
        <f>J167/detalle!$D$2</f>
        <v>28583.591707655451</v>
      </c>
      <c r="X167" s="15">
        <f>E167/detalle!$D$2</f>
        <v>7708.3941006808163</v>
      </c>
      <c r="Y167" s="22">
        <f>F167/detalle!$D$2</f>
        <v>128.55230669277614</v>
      </c>
      <c r="AA167" s="14">
        <f>E167/(detalle!$D$2*1000000)</f>
        <v>7.7083941006808165E-3</v>
      </c>
      <c r="AB167" s="14">
        <f>F167/(detalle!$D$2*1000000)</f>
        <v>1.2855230669277614E-4</v>
      </c>
      <c r="AC167" s="11">
        <v>0</v>
      </c>
      <c r="AD167" s="20">
        <v>0</v>
      </c>
      <c r="AE167" s="20">
        <v>0</v>
      </c>
      <c r="AF167" s="22">
        <f t="shared" si="38"/>
        <v>16</v>
      </c>
      <c r="AG167" s="12">
        <v>0</v>
      </c>
      <c r="AH167" s="12">
        <v>0</v>
      </c>
      <c r="AI167" s="20">
        <v>0</v>
      </c>
      <c r="AJ167" s="23">
        <f t="shared" si="39"/>
        <v>0</v>
      </c>
      <c r="AK167" s="23">
        <v>0</v>
      </c>
      <c r="AL167" s="28">
        <f>AK167/detalle!$D$2</f>
        <v>0</v>
      </c>
    </row>
    <row r="168" spans="1:38">
      <c r="A168" s="12">
        <v>167</v>
      </c>
      <c r="B168" s="19">
        <v>44057</v>
      </c>
      <c r="C168" s="12">
        <v>149</v>
      </c>
      <c r="D168" s="23">
        <f t="shared" si="35"/>
        <v>1057</v>
      </c>
      <c r="E168" s="12">
        <v>85545</v>
      </c>
      <c r="F168" s="12">
        <v>1438</v>
      </c>
      <c r="G168" s="12">
        <v>51356</v>
      </c>
      <c r="H168" s="23">
        <f t="shared" si="31"/>
        <v>32751</v>
      </c>
      <c r="I168" s="23">
        <f t="shared" si="29"/>
        <v>4352</v>
      </c>
      <c r="J168" s="12">
        <v>317643</v>
      </c>
      <c r="K168" s="23">
        <f t="shared" si="30"/>
        <v>232098</v>
      </c>
      <c r="L168" s="9">
        <f t="shared" si="36"/>
        <v>1817</v>
      </c>
      <c r="M168" s="14">
        <f t="shared" si="32"/>
        <v>1.6809866152317495E-2</v>
      </c>
      <c r="N168" s="14">
        <f t="shared" si="41"/>
        <v>0.24287683823529413</v>
      </c>
      <c r="O168" s="12">
        <v>25853</v>
      </c>
      <c r="P168" s="12">
        <v>6898</v>
      </c>
      <c r="Q168" s="12">
        <v>300</v>
      </c>
      <c r="R168" s="23">
        <f t="shared" si="33"/>
        <v>52794</v>
      </c>
      <c r="S168" s="25">
        <f>(((H168+R168)/(H167+R167))-1)+detalle!$D$1</f>
        <v>8.3939223828912307E-2</v>
      </c>
      <c r="T168" s="25">
        <f t="shared" si="37"/>
        <v>1.1751491336047724</v>
      </c>
      <c r="U168" s="10">
        <f t="shared" si="34"/>
        <v>0.60033900286398967</v>
      </c>
      <c r="V168" s="21">
        <f t="shared" si="40"/>
        <v>35.713490959666203</v>
      </c>
      <c r="W168" s="15">
        <f>J168/detalle!$D$2</f>
        <v>28980.653197170683</v>
      </c>
      <c r="X168" s="15">
        <f>E168/detalle!$D$2</f>
        <v>7804.8311398392725</v>
      </c>
      <c r="Y168" s="22">
        <f>F168/detalle!$D$2</f>
        <v>131.19816680213776</v>
      </c>
      <c r="AA168" s="14">
        <f>E168/(detalle!$D$2*1000000)</f>
        <v>7.804831139839272E-3</v>
      </c>
      <c r="AB168" s="14">
        <f>F168/(detalle!$D$2*1000000)</f>
        <v>1.3119816680213774E-4</v>
      </c>
      <c r="AC168" s="11">
        <v>0</v>
      </c>
      <c r="AD168" s="20">
        <v>0</v>
      </c>
      <c r="AE168" s="20">
        <v>0</v>
      </c>
      <c r="AF168" s="22">
        <f t="shared" si="38"/>
        <v>29</v>
      </c>
      <c r="AG168" s="12">
        <v>0</v>
      </c>
      <c r="AH168" s="12">
        <v>0</v>
      </c>
      <c r="AI168" s="20">
        <v>0</v>
      </c>
      <c r="AJ168" s="23">
        <f t="shared" si="39"/>
        <v>0</v>
      </c>
      <c r="AK168" s="23">
        <v>0</v>
      </c>
      <c r="AL168" s="28">
        <f>AK168/detalle!$D$2</f>
        <v>0</v>
      </c>
    </row>
    <row r="169" spans="1:38">
      <c r="A169" s="12">
        <v>168</v>
      </c>
      <c r="B169" s="19">
        <v>44058</v>
      </c>
      <c r="C169" s="12">
        <v>150</v>
      </c>
      <c r="D169" s="23">
        <f t="shared" si="35"/>
        <v>764</v>
      </c>
      <c r="E169" s="12">
        <v>86309</v>
      </c>
      <c r="F169" s="12">
        <v>1453</v>
      </c>
      <c r="G169" s="12">
        <v>52905</v>
      </c>
      <c r="H169" s="23">
        <f t="shared" si="31"/>
        <v>31951</v>
      </c>
      <c r="I169" s="23">
        <f t="shared" si="29"/>
        <v>4413</v>
      </c>
      <c r="J169" s="12">
        <v>322056</v>
      </c>
      <c r="K169" s="23">
        <f t="shared" si="30"/>
        <v>235747</v>
      </c>
      <c r="L169" s="9">
        <f t="shared" si="36"/>
        <v>1549</v>
      </c>
      <c r="M169" s="14">
        <f t="shared" si="32"/>
        <v>1.6834860790879282E-2</v>
      </c>
      <c r="N169" s="14">
        <f t="shared" si="41"/>
        <v>0.17312485837298891</v>
      </c>
      <c r="O169" s="12">
        <v>25096</v>
      </c>
      <c r="P169" s="12">
        <v>6885</v>
      </c>
      <c r="Q169" s="12">
        <v>295</v>
      </c>
      <c r="R169" s="23">
        <f t="shared" si="33"/>
        <v>54358</v>
      </c>
      <c r="S169" s="25">
        <f>(((H169+R169)/(H168+R168))-1)+detalle!$D$1</f>
        <v>8.0359543431610697E-2</v>
      </c>
      <c r="T169" s="25">
        <f t="shared" si="37"/>
        <v>1.1250336080425498</v>
      </c>
      <c r="U169" s="10">
        <f t="shared" si="34"/>
        <v>0.61297199596797558</v>
      </c>
      <c r="V169" s="21">
        <f t="shared" si="40"/>
        <v>36.410874053682036</v>
      </c>
      <c r="W169" s="15">
        <f>J169/detalle!$D$2</f>
        <v>29383.280116571124</v>
      </c>
      <c r="X169" s="15">
        <f>E169/detalle!$D$2</f>
        <v>7874.5358682376263</v>
      </c>
      <c r="Y169" s="22">
        <f>F169/detalle!$D$2</f>
        <v>132.56671513456618</v>
      </c>
      <c r="AA169" s="14">
        <f>E169/(detalle!$D$2*1000000)</f>
        <v>7.8745358682376261E-3</v>
      </c>
      <c r="AB169" s="14">
        <f>F169/(detalle!$D$2*1000000)</f>
        <v>1.3256671513456615E-4</v>
      </c>
      <c r="AC169" s="11">
        <v>0</v>
      </c>
      <c r="AD169" s="20">
        <v>0</v>
      </c>
      <c r="AE169" s="20">
        <v>0</v>
      </c>
      <c r="AF169" s="22">
        <f t="shared" si="38"/>
        <v>15</v>
      </c>
      <c r="AG169" s="12">
        <v>0</v>
      </c>
      <c r="AH169" s="12">
        <v>0</v>
      </c>
      <c r="AI169" s="20">
        <v>0</v>
      </c>
      <c r="AJ169" s="23">
        <f t="shared" si="39"/>
        <v>0</v>
      </c>
      <c r="AK169" s="23">
        <v>0</v>
      </c>
      <c r="AL169" s="28">
        <f>AK169/detalle!$D$2</f>
        <v>0</v>
      </c>
    </row>
    <row r="170" spans="1:38">
      <c r="A170" s="12">
        <v>169</v>
      </c>
      <c r="B170" s="19">
        <v>44059</v>
      </c>
      <c r="C170" s="12">
        <v>151</v>
      </c>
      <c r="D170" s="23">
        <f t="shared" si="35"/>
        <v>428</v>
      </c>
      <c r="E170" s="12">
        <v>86737</v>
      </c>
      <c r="F170" s="12">
        <v>1481</v>
      </c>
      <c r="G170" s="12">
        <v>54108</v>
      </c>
      <c r="H170" s="23">
        <f t="shared" si="31"/>
        <v>31148</v>
      </c>
      <c r="I170" s="23">
        <f t="shared" si="29"/>
        <v>2407</v>
      </c>
      <c r="J170" s="12">
        <v>324463</v>
      </c>
      <c r="K170" s="23">
        <f t="shared" si="30"/>
        <v>237726</v>
      </c>
      <c r="L170" s="9">
        <f t="shared" si="36"/>
        <v>1203</v>
      </c>
      <c r="M170" s="14">
        <f t="shared" si="32"/>
        <v>1.7074604839918375E-2</v>
      </c>
      <c r="N170" s="14">
        <f t="shared" si="41"/>
        <v>0.17781470710427918</v>
      </c>
      <c r="O170" s="12">
        <v>24313</v>
      </c>
      <c r="P170" s="12">
        <v>6835</v>
      </c>
      <c r="Q170" s="12">
        <v>295</v>
      </c>
      <c r="R170" s="23">
        <f t="shared" si="33"/>
        <v>55589</v>
      </c>
      <c r="S170" s="25">
        <f>(((H170+R170)/(H169+R169))-1)+detalle!$D$1</f>
        <v>7.6387498075850352E-2</v>
      </c>
      <c r="T170" s="25">
        <f t="shared" si="37"/>
        <v>1.069424973061905</v>
      </c>
      <c r="U170" s="10">
        <f t="shared" si="34"/>
        <v>0.62381682557616702</v>
      </c>
      <c r="V170" s="21">
        <f t="shared" si="40"/>
        <v>36.534773801485485</v>
      </c>
      <c r="W170" s="15">
        <f>J170/detalle!$D$2</f>
        <v>29602.886505648137</v>
      </c>
      <c r="X170" s="15">
        <f>E170/detalle!$D$2</f>
        <v>7913.585113989584</v>
      </c>
      <c r="Y170" s="22">
        <f>F170/detalle!$D$2</f>
        <v>135.12133868843256</v>
      </c>
      <c r="AA170" s="14">
        <f>E170/(detalle!$D$2*1000000)</f>
        <v>7.9135851139895842E-3</v>
      </c>
      <c r="AB170" s="14">
        <f>F170/(detalle!$D$2*1000000)</f>
        <v>1.3512133868843253E-4</v>
      </c>
      <c r="AC170" s="13">
        <f>Q170/detalle!$D$7</f>
        <v>0.5184534270650264</v>
      </c>
      <c r="AD170" s="20">
        <v>0</v>
      </c>
      <c r="AE170" s="20">
        <v>0</v>
      </c>
      <c r="AF170" s="22">
        <f t="shared" si="38"/>
        <v>28</v>
      </c>
      <c r="AG170" s="12">
        <v>0</v>
      </c>
      <c r="AH170" s="12">
        <v>0</v>
      </c>
      <c r="AI170" s="20">
        <v>0</v>
      </c>
      <c r="AJ170" s="23">
        <f t="shared" si="39"/>
        <v>0</v>
      </c>
      <c r="AK170" s="23">
        <v>0</v>
      </c>
      <c r="AL170" s="28">
        <f>AK170/detalle!$D$2</f>
        <v>0</v>
      </c>
    </row>
    <row r="171" spans="1:38">
      <c r="A171" s="12">
        <v>170</v>
      </c>
      <c r="B171" s="19">
        <v>44060</v>
      </c>
      <c r="C171" s="12">
        <v>152</v>
      </c>
      <c r="D171" s="23">
        <f t="shared" si="35"/>
        <v>386</v>
      </c>
      <c r="E171" s="12">
        <v>87123</v>
      </c>
      <c r="F171" s="12">
        <v>1489</v>
      </c>
      <c r="G171" s="12">
        <v>55504</v>
      </c>
      <c r="H171" s="23">
        <f t="shared" si="31"/>
        <v>30130</v>
      </c>
      <c r="I171" s="23">
        <f t="shared" ref="I171:I234" si="42">J171-J170</f>
        <v>2181</v>
      </c>
      <c r="J171" s="12">
        <v>326644</v>
      </c>
      <c r="K171" s="23">
        <f t="shared" si="30"/>
        <v>239521</v>
      </c>
      <c r="L171" s="9">
        <f t="shared" si="36"/>
        <v>1396</v>
      </c>
      <c r="M171" s="14">
        <f t="shared" si="32"/>
        <v>1.7090779702260025E-2</v>
      </c>
      <c r="N171" s="14">
        <f t="shared" si="41"/>
        <v>0.176983035304906</v>
      </c>
      <c r="O171" s="12">
        <v>23312</v>
      </c>
      <c r="P171" s="12">
        <v>6818</v>
      </c>
      <c r="Q171" s="12">
        <v>296</v>
      </c>
      <c r="R171" s="23">
        <f t="shared" si="33"/>
        <v>56993</v>
      </c>
      <c r="S171" s="25">
        <f>(((H171+R171)/(H170+R170))-1)+detalle!$D$1</f>
        <v>7.5878806045862862E-2</v>
      </c>
      <c r="T171" s="25">
        <f t="shared" si="37"/>
        <v>1.0623032846420801</v>
      </c>
      <c r="U171" s="10">
        <f t="shared" si="34"/>
        <v>0.63707631739035619</v>
      </c>
      <c r="V171" s="21">
        <f t="shared" si="40"/>
        <v>37.276024177300201</v>
      </c>
      <c r="W171" s="15">
        <f>J171/detalle!$D$2</f>
        <v>29801.873433183227</v>
      </c>
      <c r="X171" s="15">
        <f>E171/detalle!$D$2</f>
        <v>7948.8024244107419</v>
      </c>
      <c r="Y171" s="22">
        <f>F171/detalle!$D$2</f>
        <v>135.85123113239436</v>
      </c>
      <c r="AA171" s="14">
        <f>E171/(detalle!$D$2*1000000)</f>
        <v>7.9488024244107423E-3</v>
      </c>
      <c r="AB171" s="14">
        <f>F171/(detalle!$D$2*1000000)</f>
        <v>1.3585123113239438E-4</v>
      </c>
      <c r="AC171" s="13">
        <f>Q171/detalle!$D$7</f>
        <v>0.52021089630931461</v>
      </c>
      <c r="AD171" s="20">
        <v>0</v>
      </c>
      <c r="AE171" s="20">
        <v>0</v>
      </c>
      <c r="AF171" s="22">
        <f t="shared" si="38"/>
        <v>8</v>
      </c>
      <c r="AG171" s="12">
        <v>0</v>
      </c>
      <c r="AH171" s="12">
        <v>0</v>
      </c>
      <c r="AI171" s="20">
        <v>0</v>
      </c>
      <c r="AJ171" s="23">
        <f t="shared" si="39"/>
        <v>0</v>
      </c>
      <c r="AK171" s="23">
        <v>0</v>
      </c>
      <c r="AL171" s="28">
        <f>AK171/detalle!$D$2</f>
        <v>0</v>
      </c>
    </row>
    <row r="172" spans="1:38">
      <c r="A172" s="12">
        <v>171</v>
      </c>
      <c r="B172" s="19">
        <v>44061</v>
      </c>
      <c r="C172" s="12">
        <v>153</v>
      </c>
      <c r="D172" s="23">
        <f t="shared" si="35"/>
        <v>1004</v>
      </c>
      <c r="E172" s="12">
        <v>88127</v>
      </c>
      <c r="F172" s="12">
        <v>1501</v>
      </c>
      <c r="G172" s="12">
        <v>56760</v>
      </c>
      <c r="H172" s="23">
        <f t="shared" si="31"/>
        <v>29866</v>
      </c>
      <c r="I172" s="23">
        <f t="shared" si="42"/>
        <v>4516</v>
      </c>
      <c r="J172" s="12">
        <v>331160</v>
      </c>
      <c r="K172" s="23">
        <f t="shared" si="30"/>
        <v>243033</v>
      </c>
      <c r="L172" s="9">
        <f t="shared" si="36"/>
        <v>1256</v>
      </c>
      <c r="M172" s="14">
        <f t="shared" si="32"/>
        <v>1.703223756623963E-2</v>
      </c>
      <c r="N172" s="14">
        <f t="shared" si="41"/>
        <v>0.22232063773250665</v>
      </c>
      <c r="O172" s="12">
        <v>22906</v>
      </c>
      <c r="P172" s="12">
        <v>6960</v>
      </c>
      <c r="Q172" s="12">
        <v>288</v>
      </c>
      <c r="R172" s="23">
        <f t="shared" si="33"/>
        <v>58261</v>
      </c>
      <c r="S172" s="25">
        <f>(((H172+R172)/(H171+R171))-1)+detalle!$D$1</f>
        <v>8.2952508850377332E-2</v>
      </c>
      <c r="T172" s="25">
        <f t="shared" si="37"/>
        <v>1.1613351239052827</v>
      </c>
      <c r="U172" s="10">
        <f t="shared" si="34"/>
        <v>0.64407048918038745</v>
      </c>
      <c r="V172" s="21">
        <f t="shared" si="40"/>
        <v>37.814790139906727</v>
      </c>
      <c r="W172" s="15">
        <f>J172/detalle!$D$2</f>
        <v>30213.897717799679</v>
      </c>
      <c r="X172" s="15">
        <f>E172/detalle!$D$2</f>
        <v>8040.4039261279513</v>
      </c>
      <c r="Y172" s="22">
        <f>F172/detalle!$D$2</f>
        <v>136.94606979833711</v>
      </c>
      <c r="AA172" s="14">
        <f>E172/(detalle!$D$2*1000000)</f>
        <v>8.0404039261279502E-3</v>
      </c>
      <c r="AB172" s="14">
        <f>F172/(detalle!$D$2*1000000)</f>
        <v>1.369460697983371E-4</v>
      </c>
      <c r="AC172" s="13">
        <f>Q172/detalle!$D$7</f>
        <v>0.5061511423550088</v>
      </c>
      <c r="AD172" s="20">
        <v>0</v>
      </c>
      <c r="AE172" s="20">
        <v>0</v>
      </c>
      <c r="AF172" s="22">
        <f t="shared" si="38"/>
        <v>12</v>
      </c>
      <c r="AG172" s="12">
        <v>0</v>
      </c>
      <c r="AH172" s="12">
        <v>0</v>
      </c>
      <c r="AI172" s="20">
        <v>0</v>
      </c>
      <c r="AJ172" s="23">
        <f t="shared" si="39"/>
        <v>0</v>
      </c>
      <c r="AK172" s="23">
        <v>0</v>
      </c>
      <c r="AL172" s="28">
        <f>AK172/detalle!$D$2</f>
        <v>0</v>
      </c>
    </row>
    <row r="173" spans="1:38">
      <c r="A173" s="12">
        <v>172</v>
      </c>
      <c r="B173" s="19">
        <v>44062</v>
      </c>
      <c r="C173" s="12">
        <v>154</v>
      </c>
      <c r="D173" s="23">
        <f t="shared" si="35"/>
        <v>883</v>
      </c>
      <c r="E173" s="12">
        <v>89010</v>
      </c>
      <c r="F173" s="12">
        <v>1505</v>
      </c>
      <c r="G173" s="12">
        <v>57734</v>
      </c>
      <c r="H173" s="23">
        <f t="shared" si="31"/>
        <v>29771</v>
      </c>
      <c r="I173" s="23">
        <f t="shared" si="42"/>
        <v>4318</v>
      </c>
      <c r="J173" s="12">
        <v>335478</v>
      </c>
      <c r="K173" s="23">
        <f t="shared" si="30"/>
        <v>246468</v>
      </c>
      <c r="L173" s="9">
        <f t="shared" si="36"/>
        <v>974</v>
      </c>
      <c r="M173" s="14">
        <f t="shared" si="32"/>
        <v>1.6908212560386472E-2</v>
      </c>
      <c r="N173" s="14">
        <f t="shared" si="41"/>
        <v>0.20449282075034739</v>
      </c>
      <c r="O173" s="12">
        <v>22692</v>
      </c>
      <c r="P173" s="12">
        <v>7079</v>
      </c>
      <c r="Q173" s="12">
        <v>287</v>
      </c>
      <c r="R173" s="23">
        <f t="shared" si="33"/>
        <v>59239</v>
      </c>
      <c r="S173" s="25">
        <f>(((H173+R173)/(H172+R172))-1)+detalle!$D$1</f>
        <v>8.1448202188724422E-2</v>
      </c>
      <c r="T173" s="25">
        <f t="shared" si="37"/>
        <v>1.140274830642142</v>
      </c>
      <c r="U173" s="10">
        <f t="shared" si="34"/>
        <v>0.64862375014043361</v>
      </c>
      <c r="V173" s="21">
        <f t="shared" si="40"/>
        <v>38.361461794019931</v>
      </c>
      <c r="W173" s="15">
        <f>J173/detalle!$D$2</f>
        <v>30607.857164428071</v>
      </c>
      <c r="X173" s="15">
        <f>E173/detalle!$D$2</f>
        <v>8120.9658046302375</v>
      </c>
      <c r="Y173" s="22">
        <f>F173/detalle!$D$2</f>
        <v>137.31101602031802</v>
      </c>
      <c r="AA173" s="14">
        <f>E173/(detalle!$D$2*1000000)</f>
        <v>8.1209658046302365E-3</v>
      </c>
      <c r="AB173" s="14">
        <f>F173/(detalle!$D$2*1000000)</f>
        <v>1.3731101602031801E-4</v>
      </c>
      <c r="AC173" s="13">
        <f>Q173/detalle!$D$7</f>
        <v>0.50439367311072059</v>
      </c>
      <c r="AD173" s="20">
        <v>0</v>
      </c>
      <c r="AE173" s="20">
        <v>0</v>
      </c>
      <c r="AF173" s="22">
        <f t="shared" si="38"/>
        <v>4</v>
      </c>
      <c r="AG173" s="12">
        <v>0</v>
      </c>
      <c r="AH173" s="12">
        <v>0</v>
      </c>
      <c r="AI173" s="20">
        <v>0</v>
      </c>
      <c r="AJ173" s="23">
        <f t="shared" si="39"/>
        <v>0</v>
      </c>
      <c r="AK173" s="23">
        <v>0</v>
      </c>
      <c r="AL173" s="28">
        <f>AK173/detalle!$D$2</f>
        <v>0</v>
      </c>
    </row>
    <row r="174" spans="1:38">
      <c r="A174" s="12">
        <v>173</v>
      </c>
      <c r="B174" s="19">
        <v>44063</v>
      </c>
      <c r="C174" s="12">
        <v>155</v>
      </c>
      <c r="D174" s="23">
        <f t="shared" si="35"/>
        <v>857</v>
      </c>
      <c r="E174" s="12">
        <v>89867</v>
      </c>
      <c r="F174" s="12">
        <v>1533</v>
      </c>
      <c r="G174" s="12">
        <v>59132</v>
      </c>
      <c r="H174" s="23">
        <f t="shared" si="31"/>
        <v>29202</v>
      </c>
      <c r="I174" s="23">
        <f t="shared" si="42"/>
        <v>4382</v>
      </c>
      <c r="J174" s="12">
        <v>339860</v>
      </c>
      <c r="K174" s="23">
        <f t="shared" si="30"/>
        <v>249993</v>
      </c>
      <c r="L174" s="9">
        <f t="shared" si="36"/>
        <v>1398</v>
      </c>
      <c r="M174" s="14">
        <f t="shared" si="32"/>
        <v>1.7058542067722299E-2</v>
      </c>
      <c r="N174" s="14">
        <f t="shared" si="41"/>
        <v>0.19557279780921955</v>
      </c>
      <c r="O174" s="12">
        <v>21918</v>
      </c>
      <c r="P174" s="12">
        <v>7284</v>
      </c>
      <c r="Q174" s="12">
        <v>287</v>
      </c>
      <c r="R174" s="23">
        <f t="shared" si="33"/>
        <v>60665</v>
      </c>
      <c r="S174" s="25">
        <f>(((H174+R174)/(H173+R173))-1)+detalle!$D$1</f>
        <v>8.1056703099170263E-2</v>
      </c>
      <c r="T174" s="25">
        <f t="shared" si="37"/>
        <v>1.1347938433883837</v>
      </c>
      <c r="U174" s="10">
        <f t="shared" si="34"/>
        <v>0.65799459200818988</v>
      </c>
      <c r="V174" s="21">
        <f t="shared" si="40"/>
        <v>38.572733202870189</v>
      </c>
      <c r="W174" s="15">
        <f>J174/detalle!$D$2</f>
        <v>31007.655750608163</v>
      </c>
      <c r="X174" s="15">
        <f>E174/detalle!$D$2</f>
        <v>8199.1555326896469</v>
      </c>
      <c r="Y174" s="22">
        <f>F174/detalle!$D$2</f>
        <v>139.8656395741844</v>
      </c>
      <c r="AA174" s="14">
        <f>E174/(detalle!$D$2*1000000)</f>
        <v>8.1991555326896472E-3</v>
      </c>
      <c r="AB174" s="14">
        <f>F174/(detalle!$D$2*1000000)</f>
        <v>1.3986563957418439E-4</v>
      </c>
      <c r="AC174" s="13">
        <f>Q174/detalle!$D$7</f>
        <v>0.50439367311072059</v>
      </c>
      <c r="AD174" s="20">
        <v>0</v>
      </c>
      <c r="AE174" s="20">
        <v>0</v>
      </c>
      <c r="AF174" s="22">
        <f t="shared" si="38"/>
        <v>28</v>
      </c>
      <c r="AG174" s="12">
        <v>0</v>
      </c>
      <c r="AH174" s="12">
        <v>0</v>
      </c>
      <c r="AI174" s="20">
        <v>0</v>
      </c>
      <c r="AJ174" s="23">
        <f t="shared" si="39"/>
        <v>0</v>
      </c>
      <c r="AK174" s="23">
        <v>0</v>
      </c>
      <c r="AL174" s="28">
        <f>AK174/detalle!$D$2</f>
        <v>0</v>
      </c>
    </row>
    <row r="175" spans="1:38">
      <c r="A175" s="12">
        <v>174</v>
      </c>
      <c r="B175" s="19">
        <v>44064</v>
      </c>
      <c r="C175" s="12">
        <v>156</v>
      </c>
      <c r="D175" s="23">
        <f t="shared" si="35"/>
        <v>694</v>
      </c>
      <c r="E175" s="12">
        <v>90561</v>
      </c>
      <c r="F175" s="12">
        <v>1554</v>
      </c>
      <c r="G175" s="12">
        <v>59949</v>
      </c>
      <c r="H175" s="23">
        <f t="shared" si="31"/>
        <v>29058</v>
      </c>
      <c r="I175" s="23">
        <f t="shared" si="42"/>
        <v>3936</v>
      </c>
      <c r="J175" s="12">
        <v>343796</v>
      </c>
      <c r="K175" s="23">
        <f t="shared" si="30"/>
        <v>253235</v>
      </c>
      <c r="L175" s="9">
        <f t="shared" si="36"/>
        <v>817</v>
      </c>
      <c r="M175" s="14">
        <f t="shared" si="32"/>
        <v>1.715970450856329E-2</v>
      </c>
      <c r="N175" s="14">
        <f t="shared" si="41"/>
        <v>0.17632113821138212</v>
      </c>
      <c r="O175" s="12">
        <v>21771</v>
      </c>
      <c r="P175" s="12">
        <v>7287</v>
      </c>
      <c r="Q175" s="12">
        <v>273</v>
      </c>
      <c r="R175" s="23">
        <f t="shared" si="33"/>
        <v>61503</v>
      </c>
      <c r="S175" s="25">
        <f>(((H175+R175)/(H174+R174))-1)+detalle!$D$1</f>
        <v>7.9151094712980569E-2</v>
      </c>
      <c r="T175" s="25">
        <f t="shared" si="37"/>
        <v>1.108115325981728</v>
      </c>
      <c r="U175" s="10">
        <f t="shared" si="34"/>
        <v>0.66197369728691158</v>
      </c>
      <c r="V175" s="21">
        <f t="shared" si="40"/>
        <v>38.577220077220076</v>
      </c>
      <c r="W175" s="15">
        <f>J175/detalle!$D$2</f>
        <v>31366.762833037377</v>
      </c>
      <c r="X175" s="15">
        <f>E175/detalle!$D$2</f>
        <v>8262.4737022033351</v>
      </c>
      <c r="Y175" s="22">
        <f>F175/detalle!$D$2</f>
        <v>141.78160723958419</v>
      </c>
      <c r="AA175" s="14">
        <f>E175/(detalle!$D$2*1000000)</f>
        <v>8.2624737022033348E-3</v>
      </c>
      <c r="AB175" s="14">
        <f>F175/(detalle!$D$2*1000000)</f>
        <v>1.4178160723958419E-4</v>
      </c>
      <c r="AC175" s="13">
        <f>Q175/detalle!$D$7</f>
        <v>0.47978910369068539</v>
      </c>
      <c r="AD175" s="20">
        <v>0</v>
      </c>
      <c r="AE175" s="20">
        <v>0</v>
      </c>
      <c r="AF175" s="22">
        <f t="shared" si="38"/>
        <v>21</v>
      </c>
      <c r="AG175" s="12">
        <v>0</v>
      </c>
      <c r="AH175" s="12">
        <v>0</v>
      </c>
      <c r="AI175" s="20">
        <v>0</v>
      </c>
      <c r="AJ175" s="23">
        <f t="shared" si="39"/>
        <v>0</v>
      </c>
      <c r="AK175" s="23">
        <v>0</v>
      </c>
      <c r="AL175" s="28">
        <f>AK175/detalle!$D$2</f>
        <v>0</v>
      </c>
    </row>
    <row r="176" spans="1:38">
      <c r="A176" s="12">
        <v>175</v>
      </c>
      <c r="B176" s="19">
        <v>44065</v>
      </c>
      <c r="C176" s="12">
        <v>157</v>
      </c>
      <c r="D176" s="23">
        <f t="shared" si="35"/>
        <v>600</v>
      </c>
      <c r="E176" s="12">
        <v>91161</v>
      </c>
      <c r="F176" s="12">
        <v>1567</v>
      </c>
      <c r="G176" s="12">
        <v>60670</v>
      </c>
      <c r="H176" s="23">
        <f t="shared" si="31"/>
        <v>28924</v>
      </c>
      <c r="I176" s="23">
        <f t="shared" si="42"/>
        <v>3467</v>
      </c>
      <c r="J176" s="12">
        <v>347263</v>
      </c>
      <c r="K176" s="23">
        <f t="shared" ref="K176:K239" si="43">J176-E176</f>
        <v>256102</v>
      </c>
      <c r="L176" s="9">
        <f t="shared" si="36"/>
        <v>721</v>
      </c>
      <c r="M176" s="14">
        <f t="shared" si="32"/>
        <v>1.7189368260550016E-2</v>
      </c>
      <c r="N176" s="14">
        <f t="shared" si="41"/>
        <v>0.17306028266512835</v>
      </c>
      <c r="O176" s="12">
        <v>21587</v>
      </c>
      <c r="P176" s="12">
        <v>7337</v>
      </c>
      <c r="Q176" s="12">
        <v>266</v>
      </c>
      <c r="R176" s="23">
        <f t="shared" si="33"/>
        <v>62237</v>
      </c>
      <c r="S176" s="25">
        <f>(((H176+R176)/(H175+R175))-1)+detalle!$D$1</f>
        <v>7.8053939964696256E-2</v>
      </c>
      <c r="T176" s="25">
        <f t="shared" si="37"/>
        <v>1.0927551595057476</v>
      </c>
      <c r="U176" s="10">
        <f t="shared" si="34"/>
        <v>0.66552582793080373</v>
      </c>
      <c r="V176" s="21">
        <f t="shared" si="40"/>
        <v>38.71729419272495</v>
      </c>
      <c r="W176" s="15">
        <f>J176/detalle!$D$2</f>
        <v>31683.079970939332</v>
      </c>
      <c r="X176" s="15">
        <f>E176/detalle!$D$2</f>
        <v>8317.2156355004718</v>
      </c>
      <c r="Y176" s="22">
        <f>F176/detalle!$D$2</f>
        <v>142.96768246102215</v>
      </c>
      <c r="AA176" s="14">
        <f>E176/(detalle!$D$2*1000000)</f>
        <v>8.3172156355004728E-3</v>
      </c>
      <c r="AB176" s="14">
        <f>F176/(detalle!$D$2*1000000)</f>
        <v>1.4296768246102216E-4</v>
      </c>
      <c r="AC176" s="13">
        <f>Q176/detalle!$D$7</f>
        <v>0.46748681898066785</v>
      </c>
      <c r="AD176" s="20">
        <v>0</v>
      </c>
      <c r="AE176" s="20">
        <v>0</v>
      </c>
      <c r="AF176" s="22">
        <f t="shared" si="38"/>
        <v>13</v>
      </c>
      <c r="AG176" s="12">
        <v>0</v>
      </c>
      <c r="AH176" s="12">
        <v>0</v>
      </c>
      <c r="AI176" s="20">
        <v>0</v>
      </c>
      <c r="AJ176" s="23">
        <f t="shared" si="39"/>
        <v>0</v>
      </c>
      <c r="AK176" s="23">
        <v>0</v>
      </c>
      <c r="AL176" s="28">
        <f>AK176/detalle!$D$2</f>
        <v>0</v>
      </c>
    </row>
    <row r="177" spans="1:38">
      <c r="A177" s="12">
        <v>176</v>
      </c>
      <c r="B177" s="19">
        <v>44066</v>
      </c>
      <c r="C177" s="12">
        <v>158</v>
      </c>
      <c r="D177" s="23">
        <f t="shared" si="35"/>
        <v>447</v>
      </c>
      <c r="E177" s="12">
        <v>91608</v>
      </c>
      <c r="F177" s="12">
        <v>1573</v>
      </c>
      <c r="G177" s="12">
        <v>61558</v>
      </c>
      <c r="H177" s="23">
        <f t="shared" si="31"/>
        <v>28477</v>
      </c>
      <c r="I177" s="23">
        <f t="shared" si="42"/>
        <v>2770</v>
      </c>
      <c r="J177" s="12">
        <v>350033</v>
      </c>
      <c r="K177" s="23">
        <f t="shared" si="43"/>
        <v>258425</v>
      </c>
      <c r="L177" s="9">
        <f t="shared" si="36"/>
        <v>888</v>
      </c>
      <c r="M177" s="14">
        <f t="shared" si="32"/>
        <v>1.7170989433237274E-2</v>
      </c>
      <c r="N177" s="14">
        <f t="shared" si="41"/>
        <v>0.16137184115523465</v>
      </c>
      <c r="O177" s="12">
        <v>21164</v>
      </c>
      <c r="P177" s="12">
        <v>7313</v>
      </c>
      <c r="Q177" s="12">
        <v>242</v>
      </c>
      <c r="R177" s="23">
        <f t="shared" si="33"/>
        <v>63131</v>
      </c>
      <c r="S177" s="25">
        <f>(((H177+R177)/(H176+R176))-1)+detalle!$D$1</f>
        <v>7.6331984072136178E-2</v>
      </c>
      <c r="T177" s="25">
        <f t="shared" si="37"/>
        <v>1.0686477770099065</v>
      </c>
      <c r="U177" s="10">
        <f t="shared" si="34"/>
        <v>0.67197188018513665</v>
      </c>
      <c r="V177" s="21">
        <f t="shared" si="40"/>
        <v>39.134138588684046</v>
      </c>
      <c r="W177" s="15">
        <f>J177/detalle!$D$2</f>
        <v>31935.805229661113</v>
      </c>
      <c r="X177" s="15">
        <f>E177/detalle!$D$2</f>
        <v>8357.9983758068392</v>
      </c>
      <c r="Y177" s="22">
        <f>F177/detalle!$D$2</f>
        <v>143.51510179399352</v>
      </c>
      <c r="AA177" s="14">
        <f>E177/(detalle!$D$2*1000000)</f>
        <v>8.3579983758068389E-3</v>
      </c>
      <c r="AB177" s="14">
        <f>F177/(detalle!$D$2*1000000)</f>
        <v>1.4351510179399352E-4</v>
      </c>
      <c r="AC177" s="13">
        <f>Q177/detalle!$D$7</f>
        <v>0.42530755711775042</v>
      </c>
      <c r="AD177" s="20">
        <v>0</v>
      </c>
      <c r="AE177" s="20">
        <v>0</v>
      </c>
      <c r="AF177" s="22">
        <f t="shared" si="38"/>
        <v>6</v>
      </c>
      <c r="AG177" s="12">
        <v>0</v>
      </c>
      <c r="AH177" s="12">
        <v>0</v>
      </c>
      <c r="AI177" s="20">
        <v>0</v>
      </c>
      <c r="AJ177" s="23">
        <f t="shared" si="39"/>
        <v>0</v>
      </c>
      <c r="AK177" s="23">
        <v>0</v>
      </c>
      <c r="AL177" s="28">
        <f>AK177/detalle!$D$2</f>
        <v>0</v>
      </c>
    </row>
    <row r="178" spans="1:38">
      <c r="A178" s="12">
        <v>177</v>
      </c>
      <c r="B178" s="19">
        <v>44067</v>
      </c>
      <c r="C178" s="12">
        <v>159</v>
      </c>
      <c r="D178" s="23">
        <f t="shared" si="35"/>
        <v>609</v>
      </c>
      <c r="E178" s="12">
        <v>92217</v>
      </c>
      <c r="F178" s="12">
        <v>1585</v>
      </c>
      <c r="G178" s="12">
        <v>62460</v>
      </c>
      <c r="H178" s="23">
        <f t="shared" si="31"/>
        <v>28172</v>
      </c>
      <c r="I178" s="23">
        <f t="shared" si="42"/>
        <v>3221</v>
      </c>
      <c r="J178" s="12">
        <v>353254</v>
      </c>
      <c r="K178" s="23">
        <f t="shared" si="43"/>
        <v>261037</v>
      </c>
      <c r="L178" s="9">
        <f t="shared" si="36"/>
        <v>902</v>
      </c>
      <c r="M178" s="14">
        <f t="shared" si="32"/>
        <v>1.7187720268497131E-2</v>
      </c>
      <c r="N178" s="14">
        <f t="shared" si="41"/>
        <v>0.1890717168581186</v>
      </c>
      <c r="O178" s="12">
        <v>20844</v>
      </c>
      <c r="P178" s="12">
        <v>7328</v>
      </c>
      <c r="Q178" s="12">
        <v>246</v>
      </c>
      <c r="R178" s="23">
        <f t="shared" si="33"/>
        <v>64045</v>
      </c>
      <c r="S178" s="25">
        <f>(((H178+R178)/(H177+R177))-1)+detalle!$D$1</f>
        <v>7.8076462442456612E-2</v>
      </c>
      <c r="T178" s="25">
        <f t="shared" si="37"/>
        <v>1.0930704741943926</v>
      </c>
      <c r="U178" s="10">
        <f t="shared" si="34"/>
        <v>0.67731546244184915</v>
      </c>
      <c r="V178" s="21">
        <f t="shared" si="40"/>
        <v>39.406940063091483</v>
      </c>
      <c r="W178" s="15">
        <f>J178/detalle!$D$2</f>
        <v>32229.678174911245</v>
      </c>
      <c r="X178" s="15">
        <f>E178/detalle!$D$2</f>
        <v>8413.5614381034338</v>
      </c>
      <c r="Y178" s="22">
        <f>F178/detalle!$D$2</f>
        <v>144.60994045993624</v>
      </c>
      <c r="AA178" s="14">
        <f>E178/(detalle!$D$2*1000000)</f>
        <v>8.4135614381034337E-3</v>
      </c>
      <c r="AB178" s="14">
        <f>F178/(detalle!$D$2*1000000)</f>
        <v>1.4460994045993624E-4</v>
      </c>
      <c r="AC178" s="13">
        <f>Q178/detalle!$D$7</f>
        <v>0.43233743409490333</v>
      </c>
      <c r="AD178" s="20">
        <v>0</v>
      </c>
      <c r="AE178" s="20">
        <v>0</v>
      </c>
      <c r="AF178" s="22">
        <f t="shared" si="38"/>
        <v>12</v>
      </c>
      <c r="AG178" s="12">
        <v>0</v>
      </c>
      <c r="AH178" s="12">
        <v>0</v>
      </c>
      <c r="AI178" s="20">
        <v>0</v>
      </c>
      <c r="AJ178" s="23">
        <f t="shared" si="39"/>
        <v>0</v>
      </c>
      <c r="AK178" s="23">
        <v>0</v>
      </c>
      <c r="AL178" s="28">
        <f>AK178/detalle!$D$2</f>
        <v>0</v>
      </c>
    </row>
    <row r="179" spans="1:38">
      <c r="A179" s="12">
        <v>178</v>
      </c>
      <c r="B179" s="19">
        <v>44068</v>
      </c>
      <c r="C179" s="12">
        <v>160</v>
      </c>
      <c r="D179" s="23">
        <f t="shared" si="35"/>
        <v>340</v>
      </c>
      <c r="E179" s="12">
        <v>92557</v>
      </c>
      <c r="F179" s="12">
        <v>1613</v>
      </c>
      <c r="G179" s="12">
        <v>63478</v>
      </c>
      <c r="H179" s="23">
        <f t="shared" si="31"/>
        <v>27466</v>
      </c>
      <c r="I179" s="23">
        <f t="shared" si="42"/>
        <v>2585</v>
      </c>
      <c r="J179" s="12">
        <v>355839</v>
      </c>
      <c r="K179" s="23">
        <f t="shared" si="43"/>
        <v>263282</v>
      </c>
      <c r="L179" s="9">
        <f t="shared" si="36"/>
        <v>1018</v>
      </c>
      <c r="M179" s="14">
        <f t="shared" si="32"/>
        <v>1.7427098976846699E-2</v>
      </c>
      <c r="N179" s="14">
        <f t="shared" si="41"/>
        <v>0.13152804642166344</v>
      </c>
      <c r="O179" s="12">
        <v>20137</v>
      </c>
      <c r="P179" s="12">
        <v>7329</v>
      </c>
      <c r="Q179" s="12">
        <v>249</v>
      </c>
      <c r="R179" s="23">
        <f t="shared" si="33"/>
        <v>65091</v>
      </c>
      <c r="S179" s="25">
        <f>(((H179+R179)/(H178+R178))-1)+detalle!$D$1</f>
        <v>7.5115527195946302E-2</v>
      </c>
      <c r="T179" s="25">
        <f t="shared" si="37"/>
        <v>1.0516173807432483</v>
      </c>
      <c r="U179" s="10">
        <f t="shared" si="34"/>
        <v>0.68582603152651878</v>
      </c>
      <c r="V179" s="21">
        <f t="shared" si="40"/>
        <v>39.353998760074397</v>
      </c>
      <c r="W179" s="15">
        <f>J179/detalle!$D$2</f>
        <v>32465.524670866409</v>
      </c>
      <c r="X179" s="15">
        <f>E179/detalle!$D$2</f>
        <v>8444.5818669718101</v>
      </c>
      <c r="Y179" s="22">
        <f>F179/detalle!$D$2</f>
        <v>147.16456401380265</v>
      </c>
      <c r="AA179" s="14">
        <f>E179/(detalle!$D$2*1000000)</f>
        <v>8.4445818669718099E-3</v>
      </c>
      <c r="AB179" s="14">
        <f>F179/(detalle!$D$2*1000000)</f>
        <v>1.4716456401380262E-4</v>
      </c>
      <c r="AC179" s="13">
        <f>Q179/detalle!$D$7</f>
        <v>0.43760984182776802</v>
      </c>
      <c r="AD179" s="20">
        <v>0</v>
      </c>
      <c r="AE179" s="20">
        <v>0</v>
      </c>
      <c r="AF179" s="22">
        <f t="shared" si="38"/>
        <v>28</v>
      </c>
      <c r="AG179" s="12">
        <v>0</v>
      </c>
      <c r="AH179" s="12">
        <v>0</v>
      </c>
      <c r="AI179" s="20">
        <v>0</v>
      </c>
      <c r="AJ179" s="23">
        <f t="shared" si="39"/>
        <v>0</v>
      </c>
      <c r="AK179" s="23">
        <v>0</v>
      </c>
      <c r="AL179" s="28">
        <f>AK179/detalle!$D$2</f>
        <v>0</v>
      </c>
    </row>
    <row r="180" spans="1:38">
      <c r="A180" s="12">
        <v>179</v>
      </c>
      <c r="B180" s="19">
        <v>44069</v>
      </c>
      <c r="C180" s="12">
        <v>161</v>
      </c>
      <c r="D180" s="23">
        <f t="shared" si="35"/>
        <v>407</v>
      </c>
      <c r="E180" s="12">
        <v>92964</v>
      </c>
      <c r="F180" s="12">
        <v>1630</v>
      </c>
      <c r="G180" s="12">
        <v>64347</v>
      </c>
      <c r="H180" s="23">
        <f t="shared" si="31"/>
        <v>26987</v>
      </c>
      <c r="I180" s="23">
        <f t="shared" si="42"/>
        <v>2694</v>
      </c>
      <c r="J180" s="12">
        <v>358533</v>
      </c>
      <c r="K180" s="23">
        <f t="shared" si="43"/>
        <v>265569</v>
      </c>
      <c r="L180" s="9">
        <f t="shared" si="36"/>
        <v>869</v>
      </c>
      <c r="M180" s="14">
        <f t="shared" si="32"/>
        <v>1.7533668947119316E-2</v>
      </c>
      <c r="N180" s="14">
        <f t="shared" si="41"/>
        <v>0.15107646622123236</v>
      </c>
      <c r="O180" s="12">
        <v>19617</v>
      </c>
      <c r="P180" s="12">
        <v>7370</v>
      </c>
      <c r="Q180" s="12">
        <v>226</v>
      </c>
      <c r="R180" s="23">
        <f t="shared" si="33"/>
        <v>65977</v>
      </c>
      <c r="S180" s="25">
        <f>(((H180+R180)/(H179+R179))-1)+detalle!$D$1</f>
        <v>7.5825861746969841E-2</v>
      </c>
      <c r="T180" s="25">
        <f t="shared" si="37"/>
        <v>1.0615620644575778</v>
      </c>
      <c r="U180" s="10">
        <f t="shared" si="34"/>
        <v>0.69217116303085069</v>
      </c>
      <c r="V180" s="21">
        <f t="shared" si="40"/>
        <v>39.47668711656442</v>
      </c>
      <c r="W180" s="15">
        <f>J180/detalle!$D$2</f>
        <v>32711.31595137055</v>
      </c>
      <c r="X180" s="15">
        <f>E180/detalle!$D$2</f>
        <v>8481.7151450583679</v>
      </c>
      <c r="Y180" s="22">
        <f>F180/detalle!$D$2</f>
        <v>148.71558545722152</v>
      </c>
      <c r="AA180" s="14">
        <f>E180/(detalle!$D$2*1000000)</f>
        <v>8.4817151450583689E-3</v>
      </c>
      <c r="AB180" s="14">
        <f>F180/(detalle!$D$2*1000000)</f>
        <v>1.487155854572215E-4</v>
      </c>
      <c r="AC180" s="13">
        <f>Q180/detalle!$D$7</f>
        <v>0.39718804920913886</v>
      </c>
      <c r="AD180" s="20">
        <v>0</v>
      </c>
      <c r="AE180" s="20">
        <v>0</v>
      </c>
      <c r="AF180" s="22">
        <f t="shared" si="38"/>
        <v>17</v>
      </c>
      <c r="AG180" s="12">
        <v>0</v>
      </c>
      <c r="AH180" s="12">
        <v>0</v>
      </c>
      <c r="AI180" s="20">
        <v>0</v>
      </c>
      <c r="AJ180" s="23">
        <f t="shared" si="39"/>
        <v>0</v>
      </c>
      <c r="AK180" s="23">
        <v>0</v>
      </c>
      <c r="AL180" s="28">
        <f>AK180/detalle!$D$2</f>
        <v>0</v>
      </c>
    </row>
    <row r="181" spans="1:38">
      <c r="A181" s="12">
        <v>180</v>
      </c>
      <c r="B181" s="19">
        <v>44070</v>
      </c>
      <c r="C181" s="12">
        <v>162</v>
      </c>
      <c r="D181" s="23">
        <f t="shared" si="35"/>
        <v>426</v>
      </c>
      <c r="E181" s="12">
        <v>93390</v>
      </c>
      <c r="F181" s="12">
        <v>1648</v>
      </c>
      <c r="G181" s="12">
        <v>65285</v>
      </c>
      <c r="H181" s="23">
        <f t="shared" si="31"/>
        <v>26457</v>
      </c>
      <c r="I181" s="23">
        <f t="shared" si="42"/>
        <v>2466</v>
      </c>
      <c r="J181" s="12">
        <v>360999</v>
      </c>
      <c r="K181" s="23">
        <f t="shared" si="43"/>
        <v>267609</v>
      </c>
      <c r="L181" s="9">
        <f t="shared" si="36"/>
        <v>938</v>
      </c>
      <c r="M181" s="14">
        <f t="shared" si="32"/>
        <v>1.764642895384945E-2</v>
      </c>
      <c r="N181" s="14">
        <f t="shared" si="41"/>
        <v>0.17274939172749393</v>
      </c>
      <c r="O181" s="12">
        <v>19081</v>
      </c>
      <c r="P181" s="12">
        <v>7376</v>
      </c>
      <c r="Q181" s="12">
        <v>233</v>
      </c>
      <c r="R181" s="23">
        <f t="shared" si="33"/>
        <v>66933</v>
      </c>
      <c r="S181" s="25">
        <f>(((H181+R181)/(H180+R180))-1)+detalle!$D$1</f>
        <v>7.6010990429475039E-2</v>
      </c>
      <c r="T181" s="25">
        <f t="shared" si="37"/>
        <v>1.0641538660126506</v>
      </c>
      <c r="U181" s="10">
        <f t="shared" si="34"/>
        <v>0.699057714958775</v>
      </c>
      <c r="V181" s="21">
        <f t="shared" si="40"/>
        <v>39.614684466019419</v>
      </c>
      <c r="W181" s="15">
        <f>J181/detalle!$D$2</f>
        <v>32936.305297221785</v>
      </c>
      <c r="X181" s="15">
        <f>E181/detalle!$D$2</f>
        <v>8520.5819176993355</v>
      </c>
      <c r="Y181" s="22">
        <f>F181/detalle!$D$2</f>
        <v>150.35784345613561</v>
      </c>
      <c r="AA181" s="14">
        <f>E181/(detalle!$D$2*1000000)</f>
        <v>8.520581917699336E-3</v>
      </c>
      <c r="AB181" s="14">
        <f>F181/(detalle!$D$2*1000000)</f>
        <v>1.5035784345613561E-4</v>
      </c>
      <c r="AC181" s="13">
        <f>Q181/detalle!$D$7</f>
        <v>0.4094903339191564</v>
      </c>
      <c r="AD181" s="20">
        <v>0</v>
      </c>
      <c r="AE181" s="20">
        <v>0</v>
      </c>
      <c r="AF181" s="22">
        <f t="shared" si="38"/>
        <v>18</v>
      </c>
      <c r="AG181" s="12">
        <v>0</v>
      </c>
      <c r="AH181" s="12">
        <v>0</v>
      </c>
      <c r="AI181" s="20">
        <v>0</v>
      </c>
      <c r="AJ181" s="23">
        <f t="shared" si="39"/>
        <v>0</v>
      </c>
      <c r="AK181" s="23">
        <v>0</v>
      </c>
      <c r="AL181" s="28">
        <f>AK181/detalle!$D$2</f>
        <v>0</v>
      </c>
    </row>
    <row r="182" spans="1:38">
      <c r="A182" s="12">
        <v>181</v>
      </c>
      <c r="B182" s="19">
        <v>44071</v>
      </c>
      <c r="C182" s="12">
        <v>163</v>
      </c>
      <c r="D182" s="23">
        <f t="shared" si="35"/>
        <v>342</v>
      </c>
      <c r="E182" s="12">
        <v>93732</v>
      </c>
      <c r="F182" s="12">
        <v>1673</v>
      </c>
      <c r="G182" s="12">
        <v>66320</v>
      </c>
      <c r="H182" s="23">
        <f t="shared" si="31"/>
        <v>25739</v>
      </c>
      <c r="I182" s="23">
        <f t="shared" si="42"/>
        <v>2808</v>
      </c>
      <c r="J182" s="12">
        <v>363807</v>
      </c>
      <c r="K182" s="23">
        <f t="shared" si="43"/>
        <v>270075</v>
      </c>
      <c r="L182" s="9">
        <f t="shared" si="36"/>
        <v>1035</v>
      </c>
      <c r="M182" s="14">
        <f t="shared" si="32"/>
        <v>1.7848760295310032E-2</v>
      </c>
      <c r="N182" s="14">
        <f t="shared" si="41"/>
        <v>0.12179487179487179</v>
      </c>
      <c r="O182" s="12">
        <v>18374</v>
      </c>
      <c r="P182" s="12">
        <v>7365</v>
      </c>
      <c r="Q182" s="12">
        <v>235</v>
      </c>
      <c r="R182" s="23">
        <f t="shared" si="33"/>
        <v>67993</v>
      </c>
      <c r="S182" s="25">
        <f>(((H182+R182)/(H181+R181))-1)+detalle!$D$1</f>
        <v>7.5090633747877639E-2</v>
      </c>
      <c r="T182" s="25">
        <f t="shared" si="37"/>
        <v>1.051268872470287</v>
      </c>
      <c r="U182" s="10">
        <f t="shared" si="34"/>
        <v>0.70754918277642642</v>
      </c>
      <c r="V182" s="21">
        <f t="shared" si="40"/>
        <v>39.641362821279138</v>
      </c>
      <c r="W182" s="15">
        <f>J182/detalle!$D$2</f>
        <v>33192.497545052385</v>
      </c>
      <c r="X182" s="15">
        <f>E182/detalle!$D$2</f>
        <v>8551.7848196787036</v>
      </c>
      <c r="Y182" s="22">
        <f>F182/detalle!$D$2</f>
        <v>152.63875734351632</v>
      </c>
      <c r="AA182" s="14">
        <f>E182/(detalle!$D$2*1000000)</f>
        <v>8.5517848196787032E-3</v>
      </c>
      <c r="AB182" s="14">
        <f>F182/(detalle!$D$2*1000000)</f>
        <v>1.5263875734351629E-4</v>
      </c>
      <c r="AC182" s="13">
        <f>Q182/detalle!$D$7</f>
        <v>0.41300527240773288</v>
      </c>
      <c r="AD182" s="20">
        <v>0</v>
      </c>
      <c r="AE182" s="20">
        <v>0</v>
      </c>
      <c r="AF182" s="22">
        <f t="shared" si="38"/>
        <v>25</v>
      </c>
      <c r="AG182" s="12">
        <v>0</v>
      </c>
      <c r="AH182" s="12">
        <v>0</v>
      </c>
      <c r="AI182" s="20">
        <v>0</v>
      </c>
      <c r="AJ182" s="23">
        <f t="shared" si="39"/>
        <v>0</v>
      </c>
      <c r="AK182" s="23">
        <v>0</v>
      </c>
      <c r="AL182" s="28">
        <f>AK182/detalle!$D$2</f>
        <v>0</v>
      </c>
    </row>
    <row r="183" spans="1:38">
      <c r="A183" s="12">
        <v>182</v>
      </c>
      <c r="B183" s="19">
        <v>44072</v>
      </c>
      <c r="C183" s="12">
        <v>164</v>
      </c>
      <c r="D183" s="23">
        <f t="shared" si="35"/>
        <v>509</v>
      </c>
      <c r="E183" s="12">
        <v>94241</v>
      </c>
      <c r="F183" s="12">
        <v>1681</v>
      </c>
      <c r="G183" s="12">
        <v>66776</v>
      </c>
      <c r="H183" s="23">
        <f t="shared" si="31"/>
        <v>25784</v>
      </c>
      <c r="I183" s="23">
        <f t="shared" si="42"/>
        <v>3339</v>
      </c>
      <c r="J183" s="12">
        <v>367146</v>
      </c>
      <c r="K183" s="23">
        <f t="shared" si="43"/>
        <v>272905</v>
      </c>
      <c r="L183" s="9">
        <f t="shared" si="36"/>
        <v>456</v>
      </c>
      <c r="M183" s="14">
        <f t="shared" si="32"/>
        <v>1.7837247058074511E-2</v>
      </c>
      <c r="N183" s="14">
        <f t="shared" si="41"/>
        <v>0.15244085055405809</v>
      </c>
      <c r="O183" s="12">
        <v>18304</v>
      </c>
      <c r="P183" s="12">
        <v>7480</v>
      </c>
      <c r="Q183" s="12">
        <v>220</v>
      </c>
      <c r="R183" s="23">
        <f t="shared" si="33"/>
        <v>68457</v>
      </c>
      <c r="S183" s="25">
        <f>(((H183+R183)/(H182+R182))-1)+detalle!$D$1</f>
        <v>7.6858947394090188E-2</v>
      </c>
      <c r="T183" s="25">
        <f t="shared" si="37"/>
        <v>1.0760252635172627</v>
      </c>
      <c r="U183" s="10">
        <f t="shared" si="34"/>
        <v>0.70856633524686707</v>
      </c>
      <c r="V183" s="21">
        <f t="shared" si="40"/>
        <v>39.723973825104103</v>
      </c>
      <c r="W183" s="15">
        <f>J183/detalle!$D$2</f>
        <v>33497.136403850949</v>
      </c>
      <c r="X183" s="15">
        <f>E183/detalle!$D$2</f>
        <v>8598.2242264257748</v>
      </c>
      <c r="Y183" s="22">
        <f>F183/detalle!$D$2</f>
        <v>153.36864978747815</v>
      </c>
      <c r="AA183" s="14">
        <f>E183/(detalle!$D$2*1000000)</f>
        <v>8.5982242264257738E-3</v>
      </c>
      <c r="AB183" s="14">
        <f>F183/(detalle!$D$2*1000000)</f>
        <v>1.5336864978747814E-4</v>
      </c>
      <c r="AC183" s="13">
        <f>Q183/detalle!$D$7</f>
        <v>0.38664323374340948</v>
      </c>
      <c r="AD183" s="20">
        <v>0</v>
      </c>
      <c r="AE183" s="20">
        <v>0</v>
      </c>
      <c r="AF183" s="22">
        <f t="shared" si="38"/>
        <v>8</v>
      </c>
      <c r="AG183" s="12">
        <v>0</v>
      </c>
      <c r="AH183" s="12">
        <v>0</v>
      </c>
      <c r="AI183" s="20">
        <v>0</v>
      </c>
      <c r="AJ183" s="23">
        <f t="shared" si="39"/>
        <v>0</v>
      </c>
      <c r="AK183" s="23">
        <v>0</v>
      </c>
      <c r="AL183" s="28">
        <f>AK183/detalle!$D$2</f>
        <v>0</v>
      </c>
    </row>
    <row r="184" spans="1:38">
      <c r="A184" s="12">
        <v>183</v>
      </c>
      <c r="B184" s="19">
        <v>44073</v>
      </c>
      <c r="C184" s="12">
        <v>165</v>
      </c>
      <c r="D184" s="23">
        <f t="shared" si="35"/>
        <v>474</v>
      </c>
      <c r="E184" s="12">
        <v>94715</v>
      </c>
      <c r="F184" s="12">
        <v>1710</v>
      </c>
      <c r="G184" s="12">
        <v>68082</v>
      </c>
      <c r="H184" s="23">
        <f t="shared" si="31"/>
        <v>24923</v>
      </c>
      <c r="I184" s="23">
        <f t="shared" si="42"/>
        <v>3729</v>
      </c>
      <c r="J184" s="12">
        <v>370875</v>
      </c>
      <c r="K184" s="23">
        <f t="shared" si="43"/>
        <v>276160</v>
      </c>
      <c r="L184" s="9">
        <f t="shared" si="36"/>
        <v>1306</v>
      </c>
      <c r="M184" s="14">
        <f t="shared" si="32"/>
        <v>1.8054162487462388E-2</v>
      </c>
      <c r="N184" s="14">
        <f t="shared" si="41"/>
        <v>0.12711182622687048</v>
      </c>
      <c r="O184" s="12">
        <v>17468</v>
      </c>
      <c r="P184" s="12">
        <v>7455</v>
      </c>
      <c r="Q184" s="12">
        <v>217</v>
      </c>
      <c r="R184" s="23">
        <f t="shared" si="33"/>
        <v>69792</v>
      </c>
      <c r="S184" s="25">
        <f>(((H184+R184)/(H183+R183))-1)+detalle!$D$1</f>
        <v>7.6458229433049391E-2</v>
      </c>
      <c r="T184" s="25">
        <f t="shared" si="37"/>
        <v>1.0704152120626915</v>
      </c>
      <c r="U184" s="10">
        <f t="shared" si="34"/>
        <v>0.71880905875521306</v>
      </c>
      <c r="V184" s="21">
        <f t="shared" si="40"/>
        <v>39.814035087719297</v>
      </c>
      <c r="W184" s="15">
        <f>J184/detalle!$D$2</f>
        <v>33837.357519292658</v>
      </c>
      <c r="X184" s="15">
        <f>E184/detalle!$D$2</f>
        <v>8641.4703537305122</v>
      </c>
      <c r="Y184" s="22">
        <f>F184/detalle!$D$2</f>
        <v>156.01450989683974</v>
      </c>
      <c r="AA184" s="14">
        <f>E184/(detalle!$D$2*1000000)</f>
        <v>8.6414703537305119E-3</v>
      </c>
      <c r="AB184" s="14">
        <f>F184/(detalle!$D$2*1000000)</f>
        <v>1.5601450989683973E-4</v>
      </c>
      <c r="AC184" s="13">
        <f>Q184/detalle!$D$7</f>
        <v>0.38137082601054484</v>
      </c>
      <c r="AD184" s="20">
        <v>0</v>
      </c>
      <c r="AE184" s="20">
        <v>0</v>
      </c>
      <c r="AF184" s="22">
        <f t="shared" si="38"/>
        <v>29</v>
      </c>
      <c r="AG184" s="12">
        <v>0</v>
      </c>
      <c r="AH184" s="12">
        <v>0</v>
      </c>
      <c r="AI184" s="20">
        <v>0</v>
      </c>
      <c r="AJ184" s="23">
        <f t="shared" si="39"/>
        <v>0</v>
      </c>
      <c r="AK184" s="23">
        <v>0</v>
      </c>
      <c r="AL184" s="28">
        <f>AK184/detalle!$D$2</f>
        <v>0</v>
      </c>
    </row>
    <row r="185" spans="1:38">
      <c r="A185" s="12">
        <v>184</v>
      </c>
      <c r="B185" s="19">
        <v>44074</v>
      </c>
      <c r="C185" s="12">
        <v>166</v>
      </c>
      <c r="D185" s="23">
        <f t="shared" si="35"/>
        <v>264</v>
      </c>
      <c r="E185" s="12">
        <v>94979</v>
      </c>
      <c r="F185" s="12">
        <v>1738</v>
      </c>
      <c r="G185" s="12">
        <v>68736</v>
      </c>
      <c r="H185" s="23">
        <f t="shared" si="31"/>
        <v>24505</v>
      </c>
      <c r="I185" s="23">
        <f t="shared" si="42"/>
        <v>2126</v>
      </c>
      <c r="J185" s="12">
        <v>373001</v>
      </c>
      <c r="K185" s="23">
        <f t="shared" si="43"/>
        <v>278022</v>
      </c>
      <c r="L185" s="9">
        <f t="shared" si="36"/>
        <v>654</v>
      </c>
      <c r="M185" s="14">
        <f t="shared" si="32"/>
        <v>1.8298781835984795E-2</v>
      </c>
      <c r="N185" s="14">
        <f t="shared" si="41"/>
        <v>0.12417685794920037</v>
      </c>
      <c r="O185" s="12">
        <v>17061</v>
      </c>
      <c r="P185" s="12">
        <v>7444</v>
      </c>
      <c r="Q185" s="12">
        <v>207</v>
      </c>
      <c r="R185" s="23">
        <f t="shared" si="33"/>
        <v>70474</v>
      </c>
      <c r="S185" s="25">
        <f>(((H185+R185)/(H184+R184))-1)+detalle!$D$1</f>
        <v>7.4215880724881417E-2</v>
      </c>
      <c r="T185" s="25">
        <f t="shared" si="37"/>
        <v>1.0390223301483399</v>
      </c>
      <c r="U185" s="10">
        <f t="shared" si="34"/>
        <v>0.72369681719116863</v>
      </c>
      <c r="V185" s="21">
        <f t="shared" si="40"/>
        <v>39.548906789413117</v>
      </c>
      <c r="W185" s="15">
        <f>J185/detalle!$D$2</f>
        <v>34031.326436275507</v>
      </c>
      <c r="X185" s="15">
        <f>E185/detalle!$D$2</f>
        <v>8665.5568043812527</v>
      </c>
      <c r="Y185" s="22">
        <f>F185/detalle!$D$2</f>
        <v>158.56913345070612</v>
      </c>
      <c r="AA185" s="14">
        <f>E185/(detalle!$D$2*1000000)</f>
        <v>8.6655568043812522E-3</v>
      </c>
      <c r="AB185" s="14">
        <f>F185/(detalle!$D$2*1000000)</f>
        <v>1.5856913345070611E-4</v>
      </c>
      <c r="AC185" s="13">
        <f>Q185/detalle!$D$7</f>
        <v>0.36379613356766255</v>
      </c>
      <c r="AD185" s="20">
        <v>0</v>
      </c>
      <c r="AE185" s="20">
        <v>0</v>
      </c>
      <c r="AF185" s="22">
        <f t="shared" si="38"/>
        <v>28</v>
      </c>
      <c r="AG185" s="12">
        <v>0</v>
      </c>
      <c r="AH185" s="12">
        <v>0</v>
      </c>
      <c r="AI185" s="20">
        <v>0</v>
      </c>
      <c r="AJ185" s="23">
        <f t="shared" si="39"/>
        <v>0</v>
      </c>
      <c r="AK185" s="23">
        <v>0</v>
      </c>
      <c r="AL185" s="28">
        <f>AK185/detalle!$D$2</f>
        <v>0</v>
      </c>
    </row>
    <row r="186" spans="1:38">
      <c r="A186" s="12">
        <v>185</v>
      </c>
      <c r="B186" s="19">
        <v>44075</v>
      </c>
      <c r="C186" s="12">
        <v>167</v>
      </c>
      <c r="D186" s="23">
        <f t="shared" si="35"/>
        <v>648</v>
      </c>
      <c r="E186" s="12">
        <v>95627</v>
      </c>
      <c r="F186" s="12">
        <v>1765</v>
      </c>
      <c r="G186" s="12">
        <v>69519</v>
      </c>
      <c r="H186" s="23">
        <f t="shared" si="31"/>
        <v>24343</v>
      </c>
      <c r="I186" s="23">
        <f t="shared" si="42"/>
        <v>3120</v>
      </c>
      <c r="J186" s="12">
        <v>376121</v>
      </c>
      <c r="K186" s="23">
        <f t="shared" si="43"/>
        <v>280494</v>
      </c>
      <c r="L186" s="9">
        <f t="shared" si="36"/>
        <v>783</v>
      </c>
      <c r="M186" s="14">
        <f t="shared" si="32"/>
        <v>1.8457130308385708E-2</v>
      </c>
      <c r="N186" s="14">
        <f t="shared" si="41"/>
        <v>0.2076923076923077</v>
      </c>
      <c r="O186" s="12">
        <v>16897</v>
      </c>
      <c r="P186" s="12">
        <v>7446</v>
      </c>
      <c r="Q186" s="12">
        <v>217</v>
      </c>
      <c r="R186" s="23">
        <f t="shared" si="33"/>
        <v>71284</v>
      </c>
      <c r="S186" s="25">
        <f>(((H186+R186)/(H185+R185))-1)+detalle!$D$1</f>
        <v>7.8251132205164248E-2</v>
      </c>
      <c r="T186" s="25">
        <f t="shared" si="37"/>
        <v>1.0955158508722995</v>
      </c>
      <c r="U186" s="10">
        <f t="shared" si="34"/>
        <v>0.72698087360264363</v>
      </c>
      <c r="V186" s="21">
        <f t="shared" si="40"/>
        <v>39.387535410764869</v>
      </c>
      <c r="W186" s="15">
        <f>J186/detalle!$D$2</f>
        <v>34315.984489420618</v>
      </c>
      <c r="X186" s="15">
        <f>E186/detalle!$D$2</f>
        <v>8724.6780923421611</v>
      </c>
      <c r="Y186" s="22">
        <f>F186/detalle!$D$2</f>
        <v>161.03252044907728</v>
      </c>
      <c r="AA186" s="14">
        <f>E186/(detalle!$D$2*1000000)</f>
        <v>8.7246780923421596E-3</v>
      </c>
      <c r="AB186" s="14">
        <f>F186/(detalle!$D$2*1000000)</f>
        <v>1.6103252044907728E-4</v>
      </c>
      <c r="AC186" s="13">
        <f>Q186/detalle!$D$7</f>
        <v>0.38137082601054484</v>
      </c>
      <c r="AD186" s="20">
        <v>0</v>
      </c>
      <c r="AE186" s="20">
        <v>0</v>
      </c>
      <c r="AF186" s="22">
        <f t="shared" si="38"/>
        <v>27</v>
      </c>
      <c r="AG186" s="12">
        <v>0</v>
      </c>
      <c r="AH186" s="12">
        <v>0</v>
      </c>
      <c r="AI186" s="20">
        <v>0</v>
      </c>
      <c r="AJ186" s="23">
        <f t="shared" si="39"/>
        <v>0</v>
      </c>
      <c r="AK186" s="23">
        <v>0</v>
      </c>
      <c r="AL186" s="28">
        <f>AK186/detalle!$D$2</f>
        <v>0</v>
      </c>
    </row>
    <row r="187" spans="1:38">
      <c r="A187" s="12">
        <v>186</v>
      </c>
      <c r="B187" s="19">
        <v>44076</v>
      </c>
      <c r="C187" s="12">
        <v>168</v>
      </c>
      <c r="D187" s="23">
        <f t="shared" si="35"/>
        <v>1002</v>
      </c>
      <c r="E187" s="12">
        <v>96629</v>
      </c>
      <c r="F187" s="12">
        <v>1801</v>
      </c>
      <c r="G187" s="12">
        <v>70871</v>
      </c>
      <c r="H187" s="23">
        <f t="shared" si="31"/>
        <v>23957</v>
      </c>
      <c r="I187" s="23">
        <f t="shared" si="42"/>
        <v>3808</v>
      </c>
      <c r="J187" s="12">
        <v>379929</v>
      </c>
      <c r="K187" s="23">
        <f t="shared" si="43"/>
        <v>283300</v>
      </c>
      <c r="L187" s="9">
        <f t="shared" si="36"/>
        <v>1352</v>
      </c>
      <c r="M187" s="14">
        <f t="shared" si="32"/>
        <v>1.8638296991586378E-2</v>
      </c>
      <c r="N187" s="14">
        <f t="shared" si="41"/>
        <v>0.26313025210084034</v>
      </c>
      <c r="O187" s="12">
        <v>16297</v>
      </c>
      <c r="P187" s="12">
        <v>7518</v>
      </c>
      <c r="Q187" s="12">
        <v>199</v>
      </c>
      <c r="R187" s="23">
        <f t="shared" si="33"/>
        <v>72672</v>
      </c>
      <c r="S187" s="25">
        <f>(((H187+R187)/(H186+R186))-1)+detalle!$D$1</f>
        <v>8.1906783648969334E-2</v>
      </c>
      <c r="T187" s="25">
        <f t="shared" si="37"/>
        <v>1.1466949710855707</v>
      </c>
      <c r="U187" s="10">
        <f t="shared" si="34"/>
        <v>0.73343406223804453</v>
      </c>
      <c r="V187" s="21">
        <f t="shared" si="40"/>
        <v>39.350916157690172</v>
      </c>
      <c r="W187" s="15">
        <f>J187/detalle!$D$2</f>
        <v>34663.413292746445</v>
      </c>
      <c r="X187" s="15">
        <f>E187/detalle!$D$2</f>
        <v>8816.0971209483796</v>
      </c>
      <c r="Y187" s="22">
        <f>F187/detalle!$D$2</f>
        <v>164.31703644690549</v>
      </c>
      <c r="AA187" s="14">
        <f>E187/(detalle!$D$2*1000000)</f>
        <v>8.8160971209483782E-3</v>
      </c>
      <c r="AB187" s="14">
        <f>F187/(detalle!$D$2*1000000)</f>
        <v>1.6431703644690548E-4</v>
      </c>
      <c r="AC187" s="13">
        <f>Q187/detalle!$D$7</f>
        <v>0.34973637961335674</v>
      </c>
      <c r="AD187" s="20">
        <v>0</v>
      </c>
      <c r="AE187" s="20">
        <v>0</v>
      </c>
      <c r="AF187" s="22">
        <f t="shared" si="38"/>
        <v>36</v>
      </c>
      <c r="AG187" s="12">
        <v>0</v>
      </c>
      <c r="AH187" s="12">
        <v>0</v>
      </c>
      <c r="AI187" s="20">
        <v>0</v>
      </c>
      <c r="AJ187" s="23">
        <f t="shared" si="39"/>
        <v>0</v>
      </c>
      <c r="AK187" s="23">
        <v>0</v>
      </c>
      <c r="AL187" s="28">
        <f>AK187/detalle!$D$2</f>
        <v>0</v>
      </c>
    </row>
    <row r="188" spans="1:38">
      <c r="A188" s="12">
        <v>187</v>
      </c>
      <c r="B188" s="19">
        <v>44077</v>
      </c>
      <c r="C188" s="12">
        <v>169</v>
      </c>
      <c r="D188" s="23">
        <f t="shared" si="35"/>
        <v>1273</v>
      </c>
      <c r="E188" s="12">
        <v>97902</v>
      </c>
      <c r="F188" s="12">
        <v>1821</v>
      </c>
      <c r="G188" s="12">
        <v>71544</v>
      </c>
      <c r="H188" s="23">
        <f t="shared" si="31"/>
        <v>24537</v>
      </c>
      <c r="I188" s="23">
        <f t="shared" si="42"/>
        <v>6192</v>
      </c>
      <c r="J188" s="12">
        <v>386121</v>
      </c>
      <c r="K188" s="23">
        <f t="shared" si="43"/>
        <v>288219</v>
      </c>
      <c r="L188" s="9">
        <f t="shared" si="36"/>
        <v>673</v>
      </c>
      <c r="M188" s="14">
        <f t="shared" si="32"/>
        <v>1.8600232885947171E-2</v>
      </c>
      <c r="N188" s="14">
        <f t="shared" si="41"/>
        <v>0.20558785529715762</v>
      </c>
      <c r="O188" s="12">
        <v>16444</v>
      </c>
      <c r="P188" s="12"/>
      <c r="Q188" s="12">
        <v>202</v>
      </c>
      <c r="R188" s="23">
        <f t="shared" si="33"/>
        <v>73365</v>
      </c>
      <c r="S188" s="25">
        <f>(((H188+R188)/(H187+R187))-1)+detalle!$D$1</f>
        <v>8.4602670301580557E-2</v>
      </c>
      <c r="T188" s="25">
        <f t="shared" si="37"/>
        <v>1.1844373842221279</v>
      </c>
      <c r="U188" s="10">
        <f t="shared" si="34"/>
        <v>0.73077158791444508</v>
      </c>
      <c r="V188" s="21">
        <f t="shared" si="40"/>
        <v>39.288303130148272</v>
      </c>
      <c r="W188" s="15">
        <f>J188/detalle!$D$2</f>
        <v>35228.350044372899</v>
      </c>
      <c r="X188" s="15">
        <f>E188/detalle!$D$2</f>
        <v>8932.2412560938046</v>
      </c>
      <c r="Y188" s="22">
        <f>F188/detalle!$D$2</f>
        <v>166.14176755681004</v>
      </c>
      <c r="AA188" s="14">
        <f>E188/(detalle!$D$2*1000000)</f>
        <v>8.9322412560938029E-3</v>
      </c>
      <c r="AB188" s="14">
        <f>F188/(detalle!$D$2*1000000)</f>
        <v>1.6614176755681004E-4</v>
      </c>
      <c r="AC188" s="13">
        <f>Q188/detalle!$D$7</f>
        <v>0.35500878734622143</v>
      </c>
      <c r="AD188" s="20">
        <v>0</v>
      </c>
      <c r="AE188" s="20">
        <v>0</v>
      </c>
      <c r="AF188" s="22">
        <f t="shared" si="38"/>
        <v>20</v>
      </c>
      <c r="AG188" s="12">
        <v>0</v>
      </c>
      <c r="AH188" s="12">
        <v>0</v>
      </c>
      <c r="AI188" s="20">
        <v>0</v>
      </c>
      <c r="AJ188" s="23">
        <f t="shared" si="39"/>
        <v>0</v>
      </c>
      <c r="AK188" s="23">
        <v>0</v>
      </c>
      <c r="AL188" s="28">
        <f>AK188/detalle!$D$2</f>
        <v>0</v>
      </c>
    </row>
    <row r="189" spans="1:38">
      <c r="A189" s="12">
        <v>188</v>
      </c>
      <c r="B189" s="19">
        <v>44078</v>
      </c>
      <c r="C189" s="12">
        <v>170</v>
      </c>
      <c r="D189" s="23">
        <f t="shared" si="35"/>
        <v>874</v>
      </c>
      <c r="E189" s="12">
        <v>98776</v>
      </c>
      <c r="F189" s="12">
        <v>1840</v>
      </c>
      <c r="G189" s="12">
        <v>71901</v>
      </c>
      <c r="H189" s="23">
        <f t="shared" si="31"/>
        <v>25035</v>
      </c>
      <c r="I189" s="23">
        <f t="shared" si="42"/>
        <v>5069</v>
      </c>
      <c r="J189" s="12">
        <v>391190</v>
      </c>
      <c r="K189" s="23">
        <f t="shared" si="43"/>
        <v>292414</v>
      </c>
      <c r="L189" s="9">
        <f t="shared" si="36"/>
        <v>357</v>
      </c>
      <c r="M189" s="14">
        <f t="shared" si="32"/>
        <v>1.8628006803272049E-2</v>
      </c>
      <c r="N189" s="14">
        <f t="shared" si="41"/>
        <v>0.17242059577826002</v>
      </c>
      <c r="O189" s="12"/>
      <c r="P189" s="12"/>
      <c r="Q189" s="12">
        <v>210</v>
      </c>
      <c r="R189" s="23">
        <f t="shared" si="33"/>
        <v>73741</v>
      </c>
      <c r="S189" s="25">
        <f>(((H189+R189)/(H188+R188))-1)+detalle!$D$1</f>
        <v>8.0355866070151799E-2</v>
      </c>
      <c r="T189" s="25">
        <f t="shared" si="37"/>
        <v>1.1249821249821252</v>
      </c>
      <c r="U189" s="10">
        <f t="shared" si="34"/>
        <v>0.72791973758807804</v>
      </c>
      <c r="V189" s="21">
        <f t="shared" si="40"/>
        <v>39.076630434782608</v>
      </c>
      <c r="W189" s="15">
        <f>J189/detalle!$D$2</f>
        <v>35690.828144178209</v>
      </c>
      <c r="X189" s="15">
        <f>E189/detalle!$D$2</f>
        <v>9011.9820055966338</v>
      </c>
      <c r="Y189" s="22">
        <f>F189/detalle!$D$2</f>
        <v>167.87526211121937</v>
      </c>
      <c r="AA189" s="14">
        <f>E189/(detalle!$D$2*1000000)</f>
        <v>9.0119820055966325E-3</v>
      </c>
      <c r="AB189" s="14">
        <f>F189/(detalle!$D$2*1000000)</f>
        <v>1.6787526211121937E-4</v>
      </c>
      <c r="AC189" s="13">
        <f>Q189/detalle!$D$7</f>
        <v>0.36906854130052724</v>
      </c>
      <c r="AD189" s="20">
        <v>0</v>
      </c>
      <c r="AE189" s="20">
        <v>0</v>
      </c>
      <c r="AF189" s="22">
        <f t="shared" si="38"/>
        <v>19</v>
      </c>
      <c r="AG189" s="12">
        <v>0</v>
      </c>
      <c r="AH189" s="12">
        <v>0</v>
      </c>
      <c r="AI189" s="20">
        <v>0</v>
      </c>
      <c r="AJ189" s="23">
        <f t="shared" si="39"/>
        <v>0</v>
      </c>
      <c r="AK189" s="23">
        <v>0</v>
      </c>
      <c r="AL189" s="28">
        <f>AK189/detalle!$D$2</f>
        <v>0</v>
      </c>
    </row>
    <row r="190" spans="1:38">
      <c r="A190" s="12">
        <v>189</v>
      </c>
      <c r="B190" s="19">
        <v>44079</v>
      </c>
      <c r="C190" s="12">
        <v>171</v>
      </c>
      <c r="D190" s="23">
        <f t="shared" si="35"/>
        <v>557</v>
      </c>
      <c r="E190" s="12">
        <v>99333</v>
      </c>
      <c r="F190" s="12">
        <v>1845</v>
      </c>
      <c r="G190" s="12">
        <v>72567</v>
      </c>
      <c r="H190" s="23">
        <f t="shared" si="31"/>
        <v>24921</v>
      </c>
      <c r="I190" s="23">
        <f t="shared" si="42"/>
        <v>3601</v>
      </c>
      <c r="J190" s="12">
        <v>394791</v>
      </c>
      <c r="K190" s="23">
        <f t="shared" si="43"/>
        <v>295458</v>
      </c>
      <c r="L190" s="9">
        <f t="shared" si="36"/>
        <v>666</v>
      </c>
      <c r="M190" s="14">
        <f t="shared" si="32"/>
        <v>1.8573887831838363E-2</v>
      </c>
      <c r="N190" s="14">
        <f t="shared" si="41"/>
        <v>0.15467925576228825</v>
      </c>
      <c r="O190" s="12"/>
      <c r="P190" s="12"/>
      <c r="Q190" s="12">
        <v>286</v>
      </c>
      <c r="R190" s="23">
        <f t="shared" si="33"/>
        <v>74412</v>
      </c>
      <c r="S190" s="25">
        <f>(((H190+R190)/(H189+R189))-1)+detalle!$D$1</f>
        <v>7.7067593053257638E-2</v>
      </c>
      <c r="T190" s="25">
        <f t="shared" si="37"/>
        <v>1.078946302745607</v>
      </c>
      <c r="U190" s="10">
        <f t="shared" si="34"/>
        <v>0.73054271994201325</v>
      </c>
      <c r="V190" s="21">
        <f t="shared" si="40"/>
        <v>39.331707317073167</v>
      </c>
      <c r="W190" s="15">
        <f>J190/detalle!$D$2</f>
        <v>36019.370980516527</v>
      </c>
      <c r="X190" s="15">
        <f>E190/detalle!$D$2</f>
        <v>9062.8007670074749</v>
      </c>
      <c r="Y190" s="22">
        <f>F190/detalle!$D$2</f>
        <v>168.3314448886955</v>
      </c>
      <c r="AA190" s="14">
        <f>E190/(detalle!$D$2*1000000)</f>
        <v>9.0628007670074742E-3</v>
      </c>
      <c r="AB190" s="14">
        <f>F190/(detalle!$D$2*1000000)</f>
        <v>1.6833144488869552E-4</v>
      </c>
      <c r="AC190" s="13">
        <f>Q190/detalle!$D$7</f>
        <v>0.50263620386643237</v>
      </c>
      <c r="AD190" s="13">
        <v>0.3</v>
      </c>
      <c r="AE190" s="13">
        <v>0.35</v>
      </c>
      <c r="AF190" s="22">
        <f t="shared" si="38"/>
        <v>5</v>
      </c>
      <c r="AG190" s="12">
        <v>0</v>
      </c>
      <c r="AH190" s="12">
        <v>0</v>
      </c>
      <c r="AI190" s="20">
        <v>0</v>
      </c>
      <c r="AJ190" s="23">
        <f t="shared" si="39"/>
        <v>0</v>
      </c>
      <c r="AK190" s="23">
        <v>0</v>
      </c>
      <c r="AL190" s="28">
        <f>AK190/detalle!$D$2</f>
        <v>0</v>
      </c>
    </row>
    <row r="191" spans="1:38">
      <c r="A191" s="12">
        <v>190</v>
      </c>
      <c r="B191" s="19">
        <v>44080</v>
      </c>
      <c r="C191" s="12">
        <v>172</v>
      </c>
      <c r="D191" s="23">
        <f t="shared" si="35"/>
        <v>565</v>
      </c>
      <c r="E191" s="12">
        <v>99898</v>
      </c>
      <c r="F191" s="12">
        <v>1864</v>
      </c>
      <c r="G191" s="12">
        <v>73228</v>
      </c>
      <c r="H191" s="23">
        <f t="shared" si="31"/>
        <v>24806</v>
      </c>
      <c r="I191" s="23">
        <f t="shared" si="42"/>
        <v>2854</v>
      </c>
      <c r="J191" s="12">
        <v>397645</v>
      </c>
      <c r="K191" s="23">
        <f t="shared" si="43"/>
        <v>297747</v>
      </c>
      <c r="L191" s="9">
        <f t="shared" si="36"/>
        <v>661</v>
      </c>
      <c r="M191" s="14">
        <f t="shared" si="32"/>
        <v>1.8659032212857113E-2</v>
      </c>
      <c r="N191" s="14">
        <f t="shared" si="41"/>
        <v>0.1979677645409951</v>
      </c>
      <c r="O191" s="12"/>
      <c r="P191" s="12"/>
      <c r="Q191" s="12">
        <v>276</v>
      </c>
      <c r="R191" s="23">
        <f t="shared" si="33"/>
        <v>75092</v>
      </c>
      <c r="S191" s="25">
        <f>(((H191+R191)/(H190+R190))-1)+detalle!$D$1</f>
        <v>7.7116509978700815E-2</v>
      </c>
      <c r="T191" s="25">
        <f t="shared" si="37"/>
        <v>1.0796311397018115</v>
      </c>
      <c r="U191" s="10">
        <f t="shared" si="34"/>
        <v>0.73302768824200681</v>
      </c>
      <c r="V191" s="21">
        <f t="shared" si="40"/>
        <v>39.285407725321889</v>
      </c>
      <c r="W191" s="15">
        <f>J191/detalle!$D$2</f>
        <v>36279.760109899908</v>
      </c>
      <c r="X191" s="15">
        <f>E191/detalle!$D$2</f>
        <v>9114.3494208622797</v>
      </c>
      <c r="Y191" s="22">
        <f>F191/detalle!$D$2</f>
        <v>170.06493944310483</v>
      </c>
      <c r="AA191" s="14">
        <f>E191/(detalle!$D$2*1000000)</f>
        <v>9.1143494208622781E-3</v>
      </c>
      <c r="AB191" s="14">
        <f>F191/(detalle!$D$2*1000000)</f>
        <v>1.7006493944310484E-4</v>
      </c>
      <c r="AC191" s="13">
        <f>Q191/detalle!$D$7</f>
        <v>0.48506151142355008</v>
      </c>
      <c r="AD191" s="13">
        <v>0.28999999999999998</v>
      </c>
      <c r="AE191" s="13">
        <v>0.34</v>
      </c>
      <c r="AF191" s="22">
        <f t="shared" si="38"/>
        <v>19</v>
      </c>
      <c r="AG191" s="12">
        <v>0</v>
      </c>
      <c r="AH191" s="12">
        <v>0</v>
      </c>
      <c r="AI191" s="20">
        <v>0</v>
      </c>
      <c r="AJ191" s="23">
        <f t="shared" si="39"/>
        <v>0</v>
      </c>
      <c r="AK191" s="23">
        <v>0</v>
      </c>
      <c r="AL191" s="28">
        <f>AK191/detalle!$D$2</f>
        <v>0</v>
      </c>
    </row>
    <row r="192" spans="1:38">
      <c r="A192" s="12">
        <v>191</v>
      </c>
      <c r="B192" s="19">
        <v>44081</v>
      </c>
      <c r="C192" s="12">
        <v>173</v>
      </c>
      <c r="D192" s="23">
        <f t="shared" si="35"/>
        <v>233</v>
      </c>
      <c r="E192" s="12">
        <v>100131</v>
      </c>
      <c r="F192" s="12">
        <v>1889</v>
      </c>
      <c r="G192" s="12">
        <v>73795</v>
      </c>
      <c r="H192" s="23">
        <f t="shared" si="31"/>
        <v>24447</v>
      </c>
      <c r="I192" s="23">
        <f t="shared" si="42"/>
        <v>2493</v>
      </c>
      <c r="J192" s="12">
        <v>400138</v>
      </c>
      <c r="K192" s="23">
        <f t="shared" si="43"/>
        <v>300007</v>
      </c>
      <c r="L192" s="9">
        <f t="shared" si="36"/>
        <v>567</v>
      </c>
      <c r="M192" s="14">
        <f t="shared" si="32"/>
        <v>1.8865286474718121E-2</v>
      </c>
      <c r="N192" s="14">
        <f t="shared" si="41"/>
        <v>9.3461692739671073E-2</v>
      </c>
      <c r="O192" s="12"/>
      <c r="P192" s="12"/>
      <c r="Q192" s="12"/>
      <c r="R192" s="23">
        <f t="shared" si="33"/>
        <v>75684</v>
      </c>
      <c r="S192" s="25">
        <f>(((H192+R192)/(H191+R191))-1)+detalle!$D$1</f>
        <v>7.3760950455178637E-2</v>
      </c>
      <c r="T192" s="25">
        <f t="shared" si="37"/>
        <v>1.032653306372501</v>
      </c>
      <c r="U192" s="10">
        <f t="shared" si="34"/>
        <v>0.73698455023918663</v>
      </c>
      <c r="V192" s="21">
        <f t="shared" si="40"/>
        <v>39.065643197458975</v>
      </c>
      <c r="W192" s="15">
        <f>J192/detalle!$D$2</f>
        <v>36507.212842749512</v>
      </c>
      <c r="X192" s="15">
        <f>E192/detalle!$D$2</f>
        <v>9135.6075382926665</v>
      </c>
      <c r="Y192" s="22">
        <f>F192/detalle!$D$2</f>
        <v>172.34585333048554</v>
      </c>
      <c r="AA192" s="14">
        <f>E192/(detalle!$D$2*1000000)</f>
        <v>9.1356075382926661E-3</v>
      </c>
      <c r="AB192" s="14">
        <f>F192/(detalle!$D$2*1000000)</f>
        <v>1.7234585333048553E-4</v>
      </c>
      <c r="AC192" s="13">
        <v>0.44</v>
      </c>
      <c r="AD192" s="13">
        <v>0.27</v>
      </c>
      <c r="AE192" s="13">
        <v>0.33</v>
      </c>
      <c r="AF192" s="22">
        <f t="shared" si="38"/>
        <v>25</v>
      </c>
      <c r="AG192" s="12">
        <v>0</v>
      </c>
      <c r="AH192" s="12">
        <v>0</v>
      </c>
      <c r="AI192" s="20">
        <v>0</v>
      </c>
      <c r="AJ192" s="23">
        <f t="shared" si="39"/>
        <v>0</v>
      </c>
      <c r="AK192" s="23">
        <v>0</v>
      </c>
      <c r="AL192" s="28">
        <f>AK192/detalle!$D$2</f>
        <v>0</v>
      </c>
    </row>
    <row r="193" spans="1:38">
      <c r="A193" s="12">
        <v>192</v>
      </c>
      <c r="B193" s="19">
        <v>44082</v>
      </c>
      <c r="C193" s="12">
        <v>174</v>
      </c>
      <c r="D193" s="23">
        <f t="shared" si="35"/>
        <v>806</v>
      </c>
      <c r="E193" s="12">
        <v>100937</v>
      </c>
      <c r="F193" s="12">
        <v>1914</v>
      </c>
      <c r="G193" s="12">
        <v>74305</v>
      </c>
      <c r="H193" s="23">
        <f t="shared" si="31"/>
        <v>24718</v>
      </c>
      <c r="I193" s="23">
        <f t="shared" si="42"/>
        <v>3617</v>
      </c>
      <c r="J193" s="12">
        <v>403755</v>
      </c>
      <c r="K193" s="23">
        <f t="shared" si="43"/>
        <v>302818</v>
      </c>
      <c r="L193" s="9">
        <f t="shared" si="36"/>
        <v>510</v>
      </c>
      <c r="M193" s="14">
        <f t="shared" si="32"/>
        <v>1.8962323033179112E-2</v>
      </c>
      <c r="N193" s="14">
        <f t="shared" si="41"/>
        <v>0.22283660492120541</v>
      </c>
      <c r="O193" s="12"/>
      <c r="P193" s="12"/>
      <c r="Q193" s="12"/>
      <c r="R193" s="23">
        <f t="shared" si="33"/>
        <v>76219</v>
      </c>
      <c r="S193" s="25">
        <f>(((H193+R193)/(H192+R192))-1)+detalle!$D$1</f>
        <v>7.9478026642241489E-2</v>
      </c>
      <c r="T193" s="25">
        <f t="shared" si="37"/>
        <v>1.1126923729913809</v>
      </c>
      <c r="U193" s="10">
        <f t="shared" si="34"/>
        <v>0.73615225338577528</v>
      </c>
      <c r="V193" s="21">
        <f t="shared" si="40"/>
        <v>38.821839080459768</v>
      </c>
      <c r="W193" s="15">
        <f>J193/detalle!$D$2</f>
        <v>36837.21546397575</v>
      </c>
      <c r="X193" s="15">
        <f>E193/detalle!$D$2</f>
        <v>9209.1442020218201</v>
      </c>
      <c r="Y193" s="22">
        <f>F193/detalle!$D$2</f>
        <v>174.62676721786625</v>
      </c>
      <c r="AA193" s="14">
        <f>E193/(detalle!$D$2*1000000)</f>
        <v>9.2091442020218201E-3</v>
      </c>
      <c r="AB193" s="14">
        <f>F193/(detalle!$D$2*1000000)</f>
        <v>1.7462676721786624E-4</v>
      </c>
      <c r="AC193" s="13">
        <v>0.43</v>
      </c>
      <c r="AD193" s="13">
        <v>0.28999999999999998</v>
      </c>
      <c r="AE193" s="13">
        <v>0.28999999999999998</v>
      </c>
      <c r="AF193" s="22">
        <f t="shared" si="38"/>
        <v>25</v>
      </c>
      <c r="AG193" s="12">
        <v>0</v>
      </c>
      <c r="AH193" s="12">
        <v>0</v>
      </c>
      <c r="AI193" s="20">
        <v>0</v>
      </c>
      <c r="AJ193" s="23">
        <f t="shared" si="39"/>
        <v>0</v>
      </c>
      <c r="AK193" s="23">
        <v>0</v>
      </c>
      <c r="AL193" s="28">
        <f>AK193/detalle!$D$2</f>
        <v>0</v>
      </c>
    </row>
    <row r="194" spans="1:38">
      <c r="A194" s="12">
        <v>193</v>
      </c>
      <c r="B194" s="19">
        <v>44083</v>
      </c>
      <c r="C194" s="12">
        <v>175</v>
      </c>
      <c r="D194" s="23">
        <f t="shared" si="35"/>
        <v>779</v>
      </c>
      <c r="E194" s="12">
        <v>101716</v>
      </c>
      <c r="F194" s="12">
        <v>1926</v>
      </c>
      <c r="G194" s="12">
        <v>75034</v>
      </c>
      <c r="H194" s="23">
        <f t="shared" ref="H194:H257" si="44">E194-F194-G194</f>
        <v>24756</v>
      </c>
      <c r="I194" s="23">
        <f t="shared" si="42"/>
        <v>4259</v>
      </c>
      <c r="J194" s="12">
        <v>408014</v>
      </c>
      <c r="K194" s="23">
        <f t="shared" si="43"/>
        <v>306298</v>
      </c>
      <c r="L194" s="9">
        <f t="shared" si="36"/>
        <v>729</v>
      </c>
      <c r="M194" s="14">
        <f t="shared" ref="M194:M257" si="45">F194/E194</f>
        <v>1.8935074127964135E-2</v>
      </c>
      <c r="N194" s="14">
        <f t="shared" si="41"/>
        <v>0.18290678563042967</v>
      </c>
      <c r="O194" s="12"/>
      <c r="P194" s="12"/>
      <c r="Q194" s="12"/>
      <c r="R194" s="23">
        <f t="shared" ref="R194:R257" si="46">F194+G194</f>
        <v>76960</v>
      </c>
      <c r="S194" s="25">
        <f>(((H194+R194)/(H193+R193))-1)+detalle!$D$1</f>
        <v>7.914625671741507E-2</v>
      </c>
      <c r="T194" s="25">
        <f t="shared" si="37"/>
        <v>1.108047594043811</v>
      </c>
      <c r="U194" s="10">
        <f t="shared" ref="U194:U257" si="47">G194/E194</f>
        <v>0.73768138739234734</v>
      </c>
      <c r="V194" s="21">
        <f t="shared" si="40"/>
        <v>38.958463136033231</v>
      </c>
      <c r="W194" s="15">
        <f>J194/detalle!$D$2</f>
        <v>37225.791953829925</v>
      </c>
      <c r="X194" s="15">
        <f>E194/detalle!$D$2</f>
        <v>9280.2174787526037</v>
      </c>
      <c r="Y194" s="22">
        <f>F194/detalle!$D$2</f>
        <v>175.72160588380896</v>
      </c>
      <c r="AA194" s="14">
        <f>E194/(detalle!$D$2*1000000)</f>
        <v>9.2802174787526021E-3</v>
      </c>
      <c r="AB194" s="14">
        <f>F194/(detalle!$D$2*1000000)</f>
        <v>1.7572160588380896E-4</v>
      </c>
      <c r="AC194" s="13">
        <v>0.46</v>
      </c>
      <c r="AD194" s="13">
        <v>0.28000000000000003</v>
      </c>
      <c r="AE194" s="13">
        <v>0.31</v>
      </c>
      <c r="AF194" s="22">
        <f t="shared" si="38"/>
        <v>12</v>
      </c>
      <c r="AG194" s="12">
        <v>0</v>
      </c>
      <c r="AH194" s="12">
        <v>0</v>
      </c>
      <c r="AI194" s="20">
        <v>0</v>
      </c>
      <c r="AJ194" s="23">
        <f t="shared" si="39"/>
        <v>0</v>
      </c>
      <c r="AK194" s="23">
        <v>0</v>
      </c>
      <c r="AL194" s="28">
        <f>AK194/detalle!$D$2</f>
        <v>0</v>
      </c>
    </row>
    <row r="195" spans="1:38">
      <c r="A195" s="12">
        <v>194</v>
      </c>
      <c r="B195" s="19">
        <v>44084</v>
      </c>
      <c r="C195" s="12">
        <v>176</v>
      </c>
      <c r="D195" s="23">
        <f t="shared" ref="D195:D258" si="48">E195-E194</f>
        <v>516</v>
      </c>
      <c r="E195" s="12">
        <v>102232</v>
      </c>
      <c r="F195" s="12">
        <v>1941</v>
      </c>
      <c r="G195" s="12">
        <v>75474</v>
      </c>
      <c r="H195" s="23">
        <f t="shared" si="44"/>
        <v>24817</v>
      </c>
      <c r="I195" s="23">
        <f t="shared" si="42"/>
        <v>3650</v>
      </c>
      <c r="J195" s="12">
        <v>411664</v>
      </c>
      <c r="K195" s="23">
        <f t="shared" si="43"/>
        <v>309432</v>
      </c>
      <c r="L195" s="9">
        <f t="shared" ref="L195:L258" si="49">G195-G194</f>
        <v>440</v>
      </c>
      <c r="M195" s="14">
        <f t="shared" si="45"/>
        <v>1.8986227404335237E-2</v>
      </c>
      <c r="N195" s="14">
        <f t="shared" si="41"/>
        <v>0.14136986301369864</v>
      </c>
      <c r="O195" s="13"/>
      <c r="P195" s="12"/>
      <c r="Q195" s="12"/>
      <c r="R195" s="23">
        <f t="shared" si="46"/>
        <v>77415</v>
      </c>
      <c r="S195" s="25">
        <f>(((H195+R195)/(H194+R194))-1)+detalle!$D$1</f>
        <v>7.6501519637309584E-2</v>
      </c>
      <c r="T195" s="25">
        <f t="shared" ref="T195:T258" si="50">S195*14</f>
        <v>1.0710212749223342</v>
      </c>
      <c r="U195" s="10">
        <f t="shared" si="47"/>
        <v>0.73826199233116829</v>
      </c>
      <c r="V195" s="21">
        <f t="shared" si="40"/>
        <v>38.884080370942812</v>
      </c>
      <c r="W195" s="15">
        <f>J195/detalle!$D$2</f>
        <v>37558.805381387509</v>
      </c>
      <c r="X195" s="15">
        <f>E195/detalle!$D$2</f>
        <v>9327.2955413881409</v>
      </c>
      <c r="Y195" s="22">
        <f>F195/detalle!$D$2</f>
        <v>177.09015421623738</v>
      </c>
      <c r="AA195" s="14">
        <f>E195/(detalle!$D$2*1000000)</f>
        <v>9.3272955413881403E-3</v>
      </c>
      <c r="AB195" s="14">
        <f>F195/(detalle!$D$2*1000000)</f>
        <v>1.7709015421623738E-4</v>
      </c>
      <c r="AC195" s="13">
        <v>0.44</v>
      </c>
      <c r="AD195" s="13">
        <v>0.28000000000000003</v>
      </c>
      <c r="AE195" s="13">
        <v>0.3</v>
      </c>
      <c r="AF195" s="22">
        <f t="shared" ref="AF195:AF258" si="51">F195-F194</f>
        <v>15</v>
      </c>
      <c r="AG195" s="12">
        <v>0</v>
      </c>
      <c r="AH195" s="12">
        <v>0</v>
      </c>
      <c r="AI195" s="20">
        <v>0</v>
      </c>
      <c r="AJ195" s="23">
        <f t="shared" ref="AJ195:AJ258" si="52">AK195-AK194</f>
        <v>0</v>
      </c>
      <c r="AK195" s="23">
        <v>0</v>
      </c>
      <c r="AL195" s="28">
        <f>AK195/detalle!$D$2</f>
        <v>0</v>
      </c>
    </row>
    <row r="196" spans="1:38">
      <c r="A196" s="12">
        <v>195</v>
      </c>
      <c r="B196" s="19">
        <v>44085</v>
      </c>
      <c r="C196" s="12">
        <v>177</v>
      </c>
      <c r="D196" s="23">
        <f t="shared" si="48"/>
        <v>860</v>
      </c>
      <c r="E196" s="12">
        <v>103092</v>
      </c>
      <c r="F196" s="12">
        <v>1953</v>
      </c>
      <c r="G196" s="12">
        <v>76531</v>
      </c>
      <c r="H196" s="23">
        <f t="shared" si="44"/>
        <v>24608</v>
      </c>
      <c r="I196" s="23">
        <f t="shared" si="42"/>
        <v>4890</v>
      </c>
      <c r="J196" s="12">
        <v>416554</v>
      </c>
      <c r="K196" s="23">
        <f t="shared" si="43"/>
        <v>313462</v>
      </c>
      <c r="L196" s="9">
        <f t="shared" si="49"/>
        <v>1057</v>
      </c>
      <c r="M196" s="14">
        <f t="shared" si="45"/>
        <v>1.8944243976254219E-2</v>
      </c>
      <c r="N196" s="14">
        <f t="shared" si="41"/>
        <v>0.17586912065439672</v>
      </c>
      <c r="O196" s="12"/>
      <c r="P196" s="12"/>
      <c r="Q196" s="12"/>
      <c r="R196" s="23">
        <f t="shared" si="46"/>
        <v>78484</v>
      </c>
      <c r="S196" s="25">
        <f>(((H196+R196)/(H195+R195))-1)+detalle!$D$1</f>
        <v>7.9840810257900713E-2</v>
      </c>
      <c r="T196" s="25">
        <f t="shared" si="50"/>
        <v>1.11777134361061</v>
      </c>
      <c r="U196" s="10">
        <f t="shared" si="47"/>
        <v>0.74235634190819855</v>
      </c>
      <c r="V196" s="21">
        <f t="shared" si="40"/>
        <v>39.186379928315411</v>
      </c>
      <c r="W196" s="15">
        <f>J196/detalle!$D$2</f>
        <v>38004.952137759174</v>
      </c>
      <c r="X196" s="15">
        <f>E196/detalle!$D$2</f>
        <v>9405.7589791140363</v>
      </c>
      <c r="Y196" s="22">
        <f>F196/detalle!$D$2</f>
        <v>178.18499288218013</v>
      </c>
      <c r="AA196" s="14">
        <f>E196/(detalle!$D$2*1000000)</f>
        <v>9.4057589791140365E-3</v>
      </c>
      <c r="AB196" s="14">
        <f>F196/(detalle!$D$2*1000000)</f>
        <v>1.7818499288218013E-4</v>
      </c>
      <c r="AC196" s="13">
        <v>0.44</v>
      </c>
      <c r="AD196" s="13">
        <v>0.27</v>
      </c>
      <c r="AE196" s="13">
        <v>0.32</v>
      </c>
      <c r="AF196" s="22">
        <f t="shared" si="51"/>
        <v>12</v>
      </c>
      <c r="AG196" s="12">
        <v>0</v>
      </c>
      <c r="AH196" s="12">
        <v>0</v>
      </c>
      <c r="AI196" s="20">
        <v>0</v>
      </c>
      <c r="AJ196" s="23">
        <f t="shared" si="52"/>
        <v>0</v>
      </c>
      <c r="AK196" s="23">
        <v>0</v>
      </c>
      <c r="AL196" s="28">
        <f>AK196/detalle!$D$2</f>
        <v>0</v>
      </c>
    </row>
    <row r="197" spans="1:38">
      <c r="A197" s="12">
        <v>196</v>
      </c>
      <c r="B197" s="19">
        <v>44086</v>
      </c>
      <c r="C197" s="12">
        <v>178</v>
      </c>
      <c r="D197" s="23">
        <f t="shared" si="48"/>
        <v>568</v>
      </c>
      <c r="E197" s="12">
        <v>103660</v>
      </c>
      <c r="F197" s="12">
        <v>1968</v>
      </c>
      <c r="G197" s="12">
        <v>77182</v>
      </c>
      <c r="H197" s="23">
        <f t="shared" si="44"/>
        <v>24510</v>
      </c>
      <c r="I197" s="23">
        <f t="shared" si="42"/>
        <v>2773</v>
      </c>
      <c r="J197" s="12">
        <v>419327</v>
      </c>
      <c r="K197" s="23">
        <f t="shared" si="43"/>
        <v>315667</v>
      </c>
      <c r="L197" s="9">
        <f t="shared" si="49"/>
        <v>651</v>
      </c>
      <c r="M197" s="14">
        <f t="shared" si="45"/>
        <v>1.8985143739147212E-2</v>
      </c>
      <c r="N197" s="14">
        <f t="shared" si="41"/>
        <v>0.20483231157591056</v>
      </c>
      <c r="O197" s="13"/>
      <c r="P197" s="12"/>
      <c r="Q197" s="12"/>
      <c r="R197" s="23">
        <f t="shared" si="46"/>
        <v>79150</v>
      </c>
      <c r="S197" s="25">
        <f>(((H197+R197)/(H196+R196))-1)+detalle!$D$1</f>
        <v>7.6938213301849717E-2</v>
      </c>
      <c r="T197" s="25">
        <f t="shared" si="50"/>
        <v>1.0771349862258961</v>
      </c>
      <c r="U197" s="10">
        <f t="shared" si="47"/>
        <v>0.7445687825583639</v>
      </c>
      <c r="V197" s="21">
        <f t="shared" si="40"/>
        <v>39.21849593495935</v>
      </c>
      <c r="W197" s="15">
        <f>J197/detalle!$D$2</f>
        <v>38257.95110614744</v>
      </c>
      <c r="X197" s="15">
        <f>E197/detalle!$D$2</f>
        <v>9457.581342635327</v>
      </c>
      <c r="Y197" s="22">
        <f>F197/detalle!$D$2</f>
        <v>179.55354121460854</v>
      </c>
      <c r="AA197" s="14">
        <f>E197/(detalle!$D$2*1000000)</f>
        <v>9.457581342635326E-3</v>
      </c>
      <c r="AB197" s="14">
        <f>F197/(detalle!$D$2*1000000)</f>
        <v>1.7955354121460855E-4</v>
      </c>
      <c r="AC197" s="13">
        <v>0.43</v>
      </c>
      <c r="AD197" s="13">
        <v>0.27</v>
      </c>
      <c r="AE197" s="13">
        <v>0.28999999999999998</v>
      </c>
      <c r="AF197" s="22">
        <f t="shared" si="51"/>
        <v>15</v>
      </c>
      <c r="AG197" s="12">
        <v>0</v>
      </c>
      <c r="AH197" s="12">
        <v>0</v>
      </c>
      <c r="AI197" s="20">
        <v>0</v>
      </c>
      <c r="AJ197" s="23">
        <f t="shared" si="52"/>
        <v>0</v>
      </c>
      <c r="AK197" s="23">
        <v>0</v>
      </c>
      <c r="AL197" s="28">
        <f>AK197/detalle!$D$2</f>
        <v>0</v>
      </c>
    </row>
    <row r="198" spans="1:38">
      <c r="A198" s="12">
        <v>197</v>
      </c>
      <c r="B198" s="19">
        <v>44087</v>
      </c>
      <c r="C198" s="12">
        <v>179</v>
      </c>
      <c r="D198" s="23">
        <f t="shared" si="48"/>
        <v>450</v>
      </c>
      <c r="E198" s="12">
        <v>104110</v>
      </c>
      <c r="F198" s="12">
        <v>1984</v>
      </c>
      <c r="G198" s="12">
        <v>77790</v>
      </c>
      <c r="H198" s="23">
        <f t="shared" si="44"/>
        <v>24336</v>
      </c>
      <c r="I198" s="23">
        <f t="shared" si="42"/>
        <v>2743</v>
      </c>
      <c r="J198" s="12">
        <v>422070</v>
      </c>
      <c r="K198" s="23">
        <f t="shared" si="43"/>
        <v>317960</v>
      </c>
      <c r="L198" s="9">
        <f t="shared" si="49"/>
        <v>608</v>
      </c>
      <c r="M198" s="14">
        <f t="shared" si="45"/>
        <v>1.9056766881183365E-2</v>
      </c>
      <c r="N198" s="14">
        <f t="shared" si="41"/>
        <v>0.16405395552314983</v>
      </c>
      <c r="O198" s="12"/>
      <c r="P198" s="12"/>
      <c r="Q198" s="12"/>
      <c r="R198" s="23">
        <f t="shared" si="46"/>
        <v>79774</v>
      </c>
      <c r="S198" s="25">
        <f>(((H198+R198)/(H197+R197))-1)+detalle!$D$1</f>
        <v>7.5769686612827708E-2</v>
      </c>
      <c r="T198" s="25">
        <f t="shared" si="50"/>
        <v>1.060775612579588</v>
      </c>
      <c r="U198" s="10">
        <f t="shared" si="47"/>
        <v>0.74719047161655938</v>
      </c>
      <c r="V198" s="21">
        <f t="shared" si="40"/>
        <v>39.208669354838712</v>
      </c>
      <c r="W198" s="15">
        <f>J198/detalle!$D$2</f>
        <v>38508.212977870848</v>
      </c>
      <c r="X198" s="15">
        <f>E198/detalle!$D$2</f>
        <v>9498.6377926081786</v>
      </c>
      <c r="Y198" s="22">
        <f>F198/detalle!$D$2</f>
        <v>181.0133261025322</v>
      </c>
      <c r="AA198" s="14">
        <f>E198/(detalle!$D$2*1000000)</f>
        <v>9.4986377926081778E-3</v>
      </c>
      <c r="AB198" s="14">
        <f>F198/(detalle!$D$2*1000000)</f>
        <v>1.8101332610253218E-4</v>
      </c>
      <c r="AC198" s="13">
        <v>0.41</v>
      </c>
      <c r="AD198" s="13">
        <v>0.27</v>
      </c>
      <c r="AE198" s="13">
        <v>0.28000000000000003</v>
      </c>
      <c r="AF198" s="22">
        <f t="shared" si="51"/>
        <v>16</v>
      </c>
      <c r="AG198" s="12">
        <v>0</v>
      </c>
      <c r="AH198" s="12">
        <v>0</v>
      </c>
      <c r="AI198" s="20">
        <v>0</v>
      </c>
      <c r="AJ198" s="23">
        <f t="shared" si="52"/>
        <v>0</v>
      </c>
      <c r="AK198" s="23">
        <v>0</v>
      </c>
      <c r="AL198" s="28">
        <f>AK198/detalle!$D$2</f>
        <v>0</v>
      </c>
    </row>
    <row r="199" spans="1:38">
      <c r="A199" s="12">
        <v>198</v>
      </c>
      <c r="B199" s="19">
        <v>44088</v>
      </c>
      <c r="C199" s="12">
        <v>180</v>
      </c>
      <c r="D199" s="23">
        <f t="shared" si="48"/>
        <v>693</v>
      </c>
      <c r="E199" s="12">
        <v>104803</v>
      </c>
      <c r="F199" s="12">
        <v>1998</v>
      </c>
      <c r="G199" s="12">
        <v>78387</v>
      </c>
      <c r="H199" s="23">
        <f t="shared" si="44"/>
        <v>24418</v>
      </c>
      <c r="I199" s="23">
        <f t="shared" si="42"/>
        <v>3432</v>
      </c>
      <c r="J199" s="12">
        <v>425502</v>
      </c>
      <c r="K199" s="23">
        <f t="shared" si="43"/>
        <v>320699</v>
      </c>
      <c r="L199" s="9">
        <f t="shared" si="49"/>
        <v>597</v>
      </c>
      <c r="M199" s="14">
        <f t="shared" si="45"/>
        <v>1.9064339761266376E-2</v>
      </c>
      <c r="N199" s="14">
        <f t="shared" si="41"/>
        <v>0.20192307692307693</v>
      </c>
      <c r="O199" s="13"/>
      <c r="P199" s="12"/>
      <c r="Q199" s="12"/>
      <c r="R199" s="23">
        <f t="shared" si="46"/>
        <v>80385</v>
      </c>
      <c r="S199" s="25">
        <f>(((H199+R199)/(H198+R198))-1)+detalle!$D$1</f>
        <v>7.8084992521646052E-2</v>
      </c>
      <c r="T199" s="25">
        <f t="shared" si="50"/>
        <v>1.0931898953030448</v>
      </c>
      <c r="U199" s="10">
        <f t="shared" si="47"/>
        <v>0.74794614657977343</v>
      </c>
      <c r="V199" s="21">
        <f t="shared" si="40"/>
        <v>39.232732732732735</v>
      </c>
      <c r="W199" s="15">
        <f>J199/detalle!$D$2</f>
        <v>38821.336836330469</v>
      </c>
      <c r="X199" s="15">
        <f>E199/detalle!$D$2</f>
        <v>9561.8647255663709</v>
      </c>
      <c r="Y199" s="22">
        <f>F199/detalle!$D$2</f>
        <v>182.29063787946538</v>
      </c>
      <c r="AA199" s="14">
        <f>E199/(detalle!$D$2*1000000)</f>
        <v>9.5618647255663707E-3</v>
      </c>
      <c r="AB199" s="14">
        <f>F199/(detalle!$D$2*1000000)</f>
        <v>1.8229063787946539E-4</v>
      </c>
      <c r="AC199" s="13">
        <v>0.4</v>
      </c>
      <c r="AD199" s="13">
        <v>0.26</v>
      </c>
      <c r="AE199" s="13">
        <v>0.28000000000000003</v>
      </c>
      <c r="AF199" s="22">
        <f t="shared" si="51"/>
        <v>14</v>
      </c>
      <c r="AG199" s="12">
        <v>0</v>
      </c>
      <c r="AH199" s="12">
        <v>0</v>
      </c>
      <c r="AI199" s="20">
        <v>0</v>
      </c>
      <c r="AJ199" s="23">
        <f t="shared" si="52"/>
        <v>0</v>
      </c>
      <c r="AK199" s="23">
        <v>0</v>
      </c>
      <c r="AL199" s="28">
        <f>AK199/detalle!$D$2</f>
        <v>0</v>
      </c>
    </row>
    <row r="200" spans="1:38">
      <c r="A200" s="12">
        <v>199</v>
      </c>
      <c r="B200" s="19">
        <v>44089</v>
      </c>
      <c r="C200" s="12">
        <v>181</v>
      </c>
      <c r="D200" s="23">
        <f t="shared" si="48"/>
        <v>718</v>
      </c>
      <c r="E200" s="12">
        <v>105521</v>
      </c>
      <c r="F200" s="12">
        <v>2009</v>
      </c>
      <c r="G200" s="12">
        <v>78891</v>
      </c>
      <c r="H200" s="23">
        <f t="shared" si="44"/>
        <v>24621</v>
      </c>
      <c r="I200" s="23">
        <f t="shared" si="42"/>
        <v>3921</v>
      </c>
      <c r="J200" s="12">
        <v>429423</v>
      </c>
      <c r="K200" s="23">
        <f t="shared" si="43"/>
        <v>323902</v>
      </c>
      <c r="L200" s="9">
        <f t="shared" si="49"/>
        <v>504</v>
      </c>
      <c r="M200" s="14">
        <f t="shared" si="45"/>
        <v>1.9038864301892514E-2</v>
      </c>
      <c r="N200" s="14">
        <f t="shared" si="41"/>
        <v>0.18311655190002551</v>
      </c>
      <c r="O200" s="12"/>
      <c r="P200" s="12"/>
      <c r="Q200" s="12"/>
      <c r="R200" s="23">
        <f t="shared" si="46"/>
        <v>80900</v>
      </c>
      <c r="S200" s="25">
        <f>(((H200+R200)/(H199+R199))-1)+detalle!$D$1</f>
        <v>7.8279520351789228E-2</v>
      </c>
      <c r="T200" s="25">
        <f t="shared" si="50"/>
        <v>1.0959132849250492</v>
      </c>
      <c r="U200" s="10">
        <f t="shared" si="47"/>
        <v>0.74763317254385386</v>
      </c>
      <c r="V200" s="21">
        <f t="shared" si="40"/>
        <v>39.268790443006473</v>
      </c>
      <c r="W200" s="15">
        <f>J200/detalle!$D$2</f>
        <v>39179.075370427257</v>
      </c>
      <c r="X200" s="15">
        <f>E200/detalle!$D$2</f>
        <v>9627.3725724119449</v>
      </c>
      <c r="Y200" s="22">
        <f>F200/detalle!$D$2</f>
        <v>183.29423998991288</v>
      </c>
      <c r="AA200" s="14">
        <f>E200/(detalle!$D$2*1000000)</f>
        <v>9.6273725724119446E-3</v>
      </c>
      <c r="AB200" s="14">
        <f>F200/(detalle!$D$2*1000000)</f>
        <v>1.832942399899129E-4</v>
      </c>
      <c r="AC200" s="13">
        <v>0.4</v>
      </c>
      <c r="AD200" s="13">
        <v>0.26</v>
      </c>
      <c r="AE200" s="13">
        <v>0.27</v>
      </c>
      <c r="AF200" s="22">
        <f t="shared" si="51"/>
        <v>11</v>
      </c>
      <c r="AG200" s="12">
        <v>0</v>
      </c>
      <c r="AH200" s="12">
        <v>0</v>
      </c>
      <c r="AI200" s="20">
        <v>0</v>
      </c>
      <c r="AJ200" s="23">
        <f t="shared" si="52"/>
        <v>0</v>
      </c>
      <c r="AK200" s="23">
        <v>0</v>
      </c>
      <c r="AL200" s="28">
        <f>AK200/detalle!$D$2</f>
        <v>0</v>
      </c>
    </row>
    <row r="201" spans="1:38">
      <c r="A201" s="12">
        <v>200</v>
      </c>
      <c r="B201" s="19">
        <v>44090</v>
      </c>
      <c r="C201" s="12">
        <v>182</v>
      </c>
      <c r="D201" s="23">
        <f t="shared" si="48"/>
        <v>615</v>
      </c>
      <c r="E201" s="12">
        <v>106136</v>
      </c>
      <c r="F201" s="12">
        <v>2022</v>
      </c>
      <c r="G201" s="12">
        <v>79363</v>
      </c>
      <c r="H201" s="23">
        <f t="shared" si="44"/>
        <v>24751</v>
      </c>
      <c r="I201" s="23">
        <f t="shared" si="42"/>
        <v>4425</v>
      </c>
      <c r="J201" s="12">
        <v>433848</v>
      </c>
      <c r="K201" s="23">
        <f t="shared" si="43"/>
        <v>327712</v>
      </c>
      <c r="L201" s="9">
        <f t="shared" si="49"/>
        <v>472</v>
      </c>
      <c r="M201" s="14">
        <f t="shared" si="45"/>
        <v>1.9051028868621391E-2</v>
      </c>
      <c r="N201" s="14">
        <f t="shared" si="41"/>
        <v>0.13898305084745763</v>
      </c>
      <c r="O201" s="13"/>
      <c r="P201" s="12"/>
      <c r="Q201" s="12"/>
      <c r="R201" s="23">
        <f t="shared" si="46"/>
        <v>81385</v>
      </c>
      <c r="S201" s="25">
        <f>(((H201+R201)/(H200+R200))-1)+detalle!$D$1</f>
        <v>7.7256795194456968E-2</v>
      </c>
      <c r="T201" s="25">
        <f t="shared" si="50"/>
        <v>1.0815951327223976</v>
      </c>
      <c r="U201" s="10">
        <f t="shared" si="47"/>
        <v>0.74774817215647849</v>
      </c>
      <c r="V201" s="21">
        <f t="shared" si="40"/>
        <v>39.24975272007913</v>
      </c>
      <c r="W201" s="15">
        <f>J201/detalle!$D$2</f>
        <v>39582.797128493643</v>
      </c>
      <c r="X201" s="15">
        <f>E201/detalle!$D$2</f>
        <v>9683.4830540415114</v>
      </c>
      <c r="Y201" s="22">
        <f>F201/detalle!$D$2</f>
        <v>184.48031521135084</v>
      </c>
      <c r="AA201" s="14">
        <f>E201/(detalle!$D$2*1000000)</f>
        <v>9.6834830540415105E-3</v>
      </c>
      <c r="AB201" s="14">
        <f>F201/(detalle!$D$2*1000000)</f>
        <v>1.8448031521135086E-4</v>
      </c>
      <c r="AC201" s="13">
        <v>0.4</v>
      </c>
      <c r="AD201" s="13">
        <v>0.26</v>
      </c>
      <c r="AE201" s="13">
        <v>0.28000000000000003</v>
      </c>
      <c r="AF201" s="22">
        <f t="shared" si="51"/>
        <v>13</v>
      </c>
      <c r="AG201" s="12">
        <v>0</v>
      </c>
      <c r="AH201" s="12">
        <v>0</v>
      </c>
      <c r="AI201" s="20">
        <v>0</v>
      </c>
      <c r="AJ201" s="23">
        <f t="shared" si="52"/>
        <v>0</v>
      </c>
      <c r="AK201" s="23">
        <v>0</v>
      </c>
      <c r="AL201" s="28">
        <f>AK201/detalle!$D$2</f>
        <v>0</v>
      </c>
    </row>
    <row r="202" spans="1:38">
      <c r="A202" s="12">
        <v>201</v>
      </c>
      <c r="B202" s="19">
        <v>44091</v>
      </c>
      <c r="C202" s="12">
        <v>183</v>
      </c>
      <c r="D202" s="23">
        <f t="shared" si="48"/>
        <v>596</v>
      </c>
      <c r="E202" s="12">
        <v>106732</v>
      </c>
      <c r="F202" s="12">
        <v>2034</v>
      </c>
      <c r="G202" s="12">
        <v>80179</v>
      </c>
      <c r="H202" s="23">
        <f t="shared" si="44"/>
        <v>24519</v>
      </c>
      <c r="I202" s="23">
        <f t="shared" si="42"/>
        <v>3469</v>
      </c>
      <c r="J202" s="12">
        <v>437317</v>
      </c>
      <c r="K202" s="23">
        <f t="shared" si="43"/>
        <v>330585</v>
      </c>
      <c r="L202" s="9">
        <f t="shared" si="49"/>
        <v>816</v>
      </c>
      <c r="M202" s="14">
        <f t="shared" si="45"/>
        <v>1.9057077540006746E-2</v>
      </c>
      <c r="N202" s="14">
        <f t="shared" si="41"/>
        <v>0.17180743730181608</v>
      </c>
      <c r="O202" s="12"/>
      <c r="P202" s="12"/>
      <c r="Q202" s="12"/>
      <c r="R202" s="23">
        <f t="shared" si="46"/>
        <v>82213</v>
      </c>
      <c r="S202" s="25">
        <f>(((H202+R202)/(H201+R201))-1)+detalle!$D$1</f>
        <v>7.704400822664173E-2</v>
      </c>
      <c r="T202" s="25">
        <f t="shared" si="50"/>
        <v>1.0786161151729843</v>
      </c>
      <c r="U202" s="10">
        <f t="shared" si="47"/>
        <v>0.75121800397256677</v>
      </c>
      <c r="V202" s="21">
        <f t="shared" si="40"/>
        <v>39.419370698131758</v>
      </c>
      <c r="W202" s="15">
        <f>J202/detalle!$D$2</f>
        <v>39899.296739506586</v>
      </c>
      <c r="X202" s="15">
        <f>E202/detalle!$D$2</f>
        <v>9737.8600411166663</v>
      </c>
      <c r="Y202" s="22">
        <f>F202/detalle!$D$2</f>
        <v>185.57515387729359</v>
      </c>
      <c r="AA202" s="14">
        <f>E202/(detalle!$D$2*1000000)</f>
        <v>9.7378600411166666E-3</v>
      </c>
      <c r="AB202" s="14">
        <f>F202/(detalle!$D$2*1000000)</f>
        <v>1.8557515387729358E-4</v>
      </c>
      <c r="AC202" s="13">
        <v>0.41</v>
      </c>
      <c r="AD202" s="13">
        <v>0.26</v>
      </c>
      <c r="AE202" s="13">
        <v>0.28000000000000003</v>
      </c>
      <c r="AF202" s="22">
        <f t="shared" si="51"/>
        <v>12</v>
      </c>
      <c r="AG202" s="12">
        <v>0</v>
      </c>
      <c r="AH202" s="12">
        <v>0</v>
      </c>
      <c r="AI202" s="20">
        <v>0</v>
      </c>
      <c r="AJ202" s="23">
        <f t="shared" si="52"/>
        <v>0</v>
      </c>
      <c r="AK202" s="23">
        <v>0</v>
      </c>
      <c r="AL202" s="28">
        <f>AK202/detalle!$D$2</f>
        <v>0</v>
      </c>
    </row>
    <row r="203" spans="1:38">
      <c r="A203" s="12">
        <v>202</v>
      </c>
      <c r="B203" s="19">
        <v>44092</v>
      </c>
      <c r="C203" s="12">
        <v>184</v>
      </c>
      <c r="D203" s="23">
        <f t="shared" si="48"/>
        <v>968</v>
      </c>
      <c r="E203" s="12">
        <v>107700</v>
      </c>
      <c r="F203" s="12">
        <v>2044</v>
      </c>
      <c r="G203" s="12">
        <v>80820</v>
      </c>
      <c r="H203" s="23">
        <f t="shared" si="44"/>
        <v>24836</v>
      </c>
      <c r="I203" s="23">
        <f t="shared" si="42"/>
        <v>5037</v>
      </c>
      <c r="J203" s="12">
        <v>442354</v>
      </c>
      <c r="K203" s="23">
        <f t="shared" si="43"/>
        <v>334654</v>
      </c>
      <c r="L203" s="9">
        <f t="shared" si="49"/>
        <v>641</v>
      </c>
      <c r="M203" s="14">
        <f t="shared" si="45"/>
        <v>1.8978644382544103E-2</v>
      </c>
      <c r="N203" s="14">
        <f t="shared" si="41"/>
        <v>0.19217788366090927</v>
      </c>
      <c r="O203" s="13"/>
      <c r="P203" s="12"/>
      <c r="Q203" s="12"/>
      <c r="R203" s="23">
        <f t="shared" si="46"/>
        <v>82864</v>
      </c>
      <c r="S203" s="25">
        <f>(((H203+R203)/(H202+R202))-1)+detalle!$D$1</f>
        <v>8.0498016393530297E-2</v>
      </c>
      <c r="T203" s="25">
        <f t="shared" si="50"/>
        <v>1.1269722295094242</v>
      </c>
      <c r="U203" s="10">
        <f t="shared" si="47"/>
        <v>0.75041782729805018</v>
      </c>
      <c r="V203" s="21">
        <f t="shared" si="40"/>
        <v>39.540117416829744</v>
      </c>
      <c r="W203" s="15">
        <f>J203/detalle!$D$2</f>
        <v>40358.855269536049</v>
      </c>
      <c r="X203" s="15">
        <f>E203/detalle!$D$2</f>
        <v>9826.1770268360469</v>
      </c>
      <c r="Y203" s="22">
        <f>F203/detalle!$D$2</f>
        <v>186.48751943224588</v>
      </c>
      <c r="AA203" s="14">
        <f>E203/(detalle!$D$2*1000000)</f>
        <v>9.8261770268360474E-3</v>
      </c>
      <c r="AB203" s="14">
        <f>F203/(detalle!$D$2*1000000)</f>
        <v>1.8648751943224585E-4</v>
      </c>
      <c r="AC203" s="13">
        <v>0.41</v>
      </c>
      <c r="AD203" s="13">
        <v>0.27</v>
      </c>
      <c r="AE203" s="13">
        <v>0.28000000000000003</v>
      </c>
      <c r="AF203" s="22">
        <f t="shared" si="51"/>
        <v>10</v>
      </c>
      <c r="AG203" s="12">
        <v>0</v>
      </c>
      <c r="AH203" s="12">
        <v>0</v>
      </c>
      <c r="AI203" s="20">
        <v>0</v>
      </c>
      <c r="AJ203" s="23">
        <f t="shared" si="52"/>
        <v>0</v>
      </c>
      <c r="AK203" s="23">
        <v>0</v>
      </c>
      <c r="AL203" s="28">
        <f>AK203/detalle!$D$2</f>
        <v>0</v>
      </c>
    </row>
    <row r="204" spans="1:38">
      <c r="A204" s="12">
        <v>203</v>
      </c>
      <c r="B204" s="19">
        <v>44093</v>
      </c>
      <c r="C204" s="12">
        <v>185</v>
      </c>
      <c r="D204" s="23">
        <f t="shared" si="48"/>
        <v>589</v>
      </c>
      <c r="E204" s="12">
        <v>108289</v>
      </c>
      <c r="F204" s="12">
        <v>2047</v>
      </c>
      <c r="G204" s="12">
        <v>81668</v>
      </c>
      <c r="H204" s="23">
        <f t="shared" si="44"/>
        <v>24574</v>
      </c>
      <c r="I204" s="23">
        <f t="shared" si="42"/>
        <v>3885</v>
      </c>
      <c r="J204" s="12">
        <v>446239</v>
      </c>
      <c r="K204" s="23">
        <f t="shared" si="43"/>
        <v>337950</v>
      </c>
      <c r="L204" s="9">
        <f t="shared" si="49"/>
        <v>848</v>
      </c>
      <c r="M204" s="14">
        <f t="shared" si="45"/>
        <v>1.8903120353867892E-2</v>
      </c>
      <c r="N204" s="14">
        <f t="shared" si="41"/>
        <v>0.15160875160875162</v>
      </c>
      <c r="O204" s="12"/>
      <c r="P204" s="12"/>
      <c r="Q204" s="12"/>
      <c r="R204" s="23">
        <f t="shared" si="46"/>
        <v>83715</v>
      </c>
      <c r="S204" s="25">
        <f>(((H204+R204)/(H203+R203))-1)+detalle!$D$1</f>
        <v>7.6897466507494433E-2</v>
      </c>
      <c r="T204" s="25">
        <f t="shared" si="50"/>
        <v>1.0765645311049221</v>
      </c>
      <c r="U204" s="10">
        <f t="shared" si="47"/>
        <v>0.75416708991679671</v>
      </c>
      <c r="V204" s="21">
        <f t="shared" si="40"/>
        <v>39.896433805569124</v>
      </c>
      <c r="W204" s="15">
        <f>J204/detalle!$D$2</f>
        <v>40713.309287635013</v>
      </c>
      <c r="X204" s="15">
        <f>E204/detalle!$D$2</f>
        <v>9879.9153580227357</v>
      </c>
      <c r="Y204" s="22">
        <f>F204/detalle!$D$2</f>
        <v>186.76122909873155</v>
      </c>
      <c r="AA204" s="14">
        <f>E204/(detalle!$D$2*1000000)</f>
        <v>9.879915358022736E-3</v>
      </c>
      <c r="AB204" s="14">
        <f>F204/(detalle!$D$2*1000000)</f>
        <v>1.8676122909873155E-4</v>
      </c>
      <c r="AC204" s="13">
        <f>233/562</f>
        <v>0.41459074733096085</v>
      </c>
      <c r="AD204" s="13">
        <f>921/3493</f>
        <v>0.26367019753793303</v>
      </c>
      <c r="AE204" s="13">
        <f>123/437</f>
        <v>0.28146453089244849</v>
      </c>
      <c r="AF204" s="22">
        <f t="shared" si="51"/>
        <v>3</v>
      </c>
      <c r="AG204" s="12">
        <v>0</v>
      </c>
      <c r="AH204" s="12">
        <v>0</v>
      </c>
      <c r="AI204" s="20">
        <v>0</v>
      </c>
      <c r="AJ204" s="23">
        <f t="shared" si="52"/>
        <v>0</v>
      </c>
      <c r="AK204" s="23">
        <v>0</v>
      </c>
      <c r="AL204" s="28">
        <f>AK204/detalle!$D$2</f>
        <v>0</v>
      </c>
    </row>
    <row r="205" spans="1:38">
      <c r="A205" s="12">
        <v>204</v>
      </c>
      <c r="B205" s="19">
        <v>44094</v>
      </c>
      <c r="C205" s="12">
        <v>186</v>
      </c>
      <c r="D205" s="23">
        <f t="shared" si="48"/>
        <v>494</v>
      </c>
      <c r="E205" s="12">
        <v>108783</v>
      </c>
      <c r="F205" s="12">
        <v>2054</v>
      </c>
      <c r="G205" s="12">
        <v>82274</v>
      </c>
      <c r="H205" s="23">
        <f t="shared" si="44"/>
        <v>24455</v>
      </c>
      <c r="I205" s="23">
        <f t="shared" si="42"/>
        <v>3350</v>
      </c>
      <c r="J205" s="12">
        <v>449589</v>
      </c>
      <c r="K205" s="23">
        <f t="shared" si="43"/>
        <v>340806</v>
      </c>
      <c r="L205" s="9">
        <f t="shared" si="49"/>
        <v>606</v>
      </c>
      <c r="M205" s="14">
        <f t="shared" si="45"/>
        <v>1.888162672476398E-2</v>
      </c>
      <c r="N205" s="14">
        <f t="shared" si="41"/>
        <v>0.14746268656716419</v>
      </c>
      <c r="O205" s="13"/>
      <c r="P205" s="12"/>
      <c r="Q205" s="12"/>
      <c r="R205" s="23">
        <f t="shared" si="46"/>
        <v>84328</v>
      </c>
      <c r="S205" s="25">
        <f>(((H205+R205)/(H204+R204))-1)+detalle!$D$1</f>
        <v>7.5990438284854217E-2</v>
      </c>
      <c r="T205" s="25">
        <f t="shared" si="50"/>
        <v>1.0638661359879591</v>
      </c>
      <c r="U205" s="10">
        <f t="shared" si="47"/>
        <v>0.75631302685162205</v>
      </c>
      <c r="V205" s="21">
        <f t="shared" si="40"/>
        <v>40.055501460564749</v>
      </c>
      <c r="W205" s="15">
        <f>J205/detalle!$D$2</f>
        <v>41018.951748544023</v>
      </c>
      <c r="X205" s="15">
        <f>E205/detalle!$D$2</f>
        <v>9924.986216437379</v>
      </c>
      <c r="Y205" s="22">
        <f>F205/detalle!$D$2</f>
        <v>187.39988498719813</v>
      </c>
      <c r="AA205" s="14">
        <f>E205/(detalle!$D$2*1000000)</f>
        <v>9.9249862164373787E-3</v>
      </c>
      <c r="AB205" s="14">
        <f>F205/(detalle!$D$2*1000000)</f>
        <v>1.8739988498719815E-4</v>
      </c>
      <c r="AC205" s="13">
        <f>226/562</f>
        <v>0.40213523131672596</v>
      </c>
      <c r="AD205" s="13">
        <f>901/3493</f>
        <v>0.25794446034926999</v>
      </c>
      <c r="AE205" s="13">
        <f>124/437</f>
        <v>0.28375286041189929</v>
      </c>
      <c r="AF205" s="22">
        <f t="shared" si="51"/>
        <v>7</v>
      </c>
      <c r="AG205" s="12">
        <v>0</v>
      </c>
      <c r="AH205" s="12">
        <v>0</v>
      </c>
      <c r="AI205" s="20">
        <v>0</v>
      </c>
      <c r="AJ205" s="23">
        <f t="shared" si="52"/>
        <v>0</v>
      </c>
      <c r="AK205" s="23">
        <v>0</v>
      </c>
      <c r="AL205" s="28">
        <f>AK205/detalle!$D$2</f>
        <v>0</v>
      </c>
    </row>
    <row r="206" spans="1:38">
      <c r="A206" s="12">
        <v>205</v>
      </c>
      <c r="B206" s="19">
        <v>44095</v>
      </c>
      <c r="C206" s="12">
        <v>187</v>
      </c>
      <c r="D206" s="23">
        <f t="shared" si="48"/>
        <v>486</v>
      </c>
      <c r="E206" s="12">
        <v>109269</v>
      </c>
      <c r="F206" s="12">
        <v>2064</v>
      </c>
      <c r="G206" s="12">
        <v>82741</v>
      </c>
      <c r="H206" s="23">
        <f t="shared" si="44"/>
        <v>24464</v>
      </c>
      <c r="I206" s="23">
        <f t="shared" si="42"/>
        <v>2599</v>
      </c>
      <c r="J206" s="12">
        <v>452188</v>
      </c>
      <c r="K206" s="23">
        <f t="shared" si="43"/>
        <v>342919</v>
      </c>
      <c r="L206" s="9">
        <f t="shared" si="49"/>
        <v>467</v>
      </c>
      <c r="M206" s="14">
        <f t="shared" si="45"/>
        <v>1.8889163440683084E-2</v>
      </c>
      <c r="N206" s="14">
        <f t="shared" si="41"/>
        <v>0.18699499807618314</v>
      </c>
      <c r="O206" s="12"/>
      <c r="P206" s="12"/>
      <c r="Q206" s="12"/>
      <c r="R206" s="23">
        <f t="shared" si="46"/>
        <v>84805</v>
      </c>
      <c r="S206" s="25">
        <f>(((H206+R206)/(H205+R205))-1)+detalle!$D$1</f>
        <v>7.589618125731315E-2</v>
      </c>
      <c r="T206" s="25">
        <f t="shared" si="50"/>
        <v>1.0625465376023842</v>
      </c>
      <c r="U206" s="10">
        <f t="shared" si="47"/>
        <v>0.75722300011897248</v>
      </c>
      <c r="V206" s="21">
        <f t="shared" si="40"/>
        <v>40.087693798449614</v>
      </c>
      <c r="W206" s="15">
        <f>J206/detalle!$D$2</f>
        <v>41256.075556276126</v>
      </c>
      <c r="X206" s="15">
        <f>E206/detalle!$D$2</f>
        <v>9969.3271824080603</v>
      </c>
      <c r="Y206" s="22">
        <f>F206/detalle!$D$2</f>
        <v>188.31225054215042</v>
      </c>
      <c r="AA206" s="14">
        <f>E206/(detalle!$D$2*1000000)</f>
        <v>9.9693271824080592E-3</v>
      </c>
      <c r="AB206" s="14">
        <f>F206/(detalle!$D$2*1000000)</f>
        <v>1.8831225054215042E-4</v>
      </c>
      <c r="AC206" s="13">
        <f>213/569</f>
        <v>0.37434094903339193</v>
      </c>
      <c r="AD206" s="13">
        <f>850/3502</f>
        <v>0.24271844660194175</v>
      </c>
      <c r="AE206" s="13">
        <f>122/437</f>
        <v>0.2791762013729977</v>
      </c>
      <c r="AF206" s="22">
        <f t="shared" si="51"/>
        <v>10</v>
      </c>
      <c r="AG206" s="12">
        <v>0</v>
      </c>
      <c r="AH206" s="12">
        <v>0</v>
      </c>
      <c r="AI206" s="20">
        <v>0</v>
      </c>
      <c r="AJ206" s="23">
        <f t="shared" si="52"/>
        <v>0</v>
      </c>
      <c r="AK206" s="23">
        <v>0</v>
      </c>
      <c r="AL206" s="28">
        <f>AK206/detalle!$D$2</f>
        <v>0</v>
      </c>
    </row>
    <row r="207" spans="1:38">
      <c r="A207" s="12">
        <v>206</v>
      </c>
      <c r="B207" s="19">
        <v>44096</v>
      </c>
      <c r="C207" s="12">
        <v>188</v>
      </c>
      <c r="D207" s="23">
        <f t="shared" si="48"/>
        <v>468</v>
      </c>
      <c r="E207" s="12">
        <v>109737</v>
      </c>
      <c r="F207" s="12">
        <v>2074</v>
      </c>
      <c r="G207" s="12">
        <v>83434</v>
      </c>
      <c r="H207" s="23">
        <f t="shared" si="44"/>
        <v>24229</v>
      </c>
      <c r="I207" s="23">
        <f t="shared" si="42"/>
        <v>3337</v>
      </c>
      <c r="J207" s="12">
        <v>455525</v>
      </c>
      <c r="K207" s="23">
        <f t="shared" si="43"/>
        <v>345788</v>
      </c>
      <c r="L207" s="9">
        <f t="shared" si="49"/>
        <v>693</v>
      </c>
      <c r="M207" s="14">
        <f t="shared" si="45"/>
        <v>1.8899732997986095E-2</v>
      </c>
      <c r="N207" s="14">
        <f t="shared" si="41"/>
        <v>0.14024572969733293</v>
      </c>
      <c r="O207" s="13"/>
      <c r="P207" s="12"/>
      <c r="Q207" s="12"/>
      <c r="R207" s="23">
        <f t="shared" si="46"/>
        <v>85508</v>
      </c>
      <c r="S207" s="25">
        <f>(((H207+R207)/(H206+R206))-1)+detalle!$D$1</f>
        <v>7.5711579418028557E-2</v>
      </c>
      <c r="T207" s="25">
        <f t="shared" si="50"/>
        <v>1.0599621118523999</v>
      </c>
      <c r="U207" s="10">
        <f t="shared" si="47"/>
        <v>0.76030873816488509</v>
      </c>
      <c r="V207" s="21">
        <f t="shared" si="40"/>
        <v>40.228543876567024</v>
      </c>
      <c r="W207" s="15">
        <f>J207/detalle!$D$2</f>
        <v>41560.531941963702</v>
      </c>
      <c r="X207" s="15">
        <f>E207/detalle!$D$2</f>
        <v>10012.025890379826</v>
      </c>
      <c r="Y207" s="22">
        <f>F207/detalle!$D$2</f>
        <v>189.22461609710271</v>
      </c>
      <c r="AA207" s="14">
        <f>E207/(detalle!$D$2*1000000)</f>
        <v>1.0012025890379826E-2</v>
      </c>
      <c r="AB207" s="14">
        <f>F207/(detalle!$D$2*1000000)</f>
        <v>1.8922461609710271E-4</v>
      </c>
      <c r="AC207" s="13">
        <f>208/532</f>
        <v>0.39097744360902253</v>
      </c>
      <c r="AD207" s="13">
        <f>831/3493</f>
        <v>0.23790438018894933</v>
      </c>
      <c r="AE207" s="13">
        <f>125/422</f>
        <v>0.29620853080568721</v>
      </c>
      <c r="AF207" s="22">
        <f t="shared" si="51"/>
        <v>10</v>
      </c>
      <c r="AG207" s="12">
        <v>0</v>
      </c>
      <c r="AH207" s="12">
        <v>0</v>
      </c>
      <c r="AI207" s="20">
        <v>0</v>
      </c>
      <c r="AJ207" s="23">
        <f t="shared" si="52"/>
        <v>0</v>
      </c>
      <c r="AK207" s="23">
        <v>0</v>
      </c>
      <c r="AL207" s="28">
        <f>AK207/detalle!$D$2</f>
        <v>0</v>
      </c>
    </row>
    <row r="208" spans="1:38">
      <c r="A208" s="12">
        <v>207</v>
      </c>
      <c r="B208" s="19">
        <v>44097</v>
      </c>
      <c r="C208" s="12">
        <v>189</v>
      </c>
      <c r="D208" s="23">
        <f t="shared" si="48"/>
        <v>385</v>
      </c>
      <c r="E208" s="12">
        <v>110122</v>
      </c>
      <c r="F208" s="12">
        <v>2076</v>
      </c>
      <c r="G208" s="12">
        <v>84018</v>
      </c>
      <c r="H208" s="23">
        <f t="shared" si="44"/>
        <v>24028</v>
      </c>
      <c r="I208" s="23">
        <f t="shared" si="42"/>
        <v>3056</v>
      </c>
      <c r="J208" s="12">
        <v>458581</v>
      </c>
      <c r="K208" s="23">
        <f t="shared" si="43"/>
        <v>348459</v>
      </c>
      <c r="L208" s="9">
        <f t="shared" si="49"/>
        <v>584</v>
      </c>
      <c r="M208" s="14">
        <f t="shared" si="45"/>
        <v>1.8851818891774577E-2</v>
      </c>
      <c r="N208" s="14">
        <f t="shared" si="41"/>
        <v>0.12598167539267016</v>
      </c>
      <c r="O208" s="12"/>
      <c r="P208" s="12"/>
      <c r="Q208" s="12"/>
      <c r="R208" s="23">
        <f t="shared" si="46"/>
        <v>86094</v>
      </c>
      <c r="S208" s="25">
        <f>(((H208+R208)/(H207+R207))-1)+detalle!$D$1</f>
        <v>7.4936959665902442E-2</v>
      </c>
      <c r="T208" s="25">
        <f t="shared" si="50"/>
        <v>1.0491174353226342</v>
      </c>
      <c r="U208" s="10">
        <f t="shared" si="47"/>
        <v>0.76295381485988267</v>
      </c>
      <c r="V208" s="21">
        <f t="shared" si="40"/>
        <v>40.471098265895954</v>
      </c>
      <c r="W208" s="15">
        <f>J208/detalle!$D$2</f>
        <v>41839.350855557117</v>
      </c>
      <c r="X208" s="15">
        <f>E208/detalle!$D$2</f>
        <v>10047.15196424549</v>
      </c>
      <c r="Y208" s="22">
        <f>F208/detalle!$D$2</f>
        <v>189.40708920809317</v>
      </c>
      <c r="AA208" s="14">
        <f>E208/(detalle!$D$2*1000000)</f>
        <v>1.0047151964245488E-2</v>
      </c>
      <c r="AB208" s="14">
        <f>F208/(detalle!$D$2*1000000)</f>
        <v>1.8940708920809317E-4</v>
      </c>
      <c r="AC208" s="13">
        <f>213/560</f>
        <v>0.38035714285714284</v>
      </c>
      <c r="AD208" s="13">
        <f>829/3472</f>
        <v>0.23876728110599077</v>
      </c>
      <c r="AE208" s="13">
        <f>125/440</f>
        <v>0.28409090909090912</v>
      </c>
      <c r="AF208" s="22">
        <f t="shared" si="51"/>
        <v>2</v>
      </c>
      <c r="AG208" s="12">
        <v>0</v>
      </c>
      <c r="AH208" s="12">
        <v>0</v>
      </c>
      <c r="AI208" s="20">
        <v>0</v>
      </c>
      <c r="AJ208" s="23">
        <f t="shared" si="52"/>
        <v>0</v>
      </c>
      <c r="AK208" s="23">
        <v>0</v>
      </c>
      <c r="AL208" s="28">
        <f>AK208/detalle!$D$2</f>
        <v>0</v>
      </c>
    </row>
    <row r="209" spans="1:38">
      <c r="A209" s="12">
        <v>208</v>
      </c>
      <c r="B209" s="19">
        <v>44098</v>
      </c>
      <c r="C209" s="12">
        <v>190</v>
      </c>
      <c r="D209" s="23">
        <f t="shared" si="48"/>
        <v>475</v>
      </c>
      <c r="E209" s="12">
        <v>110597</v>
      </c>
      <c r="F209" s="12">
        <v>2087</v>
      </c>
      <c r="G209" s="12">
        <v>84610</v>
      </c>
      <c r="H209" s="23">
        <f t="shared" si="44"/>
        <v>23900</v>
      </c>
      <c r="I209" s="23">
        <f t="shared" si="42"/>
        <v>3706</v>
      </c>
      <c r="J209" s="12">
        <v>462287</v>
      </c>
      <c r="K209" s="23">
        <f t="shared" si="43"/>
        <v>351690</v>
      </c>
      <c r="L209" s="9">
        <f t="shared" si="49"/>
        <v>592</v>
      </c>
      <c r="M209" s="14">
        <f t="shared" si="45"/>
        <v>1.887031293796396E-2</v>
      </c>
      <c r="N209" s="14">
        <f t="shared" si="41"/>
        <v>0.12817053426875338</v>
      </c>
      <c r="O209" s="13"/>
      <c r="P209" s="12"/>
      <c r="Q209" s="12"/>
      <c r="R209" s="23">
        <f t="shared" si="46"/>
        <v>86697</v>
      </c>
      <c r="S209" s="25">
        <f>(((H209+R209)/(H208+R208))-1)+detalle!$D$1</f>
        <v>7.5741969296390793E-2</v>
      </c>
      <c r="T209" s="25">
        <f t="shared" si="50"/>
        <v>1.0603875701494712</v>
      </c>
      <c r="U209" s="10">
        <f t="shared" si="47"/>
        <v>0.76502979285152395</v>
      </c>
      <c r="V209" s="21">
        <f t="shared" ref="V209:V272" si="53">G209/F209</f>
        <v>40.541447053186388</v>
      </c>
      <c r="W209" s="15">
        <f>J209/detalle!$D$2</f>
        <v>42177.473530222429</v>
      </c>
      <c r="X209" s="15">
        <f>E209/detalle!$D$2</f>
        <v>10090.489328105723</v>
      </c>
      <c r="Y209" s="22">
        <f>F209/detalle!$D$2</f>
        <v>190.41069131854067</v>
      </c>
      <c r="AA209" s="14">
        <f>E209/(detalle!$D$2*1000000)</f>
        <v>1.0090489328105723E-2</v>
      </c>
      <c r="AB209" s="14">
        <f>F209/(detalle!$D$2*1000000)</f>
        <v>1.9041069131854068E-4</v>
      </c>
      <c r="AC209" s="13">
        <f>214/559</f>
        <v>0.38282647584973167</v>
      </c>
      <c r="AD209" s="13">
        <f>848/3476</f>
        <v>0.24395857307249713</v>
      </c>
      <c r="AE209" s="13">
        <f>127/440</f>
        <v>0.28863636363636364</v>
      </c>
      <c r="AF209" s="22">
        <f t="shared" si="51"/>
        <v>11</v>
      </c>
      <c r="AG209" s="12">
        <v>0</v>
      </c>
      <c r="AH209" s="12">
        <v>0</v>
      </c>
      <c r="AI209" s="20">
        <v>0</v>
      </c>
      <c r="AJ209" s="23">
        <f t="shared" si="52"/>
        <v>0</v>
      </c>
      <c r="AK209" s="23">
        <v>0</v>
      </c>
      <c r="AL209" s="28">
        <f>AK209/detalle!$D$2</f>
        <v>0</v>
      </c>
    </row>
    <row r="210" spans="1:38">
      <c r="A210" s="12">
        <v>209</v>
      </c>
      <c r="B210" s="19">
        <v>44099</v>
      </c>
      <c r="C210" s="12">
        <v>191</v>
      </c>
      <c r="D210" s="23">
        <f t="shared" si="48"/>
        <v>360</v>
      </c>
      <c r="E210" s="12">
        <v>110957</v>
      </c>
      <c r="F210" s="12">
        <v>2093</v>
      </c>
      <c r="G210" s="12">
        <v>85220</v>
      </c>
      <c r="H210" s="23">
        <f t="shared" si="44"/>
        <v>23644</v>
      </c>
      <c r="I210" s="23">
        <f t="shared" si="42"/>
        <v>3534</v>
      </c>
      <c r="J210" s="12">
        <v>465821</v>
      </c>
      <c r="K210" s="23">
        <f t="shared" si="43"/>
        <v>354864</v>
      </c>
      <c r="L210" s="9">
        <f t="shared" si="49"/>
        <v>610</v>
      </c>
      <c r="M210" s="14">
        <f t="shared" si="45"/>
        <v>1.8863163207368621E-2</v>
      </c>
      <c r="N210" s="14">
        <f t="shared" si="41"/>
        <v>0.10186757215619695</v>
      </c>
      <c r="O210" s="12"/>
      <c r="P210" s="12"/>
      <c r="Q210" s="12"/>
      <c r="R210" s="23">
        <f t="shared" si="46"/>
        <v>87313</v>
      </c>
      <c r="S210" s="25">
        <f>(((H210+R210)/(H209+R209))-1)+detalle!$D$1</f>
        <v>7.4683632596595856E-2</v>
      </c>
      <c r="T210" s="25">
        <f t="shared" si="50"/>
        <v>1.045570856352342</v>
      </c>
      <c r="U210" s="10">
        <f t="shared" si="47"/>
        <v>0.76804527880169793</v>
      </c>
      <c r="V210" s="21">
        <f t="shared" si="53"/>
        <v>40.716674629718106</v>
      </c>
      <c r="W210" s="15">
        <f>J210/detalle!$D$2</f>
        <v>42499.903517342565</v>
      </c>
      <c r="X210" s="15">
        <f>E210/detalle!$D$2</f>
        <v>10123.334488084005</v>
      </c>
      <c r="Y210" s="22">
        <f>F210/detalle!$D$2</f>
        <v>190.95811065151204</v>
      </c>
      <c r="AA210" s="14">
        <f>E210/(detalle!$D$2*1000000)</f>
        <v>1.0123334488084003E-2</v>
      </c>
      <c r="AB210" s="14">
        <f>F210/(detalle!$D$2*1000000)</f>
        <v>1.9095811065151204E-4</v>
      </c>
      <c r="AC210" s="13">
        <f>200/559</f>
        <v>0.35778175313059035</v>
      </c>
      <c r="AD210" s="13">
        <f>820/3480</f>
        <v>0.23563218390804597</v>
      </c>
      <c r="AE210" s="13">
        <f>123/440</f>
        <v>0.27954545454545454</v>
      </c>
      <c r="AF210" s="22">
        <f t="shared" si="51"/>
        <v>6</v>
      </c>
      <c r="AG210" s="12">
        <v>0</v>
      </c>
      <c r="AH210" s="12">
        <v>0</v>
      </c>
      <c r="AI210" s="20">
        <v>0</v>
      </c>
      <c r="AJ210" s="23">
        <f t="shared" si="52"/>
        <v>0</v>
      </c>
      <c r="AK210" s="23">
        <v>0</v>
      </c>
      <c r="AL210" s="28">
        <f>AK210/detalle!$D$2</f>
        <v>0</v>
      </c>
    </row>
    <row r="211" spans="1:38">
      <c r="A211" s="12">
        <v>210</v>
      </c>
      <c r="B211" s="19">
        <v>44100</v>
      </c>
      <c r="C211" s="12">
        <v>192</v>
      </c>
      <c r="D211" s="23">
        <f t="shared" si="48"/>
        <v>429</v>
      </c>
      <c r="E211" s="12">
        <v>111386</v>
      </c>
      <c r="F211" s="12">
        <v>2095</v>
      </c>
      <c r="G211" s="12">
        <v>85965</v>
      </c>
      <c r="H211" s="23">
        <f t="shared" si="44"/>
        <v>23326</v>
      </c>
      <c r="I211" s="23">
        <f t="shared" si="42"/>
        <v>4440</v>
      </c>
      <c r="J211" s="12">
        <v>470261</v>
      </c>
      <c r="K211" s="23">
        <f t="shared" si="43"/>
        <v>358875</v>
      </c>
      <c r="L211" s="9">
        <f t="shared" si="49"/>
        <v>745</v>
      </c>
      <c r="M211" s="14">
        <f t="shared" si="45"/>
        <v>1.8808467850537771E-2</v>
      </c>
      <c r="N211" s="14">
        <f t="shared" si="41"/>
        <v>9.662162162162162E-2</v>
      </c>
      <c r="O211" s="13"/>
      <c r="P211" s="12"/>
      <c r="Q211" s="12"/>
      <c r="R211" s="23">
        <f t="shared" si="46"/>
        <v>88060</v>
      </c>
      <c r="S211" s="25">
        <f>(((H211+R211)/(H210+R210))-1)+detalle!$D$1</f>
        <v>7.5294934073560055E-2</v>
      </c>
      <c r="T211" s="25">
        <f t="shared" si="50"/>
        <v>1.0541290770298408</v>
      </c>
      <c r="U211" s="10">
        <f t="shared" si="47"/>
        <v>0.77177562709855818</v>
      </c>
      <c r="V211" s="21">
        <f t="shared" si="53"/>
        <v>41.033412887828163</v>
      </c>
      <c r="W211" s="15">
        <f>J211/detalle!$D$2</f>
        <v>42904.993823741373</v>
      </c>
      <c r="X211" s="15">
        <f>E211/detalle!$D$2</f>
        <v>10162.474970391457</v>
      </c>
      <c r="Y211" s="22">
        <f>F211/detalle!$D$2</f>
        <v>191.1405837625025</v>
      </c>
      <c r="AA211" s="14">
        <f>E211/(detalle!$D$2*1000000)</f>
        <v>1.0162474970391458E-2</v>
      </c>
      <c r="AB211" s="14">
        <f>F211/(detalle!$D$2*1000000)</f>
        <v>1.9114058376250249E-4</v>
      </c>
      <c r="AC211" s="13">
        <f>205/553</f>
        <v>0.37070524412296563</v>
      </c>
      <c r="AD211" s="13">
        <f>828/3478</f>
        <v>0.2380678550891317</v>
      </c>
      <c r="AE211" s="13">
        <f>127/435</f>
        <v>0.29195402298850576</v>
      </c>
      <c r="AF211" s="22">
        <f t="shared" si="51"/>
        <v>2</v>
      </c>
      <c r="AG211" s="12">
        <v>0</v>
      </c>
      <c r="AH211" s="12">
        <v>0</v>
      </c>
      <c r="AI211" s="20">
        <v>0</v>
      </c>
      <c r="AJ211" s="23">
        <f t="shared" si="52"/>
        <v>0</v>
      </c>
      <c r="AK211" s="23">
        <v>0</v>
      </c>
      <c r="AL211" s="28">
        <f>AK211/detalle!$D$2</f>
        <v>0</v>
      </c>
    </row>
    <row r="212" spans="1:38">
      <c r="A212" s="12">
        <v>211</v>
      </c>
      <c r="B212" s="19">
        <v>44101</v>
      </c>
      <c r="C212" s="12">
        <v>193</v>
      </c>
      <c r="D212" s="23">
        <f t="shared" si="48"/>
        <v>280</v>
      </c>
      <c r="E212" s="12">
        <v>111666</v>
      </c>
      <c r="F212" s="12">
        <v>2098</v>
      </c>
      <c r="G212" s="12">
        <v>86422</v>
      </c>
      <c r="H212" s="23">
        <f t="shared" si="44"/>
        <v>23146</v>
      </c>
      <c r="I212" s="23">
        <f t="shared" si="42"/>
        <v>2160</v>
      </c>
      <c r="J212" s="12">
        <v>472421</v>
      </c>
      <c r="K212" s="23">
        <f t="shared" si="43"/>
        <v>360755</v>
      </c>
      <c r="L212" s="9">
        <f t="shared" si="49"/>
        <v>457</v>
      </c>
      <c r="M212" s="14">
        <f t="shared" si="45"/>
        <v>1.8788171869682804E-2</v>
      </c>
      <c r="N212" s="14">
        <f t="shared" ref="N212:N275" si="54">D212/I212</f>
        <v>0.12962962962962962</v>
      </c>
      <c r="O212" s="12"/>
      <c r="P212" s="12"/>
      <c r="Q212" s="12"/>
      <c r="R212" s="23">
        <f t="shared" si="46"/>
        <v>88520</v>
      </c>
      <c r="S212" s="25">
        <f>(((H212+R212)/(H211+R211))-1)+detalle!$D$1</f>
        <v>7.3942352334609912E-2</v>
      </c>
      <c r="T212" s="25">
        <f t="shared" si="50"/>
        <v>1.0351929326845388</v>
      </c>
      <c r="U212" s="10">
        <f t="shared" si="47"/>
        <v>0.77393297870435052</v>
      </c>
      <c r="V212" s="21">
        <f t="shared" si="53"/>
        <v>41.192564346997138</v>
      </c>
      <c r="W212" s="15">
        <f>J212/detalle!$D$2</f>
        <v>43102.064783611073</v>
      </c>
      <c r="X212" s="15">
        <f>E212/detalle!$D$2</f>
        <v>10188.021205930121</v>
      </c>
      <c r="Y212" s="22">
        <f>F212/detalle!$D$2</f>
        <v>191.41429342898817</v>
      </c>
      <c r="AA212" s="14">
        <f>E212/(detalle!$D$2*1000000)</f>
        <v>1.018802120593012E-2</v>
      </c>
      <c r="AB212" s="14">
        <f>F212/(detalle!$D$2*1000000)</f>
        <v>1.9141429342898816E-4</v>
      </c>
      <c r="AC212" s="13">
        <f>194/557</f>
        <v>0.348294434470377</v>
      </c>
      <c r="AD212" s="13">
        <f>828/3475</f>
        <v>0.23827338129496403</v>
      </c>
      <c r="AE212" s="13">
        <f>123/435</f>
        <v>0.28275862068965518</v>
      </c>
      <c r="AF212" s="22">
        <f t="shared" si="51"/>
        <v>3</v>
      </c>
      <c r="AG212" s="12">
        <v>0</v>
      </c>
      <c r="AH212" s="12">
        <v>0</v>
      </c>
      <c r="AI212" s="20">
        <v>0</v>
      </c>
      <c r="AJ212" s="23">
        <f t="shared" si="52"/>
        <v>0</v>
      </c>
      <c r="AK212" s="23">
        <v>0</v>
      </c>
      <c r="AL212" s="28">
        <f>AK212/detalle!$D$2</f>
        <v>0</v>
      </c>
    </row>
    <row r="213" spans="1:38">
      <c r="A213" s="12">
        <v>212</v>
      </c>
      <c r="B213" s="19">
        <v>44102</v>
      </c>
      <c r="C213" s="12">
        <v>194</v>
      </c>
      <c r="D213" s="23">
        <f t="shared" si="48"/>
        <v>234</v>
      </c>
      <c r="E213" s="12">
        <v>111900</v>
      </c>
      <c r="F213" s="12">
        <v>2101</v>
      </c>
      <c r="G213" s="12">
        <v>86998</v>
      </c>
      <c r="H213" s="23">
        <f t="shared" si="44"/>
        <v>22801</v>
      </c>
      <c r="I213" s="23">
        <f t="shared" si="42"/>
        <v>1609</v>
      </c>
      <c r="J213" s="12">
        <v>474030</v>
      </c>
      <c r="K213" s="23">
        <f t="shared" si="43"/>
        <v>362130</v>
      </c>
      <c r="L213" s="9">
        <f t="shared" si="49"/>
        <v>576</v>
      </c>
      <c r="M213" s="14">
        <f t="shared" si="45"/>
        <v>1.8775692582663091E-2</v>
      </c>
      <c r="N213" s="14">
        <f t="shared" si="54"/>
        <v>0.1454319453076445</v>
      </c>
      <c r="O213" s="13"/>
      <c r="P213" s="12"/>
      <c r="Q213" s="12"/>
      <c r="R213" s="23">
        <f t="shared" si="46"/>
        <v>89099</v>
      </c>
      <c r="S213" s="25">
        <f>(((H213+R213)/(H212+R212))-1)+detalle!$D$1</f>
        <v>7.3524106327287148E-2</v>
      </c>
      <c r="T213" s="25">
        <f t="shared" si="50"/>
        <v>1.0293374885820201</v>
      </c>
      <c r="U213" s="10">
        <f t="shared" si="47"/>
        <v>0.77746201966041106</v>
      </c>
      <c r="V213" s="21">
        <f t="shared" si="53"/>
        <v>41.407900999524038</v>
      </c>
      <c r="W213" s="15">
        <f>J213/detalle!$D$2</f>
        <v>43248.864401402891</v>
      </c>
      <c r="X213" s="15">
        <f>E213/detalle!$D$2</f>
        <v>10209.370559916004</v>
      </c>
      <c r="Y213" s="22">
        <f>F213/detalle!$D$2</f>
        <v>191.68800309547387</v>
      </c>
      <c r="AA213" s="14">
        <f>E213/(detalle!$D$2*1000000)</f>
        <v>1.0209370559916005E-2</v>
      </c>
      <c r="AB213" s="14">
        <f>F213/(detalle!$D$2*1000000)</f>
        <v>1.9168800309547385E-4</v>
      </c>
      <c r="AC213" s="13">
        <f>185/556</f>
        <v>0.33273381294964027</v>
      </c>
      <c r="AD213" s="13">
        <f>782/3451</f>
        <v>0.22660098522167488</v>
      </c>
      <c r="AE213" s="13">
        <f>119/431</f>
        <v>0.27610208816705334</v>
      </c>
      <c r="AF213" s="22">
        <f t="shared" si="51"/>
        <v>3</v>
      </c>
      <c r="AG213" s="12">
        <v>0</v>
      </c>
      <c r="AH213" s="12">
        <v>0</v>
      </c>
      <c r="AI213" s="20">
        <v>0</v>
      </c>
      <c r="AJ213" s="23">
        <f t="shared" si="52"/>
        <v>0</v>
      </c>
      <c r="AK213" s="23">
        <v>0</v>
      </c>
      <c r="AL213" s="28">
        <f>AK213/detalle!$D$2</f>
        <v>0</v>
      </c>
    </row>
    <row r="214" spans="1:38">
      <c r="A214" s="12">
        <v>213</v>
      </c>
      <c r="B214" s="19">
        <v>44103</v>
      </c>
      <c r="C214" s="12">
        <v>195</v>
      </c>
      <c r="D214" s="23">
        <f t="shared" si="48"/>
        <v>309</v>
      </c>
      <c r="E214" s="12">
        <v>112209</v>
      </c>
      <c r="F214" s="12">
        <v>2105</v>
      </c>
      <c r="G214" s="12">
        <v>87629</v>
      </c>
      <c r="H214" s="23">
        <f t="shared" si="44"/>
        <v>22475</v>
      </c>
      <c r="I214" s="23">
        <f t="shared" si="42"/>
        <v>3377</v>
      </c>
      <c r="J214" s="12">
        <v>477407</v>
      </c>
      <c r="K214" s="23">
        <f t="shared" si="43"/>
        <v>365198</v>
      </c>
      <c r="L214" s="9">
        <f t="shared" si="49"/>
        <v>631</v>
      </c>
      <c r="M214" s="14">
        <f t="shared" si="45"/>
        <v>1.8759636036325071E-2</v>
      </c>
      <c r="N214" s="14">
        <f t="shared" si="54"/>
        <v>9.1501332543677816E-2</v>
      </c>
      <c r="O214" s="12"/>
      <c r="P214" s="12"/>
      <c r="Q214" s="12"/>
      <c r="R214" s="23">
        <f t="shared" si="46"/>
        <v>89734</v>
      </c>
      <c r="S214" s="25">
        <f>(((H214+R214)/(H213+R213))-1)+detalle!$D$1</f>
        <v>7.4189965530448126E-2</v>
      </c>
      <c r="T214" s="25">
        <f t="shared" si="50"/>
        <v>1.0386595174262738</v>
      </c>
      <c r="U214" s="10">
        <f t="shared" si="47"/>
        <v>0.7809444875188265</v>
      </c>
      <c r="V214" s="21">
        <f t="shared" si="53"/>
        <v>41.628978622327793</v>
      </c>
      <c r="W214" s="15">
        <f>J214/detalle!$D$2</f>
        <v>43556.970249310274</v>
      </c>
      <c r="X214" s="15">
        <f>E214/detalle!$D$2</f>
        <v>10237.56265556403</v>
      </c>
      <c r="Y214" s="22">
        <f>F214/detalle!$D$2</f>
        <v>192.05294931745476</v>
      </c>
      <c r="AA214" s="14">
        <f>E214/(detalle!$D$2*1000000)</f>
        <v>1.0237562655564029E-2</v>
      </c>
      <c r="AB214" s="14">
        <f>F214/(detalle!$D$2*1000000)</f>
        <v>1.9205294931745476E-4</v>
      </c>
      <c r="AC214" s="13">
        <f>184/555</f>
        <v>0.33153153153153153</v>
      </c>
      <c r="AD214" s="13">
        <f>803/3429</f>
        <v>0.2341790609507145</v>
      </c>
      <c r="AE214" s="13">
        <f>108/430</f>
        <v>0.25116279069767444</v>
      </c>
      <c r="AF214" s="22">
        <f t="shared" si="51"/>
        <v>4</v>
      </c>
      <c r="AG214" s="12">
        <v>0</v>
      </c>
      <c r="AH214" s="12">
        <v>0</v>
      </c>
      <c r="AI214" s="20">
        <v>0</v>
      </c>
      <c r="AJ214" s="23">
        <f t="shared" si="52"/>
        <v>0</v>
      </c>
      <c r="AK214" s="23">
        <v>0</v>
      </c>
      <c r="AL214" s="28">
        <f>AK214/detalle!$D$2</f>
        <v>0</v>
      </c>
    </row>
    <row r="215" spans="1:38">
      <c r="A215" s="12">
        <v>214</v>
      </c>
      <c r="B215" s="19">
        <v>44104</v>
      </c>
      <c r="C215" s="12">
        <v>196</v>
      </c>
      <c r="D215" s="23">
        <f t="shared" si="48"/>
        <v>519</v>
      </c>
      <c r="E215" s="12">
        <v>112728</v>
      </c>
      <c r="F215" s="12">
        <v>2108</v>
      </c>
      <c r="G215" s="12">
        <v>88205</v>
      </c>
      <c r="H215" s="23">
        <f t="shared" si="44"/>
        <v>22415</v>
      </c>
      <c r="I215" s="23">
        <f t="shared" si="42"/>
        <v>3595</v>
      </c>
      <c r="J215" s="12">
        <v>481002</v>
      </c>
      <c r="K215" s="23">
        <f t="shared" si="43"/>
        <v>368274</v>
      </c>
      <c r="L215" s="9">
        <f t="shared" si="49"/>
        <v>576</v>
      </c>
      <c r="M215" s="14">
        <f t="shared" si="45"/>
        <v>1.8699879355617059E-2</v>
      </c>
      <c r="N215" s="14">
        <f t="shared" si="54"/>
        <v>0.14436717663421419</v>
      </c>
      <c r="O215" s="13"/>
      <c r="P215" s="12"/>
      <c r="Q215" s="12"/>
      <c r="R215" s="23">
        <f t="shared" si="46"/>
        <v>90313</v>
      </c>
      <c r="S215" s="25">
        <f>(((H215+R215)/(H214+R214))-1)+detalle!$D$1</f>
        <v>7.6053868864605995E-2</v>
      </c>
      <c r="T215" s="25">
        <f t="shared" si="50"/>
        <v>1.064754164104484</v>
      </c>
      <c r="U215" s="10">
        <f t="shared" si="47"/>
        <v>0.78245866155702226</v>
      </c>
      <c r="V215" s="21">
        <f t="shared" si="53"/>
        <v>41.842979127134726</v>
      </c>
      <c r="W215" s="15">
        <f>J215/detalle!$D$2</f>
        <v>43884.96566631562</v>
      </c>
      <c r="X215" s="15">
        <f>E215/detalle!$D$2</f>
        <v>10284.914427866053</v>
      </c>
      <c r="Y215" s="22">
        <f>F215/detalle!$D$2</f>
        <v>192.32665898394046</v>
      </c>
      <c r="AA215" s="14">
        <f>E215/(detalle!$D$2*1000000)</f>
        <v>1.0284914427866053E-2</v>
      </c>
      <c r="AB215" s="14">
        <f>F215/(detalle!$D$2*1000000)</f>
        <v>1.9232665898394046E-4</v>
      </c>
      <c r="AC215" s="13">
        <f>178/556</f>
        <v>0.32014388489208634</v>
      </c>
      <c r="AD215" s="13">
        <f>801/3417</f>
        <v>0.2344161545215101</v>
      </c>
      <c r="AE215" s="13">
        <f>103/430</f>
        <v>0.23953488372093024</v>
      </c>
      <c r="AF215" s="22">
        <f t="shared" si="51"/>
        <v>3</v>
      </c>
      <c r="AG215" s="12">
        <v>0</v>
      </c>
      <c r="AH215" s="12">
        <v>0</v>
      </c>
      <c r="AI215" s="20">
        <v>0</v>
      </c>
      <c r="AJ215" s="23">
        <f t="shared" si="52"/>
        <v>0</v>
      </c>
      <c r="AK215" s="23">
        <v>0</v>
      </c>
      <c r="AL215" s="28">
        <f>AK215/detalle!$D$2</f>
        <v>0</v>
      </c>
    </row>
    <row r="216" spans="1:38">
      <c r="A216" s="12">
        <v>215</v>
      </c>
      <c r="B216" s="19">
        <v>44105</v>
      </c>
      <c r="C216" s="12">
        <v>197</v>
      </c>
      <c r="D216" s="23">
        <f t="shared" si="48"/>
        <v>622</v>
      </c>
      <c r="E216" s="12">
        <v>113350</v>
      </c>
      <c r="F216" s="12">
        <v>2117</v>
      </c>
      <c r="G216" s="12">
        <v>88840</v>
      </c>
      <c r="H216" s="23">
        <f t="shared" si="44"/>
        <v>22393</v>
      </c>
      <c r="I216" s="23">
        <f t="shared" si="42"/>
        <v>3749</v>
      </c>
      <c r="J216" s="12">
        <v>484751</v>
      </c>
      <c r="K216" s="23">
        <f t="shared" si="43"/>
        <v>371401</v>
      </c>
      <c r="L216" s="9">
        <f t="shared" si="49"/>
        <v>635</v>
      </c>
      <c r="M216" s="14">
        <f t="shared" si="45"/>
        <v>1.8676665196294663E-2</v>
      </c>
      <c r="N216" s="14">
        <f t="shared" si="54"/>
        <v>0.16591090957588692</v>
      </c>
      <c r="O216" s="12"/>
      <c r="P216" s="12"/>
      <c r="Q216" s="12"/>
      <c r="R216" s="23">
        <f t="shared" si="46"/>
        <v>90957</v>
      </c>
      <c r="S216" s="25">
        <f>(((H216+R216)/(H215+R215))-1)+detalle!$D$1</f>
        <v>7.6946277765949783E-2</v>
      </c>
      <c r="T216" s="25">
        <f t="shared" si="50"/>
        <v>1.077247888723297</v>
      </c>
      <c r="U216" s="10">
        <f t="shared" si="47"/>
        <v>0.78376709307454784</v>
      </c>
      <c r="V216" s="21">
        <f t="shared" si="53"/>
        <v>41.965044874822865</v>
      </c>
      <c r="W216" s="15">
        <f>J216/detalle!$D$2</f>
        <v>44227.011512867226</v>
      </c>
      <c r="X216" s="15">
        <f>E216/detalle!$D$2</f>
        <v>10341.663565384084</v>
      </c>
      <c r="Y216" s="22">
        <f>F216/detalle!$D$2</f>
        <v>193.14778798339751</v>
      </c>
      <c r="AA216" s="14">
        <f>E216/(detalle!$D$2*1000000)</f>
        <v>1.0341663565384084E-2</v>
      </c>
      <c r="AB216" s="14">
        <f>F216/(detalle!$D$2*1000000)</f>
        <v>1.9314778798339751E-4</v>
      </c>
      <c r="AC216" s="13">
        <f>180/557</f>
        <v>0.3231597845601436</v>
      </c>
      <c r="AD216" s="13">
        <f>787/3413</f>
        <v>0.23058892469967771</v>
      </c>
      <c r="AE216" s="13">
        <f>103/430</f>
        <v>0.23953488372093024</v>
      </c>
      <c r="AF216" s="22">
        <f t="shared" si="51"/>
        <v>9</v>
      </c>
      <c r="AG216" s="12">
        <v>0</v>
      </c>
      <c r="AH216" s="12">
        <v>0</v>
      </c>
      <c r="AI216" s="20">
        <v>0</v>
      </c>
      <c r="AJ216" s="23">
        <f t="shared" si="52"/>
        <v>0</v>
      </c>
      <c r="AK216" s="23">
        <v>0</v>
      </c>
      <c r="AL216" s="28">
        <f>AK216/detalle!$D$2</f>
        <v>0</v>
      </c>
    </row>
    <row r="217" spans="1:38">
      <c r="A217" s="12">
        <v>216</v>
      </c>
      <c r="B217" s="19">
        <v>44106</v>
      </c>
      <c r="C217" s="12">
        <v>198</v>
      </c>
      <c r="D217" s="23">
        <f t="shared" si="48"/>
        <v>576</v>
      </c>
      <c r="E217" s="12">
        <v>113926</v>
      </c>
      <c r="F217" s="12">
        <v>2128</v>
      </c>
      <c r="G217" s="12">
        <v>88635</v>
      </c>
      <c r="H217" s="23">
        <f t="shared" si="44"/>
        <v>23163</v>
      </c>
      <c r="I217" s="23">
        <f t="shared" si="42"/>
        <v>3981</v>
      </c>
      <c r="J217" s="12">
        <v>488732</v>
      </c>
      <c r="K217" s="23">
        <f t="shared" si="43"/>
        <v>374806</v>
      </c>
      <c r="L217" s="9">
        <f t="shared" si="49"/>
        <v>-205</v>
      </c>
      <c r="M217" s="14">
        <f t="shared" si="45"/>
        <v>1.8678791496234397E-2</v>
      </c>
      <c r="N217" s="14">
        <f t="shared" si="54"/>
        <v>0.14468726450640543</v>
      </c>
      <c r="O217" s="13"/>
      <c r="P217" s="12"/>
      <c r="Q217" s="12"/>
      <c r="R217" s="23">
        <f t="shared" si="46"/>
        <v>90763</v>
      </c>
      <c r="S217" s="25">
        <f>(((H217+R217)/(H216+R216))-1)+detalle!$D$1</f>
        <v>7.6510177074799818E-2</v>
      </c>
      <c r="T217" s="25">
        <f t="shared" si="50"/>
        <v>1.0711424790471975</v>
      </c>
      <c r="U217" s="10">
        <f t="shared" si="47"/>
        <v>0.7780050208029774</v>
      </c>
      <c r="V217" s="21">
        <f t="shared" si="53"/>
        <v>41.651785714285715</v>
      </c>
      <c r="W217" s="15">
        <f>J217/detalle!$D$2</f>
        <v>44590.224240293734</v>
      </c>
      <c r="X217" s="15">
        <f>E217/detalle!$D$2</f>
        <v>10394.215821349337</v>
      </c>
      <c r="Y217" s="22">
        <f>F217/detalle!$D$2</f>
        <v>194.15139009384501</v>
      </c>
      <c r="AA217" s="14">
        <f>E217/(detalle!$D$2*1000000)</f>
        <v>1.0394215821349336E-2</v>
      </c>
      <c r="AB217" s="14">
        <f>F217/(detalle!$D$2*1000000)</f>
        <v>1.9415139009384502E-4</v>
      </c>
      <c r="AC217" s="13">
        <f>178/556</f>
        <v>0.32014388489208634</v>
      </c>
      <c r="AD217" s="13">
        <f>773/3416</f>
        <v>0.22628805620608899</v>
      </c>
      <c r="AE217" s="13">
        <f>113/427</f>
        <v>0.26463700234192039</v>
      </c>
      <c r="AF217" s="22">
        <f t="shared" si="51"/>
        <v>11</v>
      </c>
      <c r="AG217" s="12">
        <v>0</v>
      </c>
      <c r="AH217" s="12">
        <v>0</v>
      </c>
      <c r="AI217" s="20">
        <v>0</v>
      </c>
      <c r="AJ217" s="23">
        <f t="shared" si="52"/>
        <v>0</v>
      </c>
      <c r="AK217" s="23">
        <v>0</v>
      </c>
      <c r="AL217" s="28">
        <f>AK217/detalle!$D$2</f>
        <v>0</v>
      </c>
    </row>
    <row r="218" spans="1:38">
      <c r="A218" s="12">
        <v>217</v>
      </c>
      <c r="B218" s="19">
        <v>44107</v>
      </c>
      <c r="C218" s="12">
        <v>199</v>
      </c>
      <c r="D218" s="23">
        <f t="shared" si="48"/>
        <v>554</v>
      </c>
      <c r="E218" s="12">
        <v>114480</v>
      </c>
      <c r="F218" s="12">
        <v>2134</v>
      </c>
      <c r="G218" s="12">
        <v>90366</v>
      </c>
      <c r="H218" s="23">
        <f t="shared" si="44"/>
        <v>21980</v>
      </c>
      <c r="I218" s="23">
        <f t="shared" si="42"/>
        <v>4359</v>
      </c>
      <c r="J218" s="12">
        <v>493091</v>
      </c>
      <c r="K218" s="23">
        <f t="shared" si="43"/>
        <v>378611</v>
      </c>
      <c r="L218" s="9">
        <f t="shared" si="49"/>
        <v>1731</v>
      </c>
      <c r="M218" s="14">
        <f t="shared" si="45"/>
        <v>1.8640810621942696E-2</v>
      </c>
      <c r="N218" s="14">
        <f t="shared" si="54"/>
        <v>0.12709337003899976</v>
      </c>
      <c r="O218" s="12"/>
      <c r="P218" s="12"/>
      <c r="Q218" s="12"/>
      <c r="R218" s="23">
        <f t="shared" si="46"/>
        <v>92500</v>
      </c>
      <c r="S218" s="25">
        <f>(((H218+R218)/(H217+R217))-1)+detalle!$D$1</f>
        <v>7.6291377109452024E-2</v>
      </c>
      <c r="T218" s="25">
        <f t="shared" si="50"/>
        <v>1.0680792795323284</v>
      </c>
      <c r="U218" s="10">
        <f t="shared" si="47"/>
        <v>0.78936058700209644</v>
      </c>
      <c r="V218" s="21">
        <f t="shared" si="53"/>
        <v>42.345829428303652</v>
      </c>
      <c r="W218" s="15">
        <f>J218/detalle!$D$2</f>
        <v>44987.924385697428</v>
      </c>
      <c r="X218" s="15">
        <f>E218/detalle!$D$2</f>
        <v>10444.760873093692</v>
      </c>
      <c r="Y218" s="22">
        <f>F218/detalle!$D$2</f>
        <v>194.69880942681638</v>
      </c>
      <c r="AA218" s="14">
        <f>E218/(detalle!$D$2*1000000)</f>
        <v>1.0444760873093692E-2</v>
      </c>
      <c r="AB218" s="14">
        <f>F218/(detalle!$D$2*1000000)</f>
        <v>1.9469880942681638E-4</v>
      </c>
      <c r="AC218" s="13">
        <f>170/556</f>
        <v>0.30575539568345322</v>
      </c>
      <c r="AD218" s="13">
        <f>778/3415</f>
        <v>0.22781844802342607</v>
      </c>
      <c r="AE218" s="13">
        <f>103/427</f>
        <v>0.24121779859484777</v>
      </c>
      <c r="AF218" s="22">
        <f t="shared" si="51"/>
        <v>6</v>
      </c>
      <c r="AG218" s="12">
        <v>0</v>
      </c>
      <c r="AH218" s="12">
        <v>0</v>
      </c>
      <c r="AI218" s="20">
        <v>0</v>
      </c>
      <c r="AJ218" s="23">
        <f t="shared" si="52"/>
        <v>0</v>
      </c>
      <c r="AK218" s="23">
        <v>0</v>
      </c>
      <c r="AL218" s="28">
        <f>AK218/detalle!$D$2</f>
        <v>0</v>
      </c>
    </row>
    <row r="219" spans="1:38">
      <c r="A219" s="12">
        <v>218</v>
      </c>
      <c r="B219" s="19">
        <v>44108</v>
      </c>
      <c r="C219" s="12">
        <v>200</v>
      </c>
      <c r="D219" s="23">
        <f t="shared" si="48"/>
        <v>574</v>
      </c>
      <c r="E219" s="12">
        <v>115054</v>
      </c>
      <c r="F219" s="12">
        <v>2144</v>
      </c>
      <c r="G219" s="12">
        <v>90942</v>
      </c>
      <c r="H219" s="23">
        <f t="shared" si="44"/>
        <v>21968</v>
      </c>
      <c r="I219" s="23">
        <f t="shared" si="42"/>
        <v>3109</v>
      </c>
      <c r="J219" s="12">
        <v>496200</v>
      </c>
      <c r="K219" s="23">
        <f t="shared" si="43"/>
        <v>381146</v>
      </c>
      <c r="L219" s="9">
        <f t="shared" si="49"/>
        <v>576</v>
      </c>
      <c r="M219" s="14">
        <f t="shared" si="45"/>
        <v>1.8634728040746083E-2</v>
      </c>
      <c r="N219" s="14">
        <f t="shared" si="54"/>
        <v>0.18462528144097781</v>
      </c>
      <c r="O219" s="13"/>
      <c r="P219" s="12"/>
      <c r="Q219" s="12"/>
      <c r="R219" s="23">
        <f t="shared" si="46"/>
        <v>93086</v>
      </c>
      <c r="S219" s="25">
        <f>(((H219+R219)/(H218+R218))-1)+detalle!$D$1</f>
        <v>7.6442547668962774E-2</v>
      </c>
      <c r="T219" s="25">
        <f t="shared" si="50"/>
        <v>1.0701956673654789</v>
      </c>
      <c r="U219" s="10">
        <f t="shared" si="47"/>
        <v>0.79042884210892272</v>
      </c>
      <c r="V219" s="21">
        <f t="shared" si="53"/>
        <v>42.416977611940297</v>
      </c>
      <c r="W219" s="15">
        <f>J219/detalle!$D$2</f>
        <v>45271.578836732093</v>
      </c>
      <c r="X219" s="15">
        <f>E219/detalle!$D$2</f>
        <v>10497.130655947953</v>
      </c>
      <c r="Y219" s="22">
        <f>F219/detalle!$D$2</f>
        <v>195.61117498176867</v>
      </c>
      <c r="AA219" s="14">
        <f>E219/(detalle!$D$2*1000000)</f>
        <v>1.0497130655947953E-2</v>
      </c>
      <c r="AB219" s="14">
        <f>F219/(detalle!$D$2*1000000)</f>
        <v>1.9561117498176865E-4</v>
      </c>
      <c r="AC219" s="13">
        <f>169/556</f>
        <v>0.3039568345323741</v>
      </c>
      <c r="AD219" s="13">
        <f>790/3413</f>
        <v>0.2314679167887489</v>
      </c>
      <c r="AE219" s="13">
        <f>102/427</f>
        <v>0.2388758782201405</v>
      </c>
      <c r="AF219" s="22">
        <f t="shared" si="51"/>
        <v>10</v>
      </c>
      <c r="AG219" s="12">
        <v>0</v>
      </c>
      <c r="AH219" s="12">
        <v>0</v>
      </c>
      <c r="AI219" s="20">
        <v>0</v>
      </c>
      <c r="AJ219" s="23">
        <f t="shared" si="52"/>
        <v>0</v>
      </c>
      <c r="AK219" s="23">
        <v>0</v>
      </c>
      <c r="AL219" s="28">
        <f>AK219/detalle!$D$2</f>
        <v>0</v>
      </c>
    </row>
    <row r="220" spans="1:38">
      <c r="A220" s="12">
        <v>219</v>
      </c>
      <c r="B220" s="19">
        <v>44109</v>
      </c>
      <c r="C220" s="12">
        <v>201</v>
      </c>
      <c r="D220" s="23">
        <f t="shared" si="48"/>
        <v>317</v>
      </c>
      <c r="E220" s="12">
        <v>115371</v>
      </c>
      <c r="F220" s="12">
        <v>2149</v>
      </c>
      <c r="G220" s="12">
        <v>91569</v>
      </c>
      <c r="H220" s="23">
        <f t="shared" si="44"/>
        <v>21653</v>
      </c>
      <c r="I220" s="23">
        <f t="shared" si="42"/>
        <v>1881</v>
      </c>
      <c r="J220" s="12">
        <v>498081</v>
      </c>
      <c r="K220" s="23">
        <f t="shared" si="43"/>
        <v>382710</v>
      </c>
      <c r="L220" s="9">
        <f t="shared" si="49"/>
        <v>627</v>
      </c>
      <c r="M220" s="14">
        <f t="shared" si="45"/>
        <v>1.8626864636693795E-2</v>
      </c>
      <c r="N220" s="14">
        <f t="shared" si="54"/>
        <v>0.16852737905369483</v>
      </c>
      <c r="O220" s="12"/>
      <c r="P220" s="12"/>
      <c r="Q220" s="12"/>
      <c r="R220" s="23">
        <f t="shared" si="46"/>
        <v>93718</v>
      </c>
      <c r="S220" s="25">
        <f>(((H220+R220)/(H219+R219))-1)+detalle!$D$1</f>
        <v>7.4183799408476442E-2</v>
      </c>
      <c r="T220" s="25">
        <f t="shared" si="50"/>
        <v>1.0385731917186702</v>
      </c>
      <c r="U220" s="10">
        <f t="shared" si="47"/>
        <v>0.79369165561536259</v>
      </c>
      <c r="V220" s="21">
        <f t="shared" si="53"/>
        <v>42.610051186598419</v>
      </c>
      <c r="W220" s="15">
        <f>J220/detalle!$D$2</f>
        <v>45443.19479761862</v>
      </c>
      <c r="X220" s="15">
        <f>E220/detalle!$D$2</f>
        <v>10526.052644039941</v>
      </c>
      <c r="Y220" s="22">
        <f>F220/detalle!$D$2</f>
        <v>196.0673577592448</v>
      </c>
      <c r="AA220" s="14">
        <f>E220/(detalle!$D$2*1000000)</f>
        <v>1.052605264403994E-2</v>
      </c>
      <c r="AB220" s="14">
        <f>F220/(detalle!$D$2*1000000)</f>
        <v>1.960673577592448E-4</v>
      </c>
      <c r="AC220" s="13">
        <f>183/553</f>
        <v>0.3309222423146474</v>
      </c>
      <c r="AD220" s="13">
        <f>754/3418</f>
        <v>0.22059684025746051</v>
      </c>
      <c r="AE220" s="13">
        <f>101/426</f>
        <v>0.23708920187793428</v>
      </c>
      <c r="AF220" s="22">
        <f t="shared" si="51"/>
        <v>5</v>
      </c>
      <c r="AG220" s="12">
        <v>0</v>
      </c>
      <c r="AH220" s="12">
        <v>0</v>
      </c>
      <c r="AI220" s="20">
        <v>0</v>
      </c>
      <c r="AJ220" s="23">
        <f t="shared" si="52"/>
        <v>0</v>
      </c>
      <c r="AK220" s="23">
        <v>0</v>
      </c>
      <c r="AL220" s="28">
        <f>AK220/detalle!$D$2</f>
        <v>0</v>
      </c>
    </row>
    <row r="221" spans="1:38">
      <c r="A221" s="12">
        <v>220</v>
      </c>
      <c r="B221" s="19">
        <v>44110</v>
      </c>
      <c r="C221" s="12">
        <v>202</v>
      </c>
      <c r="D221" s="23">
        <f t="shared" si="48"/>
        <v>777</v>
      </c>
      <c r="E221" s="12">
        <v>116148</v>
      </c>
      <c r="F221" s="12">
        <v>2159</v>
      </c>
      <c r="G221" s="12">
        <v>92157</v>
      </c>
      <c r="H221" s="23">
        <f t="shared" si="44"/>
        <v>21832</v>
      </c>
      <c r="I221" s="23">
        <f t="shared" si="42"/>
        <v>4599</v>
      </c>
      <c r="J221" s="12">
        <v>502680</v>
      </c>
      <c r="K221" s="23">
        <f t="shared" si="43"/>
        <v>386532</v>
      </c>
      <c r="L221" s="9">
        <f t="shared" si="49"/>
        <v>588</v>
      </c>
      <c r="M221" s="14">
        <f t="shared" si="45"/>
        <v>1.8588352791266315E-2</v>
      </c>
      <c r="N221" s="14">
        <f t="shared" si="54"/>
        <v>0.16894977168949771</v>
      </c>
      <c r="O221" s="13"/>
      <c r="P221" s="12"/>
      <c r="Q221" s="12"/>
      <c r="R221" s="23">
        <f t="shared" si="46"/>
        <v>94316</v>
      </c>
      <c r="S221" s="25">
        <f>(((H221+R221)/(H220+R220))-1)+detalle!$D$1</f>
        <v>7.8163366134346629E-2</v>
      </c>
      <c r="T221" s="25">
        <f t="shared" si="50"/>
        <v>1.0942871258808529</v>
      </c>
      <c r="U221" s="10">
        <f t="shared" si="47"/>
        <v>0.79344457072011576</v>
      </c>
      <c r="V221" s="21">
        <f t="shared" si="53"/>
        <v>42.685039370078741</v>
      </c>
      <c r="W221" s="15">
        <f>J221/detalle!$D$2</f>
        <v>45862.791716341169</v>
      </c>
      <c r="X221" s="15">
        <f>E221/detalle!$D$2</f>
        <v>10596.943447659733</v>
      </c>
      <c r="Y221" s="22">
        <f>F221/detalle!$D$2</f>
        <v>196.97972331419709</v>
      </c>
      <c r="AA221" s="14">
        <f>E221/(detalle!$D$2*1000000)</f>
        <v>1.0596943447659731E-2</v>
      </c>
      <c r="AB221" s="14">
        <f>F221/(detalle!$D$2*1000000)</f>
        <v>1.9697972331419707E-4</v>
      </c>
      <c r="AC221" s="13">
        <f>190/538</f>
        <v>0.35315985130111527</v>
      </c>
      <c r="AD221" s="13">
        <f>695/3401</f>
        <v>0.20435166127609528</v>
      </c>
      <c r="AE221" s="13">
        <f>106/427</f>
        <v>0.24824355971896955</v>
      </c>
      <c r="AF221" s="22">
        <f t="shared" si="51"/>
        <v>10</v>
      </c>
      <c r="AG221" s="12">
        <v>0</v>
      </c>
      <c r="AH221" s="12">
        <v>0</v>
      </c>
      <c r="AI221" s="20">
        <v>0</v>
      </c>
      <c r="AJ221" s="23">
        <f t="shared" si="52"/>
        <v>0</v>
      </c>
      <c r="AK221" s="23">
        <v>0</v>
      </c>
      <c r="AL221" s="28">
        <f>AK221/detalle!$D$2</f>
        <v>0</v>
      </c>
    </row>
    <row r="222" spans="1:38">
      <c r="A222" s="12">
        <v>221</v>
      </c>
      <c r="B222" s="19">
        <v>44111</v>
      </c>
      <c r="C222" s="12">
        <v>203</v>
      </c>
      <c r="D222" s="23">
        <f t="shared" si="48"/>
        <v>724</v>
      </c>
      <c r="E222" s="12">
        <v>116872</v>
      </c>
      <c r="F222" s="12">
        <v>2163</v>
      </c>
      <c r="G222" s="12">
        <v>92567</v>
      </c>
      <c r="H222" s="23">
        <f t="shared" si="44"/>
        <v>22142</v>
      </c>
      <c r="I222" s="23">
        <f t="shared" si="42"/>
        <v>3738</v>
      </c>
      <c r="J222" s="12">
        <v>506418</v>
      </c>
      <c r="K222" s="23">
        <f t="shared" si="43"/>
        <v>389546</v>
      </c>
      <c r="L222" s="9">
        <f t="shared" si="49"/>
        <v>410</v>
      </c>
      <c r="M222" s="14">
        <f t="shared" si="45"/>
        <v>1.8507426928605655E-2</v>
      </c>
      <c r="N222" s="14">
        <f t="shared" si="54"/>
        <v>0.19368646334938469</v>
      </c>
      <c r="O222" s="12"/>
      <c r="P222" s="12"/>
      <c r="Q222" s="12"/>
      <c r="R222" s="23">
        <f t="shared" si="46"/>
        <v>94730</v>
      </c>
      <c r="S222" s="25">
        <f>(((H222+R222)/(H221+R221))-1)+detalle!$D$1</f>
        <v>7.7661997746717254E-2</v>
      </c>
      <c r="T222" s="25">
        <f t="shared" si="50"/>
        <v>1.0872679684540416</v>
      </c>
      <c r="U222" s="10">
        <f t="shared" si="47"/>
        <v>0.79203744267232523</v>
      </c>
      <c r="V222" s="21">
        <f t="shared" si="53"/>
        <v>42.795654184003702</v>
      </c>
      <c r="W222" s="15">
        <f>J222/detalle!$D$2</f>
        <v>46203.833960782336</v>
      </c>
      <c r="X222" s="15">
        <f>E222/detalle!$D$2</f>
        <v>10662.998713838277</v>
      </c>
      <c r="Y222" s="22">
        <f>F222/detalle!$D$2</f>
        <v>197.344669536178</v>
      </c>
      <c r="AA222" s="14">
        <f>E222/(detalle!$D$2*1000000)</f>
        <v>1.0662998713838277E-2</v>
      </c>
      <c r="AB222" s="14">
        <f>F222/(detalle!$D$2*1000000)</f>
        <v>1.9734466953617798E-4</v>
      </c>
      <c r="AC222" s="13">
        <f>188/531</f>
        <v>0.35404896421845572</v>
      </c>
      <c r="AD222" s="13">
        <f>722/3392</f>
        <v>0.21285377358490565</v>
      </c>
      <c r="AE222" s="13">
        <f>98/425</f>
        <v>0.23058823529411765</v>
      </c>
      <c r="AF222" s="22">
        <f t="shared" si="51"/>
        <v>4</v>
      </c>
      <c r="AG222" s="12">
        <v>0</v>
      </c>
      <c r="AH222" s="12">
        <v>0</v>
      </c>
      <c r="AI222" s="20">
        <v>0</v>
      </c>
      <c r="AJ222" s="23">
        <f t="shared" si="52"/>
        <v>0</v>
      </c>
      <c r="AK222" s="23">
        <v>0</v>
      </c>
      <c r="AL222" s="28">
        <f>AK222/detalle!$D$2</f>
        <v>0</v>
      </c>
    </row>
    <row r="223" spans="1:38">
      <c r="A223" s="12">
        <v>222</v>
      </c>
      <c r="B223" s="19">
        <v>44112</v>
      </c>
      <c r="C223" s="12">
        <v>204</v>
      </c>
      <c r="D223" s="23">
        <f t="shared" si="48"/>
        <v>585</v>
      </c>
      <c r="E223" s="12">
        <v>117457</v>
      </c>
      <c r="F223" s="12">
        <v>2165</v>
      </c>
      <c r="G223" s="12">
        <v>93061</v>
      </c>
      <c r="H223" s="23">
        <f t="shared" si="44"/>
        <v>22231</v>
      </c>
      <c r="I223" s="23">
        <f t="shared" si="42"/>
        <v>4566</v>
      </c>
      <c r="J223" s="12">
        <v>510984</v>
      </c>
      <c r="K223" s="23">
        <f t="shared" si="43"/>
        <v>393527</v>
      </c>
      <c r="L223" s="9">
        <f t="shared" si="49"/>
        <v>494</v>
      </c>
      <c r="M223" s="14">
        <f t="shared" si="45"/>
        <v>1.843227734404931E-2</v>
      </c>
      <c r="N223" s="14">
        <f t="shared" si="54"/>
        <v>0.12812089356110382</v>
      </c>
      <c r="O223" s="13"/>
      <c r="P223" s="12"/>
      <c r="Q223" s="12"/>
      <c r="R223" s="23">
        <f t="shared" si="46"/>
        <v>95226</v>
      </c>
      <c r="S223" s="25">
        <f>(((H223+R223)/(H222+R222))-1)+detalle!$D$1</f>
        <v>7.6434047504962771E-2</v>
      </c>
      <c r="T223" s="25">
        <f t="shared" si="50"/>
        <v>1.0700766650694788</v>
      </c>
      <c r="U223" s="10">
        <f t="shared" si="47"/>
        <v>0.79229845815915612</v>
      </c>
      <c r="V223" s="21">
        <f t="shared" si="53"/>
        <v>42.984295612009241</v>
      </c>
      <c r="W223" s="15">
        <f>J223/detalle!$D$2</f>
        <v>46620.42007317354</v>
      </c>
      <c r="X223" s="15">
        <f>E223/detalle!$D$2</f>
        <v>10716.372098802985</v>
      </c>
      <c r="Y223" s="22">
        <f>F223/detalle!$D$2</f>
        <v>197.52714264716846</v>
      </c>
      <c r="AA223" s="14">
        <f>E223/(detalle!$D$2*1000000)</f>
        <v>1.0716372098802985E-2</v>
      </c>
      <c r="AB223" s="14">
        <f>F223/(detalle!$D$2*1000000)</f>
        <v>1.9752714264716843E-4</v>
      </c>
      <c r="AC223" s="13">
        <f>176/533</f>
        <v>0.33020637898686678</v>
      </c>
      <c r="AD223" s="13">
        <f>734/3398</f>
        <v>0.21600941730429665</v>
      </c>
      <c r="AE223" s="13">
        <f>96/424</f>
        <v>0.22641509433962265</v>
      </c>
      <c r="AF223" s="22">
        <f t="shared" si="51"/>
        <v>2</v>
      </c>
      <c r="AG223" s="12">
        <v>0</v>
      </c>
      <c r="AH223" s="12">
        <v>0</v>
      </c>
      <c r="AI223" s="20">
        <v>0</v>
      </c>
      <c r="AJ223" s="23">
        <f t="shared" si="52"/>
        <v>0</v>
      </c>
      <c r="AK223" s="23">
        <v>0</v>
      </c>
      <c r="AL223" s="28">
        <f>AK223/detalle!$D$2</f>
        <v>0</v>
      </c>
    </row>
    <row r="224" spans="1:38">
      <c r="A224" s="12">
        <v>223</v>
      </c>
      <c r="B224" s="19">
        <v>44113</v>
      </c>
      <c r="C224" s="12">
        <v>205</v>
      </c>
      <c r="D224" s="23">
        <f t="shared" si="48"/>
        <v>557</v>
      </c>
      <c r="E224" s="12">
        <v>118014</v>
      </c>
      <c r="F224" s="12">
        <v>2167</v>
      </c>
      <c r="G224" s="12">
        <v>93627</v>
      </c>
      <c r="H224" s="23">
        <f t="shared" si="44"/>
        <v>22220</v>
      </c>
      <c r="I224" s="23">
        <f t="shared" si="42"/>
        <v>4614</v>
      </c>
      <c r="J224" s="12">
        <v>515598</v>
      </c>
      <c r="K224" s="23">
        <f t="shared" si="43"/>
        <v>397584</v>
      </c>
      <c r="L224" s="9">
        <f t="shared" si="49"/>
        <v>566</v>
      </c>
      <c r="M224" s="14">
        <f t="shared" si="45"/>
        <v>1.8362228210212349E-2</v>
      </c>
      <c r="N224" s="14">
        <f t="shared" si="54"/>
        <v>0.12071954919809276</v>
      </c>
      <c r="O224" s="12"/>
      <c r="P224" s="12"/>
      <c r="Q224" s="12"/>
      <c r="R224" s="23">
        <f t="shared" si="46"/>
        <v>95794</v>
      </c>
      <c r="S224" s="25">
        <f>(((H224+R224)/(H223+R223))-1)+detalle!$D$1</f>
        <v>7.6170732389603951E-2</v>
      </c>
      <c r="T224" s="25">
        <f t="shared" si="50"/>
        <v>1.0663902534544554</v>
      </c>
      <c r="U224" s="10">
        <f t="shared" si="47"/>
        <v>0.79335502567491989</v>
      </c>
      <c r="V224" s="21">
        <f t="shared" si="53"/>
        <v>43.205814490078453</v>
      </c>
      <c r="W224" s="15">
        <f>J224/detalle!$D$2</f>
        <v>47041.385540228526</v>
      </c>
      <c r="X224" s="15">
        <f>E224/detalle!$D$2</f>
        <v>10767.190860213828</v>
      </c>
      <c r="Y224" s="22">
        <f>F224/detalle!$D$2</f>
        <v>197.70961575815889</v>
      </c>
      <c r="AA224" s="14">
        <f>E224/(detalle!$D$2*1000000)</f>
        <v>1.0767190860213827E-2</v>
      </c>
      <c r="AB224" s="14">
        <f>F224/(detalle!$D$2*1000000)</f>
        <v>1.9770961575815889E-4</v>
      </c>
      <c r="AC224" s="13">
        <f>176/531</f>
        <v>0.33145009416195859</v>
      </c>
      <c r="AD224" s="13">
        <f>705/3403</f>
        <v>0.20717014399059652</v>
      </c>
      <c r="AE224" s="13">
        <f>93/423</f>
        <v>0.21985815602836881</v>
      </c>
      <c r="AF224" s="22">
        <f t="shared" si="51"/>
        <v>2</v>
      </c>
      <c r="AG224" s="12">
        <v>0</v>
      </c>
      <c r="AH224" s="12">
        <v>0</v>
      </c>
      <c r="AI224" s="20">
        <v>0</v>
      </c>
      <c r="AJ224" s="23">
        <f t="shared" si="52"/>
        <v>0</v>
      </c>
      <c r="AK224" s="23">
        <v>0</v>
      </c>
      <c r="AL224" s="28">
        <f>AK224/detalle!$D$2</f>
        <v>0</v>
      </c>
    </row>
    <row r="225" spans="1:38">
      <c r="A225" s="12">
        <v>224</v>
      </c>
      <c r="B225" s="19">
        <v>44114</v>
      </c>
      <c r="C225" s="12">
        <v>206</v>
      </c>
      <c r="D225" s="23">
        <f t="shared" si="48"/>
        <v>463</v>
      </c>
      <c r="E225" s="12">
        <v>118477</v>
      </c>
      <c r="F225" s="12">
        <v>2173</v>
      </c>
      <c r="G225" s="12">
        <v>94084</v>
      </c>
      <c r="H225" s="23">
        <f t="shared" si="44"/>
        <v>22220</v>
      </c>
      <c r="I225" s="23">
        <f t="shared" si="42"/>
        <v>3768</v>
      </c>
      <c r="J225" s="12">
        <v>519366</v>
      </c>
      <c r="K225" s="23">
        <f t="shared" si="43"/>
        <v>400889</v>
      </c>
      <c r="L225" s="9">
        <f t="shared" si="49"/>
        <v>457</v>
      </c>
      <c r="M225" s="14">
        <f t="shared" si="45"/>
        <v>1.8341112621015048E-2</v>
      </c>
      <c r="N225" s="14">
        <f t="shared" si="54"/>
        <v>0.12287685774946921</v>
      </c>
      <c r="O225" s="13"/>
      <c r="P225" s="12"/>
      <c r="Q225" s="12"/>
      <c r="R225" s="23">
        <f t="shared" si="46"/>
        <v>96257</v>
      </c>
      <c r="S225" s="25">
        <f>(((H225+R225)/(H224+R224))-1)+detalle!$D$1</f>
        <v>7.5351834770208931E-2</v>
      </c>
      <c r="T225" s="25">
        <f t="shared" si="50"/>
        <v>1.0549256867829251</v>
      </c>
      <c r="U225" s="10">
        <f t="shared" si="47"/>
        <v>0.79411193733804875</v>
      </c>
      <c r="V225" s="21">
        <f t="shared" si="53"/>
        <v>43.296824666359868</v>
      </c>
      <c r="W225" s="15">
        <f>J225/detalle!$D$2</f>
        <v>47385.164881334545</v>
      </c>
      <c r="X225" s="15">
        <f>E225/detalle!$D$2</f>
        <v>10809.433385408118</v>
      </c>
      <c r="Y225" s="22">
        <f>F225/detalle!$D$2</f>
        <v>198.25703509113026</v>
      </c>
      <c r="AA225" s="14">
        <f>E225/(detalle!$D$2*1000000)</f>
        <v>1.0809433385408119E-2</v>
      </c>
      <c r="AB225" s="14">
        <f>F225/(detalle!$D$2*1000000)</f>
        <v>1.9825703509113027E-4</v>
      </c>
      <c r="AC225" s="13">
        <f>168/531</f>
        <v>0.31638418079096048</v>
      </c>
      <c r="AD225" s="13">
        <f>697/3400</f>
        <v>0.20499999999999999</v>
      </c>
      <c r="AE225" s="13">
        <f>95/424</f>
        <v>0.22405660377358491</v>
      </c>
      <c r="AF225" s="22">
        <f t="shared" si="51"/>
        <v>6</v>
      </c>
      <c r="AG225" s="12">
        <v>0</v>
      </c>
      <c r="AH225" s="12">
        <v>0</v>
      </c>
      <c r="AI225" s="20">
        <v>0</v>
      </c>
      <c r="AJ225" s="23">
        <f t="shared" si="52"/>
        <v>0</v>
      </c>
      <c r="AK225" s="23">
        <v>0</v>
      </c>
      <c r="AL225" s="28">
        <f>AK225/detalle!$D$2</f>
        <v>0</v>
      </c>
    </row>
    <row r="226" spans="1:38">
      <c r="A226" s="12">
        <v>225</v>
      </c>
      <c r="B226" s="19">
        <v>44115</v>
      </c>
      <c r="C226" s="12">
        <v>207</v>
      </c>
      <c r="D226" s="23">
        <f t="shared" si="48"/>
        <v>366</v>
      </c>
      <c r="E226" s="12">
        <v>118843</v>
      </c>
      <c r="F226" s="12">
        <v>2179</v>
      </c>
      <c r="G226" s="12">
        <v>94532</v>
      </c>
      <c r="H226" s="23">
        <f t="shared" si="44"/>
        <v>22132</v>
      </c>
      <c r="I226" s="23">
        <f t="shared" si="42"/>
        <v>2746</v>
      </c>
      <c r="J226" s="12">
        <v>522112</v>
      </c>
      <c r="K226" s="23">
        <f t="shared" si="43"/>
        <v>403269</v>
      </c>
      <c r="L226" s="9">
        <f t="shared" si="49"/>
        <v>448</v>
      </c>
      <c r="M226" s="14">
        <f t="shared" si="45"/>
        <v>1.8335114394621474E-2</v>
      </c>
      <c r="N226" s="14">
        <f t="shared" si="54"/>
        <v>0.13328477785870357</v>
      </c>
      <c r="O226" s="12"/>
      <c r="P226" s="12"/>
      <c r="Q226" s="12"/>
      <c r="R226" s="23">
        <f t="shared" si="46"/>
        <v>96711</v>
      </c>
      <c r="S226" s="25">
        <f>(((H226+R226)/(H225+R225))-1)+detalle!$D$1</f>
        <v>7.4517778616464386E-2</v>
      </c>
      <c r="T226" s="25">
        <f t="shared" si="50"/>
        <v>1.0432489006305015</v>
      </c>
      <c r="U226" s="10">
        <f t="shared" si="47"/>
        <v>0.79543599538887444</v>
      </c>
      <c r="V226" s="21">
        <f t="shared" si="53"/>
        <v>43.383203304268015</v>
      </c>
      <c r="W226" s="15">
        <f>J226/detalle!$D$2</f>
        <v>47635.700462724439</v>
      </c>
      <c r="X226" s="15">
        <f>E226/detalle!$D$2</f>
        <v>10842.825964719372</v>
      </c>
      <c r="Y226" s="22">
        <f>F226/detalle!$D$2</f>
        <v>198.80445442410164</v>
      </c>
      <c r="AA226" s="14">
        <f>E226/(detalle!$D$2*1000000)</f>
        <v>1.0842825964719371E-2</v>
      </c>
      <c r="AB226" s="14">
        <f>F226/(detalle!$D$2*1000000)</f>
        <v>1.9880445442410164E-4</v>
      </c>
      <c r="AC226" s="13">
        <f>157/531</f>
        <v>0.29566854990583802</v>
      </c>
      <c r="AD226" s="13">
        <f>697/3353</f>
        <v>0.20787354607813899</v>
      </c>
      <c r="AE226" s="13">
        <f>89/424</f>
        <v>0.2099056603773585</v>
      </c>
      <c r="AF226" s="22">
        <f t="shared" si="51"/>
        <v>6</v>
      </c>
      <c r="AG226" s="12">
        <v>0</v>
      </c>
      <c r="AH226" s="12">
        <v>0</v>
      </c>
      <c r="AI226" s="20">
        <v>0</v>
      </c>
      <c r="AJ226" s="23">
        <f t="shared" si="52"/>
        <v>0</v>
      </c>
      <c r="AK226" s="23">
        <v>0</v>
      </c>
      <c r="AL226" s="28">
        <f>AK226/detalle!$D$2</f>
        <v>0</v>
      </c>
    </row>
    <row r="227" spans="1:38">
      <c r="A227" s="12">
        <v>226</v>
      </c>
      <c r="B227" s="19">
        <v>44116</v>
      </c>
      <c r="C227" s="12">
        <v>208</v>
      </c>
      <c r="D227" s="23">
        <f t="shared" si="48"/>
        <v>165</v>
      </c>
      <c r="E227" s="12">
        <v>119008</v>
      </c>
      <c r="F227" s="12">
        <v>2183</v>
      </c>
      <c r="G227" s="12">
        <v>94941</v>
      </c>
      <c r="H227" s="23">
        <f t="shared" si="44"/>
        <v>21884</v>
      </c>
      <c r="I227" s="23">
        <f t="shared" si="42"/>
        <v>1525</v>
      </c>
      <c r="J227" s="12">
        <v>523637</v>
      </c>
      <c r="K227" s="23">
        <f t="shared" si="43"/>
        <v>404629</v>
      </c>
      <c r="L227" s="9">
        <f t="shared" si="49"/>
        <v>409</v>
      </c>
      <c r="M227" s="14">
        <f t="shared" si="45"/>
        <v>1.8343304651788114E-2</v>
      </c>
      <c r="N227" s="14">
        <f t="shared" si="54"/>
        <v>0.10819672131147541</v>
      </c>
      <c r="O227" s="13"/>
      <c r="P227" s="12"/>
      <c r="Q227" s="12"/>
      <c r="R227" s="23">
        <f t="shared" si="46"/>
        <v>97124</v>
      </c>
      <c r="S227" s="25">
        <f>(((H227+R227)/(H226+R226))-1)+detalle!$D$1</f>
        <v>7.2816957787044362E-2</v>
      </c>
      <c r="T227" s="25">
        <f t="shared" si="50"/>
        <v>1.0194374090186211</v>
      </c>
      <c r="U227" s="10">
        <f t="shared" si="47"/>
        <v>0.79776989782199514</v>
      </c>
      <c r="V227" s="21">
        <f t="shared" si="53"/>
        <v>43.491067338524964</v>
      </c>
      <c r="W227" s="15">
        <f>J227/detalle!$D$2</f>
        <v>47774.836209854664</v>
      </c>
      <c r="X227" s="15">
        <f>E227/detalle!$D$2</f>
        <v>10857.879996376085</v>
      </c>
      <c r="Y227" s="22">
        <f>F227/detalle!$D$2</f>
        <v>199.16940064608255</v>
      </c>
      <c r="AA227" s="14">
        <f>E227/(detalle!$D$2*1000000)</f>
        <v>1.0857879996376083E-2</v>
      </c>
      <c r="AB227" s="14">
        <f>F227/(detalle!$D$2*1000000)</f>
        <v>1.9916940064608254E-4</v>
      </c>
      <c r="AC227" s="13">
        <f>158/531</f>
        <v>0.2975517890772128</v>
      </c>
      <c r="AD227" s="13">
        <f>658/3355</f>
        <v>0.19612518628912071</v>
      </c>
      <c r="AE227" s="13">
        <f>87/419</f>
        <v>0.20763723150357996</v>
      </c>
      <c r="AF227" s="22">
        <f t="shared" si="51"/>
        <v>4</v>
      </c>
      <c r="AG227" s="12">
        <v>0</v>
      </c>
      <c r="AH227" s="12">
        <v>0</v>
      </c>
      <c r="AI227" s="20">
        <v>0</v>
      </c>
      <c r="AJ227" s="23">
        <f t="shared" si="52"/>
        <v>0</v>
      </c>
      <c r="AK227" s="23">
        <v>0</v>
      </c>
      <c r="AL227" s="28">
        <f>AK227/detalle!$D$2</f>
        <v>0</v>
      </c>
    </row>
    <row r="228" spans="1:38">
      <c r="A228" s="12">
        <v>227</v>
      </c>
      <c r="B228" s="19">
        <v>44117</v>
      </c>
      <c r="C228" s="12">
        <v>209</v>
      </c>
      <c r="D228" s="23">
        <f t="shared" si="48"/>
        <v>654</v>
      </c>
      <c r="E228" s="12">
        <v>119662</v>
      </c>
      <c r="F228" s="12">
        <v>2186</v>
      </c>
      <c r="G228" s="12">
        <v>95460</v>
      </c>
      <c r="H228" s="23">
        <f t="shared" si="44"/>
        <v>22016</v>
      </c>
      <c r="I228" s="23">
        <f t="shared" si="42"/>
        <v>5350</v>
      </c>
      <c r="J228" s="12">
        <v>528987</v>
      </c>
      <c r="K228" s="23">
        <f t="shared" si="43"/>
        <v>409325</v>
      </c>
      <c r="L228" s="9">
        <f t="shared" si="49"/>
        <v>519</v>
      </c>
      <c r="M228" s="14">
        <f t="shared" si="45"/>
        <v>1.8268121876619144E-2</v>
      </c>
      <c r="N228" s="14">
        <f t="shared" si="54"/>
        <v>0.1222429906542056</v>
      </c>
      <c r="O228" s="12"/>
      <c r="P228" s="12"/>
      <c r="Q228" s="12"/>
      <c r="R228" s="23">
        <f t="shared" si="46"/>
        <v>97646</v>
      </c>
      <c r="S228" s="25">
        <f>(((H228+R228)/(H227+R227))-1)+detalle!$D$1</f>
        <v>7.6924000307302204E-2</v>
      </c>
      <c r="T228" s="25">
        <f t="shared" si="50"/>
        <v>1.0769360043022309</v>
      </c>
      <c r="U228" s="10">
        <f t="shared" si="47"/>
        <v>0.797746987347696</v>
      </c>
      <c r="V228" s="21">
        <f t="shared" si="53"/>
        <v>43.66880146386093</v>
      </c>
      <c r="W228" s="15">
        <f>J228/detalle!$D$2</f>
        <v>48262.951781754135</v>
      </c>
      <c r="X228" s="15">
        <f>E228/detalle!$D$2</f>
        <v>10917.548703669963</v>
      </c>
      <c r="Y228" s="22">
        <f>F228/detalle!$D$2</f>
        <v>199.44311031256822</v>
      </c>
      <c r="AA228" s="14">
        <f>E228/(detalle!$D$2*1000000)</f>
        <v>1.0917548703669963E-2</v>
      </c>
      <c r="AB228" s="14">
        <f>F228/(detalle!$D$2*1000000)</f>
        <v>1.9944311031256824E-4</v>
      </c>
      <c r="AC228" s="13">
        <f>153/525</f>
        <v>0.29142857142857143</v>
      </c>
      <c r="AD228" s="13">
        <f>651/3350</f>
        <v>0.19432835820895522</v>
      </c>
      <c r="AE228" s="13">
        <f>84/419</f>
        <v>0.20047732696897375</v>
      </c>
      <c r="AF228" s="22">
        <f t="shared" si="51"/>
        <v>3</v>
      </c>
      <c r="AG228" s="12">
        <v>0</v>
      </c>
      <c r="AH228" s="12">
        <v>0</v>
      </c>
      <c r="AI228" s="20">
        <v>0</v>
      </c>
      <c r="AJ228" s="23">
        <f t="shared" si="52"/>
        <v>0</v>
      </c>
      <c r="AK228" s="23">
        <v>0</v>
      </c>
      <c r="AL228" s="28">
        <f>AK228/detalle!$D$2</f>
        <v>0</v>
      </c>
    </row>
    <row r="229" spans="1:38">
      <c r="A229" s="12">
        <v>228</v>
      </c>
      <c r="B229" s="19">
        <v>44118</v>
      </c>
      <c r="C229" s="12">
        <v>210</v>
      </c>
      <c r="D229" s="23">
        <f t="shared" si="48"/>
        <v>404</v>
      </c>
      <c r="E229" s="12">
        <v>120066</v>
      </c>
      <c r="F229" s="12">
        <v>2189</v>
      </c>
      <c r="G229" s="12">
        <v>96152</v>
      </c>
      <c r="H229" s="23">
        <f t="shared" si="44"/>
        <v>21725</v>
      </c>
      <c r="I229" s="23">
        <f t="shared" si="42"/>
        <v>2679</v>
      </c>
      <c r="J229" s="12">
        <v>531666</v>
      </c>
      <c r="K229" s="23">
        <f t="shared" si="43"/>
        <v>411600</v>
      </c>
      <c r="L229" s="9">
        <f t="shared" si="49"/>
        <v>692</v>
      </c>
      <c r="M229" s="14">
        <f t="shared" si="45"/>
        <v>1.8231639265070879E-2</v>
      </c>
      <c r="N229" s="14">
        <f t="shared" si="54"/>
        <v>0.15080253826054499</v>
      </c>
      <c r="O229" s="13"/>
      <c r="P229" s="12"/>
      <c r="Q229" s="12"/>
      <c r="R229" s="23">
        <f t="shared" si="46"/>
        <v>98341</v>
      </c>
      <c r="S229" s="25">
        <f>(((H229+R229)/(H228+R228))-1)+detalle!$D$1</f>
        <v>7.4804747658285181E-2</v>
      </c>
      <c r="T229" s="25">
        <f t="shared" si="50"/>
        <v>1.0472664672159926</v>
      </c>
      <c r="U229" s="10">
        <f t="shared" si="47"/>
        <v>0.80082621224992923</v>
      </c>
      <c r="V229" s="21">
        <f t="shared" si="53"/>
        <v>43.92507994518045</v>
      </c>
      <c r="W229" s="15">
        <f>J229/detalle!$D$2</f>
        <v>48507.374513925846</v>
      </c>
      <c r="X229" s="15">
        <f>E229/detalle!$D$2</f>
        <v>10954.408272090035</v>
      </c>
      <c r="Y229" s="22">
        <f>F229/detalle!$D$2</f>
        <v>199.71681997905392</v>
      </c>
      <c r="AA229" s="14">
        <f>E229/(detalle!$D$2*1000000)</f>
        <v>1.0954408272090035E-2</v>
      </c>
      <c r="AB229" s="14">
        <f>F229/(detalle!$D$2*1000000)</f>
        <v>1.9971681997905391E-4</v>
      </c>
      <c r="AC229" s="13">
        <f>152/525</f>
        <v>0.28952380952380952</v>
      </c>
      <c r="AD229" s="13">
        <f>640/3350</f>
        <v>0.19104477611940299</v>
      </c>
      <c r="AE229" s="13">
        <f>81/417</f>
        <v>0.19424460431654678</v>
      </c>
      <c r="AF229" s="22">
        <f t="shared" si="51"/>
        <v>3</v>
      </c>
      <c r="AG229" s="12">
        <v>0</v>
      </c>
      <c r="AH229" s="12">
        <v>0</v>
      </c>
      <c r="AI229" s="20">
        <v>0</v>
      </c>
      <c r="AJ229" s="23">
        <f t="shared" si="52"/>
        <v>0</v>
      </c>
      <c r="AK229" s="23">
        <v>0</v>
      </c>
      <c r="AL229" s="28">
        <f>AK229/detalle!$D$2</f>
        <v>0</v>
      </c>
    </row>
    <row r="230" spans="1:38">
      <c r="A230" s="12">
        <v>229</v>
      </c>
      <c r="B230" s="19">
        <v>44119</v>
      </c>
      <c r="C230" s="12">
        <v>211</v>
      </c>
      <c r="D230" s="23">
        <f t="shared" si="48"/>
        <v>384</v>
      </c>
      <c r="E230" s="12">
        <v>120450</v>
      </c>
      <c r="F230" s="12">
        <v>2192</v>
      </c>
      <c r="G230" s="12">
        <v>96883</v>
      </c>
      <c r="H230" s="23">
        <f t="shared" si="44"/>
        <v>21375</v>
      </c>
      <c r="I230" s="23">
        <f t="shared" si="42"/>
        <v>3906</v>
      </c>
      <c r="J230" s="12">
        <v>535572</v>
      </c>
      <c r="K230" s="23">
        <f t="shared" si="43"/>
        <v>415122</v>
      </c>
      <c r="L230" s="9">
        <f t="shared" si="49"/>
        <v>731</v>
      </c>
      <c r="M230" s="14">
        <f t="shared" si="45"/>
        <v>1.8198422581984227E-2</v>
      </c>
      <c r="N230" s="14">
        <f t="shared" si="54"/>
        <v>9.8310291858678955E-2</v>
      </c>
      <c r="O230" s="12"/>
      <c r="P230" s="12"/>
      <c r="Q230" s="12"/>
      <c r="R230" s="23">
        <f t="shared" si="46"/>
        <v>99075</v>
      </c>
      <c r="S230" s="25">
        <f>(((H230+R230)/(H229+R229))-1)+detalle!$D$1</f>
        <v>7.4626812396039216E-2</v>
      </c>
      <c r="T230" s="25">
        <f t="shared" si="50"/>
        <v>1.0447753735445491</v>
      </c>
      <c r="U230" s="10">
        <f t="shared" si="47"/>
        <v>0.80434205064342046</v>
      </c>
      <c r="V230" s="21">
        <f t="shared" si="53"/>
        <v>44.198448905109487</v>
      </c>
      <c r="W230" s="15">
        <f>J230/detalle!$D$2</f>
        <v>48863.744499690205</v>
      </c>
      <c r="X230" s="15">
        <f>E230/detalle!$D$2</f>
        <v>10989.443109400203</v>
      </c>
      <c r="Y230" s="22">
        <f>F230/detalle!$D$2</f>
        <v>199.9905296455396</v>
      </c>
      <c r="AA230" s="14">
        <f>E230/(detalle!$D$2*1000000)</f>
        <v>1.0989443109400202E-2</v>
      </c>
      <c r="AB230" s="14">
        <f>F230/(detalle!$D$2*1000000)</f>
        <v>1.999905296455396E-4</v>
      </c>
      <c r="AC230" s="13">
        <f>158/525</f>
        <v>0.30095238095238097</v>
      </c>
      <c r="AD230" s="13">
        <f>654/3351</f>
        <v>0.19516562220232767</v>
      </c>
      <c r="AE230" s="13">
        <f>77/421</f>
        <v>0.1828978622327791</v>
      </c>
      <c r="AF230" s="22">
        <f t="shared" si="51"/>
        <v>3</v>
      </c>
      <c r="AG230" s="12">
        <v>0</v>
      </c>
      <c r="AH230" s="12">
        <v>0</v>
      </c>
      <c r="AI230" s="20">
        <v>0</v>
      </c>
      <c r="AJ230" s="23">
        <f t="shared" si="52"/>
        <v>0</v>
      </c>
      <c r="AK230" s="23">
        <v>0</v>
      </c>
      <c r="AL230" s="28">
        <f>AK230/detalle!$D$2</f>
        <v>0</v>
      </c>
    </row>
    <row r="231" spans="1:38">
      <c r="A231" s="12">
        <v>230</v>
      </c>
      <c r="B231" s="19">
        <v>44120</v>
      </c>
      <c r="C231" s="12">
        <v>212</v>
      </c>
      <c r="D231" s="23">
        <f t="shared" si="48"/>
        <v>475</v>
      </c>
      <c r="E231" s="12">
        <v>120925</v>
      </c>
      <c r="F231" s="12">
        <v>2195</v>
      </c>
      <c r="G231" s="12">
        <v>97575</v>
      </c>
      <c r="H231" s="23">
        <f t="shared" si="44"/>
        <v>21155</v>
      </c>
      <c r="I231" s="23">
        <f t="shared" si="42"/>
        <v>3481</v>
      </c>
      <c r="J231" s="12">
        <v>539053</v>
      </c>
      <c r="K231" s="23">
        <f t="shared" si="43"/>
        <v>418128</v>
      </c>
      <c r="L231" s="9">
        <f t="shared" si="49"/>
        <v>692</v>
      </c>
      <c r="M231" s="14">
        <f t="shared" si="45"/>
        <v>1.8151746950589208E-2</v>
      </c>
      <c r="N231" s="14">
        <f t="shared" si="54"/>
        <v>0.13645504165469693</v>
      </c>
      <c r="O231" s="13"/>
      <c r="P231" s="12"/>
      <c r="Q231" s="12"/>
      <c r="R231" s="23">
        <f t="shared" si="46"/>
        <v>99770</v>
      </c>
      <c r="S231" s="25">
        <f>(((H231+R231)/(H230+R230))-1)+detalle!$D$1</f>
        <v>7.5372116468006817E-2</v>
      </c>
      <c r="T231" s="25">
        <f t="shared" si="50"/>
        <v>1.0552096305520955</v>
      </c>
      <c r="U231" s="10">
        <f t="shared" si="47"/>
        <v>0.80690510647095304</v>
      </c>
      <c r="V231" s="21">
        <f t="shared" si="53"/>
        <v>44.453302961275625</v>
      </c>
      <c r="W231" s="15">
        <f>J231/detalle!$D$2</f>
        <v>49181.338949369099</v>
      </c>
      <c r="X231" s="15">
        <f>E231/detalle!$D$2</f>
        <v>11032.780473260436</v>
      </c>
      <c r="Y231" s="22">
        <f>F231/detalle!$D$2</f>
        <v>200.2642393120253</v>
      </c>
      <c r="AA231" s="14">
        <f>E231/(detalle!$D$2*1000000)</f>
        <v>1.1032780473260437E-2</v>
      </c>
      <c r="AB231" s="14">
        <f>F231/(detalle!$D$2*1000000)</f>
        <v>2.0026423931202527E-4</v>
      </c>
      <c r="AC231" s="13">
        <f>153/521</f>
        <v>0.29366602687140114</v>
      </c>
      <c r="AD231" s="13">
        <f>670/3360</f>
        <v>0.19940476190476192</v>
      </c>
      <c r="AE231" s="13">
        <f>72/421</f>
        <v>0.17102137767220901</v>
      </c>
      <c r="AF231" s="22">
        <f t="shared" si="51"/>
        <v>3</v>
      </c>
      <c r="AG231" s="12">
        <v>0</v>
      </c>
      <c r="AH231" s="12">
        <v>0</v>
      </c>
      <c r="AI231" s="20">
        <v>0</v>
      </c>
      <c r="AJ231" s="23">
        <f t="shared" si="52"/>
        <v>0</v>
      </c>
      <c r="AK231" s="23">
        <v>0</v>
      </c>
      <c r="AL231" s="28">
        <f>AK231/detalle!$D$2</f>
        <v>0</v>
      </c>
    </row>
    <row r="232" spans="1:38">
      <c r="A232" s="12">
        <v>231</v>
      </c>
      <c r="B232" s="19">
        <v>44121</v>
      </c>
      <c r="C232" s="12">
        <v>213</v>
      </c>
      <c r="D232" s="23">
        <f t="shared" si="48"/>
        <v>422</v>
      </c>
      <c r="E232" s="12">
        <v>121347</v>
      </c>
      <c r="F232" s="12">
        <v>2199</v>
      </c>
      <c r="G232" s="12">
        <v>98207</v>
      </c>
      <c r="H232" s="23">
        <f t="shared" si="44"/>
        <v>20941</v>
      </c>
      <c r="I232" s="23">
        <f t="shared" si="42"/>
        <v>3174</v>
      </c>
      <c r="J232" s="12">
        <v>542227</v>
      </c>
      <c r="K232" s="23">
        <f t="shared" si="43"/>
        <v>420880</v>
      </c>
      <c r="L232" s="9">
        <f t="shared" si="49"/>
        <v>632</v>
      </c>
      <c r="M232" s="14">
        <f t="shared" si="45"/>
        <v>1.8121585206061955E-2</v>
      </c>
      <c r="N232" s="14">
        <f t="shared" si="54"/>
        <v>0.13295526149968495</v>
      </c>
      <c r="O232" s="12"/>
      <c r="P232" s="12"/>
      <c r="Q232" s="12"/>
      <c r="R232" s="23">
        <f t="shared" si="46"/>
        <v>100406</v>
      </c>
      <c r="S232" s="25">
        <f>(((H232+R232)/(H231+R231))-1)+detalle!$D$1</f>
        <v>7.4918337812693886E-2</v>
      </c>
      <c r="T232" s="25">
        <f t="shared" si="50"/>
        <v>1.0488567293777145</v>
      </c>
      <c r="U232" s="10">
        <f t="shared" si="47"/>
        <v>0.80930719342052126</v>
      </c>
      <c r="V232" s="21">
        <f t="shared" si="53"/>
        <v>44.659845384265573</v>
      </c>
      <c r="W232" s="15">
        <f>J232/detalle!$D$2</f>
        <v>49470.92377651095</v>
      </c>
      <c r="X232" s="15">
        <f>E232/detalle!$D$2</f>
        <v>11071.282299679422</v>
      </c>
      <c r="Y232" s="22">
        <f>F232/detalle!$D$2</f>
        <v>200.62918553400618</v>
      </c>
      <c r="AA232" s="14">
        <f>E232/(detalle!$D$2*1000000)</f>
        <v>1.1071282299679422E-2</v>
      </c>
      <c r="AB232" s="14">
        <f>F232/(detalle!$D$2*1000000)</f>
        <v>2.006291855340062E-4</v>
      </c>
      <c r="AC232" s="13">
        <f>157/531</f>
        <v>0.29566854990583802</v>
      </c>
      <c r="AD232" s="13">
        <f>690/3349</f>
        <v>0.20603165123917588</v>
      </c>
      <c r="AE232" s="13">
        <f>75/421</f>
        <v>0.17814726840855108</v>
      </c>
      <c r="AF232" s="22">
        <f t="shared" si="51"/>
        <v>4</v>
      </c>
      <c r="AG232" s="12">
        <v>0</v>
      </c>
      <c r="AH232" s="12">
        <v>0</v>
      </c>
      <c r="AI232" s="20">
        <v>0</v>
      </c>
      <c r="AJ232" s="23">
        <f t="shared" si="52"/>
        <v>0</v>
      </c>
      <c r="AK232" s="23">
        <v>0</v>
      </c>
      <c r="AL232" s="28">
        <f>AK232/detalle!$D$2</f>
        <v>0</v>
      </c>
    </row>
    <row r="233" spans="1:38">
      <c r="A233" s="12">
        <v>232</v>
      </c>
      <c r="B233" s="19">
        <v>44122</v>
      </c>
      <c r="C233" s="12">
        <v>214</v>
      </c>
      <c r="D233" s="23">
        <f t="shared" si="48"/>
        <v>320</v>
      </c>
      <c r="E233" s="12">
        <v>121667</v>
      </c>
      <c r="F233" s="12">
        <v>2203</v>
      </c>
      <c r="G233" s="12">
        <v>98880</v>
      </c>
      <c r="H233" s="23">
        <f t="shared" si="44"/>
        <v>20584</v>
      </c>
      <c r="I233" s="23">
        <f t="shared" si="42"/>
        <v>3265</v>
      </c>
      <c r="J233" s="12">
        <v>545492</v>
      </c>
      <c r="K233" s="23">
        <f t="shared" si="43"/>
        <v>423825</v>
      </c>
      <c r="L233" s="9">
        <f t="shared" si="49"/>
        <v>673</v>
      </c>
      <c r="M233" s="14">
        <f t="shared" si="45"/>
        <v>1.8106799707398064E-2</v>
      </c>
      <c r="N233" s="14">
        <f t="shared" si="54"/>
        <v>9.8009188361408886E-2</v>
      </c>
      <c r="O233" s="13"/>
      <c r="P233" s="12"/>
      <c r="Q233" s="12"/>
      <c r="R233" s="23">
        <f t="shared" si="46"/>
        <v>101083</v>
      </c>
      <c r="S233" s="25">
        <f>(((H233+R233)/(H232+R232))-1)+detalle!$D$1</f>
        <v>7.4065637033819104E-2</v>
      </c>
      <c r="T233" s="25">
        <f t="shared" si="50"/>
        <v>1.0369189184734675</v>
      </c>
      <c r="U233" s="10">
        <f t="shared" si="47"/>
        <v>0.81271010216410366</v>
      </c>
      <c r="V233" s="21">
        <f t="shared" si="53"/>
        <v>44.884248751702224</v>
      </c>
      <c r="W233" s="15">
        <f>J233/detalle!$D$2</f>
        <v>49768.81113020287</v>
      </c>
      <c r="X233" s="15">
        <f>E233/detalle!$D$2</f>
        <v>11100.477997437896</v>
      </c>
      <c r="Y233" s="22">
        <f>F233/detalle!$D$2</f>
        <v>200.9941317559871</v>
      </c>
      <c r="AA233" s="14">
        <f>E233/(detalle!$D$2*1000000)</f>
        <v>1.1100477997437895E-2</v>
      </c>
      <c r="AB233" s="14">
        <f>F233/(detalle!$D$2*1000000)</f>
        <v>2.0099413175598711E-4</v>
      </c>
      <c r="AC233" s="13">
        <f>152/531</f>
        <v>0.28625235404896421</v>
      </c>
      <c r="AD233" s="13">
        <f>687/3349</f>
        <v>0.20513586145117946</v>
      </c>
      <c r="AE233" s="13">
        <f>73/421</f>
        <v>0.17339667458432304</v>
      </c>
      <c r="AF233" s="22">
        <f t="shared" si="51"/>
        <v>4</v>
      </c>
      <c r="AG233" s="12">
        <v>0</v>
      </c>
      <c r="AH233" s="12">
        <v>0</v>
      </c>
      <c r="AI233" s="20">
        <v>0</v>
      </c>
      <c r="AJ233" s="23">
        <f t="shared" si="52"/>
        <v>0</v>
      </c>
      <c r="AK233" s="23">
        <v>0</v>
      </c>
      <c r="AL233" s="28">
        <f>AK233/detalle!$D$2</f>
        <v>0</v>
      </c>
    </row>
    <row r="234" spans="1:38">
      <c r="A234" s="12">
        <v>233</v>
      </c>
      <c r="B234" s="19">
        <v>44123</v>
      </c>
      <c r="C234" s="12">
        <v>215</v>
      </c>
      <c r="D234" s="23">
        <f t="shared" si="48"/>
        <v>306</v>
      </c>
      <c r="E234" s="12">
        <v>121973</v>
      </c>
      <c r="F234" s="12">
        <v>2204</v>
      </c>
      <c r="G234" s="12">
        <v>99271</v>
      </c>
      <c r="H234" s="23">
        <f t="shared" si="44"/>
        <v>20498</v>
      </c>
      <c r="I234" s="23">
        <f t="shared" si="42"/>
        <v>2245</v>
      </c>
      <c r="J234" s="12">
        <v>547737</v>
      </c>
      <c r="K234" s="23">
        <f t="shared" si="43"/>
        <v>425764</v>
      </c>
      <c r="L234" s="9">
        <f t="shared" si="49"/>
        <v>391</v>
      </c>
      <c r="M234" s="14">
        <f t="shared" si="45"/>
        <v>1.806957277430251E-2</v>
      </c>
      <c r="N234" s="14">
        <f t="shared" si="54"/>
        <v>0.13630289532293988</v>
      </c>
      <c r="O234" s="12"/>
      <c r="P234" s="12"/>
      <c r="Q234" s="12"/>
      <c r="R234" s="23">
        <f t="shared" si="46"/>
        <v>101475</v>
      </c>
      <c r="S234" s="25">
        <f>(((H234+R234)/(H233+R233))-1)+detalle!$D$1</f>
        <v>7.3943633031142292E-2</v>
      </c>
      <c r="T234" s="25">
        <f t="shared" si="50"/>
        <v>1.0352108624359921</v>
      </c>
      <c r="U234" s="10">
        <f t="shared" si="47"/>
        <v>0.81387684159609097</v>
      </c>
      <c r="V234" s="21">
        <f t="shared" si="53"/>
        <v>45.041288566243196</v>
      </c>
      <c r="W234" s="15">
        <f>J234/detalle!$D$2</f>
        <v>49973.637197289652</v>
      </c>
      <c r="X234" s="15">
        <f>E234/detalle!$D$2</f>
        <v>11128.396383419435</v>
      </c>
      <c r="Y234" s="22">
        <f>F234/detalle!$D$2</f>
        <v>201.08536831148234</v>
      </c>
      <c r="AA234" s="14">
        <f>E234/(detalle!$D$2*1000000)</f>
        <v>1.1128396383419436E-2</v>
      </c>
      <c r="AB234" s="14">
        <f>F234/(detalle!$D$2*1000000)</f>
        <v>2.0108536831148232E-4</v>
      </c>
      <c r="AC234" s="13">
        <f>154/531</f>
        <v>0.29001883239171372</v>
      </c>
      <c r="AD234" s="13">
        <f>683/3348</f>
        <v>0.20400238948626045</v>
      </c>
      <c r="AE234" s="13">
        <f>72/421</f>
        <v>0.17102137767220901</v>
      </c>
      <c r="AF234" s="22">
        <f t="shared" si="51"/>
        <v>1</v>
      </c>
      <c r="AG234" s="12">
        <v>0</v>
      </c>
      <c r="AH234" s="12">
        <v>0</v>
      </c>
      <c r="AI234" s="20">
        <v>0</v>
      </c>
      <c r="AJ234" s="23">
        <f t="shared" si="52"/>
        <v>0</v>
      </c>
      <c r="AK234" s="23">
        <v>0</v>
      </c>
      <c r="AL234" s="28">
        <f>AK234/detalle!$D$2</f>
        <v>0</v>
      </c>
    </row>
    <row r="235" spans="1:38">
      <c r="A235" s="12">
        <v>234</v>
      </c>
      <c r="B235" s="19">
        <v>44124</v>
      </c>
      <c r="C235" s="12">
        <v>216</v>
      </c>
      <c r="D235" s="23">
        <f t="shared" si="48"/>
        <v>425</v>
      </c>
      <c r="E235" s="12">
        <v>122398</v>
      </c>
      <c r="F235" s="12">
        <v>2206</v>
      </c>
      <c r="G235" s="12">
        <v>100051</v>
      </c>
      <c r="H235" s="23">
        <f t="shared" si="44"/>
        <v>20141</v>
      </c>
      <c r="I235" s="23">
        <f t="shared" ref="I235:I298" si="55">J235-J234</f>
        <v>3304</v>
      </c>
      <c r="J235" s="12">
        <v>551041</v>
      </c>
      <c r="K235" s="23">
        <f t="shared" si="43"/>
        <v>428643</v>
      </c>
      <c r="L235" s="9">
        <f t="shared" si="49"/>
        <v>780</v>
      </c>
      <c r="M235" s="14">
        <f t="shared" si="45"/>
        <v>1.8023170313240411E-2</v>
      </c>
      <c r="N235" s="14">
        <f t="shared" si="54"/>
        <v>0.12863196125907991</v>
      </c>
      <c r="O235" s="13"/>
      <c r="P235" s="12"/>
      <c r="Q235" s="12"/>
      <c r="R235" s="23">
        <f t="shared" si="46"/>
        <v>102257</v>
      </c>
      <c r="S235" s="25">
        <f>(((H235+R235)/(H234+R234))-1)+detalle!$D$1</f>
        <v>7.491294911871596E-2</v>
      </c>
      <c r="T235" s="25">
        <f t="shared" si="50"/>
        <v>1.0487812876620235</v>
      </c>
      <c r="U235" s="10">
        <f t="shared" si="47"/>
        <v>0.81742348731188419</v>
      </c>
      <c r="V235" s="21">
        <f t="shared" si="53"/>
        <v>45.35403445149592</v>
      </c>
      <c r="W235" s="15">
        <f>J235/detalle!$D$2</f>
        <v>50275.08277664589</v>
      </c>
      <c r="X235" s="15">
        <f>E235/detalle!$D$2</f>
        <v>11167.171919504906</v>
      </c>
      <c r="Y235" s="22">
        <f>F235/detalle!$D$2</f>
        <v>201.2678414224728</v>
      </c>
      <c r="AA235" s="14">
        <f>E235/(detalle!$D$2*1000000)</f>
        <v>1.1167171919504906E-2</v>
      </c>
      <c r="AB235" s="14">
        <f>F235/(detalle!$D$2*1000000)</f>
        <v>2.0126784142247278E-4</v>
      </c>
      <c r="AC235" s="13">
        <f>157/523</f>
        <v>0.30019120458891013</v>
      </c>
      <c r="AD235" s="13">
        <f>661/3351</f>
        <v>0.19725455088033422</v>
      </c>
      <c r="AE235" s="13">
        <f>75/420</f>
        <v>0.17857142857142858</v>
      </c>
      <c r="AF235" s="22">
        <f t="shared" si="51"/>
        <v>2</v>
      </c>
      <c r="AG235" s="12">
        <v>0</v>
      </c>
      <c r="AH235" s="12">
        <v>0</v>
      </c>
      <c r="AI235" s="20">
        <v>0</v>
      </c>
      <c r="AJ235" s="23">
        <f t="shared" si="52"/>
        <v>0</v>
      </c>
      <c r="AK235" s="23">
        <v>0</v>
      </c>
      <c r="AL235" s="28">
        <f>AK235/detalle!$D$2</f>
        <v>0</v>
      </c>
    </row>
    <row r="236" spans="1:38">
      <c r="A236" s="12">
        <v>235</v>
      </c>
      <c r="B236" s="19">
        <v>44125</v>
      </c>
      <c r="C236" s="12">
        <v>217</v>
      </c>
      <c r="D236" s="23">
        <f t="shared" si="48"/>
        <v>475</v>
      </c>
      <c r="E236" s="12">
        <v>122873</v>
      </c>
      <c r="F236" s="12">
        <v>2212</v>
      </c>
      <c r="G236" s="12">
        <v>100920</v>
      </c>
      <c r="H236" s="23">
        <f t="shared" si="44"/>
        <v>19741</v>
      </c>
      <c r="I236" s="23">
        <f t="shared" si="55"/>
        <v>3695</v>
      </c>
      <c r="J236" s="12">
        <v>554736</v>
      </c>
      <c r="K236" s="23">
        <f t="shared" si="43"/>
        <v>431863</v>
      </c>
      <c r="L236" s="9">
        <f t="shared" si="49"/>
        <v>869</v>
      </c>
      <c r="M236" s="14">
        <f t="shared" si="45"/>
        <v>1.8002327606553108E-2</v>
      </c>
      <c r="N236" s="14">
        <f t="shared" si="54"/>
        <v>0.12855209742895804</v>
      </c>
      <c r="O236" s="12"/>
      <c r="P236" s="12"/>
      <c r="Q236" s="12"/>
      <c r="R236" s="23">
        <f t="shared" si="46"/>
        <v>103132</v>
      </c>
      <c r="S236" s="25">
        <f>(((H236+R236)/(H235+R235))-1)+detalle!$D$1</f>
        <v>7.5309353794296402E-2</v>
      </c>
      <c r="T236" s="25">
        <f t="shared" si="50"/>
        <v>1.0543309531201497</v>
      </c>
      <c r="U236" s="10">
        <f t="shared" si="47"/>
        <v>0.82133585083785698</v>
      </c>
      <c r="V236" s="21">
        <f t="shared" si="53"/>
        <v>45.623869801084993</v>
      </c>
      <c r="W236" s="15">
        <f>J236/detalle!$D$2</f>
        <v>50612.201849200756</v>
      </c>
      <c r="X236" s="15">
        <f>E236/detalle!$D$2</f>
        <v>11210.50928336514</v>
      </c>
      <c r="Y236" s="22">
        <f>F236/detalle!$D$2</f>
        <v>201.81526075544417</v>
      </c>
      <c r="AA236" s="14">
        <f>E236/(detalle!$D$2*1000000)</f>
        <v>1.1210509283365139E-2</v>
      </c>
      <c r="AB236" s="14">
        <f>F236/(detalle!$D$2*1000000)</f>
        <v>2.0181526075544417E-4</v>
      </c>
      <c r="AC236" s="13">
        <f>158/521</f>
        <v>0.30326295585412666</v>
      </c>
      <c r="AD236" s="13">
        <f>680/3351</f>
        <v>0.20292450014920918</v>
      </c>
      <c r="AE236" s="13">
        <f>75/420</f>
        <v>0.17857142857142858</v>
      </c>
      <c r="AF236" s="22">
        <f t="shared" si="51"/>
        <v>6</v>
      </c>
      <c r="AG236" s="12">
        <v>0</v>
      </c>
      <c r="AH236" s="12">
        <v>0</v>
      </c>
      <c r="AI236" s="20">
        <v>0</v>
      </c>
      <c r="AJ236" s="23">
        <f t="shared" si="52"/>
        <v>0</v>
      </c>
      <c r="AK236" s="23">
        <v>0</v>
      </c>
      <c r="AL236" s="28">
        <f>AK236/detalle!$D$2</f>
        <v>0</v>
      </c>
    </row>
    <row r="237" spans="1:38">
      <c r="A237" s="12">
        <v>236</v>
      </c>
      <c r="B237" s="19">
        <v>44126</v>
      </c>
      <c r="C237" s="12">
        <v>218</v>
      </c>
      <c r="D237" s="23">
        <f t="shared" si="48"/>
        <v>511</v>
      </c>
      <c r="E237" s="12">
        <v>123384</v>
      </c>
      <c r="F237" s="12">
        <v>2214</v>
      </c>
      <c r="G237" s="12">
        <v>102117</v>
      </c>
      <c r="H237" s="23">
        <f t="shared" si="44"/>
        <v>19053</v>
      </c>
      <c r="I237" s="23">
        <f t="shared" si="55"/>
        <v>3772</v>
      </c>
      <c r="J237" s="12">
        <v>558508</v>
      </c>
      <c r="K237" s="23">
        <f t="shared" si="43"/>
        <v>435124</v>
      </c>
      <c r="L237" s="9">
        <f t="shared" si="49"/>
        <v>1197</v>
      </c>
      <c r="M237" s="14">
        <f t="shared" si="45"/>
        <v>1.7943979770472671E-2</v>
      </c>
      <c r="N237" s="14">
        <f t="shared" si="54"/>
        <v>0.13547189819724284</v>
      </c>
      <c r="O237" s="12"/>
      <c r="P237" s="12"/>
      <c r="Q237" s="12"/>
      <c r="R237" s="23">
        <f t="shared" si="46"/>
        <v>104331</v>
      </c>
      <c r="S237" s="25">
        <f>(((H237+R237)/(H236+R236))-1)+detalle!$D$1</f>
        <v>7.5587336983249848E-2</v>
      </c>
      <c r="T237" s="25">
        <f t="shared" si="50"/>
        <v>1.0582227177654979</v>
      </c>
      <c r="U237" s="10">
        <f t="shared" si="47"/>
        <v>0.82763567399338656</v>
      </c>
      <c r="V237" s="21">
        <f t="shared" si="53"/>
        <v>46.12330623306233</v>
      </c>
      <c r="W237" s="15">
        <f>J237/detalle!$D$2</f>
        <v>50956.346136528759</v>
      </c>
      <c r="X237" s="15">
        <f>E237/detalle!$D$2</f>
        <v>11257.131163223201</v>
      </c>
      <c r="Y237" s="22">
        <f>F237/detalle!$D$2</f>
        <v>201.99773386643463</v>
      </c>
      <c r="AA237" s="14">
        <f>E237/(detalle!$D$2*1000000)</f>
        <v>1.1257131163223201E-2</v>
      </c>
      <c r="AB237" s="14">
        <f>F237/(detalle!$D$2*1000000)</f>
        <v>2.0199773386643462E-4</v>
      </c>
      <c r="AC237" s="13">
        <f>172/523</f>
        <v>0.32887189292543023</v>
      </c>
      <c r="AD237" s="13">
        <f>662/3325</f>
        <v>0.19909774436090225</v>
      </c>
      <c r="AE237" s="13">
        <f>82/420</f>
        <v>0.19523809523809524</v>
      </c>
      <c r="AF237" s="22">
        <f t="shared" si="51"/>
        <v>2</v>
      </c>
      <c r="AG237" s="12">
        <v>0</v>
      </c>
      <c r="AH237" s="12">
        <v>0</v>
      </c>
      <c r="AI237" s="20">
        <v>0</v>
      </c>
      <c r="AJ237" s="23">
        <f t="shared" si="52"/>
        <v>0</v>
      </c>
      <c r="AK237" s="23">
        <v>0</v>
      </c>
      <c r="AL237" s="28">
        <f>AK237/detalle!$D$2</f>
        <v>0</v>
      </c>
    </row>
    <row r="238" spans="1:38">
      <c r="A238" s="12">
        <v>237</v>
      </c>
      <c r="B238" s="19">
        <v>44127</v>
      </c>
      <c r="C238" s="12">
        <v>219</v>
      </c>
      <c r="D238" s="23">
        <f t="shared" si="48"/>
        <v>634</v>
      </c>
      <c r="E238" s="12">
        <v>124018</v>
      </c>
      <c r="F238" s="12">
        <v>2220</v>
      </c>
      <c r="G238" s="12">
        <v>102353</v>
      </c>
      <c r="H238" s="23">
        <f t="shared" si="44"/>
        <v>19445</v>
      </c>
      <c r="I238" s="23">
        <f t="shared" si="55"/>
        <v>5131</v>
      </c>
      <c r="J238" s="12">
        <v>563639</v>
      </c>
      <c r="K238" s="23">
        <f t="shared" si="43"/>
        <v>439621</v>
      </c>
      <c r="L238" s="9">
        <f t="shared" si="49"/>
        <v>236</v>
      </c>
      <c r="M238" s="14">
        <f t="shared" si="45"/>
        <v>1.7900627328291053E-2</v>
      </c>
      <c r="N238" s="14">
        <f t="shared" si="54"/>
        <v>0.12356265835119859</v>
      </c>
      <c r="O238" s="12"/>
      <c r="P238" s="12"/>
      <c r="Q238" s="12"/>
      <c r="R238" s="23">
        <f t="shared" si="46"/>
        <v>104573</v>
      </c>
      <c r="S238" s="25">
        <f>(((H238+R238)/(H237+R237))-1)+detalle!$D$1</f>
        <v>7.656700104667416E-2</v>
      </c>
      <c r="T238" s="25">
        <f t="shared" si="50"/>
        <v>1.0719380146534383</v>
      </c>
      <c r="U238" s="10">
        <f t="shared" si="47"/>
        <v>0.82530761663629471</v>
      </c>
      <c r="V238" s="21">
        <f t="shared" si="53"/>
        <v>46.104954954954955</v>
      </c>
      <c r="W238" s="15">
        <f>J238/detalle!$D$2</f>
        <v>51424.480902774769</v>
      </c>
      <c r="X238" s="15">
        <f>E238/detalle!$D$2</f>
        <v>11314.975139407175</v>
      </c>
      <c r="Y238" s="22">
        <f>F238/detalle!$D$2</f>
        <v>202.54515319940597</v>
      </c>
      <c r="AA238" s="14">
        <f>E238/(detalle!$D$2*1000000)</f>
        <v>1.1314975139407176E-2</v>
      </c>
      <c r="AB238" s="14">
        <f>F238/(detalle!$D$2*1000000)</f>
        <v>2.0254515319940598E-4</v>
      </c>
      <c r="AC238" s="13">
        <f>172/523</f>
        <v>0.32887189292543023</v>
      </c>
      <c r="AD238" s="13">
        <f>662/3325</f>
        <v>0.19909774436090225</v>
      </c>
      <c r="AE238" s="13">
        <f>82/420</f>
        <v>0.19523809523809524</v>
      </c>
      <c r="AF238" s="22">
        <f t="shared" si="51"/>
        <v>6</v>
      </c>
      <c r="AG238" s="12">
        <v>0</v>
      </c>
      <c r="AH238" s="12">
        <v>0</v>
      </c>
      <c r="AI238" s="20">
        <v>0</v>
      </c>
      <c r="AJ238" s="23">
        <f t="shared" si="52"/>
        <v>0</v>
      </c>
      <c r="AK238" s="23">
        <v>0</v>
      </c>
      <c r="AL238" s="28">
        <f>AK238/detalle!$D$2</f>
        <v>0</v>
      </c>
    </row>
    <row r="239" spans="1:38">
      <c r="A239" s="12">
        <v>238</v>
      </c>
      <c r="B239" s="19">
        <v>44128</v>
      </c>
      <c r="C239" s="12">
        <v>220</v>
      </c>
      <c r="D239" s="23">
        <f t="shared" si="48"/>
        <v>509</v>
      </c>
      <c r="E239" s="12">
        <v>124527</v>
      </c>
      <c r="F239" s="12">
        <v>2223</v>
      </c>
      <c r="G239" s="12">
        <v>102651</v>
      </c>
      <c r="H239" s="23">
        <f t="shared" si="44"/>
        <v>19653</v>
      </c>
      <c r="I239" s="23">
        <f t="shared" si="55"/>
        <v>4337</v>
      </c>
      <c r="J239" s="12">
        <v>567976</v>
      </c>
      <c r="K239" s="23">
        <f t="shared" si="43"/>
        <v>443449</v>
      </c>
      <c r="L239" s="9">
        <f t="shared" si="49"/>
        <v>298</v>
      </c>
      <c r="M239" s="14">
        <f t="shared" si="45"/>
        <v>1.7851550266207328E-2</v>
      </c>
      <c r="N239" s="14">
        <f t="shared" si="54"/>
        <v>0.11736223195757436</v>
      </c>
      <c r="O239" s="12"/>
      <c r="P239" s="12"/>
      <c r="Q239" s="12"/>
      <c r="R239" s="23">
        <f t="shared" si="46"/>
        <v>104874</v>
      </c>
      <c r="S239" s="25">
        <f>(((H239+R239)/(H238+R238))-1)+detalle!$D$1</f>
        <v>7.5532814361049E-2</v>
      </c>
      <c r="T239" s="25">
        <f t="shared" si="50"/>
        <v>1.0574594010546861</v>
      </c>
      <c r="U239" s="10">
        <f t="shared" si="47"/>
        <v>0.82432725433038623</v>
      </c>
      <c r="V239" s="21">
        <f t="shared" si="53"/>
        <v>46.176788124156545</v>
      </c>
      <c r="W239" s="15">
        <f>J239/detalle!$D$2</f>
        <v>51820.173843957571</v>
      </c>
      <c r="X239" s="15">
        <f>E239/detalle!$D$2</f>
        <v>11361.414546154247</v>
      </c>
      <c r="Y239" s="22">
        <f>F239/detalle!$D$2</f>
        <v>202.81886286589167</v>
      </c>
      <c r="AA239" s="14">
        <f>E239/(detalle!$D$2*1000000)</f>
        <v>1.1361414546154247E-2</v>
      </c>
      <c r="AB239" s="14">
        <f>F239/(detalle!$D$2*1000000)</f>
        <v>2.0281886286589165E-4</v>
      </c>
      <c r="AC239" s="13">
        <f>178/522</f>
        <v>0.34099616858237547</v>
      </c>
      <c r="AD239" s="13">
        <f>644/3348</f>
        <v>0.19235364396654719</v>
      </c>
      <c r="AE239" s="13">
        <f>82/419</f>
        <v>0.19570405727923629</v>
      </c>
      <c r="AF239" s="22">
        <f t="shared" si="51"/>
        <v>3</v>
      </c>
      <c r="AG239" s="12">
        <v>0</v>
      </c>
      <c r="AH239" s="12">
        <v>0</v>
      </c>
      <c r="AI239" s="20">
        <v>0</v>
      </c>
      <c r="AJ239" s="23">
        <f t="shared" si="52"/>
        <v>0</v>
      </c>
      <c r="AK239" s="23">
        <v>0</v>
      </c>
      <c r="AL239" s="28">
        <f>AK239/detalle!$D$2</f>
        <v>0</v>
      </c>
    </row>
    <row r="240" spans="1:38">
      <c r="A240" s="12">
        <v>239</v>
      </c>
      <c r="B240" s="19">
        <v>44129</v>
      </c>
      <c r="C240" s="12">
        <v>221</v>
      </c>
      <c r="D240" s="23">
        <f t="shared" si="48"/>
        <v>316</v>
      </c>
      <c r="E240" s="12">
        <v>124843</v>
      </c>
      <c r="F240" s="12">
        <v>2225</v>
      </c>
      <c r="G240" s="12">
        <v>103081</v>
      </c>
      <c r="H240" s="23">
        <f t="shared" si="44"/>
        <v>19537</v>
      </c>
      <c r="I240" s="23">
        <f t="shared" si="55"/>
        <v>2775</v>
      </c>
      <c r="J240" s="12">
        <v>570751</v>
      </c>
      <c r="K240" s="23">
        <f t="shared" ref="K240:K303" si="56">J240-E240</f>
        <v>445908</v>
      </c>
      <c r="L240" s="9">
        <f t="shared" si="49"/>
        <v>430</v>
      </c>
      <c r="M240" s="14">
        <f t="shared" si="45"/>
        <v>1.782238491545381E-2</v>
      </c>
      <c r="N240" s="14">
        <f t="shared" si="54"/>
        <v>0.11387387387387388</v>
      </c>
      <c r="O240" s="12"/>
      <c r="P240" s="12"/>
      <c r="Q240" s="12"/>
      <c r="R240" s="23">
        <f t="shared" si="46"/>
        <v>105306</v>
      </c>
      <c r="S240" s="25">
        <f>(((H240+R240)/(H239+R239))-1)+detalle!$D$1</f>
        <v>7.3966173715625666E-2</v>
      </c>
      <c r="T240" s="25">
        <f t="shared" si="50"/>
        <v>1.0355264320187594</v>
      </c>
      <c r="U240" s="10">
        <f t="shared" si="47"/>
        <v>0.8256850604359075</v>
      </c>
      <c r="V240" s="21">
        <f t="shared" si="53"/>
        <v>46.328539325842698</v>
      </c>
      <c r="W240" s="15">
        <f>J240/detalle!$D$2</f>
        <v>52073.355285456833</v>
      </c>
      <c r="X240" s="15">
        <f>E240/detalle!$D$2</f>
        <v>11390.245297690739</v>
      </c>
      <c r="Y240" s="22">
        <f>F240/detalle!$D$2</f>
        <v>203.00133597688213</v>
      </c>
      <c r="AA240" s="14">
        <f>E240/(detalle!$D$2*1000000)</f>
        <v>1.1390245297690739E-2</v>
      </c>
      <c r="AB240" s="14">
        <f>F240/(detalle!$D$2*1000000)</f>
        <v>2.0300133597688213E-4</v>
      </c>
      <c r="AC240" s="13">
        <f>181/515</f>
        <v>0.35145631067961164</v>
      </c>
      <c r="AD240" s="13">
        <f>653/3350</f>
        <v>0.19492537313432837</v>
      </c>
      <c r="AE240" s="13">
        <f>91/421</f>
        <v>0.2161520190023753</v>
      </c>
      <c r="AF240" s="22">
        <f t="shared" si="51"/>
        <v>2</v>
      </c>
      <c r="AG240" s="12">
        <v>0</v>
      </c>
      <c r="AH240" s="12">
        <v>0</v>
      </c>
      <c r="AI240" s="20">
        <v>0</v>
      </c>
      <c r="AJ240" s="23">
        <f t="shared" si="52"/>
        <v>0</v>
      </c>
      <c r="AK240" s="23">
        <v>0</v>
      </c>
      <c r="AL240" s="28">
        <f>AK240/detalle!$D$2</f>
        <v>0</v>
      </c>
    </row>
    <row r="241" spans="1:38">
      <c r="A241" s="12">
        <v>240</v>
      </c>
      <c r="B241" s="19">
        <v>44130</v>
      </c>
      <c r="C241" s="12">
        <v>222</v>
      </c>
      <c r="D241" s="23">
        <f t="shared" si="48"/>
        <v>165</v>
      </c>
      <c r="E241" s="12">
        <v>125008</v>
      </c>
      <c r="F241" s="12">
        <v>2226</v>
      </c>
      <c r="G241" s="12">
        <v>103324</v>
      </c>
      <c r="H241" s="23">
        <f t="shared" si="44"/>
        <v>19458</v>
      </c>
      <c r="I241" s="23">
        <f t="shared" si="55"/>
        <v>1755</v>
      </c>
      <c r="J241" s="12">
        <v>572506</v>
      </c>
      <c r="K241" s="23">
        <f t="shared" si="56"/>
        <v>447498</v>
      </c>
      <c r="L241" s="9">
        <f t="shared" si="49"/>
        <v>243</v>
      </c>
      <c r="M241" s="14">
        <f t="shared" si="45"/>
        <v>1.7806860360936899E-2</v>
      </c>
      <c r="N241" s="14">
        <f t="shared" si="54"/>
        <v>9.4017094017094016E-2</v>
      </c>
      <c r="O241" s="12"/>
      <c r="P241" s="12"/>
      <c r="Q241" s="12"/>
      <c r="R241" s="23">
        <f t="shared" si="46"/>
        <v>105550</v>
      </c>
      <c r="S241" s="25">
        <f>(((H241+R241)/(H240+R240))-1)+detalle!$D$1</f>
        <v>7.2750231433537565E-2</v>
      </c>
      <c r="T241" s="25">
        <f t="shared" si="50"/>
        <v>1.018503240069526</v>
      </c>
      <c r="U241" s="10">
        <f t="shared" si="47"/>
        <v>0.8265391014975042</v>
      </c>
      <c r="V241" s="21">
        <f t="shared" si="53"/>
        <v>46.416891284815812</v>
      </c>
      <c r="W241" s="15">
        <f>J241/detalle!$D$2</f>
        <v>52233.475440350958</v>
      </c>
      <c r="X241" s="15">
        <f>E241/detalle!$D$2</f>
        <v>11405.299329347452</v>
      </c>
      <c r="Y241" s="22">
        <f>F241/detalle!$D$2</f>
        <v>203.09257253237735</v>
      </c>
      <c r="AA241" s="14">
        <f>E241/(detalle!$D$2*1000000)</f>
        <v>1.1405299329347451E-2</v>
      </c>
      <c r="AB241" s="14">
        <f>F241/(detalle!$D$2*1000000)</f>
        <v>2.0309257253237734E-4</v>
      </c>
      <c r="AC241" s="13">
        <f>172/516</f>
        <v>0.33333333333333331</v>
      </c>
      <c r="AD241" s="13">
        <f>633/3345</f>
        <v>0.18923766816143497</v>
      </c>
      <c r="AE241" s="13">
        <f>90/421</f>
        <v>0.21377672209026127</v>
      </c>
      <c r="AF241" s="22">
        <f t="shared" si="51"/>
        <v>1</v>
      </c>
      <c r="AG241" s="12">
        <v>0</v>
      </c>
      <c r="AH241" s="12">
        <v>0</v>
      </c>
      <c r="AI241" s="20">
        <v>0</v>
      </c>
      <c r="AJ241" s="23">
        <f t="shared" si="52"/>
        <v>0</v>
      </c>
      <c r="AK241" s="23">
        <v>0</v>
      </c>
      <c r="AL241" s="28">
        <f>AK241/detalle!$D$2</f>
        <v>0</v>
      </c>
    </row>
    <row r="242" spans="1:38">
      <c r="A242" s="12">
        <v>241</v>
      </c>
      <c r="B242" s="19">
        <v>44131</v>
      </c>
      <c r="C242" s="12">
        <v>223</v>
      </c>
      <c r="D242" s="23">
        <f t="shared" si="48"/>
        <v>562</v>
      </c>
      <c r="E242" s="12">
        <v>125570</v>
      </c>
      <c r="F242" s="12">
        <v>2232</v>
      </c>
      <c r="G242" s="12">
        <v>103412</v>
      </c>
      <c r="H242" s="23">
        <f t="shared" si="44"/>
        <v>19926</v>
      </c>
      <c r="I242" s="23">
        <f t="shared" si="55"/>
        <v>6061</v>
      </c>
      <c r="J242" s="12">
        <v>578567</v>
      </c>
      <c r="K242" s="23">
        <f t="shared" si="56"/>
        <v>452997</v>
      </c>
      <c r="L242" s="9">
        <f t="shared" si="49"/>
        <v>88</v>
      </c>
      <c r="M242" s="14">
        <f t="shared" si="45"/>
        <v>1.7774946245122242E-2</v>
      </c>
      <c r="N242" s="14">
        <f t="shared" si="54"/>
        <v>9.2723972941758784E-2</v>
      </c>
      <c r="O242" s="12"/>
      <c r="P242" s="12"/>
      <c r="Q242" s="12"/>
      <c r="R242" s="23">
        <f t="shared" si="46"/>
        <v>105644</v>
      </c>
      <c r="S242" s="25">
        <f>(((H242+R242)/(H241+R241))-1)+detalle!$D$1</f>
        <v>7.5924283702985901E-2</v>
      </c>
      <c r="T242" s="25">
        <f t="shared" si="50"/>
        <v>1.0629399718418027</v>
      </c>
      <c r="U242" s="10">
        <f t="shared" si="47"/>
        <v>0.82354065461495585</v>
      </c>
      <c r="V242" s="21">
        <f t="shared" si="53"/>
        <v>46.331541218637994</v>
      </c>
      <c r="W242" s="15">
        <f>J242/detalle!$D$2</f>
        <v>52786.460203207535</v>
      </c>
      <c r="X242" s="15">
        <f>E242/detalle!$D$2</f>
        <v>11456.574273535771</v>
      </c>
      <c r="Y242" s="22">
        <f>F242/detalle!$D$2</f>
        <v>203.63999186534872</v>
      </c>
      <c r="AA242" s="14">
        <f>E242/(detalle!$D$2*1000000)</f>
        <v>1.1456574273535769E-2</v>
      </c>
      <c r="AB242" s="14">
        <f>F242/(detalle!$D$2*1000000)</f>
        <v>2.036399918653487E-4</v>
      </c>
      <c r="AC242" s="13">
        <f>181/514</f>
        <v>0.3521400778210117</v>
      </c>
      <c r="AD242" s="13">
        <f>638/3337</f>
        <v>0.19118969133952651</v>
      </c>
      <c r="AE242" s="13">
        <f>86/424</f>
        <v>0.20283018867924529</v>
      </c>
      <c r="AF242" s="22">
        <f t="shared" si="51"/>
        <v>6</v>
      </c>
      <c r="AG242" s="12">
        <v>0</v>
      </c>
      <c r="AH242" s="12">
        <v>0</v>
      </c>
      <c r="AI242" s="20">
        <v>0</v>
      </c>
      <c r="AJ242" s="23">
        <f t="shared" si="52"/>
        <v>0</v>
      </c>
      <c r="AK242" s="23">
        <v>0</v>
      </c>
      <c r="AL242" s="28">
        <f>AK242/detalle!$D$2</f>
        <v>0</v>
      </c>
    </row>
    <row r="243" spans="1:38">
      <c r="A243" s="12">
        <v>242</v>
      </c>
      <c r="B243" s="19">
        <v>44132</v>
      </c>
      <c r="C243" s="12">
        <v>224</v>
      </c>
      <c r="D243" s="23">
        <f t="shared" si="48"/>
        <v>343</v>
      </c>
      <c r="E243" s="12">
        <v>125913</v>
      </c>
      <c r="F243" s="12">
        <v>2234</v>
      </c>
      <c r="G243" s="12">
        <v>103944</v>
      </c>
      <c r="H243" s="23">
        <f t="shared" si="44"/>
        <v>19735</v>
      </c>
      <c r="I243" s="23">
        <f t="shared" si="55"/>
        <v>4141</v>
      </c>
      <c r="J243" s="12">
        <v>582708</v>
      </c>
      <c r="K243" s="23">
        <f t="shared" si="56"/>
        <v>456795</v>
      </c>
      <c r="L243" s="9">
        <f t="shared" si="49"/>
        <v>532</v>
      </c>
      <c r="M243" s="14">
        <f t="shared" si="45"/>
        <v>1.7742409441439726E-2</v>
      </c>
      <c r="N243" s="14">
        <f t="shared" si="54"/>
        <v>8.2830234242936493E-2</v>
      </c>
      <c r="O243" s="12"/>
      <c r="P243" s="12"/>
      <c r="Q243" s="12"/>
      <c r="R243" s="23">
        <f t="shared" si="46"/>
        <v>106178</v>
      </c>
      <c r="S243" s="25">
        <f>(((H243+R243)/(H242+R242))-1)+detalle!$D$1</f>
        <v>7.4160115587208059E-2</v>
      </c>
      <c r="T243" s="25">
        <f t="shared" si="50"/>
        <v>1.0382416182209129</v>
      </c>
      <c r="U243" s="10">
        <f t="shared" si="47"/>
        <v>0.82552238450358584</v>
      </c>
      <c r="V243" s="21">
        <f t="shared" si="53"/>
        <v>46.52820053715309</v>
      </c>
      <c r="W243" s="15">
        <f>J243/detalle!$D$2</f>
        <v>53164.270779513274</v>
      </c>
      <c r="X243" s="15">
        <f>E243/detalle!$D$2</f>
        <v>11487.868412070633</v>
      </c>
      <c r="Y243" s="22">
        <f>F243/detalle!$D$2</f>
        <v>203.82246497633918</v>
      </c>
      <c r="AA243" s="14">
        <f>E243/(detalle!$D$2*1000000)</f>
        <v>1.1487868412070633E-2</v>
      </c>
      <c r="AB243" s="14">
        <f>F243/(detalle!$D$2*1000000)</f>
        <v>2.0382246497633916E-4</v>
      </c>
      <c r="AC243" s="13">
        <f>179/521</f>
        <v>0.34357005758157388</v>
      </c>
      <c r="AD243" s="13">
        <f>623/3332</f>
        <v>0.18697478991596639</v>
      </c>
      <c r="AE243" s="13">
        <f>88/422</f>
        <v>0.20853080568720378</v>
      </c>
      <c r="AF243" s="22">
        <f t="shared" si="51"/>
        <v>2</v>
      </c>
      <c r="AG243" s="12">
        <v>0</v>
      </c>
      <c r="AH243" s="12">
        <v>0</v>
      </c>
      <c r="AI243" s="20">
        <v>0</v>
      </c>
      <c r="AJ243" s="23">
        <f t="shared" si="52"/>
        <v>0</v>
      </c>
      <c r="AK243" s="23">
        <v>0</v>
      </c>
      <c r="AL243" s="28">
        <f>AK243/detalle!$D$2</f>
        <v>0</v>
      </c>
    </row>
    <row r="244" spans="1:38">
      <c r="A244" s="12">
        <v>243</v>
      </c>
      <c r="B244" s="19">
        <v>44133</v>
      </c>
      <c r="C244" s="12">
        <v>225</v>
      </c>
      <c r="D244" s="23">
        <f t="shared" si="48"/>
        <v>419</v>
      </c>
      <c r="E244" s="12">
        <v>126332</v>
      </c>
      <c r="F244" s="12">
        <v>2236</v>
      </c>
      <c r="G244" s="12">
        <v>104486</v>
      </c>
      <c r="H244" s="23">
        <f t="shared" si="44"/>
        <v>19610</v>
      </c>
      <c r="I244" s="23">
        <f t="shared" si="55"/>
        <v>5294</v>
      </c>
      <c r="J244" s="12">
        <v>588002</v>
      </c>
      <c r="K244" s="23">
        <f t="shared" si="56"/>
        <v>461670</v>
      </c>
      <c r="L244" s="9">
        <f t="shared" si="49"/>
        <v>542</v>
      </c>
      <c r="M244" s="14">
        <f t="shared" si="45"/>
        <v>1.7699395244276984E-2</v>
      </c>
      <c r="N244" s="14">
        <f t="shared" si="54"/>
        <v>7.9146203248961086E-2</v>
      </c>
      <c r="O244" s="12"/>
      <c r="P244" s="12"/>
      <c r="Q244" s="12"/>
      <c r="R244" s="23">
        <f t="shared" si="46"/>
        <v>106722</v>
      </c>
      <c r="S244" s="25">
        <f>(((H244+R244)/(H243+R243))-1)+detalle!$D$1</f>
        <v>7.4756265947802963E-2</v>
      </c>
      <c r="T244" s="25">
        <f t="shared" si="50"/>
        <v>1.0465877232692415</v>
      </c>
      <c r="U244" s="10">
        <f t="shared" si="47"/>
        <v>0.82707469208118289</v>
      </c>
      <c r="V244" s="21">
        <f t="shared" si="53"/>
        <v>46.728980322003579</v>
      </c>
      <c r="W244" s="15">
        <f>J244/detalle!$D$2</f>
        <v>53647.277104305009</v>
      </c>
      <c r="X244" s="15">
        <f>E244/detalle!$D$2</f>
        <v>11526.096528823133</v>
      </c>
      <c r="Y244" s="22">
        <f>F244/detalle!$D$2</f>
        <v>204.00493808732963</v>
      </c>
      <c r="AA244" s="14">
        <f>E244/(detalle!$D$2*1000000)</f>
        <v>1.1526096528823132E-2</v>
      </c>
      <c r="AB244" s="14">
        <f>F244/(detalle!$D$2*1000000)</f>
        <v>2.0400493808732961E-4</v>
      </c>
      <c r="AC244" s="13">
        <f>174/523</f>
        <v>0.33269598470363287</v>
      </c>
      <c r="AD244" s="13">
        <f>681/3328</f>
        <v>0.20462740384615385</v>
      </c>
      <c r="AE244" s="13">
        <f>84/425</f>
        <v>0.1976470588235294</v>
      </c>
      <c r="AF244" s="22">
        <f t="shared" si="51"/>
        <v>2</v>
      </c>
      <c r="AG244" s="12">
        <v>0</v>
      </c>
      <c r="AH244" s="12">
        <v>0</v>
      </c>
      <c r="AI244" s="20">
        <v>0</v>
      </c>
      <c r="AJ244" s="23">
        <f t="shared" si="52"/>
        <v>0</v>
      </c>
      <c r="AK244" s="23">
        <v>0</v>
      </c>
      <c r="AL244" s="28">
        <f>AK244/detalle!$D$2</f>
        <v>0</v>
      </c>
    </row>
    <row r="245" spans="1:38">
      <c r="A245" s="12">
        <v>244</v>
      </c>
      <c r="B245" s="19">
        <v>44134</v>
      </c>
      <c r="C245" s="12">
        <v>226</v>
      </c>
      <c r="D245" s="23">
        <f t="shared" si="48"/>
        <v>686</v>
      </c>
      <c r="E245" s="12">
        <v>127018</v>
      </c>
      <c r="F245" s="12">
        <v>2245</v>
      </c>
      <c r="G245" s="12">
        <v>104862</v>
      </c>
      <c r="H245" s="23">
        <f t="shared" si="44"/>
        <v>19911</v>
      </c>
      <c r="I245" s="23">
        <f t="shared" si="55"/>
        <v>6702</v>
      </c>
      <c r="J245" s="12">
        <v>594704</v>
      </c>
      <c r="K245" s="23">
        <f t="shared" si="56"/>
        <v>467686</v>
      </c>
      <c r="L245" s="9">
        <f t="shared" si="49"/>
        <v>376</v>
      </c>
      <c r="M245" s="14">
        <f t="shared" si="45"/>
        <v>1.7674660284369145E-2</v>
      </c>
      <c r="N245" s="14">
        <f t="shared" si="54"/>
        <v>0.10235750522232169</v>
      </c>
      <c r="O245" s="12"/>
      <c r="P245" s="12"/>
      <c r="Q245" s="12"/>
      <c r="R245" s="23">
        <f t="shared" si="46"/>
        <v>107107</v>
      </c>
      <c r="S245" s="25">
        <f>(((H245+R245)/(H244+R244))-1)+detalle!$D$1</f>
        <v>7.685870789439167E-2</v>
      </c>
      <c r="T245" s="25">
        <f t="shared" si="50"/>
        <v>1.0760219105214834</v>
      </c>
      <c r="U245" s="10">
        <f t="shared" si="47"/>
        <v>0.82556802972807009</v>
      </c>
      <c r="V245" s="21">
        <f t="shared" si="53"/>
        <v>46.709131403118043</v>
      </c>
      <c r="W245" s="15">
        <f>J245/detalle!$D$2</f>
        <v>54258.744499234024</v>
      </c>
      <c r="X245" s="15">
        <f>E245/detalle!$D$2</f>
        <v>11588.684805892861</v>
      </c>
      <c r="Y245" s="22">
        <f>F245/detalle!$D$2</f>
        <v>204.82606708678668</v>
      </c>
      <c r="AA245" s="14">
        <f>E245/(detalle!$D$2*1000000)</f>
        <v>1.158868480589286E-2</v>
      </c>
      <c r="AB245" s="14">
        <f>F245/(detalle!$D$2*1000000)</f>
        <v>2.0482606708678667E-4</v>
      </c>
      <c r="AC245" s="13">
        <f>177/524</f>
        <v>0.33778625954198471</v>
      </c>
      <c r="AD245" s="13">
        <f>670/3285</f>
        <v>0.20395738203957381</v>
      </c>
      <c r="AE245" s="13">
        <f>85/425</f>
        <v>0.2</v>
      </c>
      <c r="AF245" s="22">
        <f t="shared" si="51"/>
        <v>9</v>
      </c>
      <c r="AG245" s="12">
        <v>0</v>
      </c>
      <c r="AH245" s="12">
        <v>0</v>
      </c>
      <c r="AI245" s="20">
        <v>0</v>
      </c>
      <c r="AJ245" s="23">
        <f t="shared" si="52"/>
        <v>0</v>
      </c>
      <c r="AK245" s="23">
        <v>0</v>
      </c>
      <c r="AL245" s="28">
        <f>AK245/detalle!$D$2</f>
        <v>0</v>
      </c>
    </row>
    <row r="246" spans="1:38">
      <c r="A246" s="12">
        <v>245</v>
      </c>
      <c r="B246" s="19">
        <v>44135</v>
      </c>
      <c r="C246" s="12">
        <v>227</v>
      </c>
      <c r="D246" s="23">
        <f t="shared" si="48"/>
        <v>314</v>
      </c>
      <c r="E246" s="12">
        <v>127332</v>
      </c>
      <c r="F246" s="12">
        <v>2249</v>
      </c>
      <c r="G246" s="12">
        <v>105289</v>
      </c>
      <c r="H246" s="23">
        <f t="shared" si="44"/>
        <v>19794</v>
      </c>
      <c r="I246" s="23">
        <f t="shared" si="55"/>
        <v>4024</v>
      </c>
      <c r="J246" s="12">
        <v>598728</v>
      </c>
      <c r="K246" s="23">
        <f t="shared" si="56"/>
        <v>471396</v>
      </c>
      <c r="L246" s="9">
        <f t="shared" si="49"/>
        <v>427</v>
      </c>
      <c r="M246" s="14">
        <f t="shared" si="45"/>
        <v>1.7662488612446205E-2</v>
      </c>
      <c r="N246" s="14">
        <f t="shared" si="54"/>
        <v>7.8031809145129222E-2</v>
      </c>
      <c r="O246" s="12"/>
      <c r="P246" s="12"/>
      <c r="Q246" s="12"/>
      <c r="R246" s="23">
        <f t="shared" si="46"/>
        <v>107538</v>
      </c>
      <c r="S246" s="25">
        <f>(((H246+R246)/(H245+R245))-1)+detalle!$D$1</f>
        <v>7.3900661998411971E-2</v>
      </c>
      <c r="T246" s="25">
        <f t="shared" si="50"/>
        <v>1.0346092679777676</v>
      </c>
      <c r="U246" s="10">
        <f t="shared" si="47"/>
        <v>0.82688562183897218</v>
      </c>
      <c r="V246" s="21">
        <f t="shared" si="53"/>
        <v>46.815918185860383</v>
      </c>
      <c r="W246" s="15">
        <f>J246/detalle!$D$2</f>
        <v>54625.880398546826</v>
      </c>
      <c r="X246" s="15">
        <f>E246/detalle!$D$2</f>
        <v>11617.333084318361</v>
      </c>
      <c r="Y246" s="22">
        <f>F246/detalle!$D$2</f>
        <v>205.19101330876759</v>
      </c>
      <c r="AA246" s="14">
        <f>E246/(detalle!$D$2*1000000)</f>
        <v>1.1617333084318362E-2</v>
      </c>
      <c r="AB246" s="14">
        <f>F246/(detalle!$D$2*1000000)</f>
        <v>2.0519101330876758E-4</v>
      </c>
      <c r="AC246" s="13">
        <f>174/522</f>
        <v>0.33333333333333331</v>
      </c>
      <c r="AD246" s="13">
        <f>673/3290</f>
        <v>0.20455927051671732</v>
      </c>
      <c r="AE246" s="13">
        <f>90/425</f>
        <v>0.21176470588235294</v>
      </c>
      <c r="AF246" s="22">
        <f t="shared" si="51"/>
        <v>4</v>
      </c>
      <c r="AG246" s="12">
        <v>0</v>
      </c>
      <c r="AH246" s="12">
        <v>0</v>
      </c>
      <c r="AI246" s="20">
        <v>0</v>
      </c>
      <c r="AJ246" s="23">
        <f t="shared" si="52"/>
        <v>0</v>
      </c>
      <c r="AK246" s="23">
        <v>0</v>
      </c>
      <c r="AL246" s="28">
        <f>AK246/detalle!$D$2</f>
        <v>0</v>
      </c>
    </row>
    <row r="247" spans="1:38">
      <c r="A247" s="12">
        <v>246</v>
      </c>
      <c r="B247" s="19">
        <v>44136</v>
      </c>
      <c r="C247" s="12">
        <v>228</v>
      </c>
      <c r="D247" s="23">
        <f t="shared" si="48"/>
        <v>259</v>
      </c>
      <c r="E247" s="12">
        <v>127591</v>
      </c>
      <c r="F247" s="12">
        <v>2250</v>
      </c>
      <c r="G247" s="12">
        <v>105634</v>
      </c>
      <c r="H247" s="23">
        <f t="shared" si="44"/>
        <v>19707</v>
      </c>
      <c r="I247" s="23">
        <f t="shared" si="55"/>
        <v>3373</v>
      </c>
      <c r="J247" s="12">
        <v>602101</v>
      </c>
      <c r="K247" s="23">
        <f t="shared" si="56"/>
        <v>474510</v>
      </c>
      <c r="L247" s="9">
        <f t="shared" si="49"/>
        <v>345</v>
      </c>
      <c r="M247" s="14">
        <f t="shared" si="45"/>
        <v>1.7634472650892304E-2</v>
      </c>
      <c r="N247" s="14">
        <f t="shared" si="54"/>
        <v>7.678624369997035E-2</v>
      </c>
      <c r="O247" s="12"/>
      <c r="P247" s="12"/>
      <c r="Q247" s="12"/>
      <c r="R247" s="23">
        <f t="shared" si="46"/>
        <v>107884</v>
      </c>
      <c r="S247" s="25">
        <f>(((H247+R247)/(H246+R246))-1)+detalle!$D$1</f>
        <v>7.3462624141165361E-2</v>
      </c>
      <c r="T247" s="25">
        <f t="shared" si="50"/>
        <v>1.0284767379763151</v>
      </c>
      <c r="U247" s="10">
        <f t="shared" si="47"/>
        <v>0.82791105955749233</v>
      </c>
      <c r="V247" s="21">
        <f t="shared" si="53"/>
        <v>46.948444444444448</v>
      </c>
      <c r="W247" s="15">
        <f>J247/detalle!$D$2</f>
        <v>54933.621300232226</v>
      </c>
      <c r="X247" s="15">
        <f>E247/detalle!$D$2</f>
        <v>11640.963352191626</v>
      </c>
      <c r="Y247" s="22">
        <f>F247/detalle!$D$2</f>
        <v>205.28224986426281</v>
      </c>
      <c r="AA247" s="14">
        <f>E247/(detalle!$D$2*1000000)</f>
        <v>1.1640963352191626E-2</v>
      </c>
      <c r="AB247" s="14">
        <f>F247/(detalle!$D$2*1000000)</f>
        <v>2.0528224986426282E-4</v>
      </c>
      <c r="AC247" s="13">
        <f>164/522</f>
        <v>0.31417624521072796</v>
      </c>
      <c r="AD247" s="13">
        <f>650/3289</f>
        <v>0.19762845849802371</v>
      </c>
      <c r="AE247" s="13">
        <f>90/425</f>
        <v>0.21176470588235294</v>
      </c>
      <c r="AF247" s="22">
        <f t="shared" si="51"/>
        <v>1</v>
      </c>
      <c r="AG247" s="12">
        <v>0</v>
      </c>
      <c r="AH247" s="12">
        <v>0</v>
      </c>
      <c r="AI247" s="20">
        <v>0</v>
      </c>
      <c r="AJ247" s="23">
        <f t="shared" si="52"/>
        <v>0</v>
      </c>
      <c r="AK247" s="23">
        <v>0</v>
      </c>
      <c r="AL247" s="28">
        <f>AK247/detalle!$D$2</f>
        <v>0</v>
      </c>
    </row>
    <row r="248" spans="1:38">
      <c r="A248" s="12">
        <v>247</v>
      </c>
      <c r="B248" s="19">
        <v>44137</v>
      </c>
      <c r="C248" s="12">
        <v>229</v>
      </c>
      <c r="D248" s="23">
        <f t="shared" si="48"/>
        <v>257</v>
      </c>
      <c r="E248" s="12">
        <v>127848</v>
      </c>
      <c r="F248" s="12">
        <v>2252</v>
      </c>
      <c r="G248" s="12">
        <v>105982</v>
      </c>
      <c r="H248" s="23">
        <f t="shared" si="44"/>
        <v>19614</v>
      </c>
      <c r="I248" s="23">
        <f t="shared" si="55"/>
        <v>3259</v>
      </c>
      <c r="J248" s="12">
        <v>605360</v>
      </c>
      <c r="K248" s="23">
        <f t="shared" si="56"/>
        <v>477512</v>
      </c>
      <c r="L248" s="9">
        <f t="shared" si="49"/>
        <v>348</v>
      </c>
      <c r="M248" s="14">
        <f t="shared" si="45"/>
        <v>1.761466741755835E-2</v>
      </c>
      <c r="N248" s="14">
        <f t="shared" si="54"/>
        <v>7.885854556612458E-2</v>
      </c>
      <c r="O248" s="12"/>
      <c r="P248" s="12"/>
      <c r="Q248" s="12"/>
      <c r="R248" s="23">
        <f t="shared" si="46"/>
        <v>108234</v>
      </c>
      <c r="S248" s="25">
        <f>(((H248+R248)/(H247+R247))-1)+detalle!$D$1</f>
        <v>7.3442820082473298E-2</v>
      </c>
      <c r="T248" s="25">
        <f t="shared" si="50"/>
        <v>1.0281994811546262</v>
      </c>
      <c r="U248" s="10">
        <f t="shared" si="47"/>
        <v>0.82896877542081226</v>
      </c>
      <c r="V248" s="21">
        <f t="shared" si="53"/>
        <v>47.06127886323268</v>
      </c>
      <c r="W248" s="15">
        <f>J248/detalle!$D$2</f>
        <v>55230.961234591174</v>
      </c>
      <c r="X248" s="15">
        <f>E248/detalle!$D$2</f>
        <v>11664.411146953898</v>
      </c>
      <c r="Y248" s="22">
        <f>F248/detalle!$D$2</f>
        <v>205.46472297525327</v>
      </c>
      <c r="AA248" s="14">
        <f>E248/(detalle!$D$2*1000000)</f>
        <v>1.1664411146953898E-2</v>
      </c>
      <c r="AB248" s="14">
        <f>F248/(detalle!$D$2*1000000)</f>
        <v>2.0546472297525327E-4</v>
      </c>
      <c r="AC248" s="13">
        <f>169/524</f>
        <v>0.32251908396946566</v>
      </c>
      <c r="AD248" s="13">
        <f>641/3292</f>
        <v>0.19471445929526124</v>
      </c>
      <c r="AE248" s="13">
        <f>86/425</f>
        <v>0.2023529411764706</v>
      </c>
      <c r="AF248" s="22">
        <f t="shared" si="51"/>
        <v>2</v>
      </c>
      <c r="AG248" s="12">
        <v>0</v>
      </c>
      <c r="AH248" s="12">
        <v>0</v>
      </c>
      <c r="AI248" s="20">
        <v>0</v>
      </c>
      <c r="AJ248" s="23">
        <f t="shared" si="52"/>
        <v>0</v>
      </c>
      <c r="AK248" s="23">
        <v>0</v>
      </c>
      <c r="AL248" s="28">
        <f>AK248/detalle!$D$2</f>
        <v>0</v>
      </c>
    </row>
    <row r="249" spans="1:38">
      <c r="A249" s="12">
        <v>248</v>
      </c>
      <c r="B249" s="19">
        <v>44138</v>
      </c>
      <c r="C249" s="12">
        <v>230</v>
      </c>
      <c r="D249" s="23">
        <f t="shared" si="48"/>
        <v>430</v>
      </c>
      <c r="E249" s="12">
        <v>128278</v>
      </c>
      <c r="F249" s="12">
        <v>2257</v>
      </c>
      <c r="G249" s="12">
        <v>106304</v>
      </c>
      <c r="H249" s="23">
        <f t="shared" si="44"/>
        <v>19717</v>
      </c>
      <c r="I249" s="23">
        <f t="shared" si="55"/>
        <v>3671</v>
      </c>
      <c r="J249" s="12">
        <v>609031</v>
      </c>
      <c r="K249" s="23">
        <f t="shared" si="56"/>
        <v>480753</v>
      </c>
      <c r="L249" s="9">
        <f t="shared" si="49"/>
        <v>322</v>
      </c>
      <c r="M249" s="14">
        <f t="shared" si="45"/>
        <v>1.7594599229797784E-2</v>
      </c>
      <c r="N249" s="14">
        <f t="shared" si="54"/>
        <v>0.11713429583219831</v>
      </c>
      <c r="O249" s="12"/>
      <c r="P249" s="12"/>
      <c r="Q249" s="12"/>
      <c r="R249" s="23">
        <f t="shared" si="46"/>
        <v>108561</v>
      </c>
      <c r="S249" s="25">
        <f>(((H249+R249)/(H248+R248))-1)+detalle!$D$1</f>
        <v>7.4791940429259657E-2</v>
      </c>
      <c r="T249" s="25">
        <f t="shared" si="50"/>
        <v>1.0470871660096353</v>
      </c>
      <c r="U249" s="10">
        <f t="shared" si="47"/>
        <v>0.82870016682517655</v>
      </c>
      <c r="V249" s="21">
        <f t="shared" si="53"/>
        <v>47.099689853788213</v>
      </c>
      <c r="W249" s="15">
        <f>J249/detalle!$D$2</f>
        <v>55565.890629814152</v>
      </c>
      <c r="X249" s="15">
        <f>E249/detalle!$D$2</f>
        <v>11703.642865816848</v>
      </c>
      <c r="Y249" s="22">
        <f>F249/detalle!$D$2</f>
        <v>205.92090575272942</v>
      </c>
      <c r="AA249" s="14">
        <f>E249/(detalle!$D$2*1000000)</f>
        <v>1.1703642865816847E-2</v>
      </c>
      <c r="AB249" s="14">
        <f>F249/(detalle!$D$2*1000000)</f>
        <v>2.0592090575272942E-4</v>
      </c>
      <c r="AC249" s="13">
        <f>169/526</f>
        <v>0.32129277566539927</v>
      </c>
      <c r="AD249" s="13">
        <f>657/3291</f>
        <v>0.19963536918869645</v>
      </c>
      <c r="AE249" s="13">
        <f>89/427</f>
        <v>0.20843091334894615</v>
      </c>
      <c r="AF249" s="22">
        <f t="shared" si="51"/>
        <v>5</v>
      </c>
      <c r="AG249" s="12">
        <v>0</v>
      </c>
      <c r="AH249" s="12">
        <v>0</v>
      </c>
      <c r="AI249" s="20">
        <v>0</v>
      </c>
      <c r="AJ249" s="23">
        <f t="shared" si="52"/>
        <v>0</v>
      </c>
      <c r="AK249" s="23">
        <v>0</v>
      </c>
      <c r="AL249" s="28">
        <f>AK249/detalle!$D$2</f>
        <v>0</v>
      </c>
    </row>
    <row r="250" spans="1:38">
      <c r="A250" s="12">
        <v>249</v>
      </c>
      <c r="B250" s="19">
        <v>44139</v>
      </c>
      <c r="C250" s="12">
        <v>231</v>
      </c>
      <c r="D250" s="23">
        <f t="shared" si="48"/>
        <v>546</v>
      </c>
      <c r="E250" s="12">
        <v>128824</v>
      </c>
      <c r="F250" s="12">
        <v>2260</v>
      </c>
      <c r="G250" s="12">
        <v>106650</v>
      </c>
      <c r="H250" s="23">
        <f t="shared" si="44"/>
        <v>19914</v>
      </c>
      <c r="I250" s="23">
        <f t="shared" si="55"/>
        <v>3727</v>
      </c>
      <c r="J250" s="12">
        <v>612758</v>
      </c>
      <c r="K250" s="23">
        <f t="shared" si="56"/>
        <v>483934</v>
      </c>
      <c r="L250" s="9">
        <f t="shared" si="49"/>
        <v>346</v>
      </c>
      <c r="M250" s="14">
        <f t="shared" si="45"/>
        <v>1.754331491026517E-2</v>
      </c>
      <c r="N250" s="14">
        <f t="shared" si="54"/>
        <v>0.14649852428226456</v>
      </c>
      <c r="O250" s="12"/>
      <c r="P250" s="12"/>
      <c r="Q250" s="12"/>
      <c r="R250" s="23">
        <f t="shared" si="46"/>
        <v>108910</v>
      </c>
      <c r="S250" s="25">
        <f>(((H250+R250)/(H249+R249))-1)+detalle!$D$1</f>
        <v>7.5684952101796849E-2</v>
      </c>
      <c r="T250" s="25">
        <f t="shared" si="50"/>
        <v>1.0595893294251559</v>
      </c>
      <c r="U250" s="10">
        <f t="shared" si="47"/>
        <v>0.82787368813264606</v>
      </c>
      <c r="V250" s="21">
        <f t="shared" si="53"/>
        <v>47.190265486725664</v>
      </c>
      <c r="W250" s="15">
        <f>J250/detalle!$D$2</f>
        <v>55905.929272144873</v>
      </c>
      <c r="X250" s="15">
        <f>E250/detalle!$D$2</f>
        <v>11753.458025117241</v>
      </c>
      <c r="Y250" s="22">
        <f>F250/detalle!$D$2</f>
        <v>206.1946154192151</v>
      </c>
      <c r="AA250" s="14">
        <f>E250/(detalle!$D$2*1000000)</f>
        <v>1.1753458025117241E-2</v>
      </c>
      <c r="AB250" s="14">
        <f>F250/(detalle!$D$2*1000000)</f>
        <v>2.0619461541921508E-4</v>
      </c>
      <c r="AC250" s="13">
        <f>162/520</f>
        <v>0.31153846153846154</v>
      </c>
      <c r="AD250" s="13">
        <f>663/3292</f>
        <v>0.20139732685297693</v>
      </c>
      <c r="AE250" s="13">
        <f>87/425</f>
        <v>0.20470588235294118</v>
      </c>
      <c r="AF250" s="22">
        <f t="shared" si="51"/>
        <v>3</v>
      </c>
      <c r="AG250" s="12">
        <v>0</v>
      </c>
      <c r="AH250" s="12">
        <v>0</v>
      </c>
      <c r="AI250" s="20">
        <v>0</v>
      </c>
      <c r="AJ250" s="23">
        <f t="shared" si="52"/>
        <v>0</v>
      </c>
      <c r="AK250" s="23">
        <v>0</v>
      </c>
      <c r="AL250" s="28">
        <f>AK250/detalle!$D$2</f>
        <v>0</v>
      </c>
    </row>
    <row r="251" spans="1:38">
      <c r="A251" s="12">
        <v>250</v>
      </c>
      <c r="B251" s="19">
        <v>44140</v>
      </c>
      <c r="C251" s="12">
        <v>232</v>
      </c>
      <c r="D251" s="23">
        <f t="shared" si="48"/>
        <v>476</v>
      </c>
      <c r="E251" s="12">
        <v>129300</v>
      </c>
      <c r="F251" s="12">
        <v>2261</v>
      </c>
      <c r="G251" s="12">
        <v>107038</v>
      </c>
      <c r="H251" s="23">
        <f t="shared" si="44"/>
        <v>20001</v>
      </c>
      <c r="I251" s="23">
        <f t="shared" si="55"/>
        <v>3608</v>
      </c>
      <c r="J251" s="12">
        <v>616366</v>
      </c>
      <c r="K251" s="23">
        <f t="shared" si="56"/>
        <v>487066</v>
      </c>
      <c r="L251" s="9">
        <f t="shared" si="49"/>
        <v>388</v>
      </c>
      <c r="M251" s="14">
        <f t="shared" si="45"/>
        <v>1.7486465583913379E-2</v>
      </c>
      <c r="N251" s="14">
        <f t="shared" si="54"/>
        <v>0.1319290465631929</v>
      </c>
      <c r="O251" s="12"/>
      <c r="P251" s="12"/>
      <c r="Q251" s="12"/>
      <c r="R251" s="23">
        <f t="shared" si="46"/>
        <v>109299</v>
      </c>
      <c r="S251" s="25">
        <f>(((H251+R251)/(H250+R250))-1)+detalle!$D$1</f>
        <v>7.5123535099937105E-2</v>
      </c>
      <c r="T251" s="25">
        <f t="shared" si="50"/>
        <v>1.0517294913991195</v>
      </c>
      <c r="U251" s="10">
        <f t="shared" si="47"/>
        <v>0.82782675947409123</v>
      </c>
      <c r="V251" s="21">
        <f t="shared" si="53"/>
        <v>47.340999557717822</v>
      </c>
      <c r="W251" s="15">
        <f>J251/detalle!$D$2</f>
        <v>56235.110764371653</v>
      </c>
      <c r="X251" s="15">
        <f>E251/detalle!$D$2</f>
        <v>11796.88662553297</v>
      </c>
      <c r="Y251" s="22">
        <f>F251/detalle!$D$2</f>
        <v>206.28585197471034</v>
      </c>
      <c r="AA251" s="14">
        <f>E251/(detalle!$D$2*1000000)</f>
        <v>1.179688662553297E-2</v>
      </c>
      <c r="AB251" s="14">
        <f>F251/(detalle!$D$2*1000000)</f>
        <v>2.0628585197471033E-4</v>
      </c>
      <c r="AC251" s="13">
        <f>175/523</f>
        <v>0.33460803059273425</v>
      </c>
      <c r="AD251" s="13">
        <f>674/3284</f>
        <v>0.20523751522533495</v>
      </c>
      <c r="AE251" s="13">
        <f>95/426</f>
        <v>0.22300469483568075</v>
      </c>
      <c r="AF251" s="22">
        <f t="shared" si="51"/>
        <v>1</v>
      </c>
      <c r="AG251" s="12">
        <v>0</v>
      </c>
      <c r="AH251" s="12">
        <v>0</v>
      </c>
      <c r="AI251" s="20">
        <v>0</v>
      </c>
      <c r="AJ251" s="23">
        <f t="shared" si="52"/>
        <v>0</v>
      </c>
      <c r="AK251" s="23">
        <v>0</v>
      </c>
      <c r="AL251" s="28">
        <f>AK251/detalle!$D$2</f>
        <v>0</v>
      </c>
    </row>
    <row r="252" spans="1:38">
      <c r="A252" s="12">
        <v>251</v>
      </c>
      <c r="B252" s="19">
        <v>44141</v>
      </c>
      <c r="C252" s="12">
        <v>233</v>
      </c>
      <c r="D252" s="23">
        <f t="shared" si="48"/>
        <v>345</v>
      </c>
      <c r="E252" s="12">
        <v>129645</v>
      </c>
      <c r="F252" s="12">
        <v>2263</v>
      </c>
      <c r="G252" s="12">
        <v>107580</v>
      </c>
      <c r="H252" s="23">
        <f t="shared" si="44"/>
        <v>19802</v>
      </c>
      <c r="I252" s="23">
        <f t="shared" si="55"/>
        <v>2926</v>
      </c>
      <c r="J252" s="12">
        <v>619292</v>
      </c>
      <c r="K252" s="23">
        <f t="shared" si="56"/>
        <v>489647</v>
      </c>
      <c r="L252" s="9">
        <f t="shared" si="49"/>
        <v>542</v>
      </c>
      <c r="M252" s="14">
        <f t="shared" si="45"/>
        <v>1.745535886459177E-2</v>
      </c>
      <c r="N252" s="14">
        <f t="shared" si="54"/>
        <v>0.11790840738209159</v>
      </c>
      <c r="O252" s="12"/>
      <c r="P252" s="12"/>
      <c r="Q252" s="12"/>
      <c r="R252" s="23">
        <f t="shared" si="46"/>
        <v>109843</v>
      </c>
      <c r="S252" s="25">
        <f>(((H252+R252)/(H251+R251))-1)+detalle!$D$1</f>
        <v>7.4096784885647998E-2</v>
      </c>
      <c r="T252" s="25">
        <f t="shared" si="50"/>
        <v>1.037354988399072</v>
      </c>
      <c r="U252" s="10">
        <f t="shared" si="47"/>
        <v>0.82980446604188363</v>
      </c>
      <c r="V252" s="21">
        <f t="shared" si="53"/>
        <v>47.53866548828988</v>
      </c>
      <c r="W252" s="15">
        <f>J252/detalle!$D$2</f>
        <v>56502.068925750689</v>
      </c>
      <c r="X252" s="15">
        <f>E252/detalle!$D$2</f>
        <v>11828.363237178824</v>
      </c>
      <c r="Y252" s="22">
        <f>F252/detalle!$D$2</f>
        <v>206.4683250857008</v>
      </c>
      <c r="AA252" s="14">
        <f>E252/(detalle!$D$2*1000000)</f>
        <v>1.1828363237178823E-2</v>
      </c>
      <c r="AB252" s="14">
        <f>F252/(detalle!$D$2*1000000)</f>
        <v>2.0646832508570078E-4</v>
      </c>
      <c r="AC252" s="13">
        <f>176/521</f>
        <v>0.33781190019193857</v>
      </c>
      <c r="AD252" s="13">
        <f>642/3271</f>
        <v>0.1962702537450321</v>
      </c>
      <c r="AE252" s="13">
        <f>99/426</f>
        <v>0.23239436619718309</v>
      </c>
      <c r="AF252" s="22">
        <f t="shared" si="51"/>
        <v>2</v>
      </c>
      <c r="AG252" s="12">
        <v>0</v>
      </c>
      <c r="AH252" s="12">
        <v>0</v>
      </c>
      <c r="AI252" s="20">
        <v>0</v>
      </c>
      <c r="AJ252" s="23">
        <f t="shared" si="52"/>
        <v>0</v>
      </c>
      <c r="AK252" s="23">
        <v>0</v>
      </c>
      <c r="AL252" s="28">
        <f>AK252/detalle!$D$2</f>
        <v>0</v>
      </c>
    </row>
    <row r="253" spans="1:38">
      <c r="A253" s="12">
        <v>252</v>
      </c>
      <c r="B253" s="19">
        <v>44142</v>
      </c>
      <c r="C253" s="12">
        <v>234</v>
      </c>
      <c r="D253" s="23">
        <f t="shared" si="48"/>
        <v>537</v>
      </c>
      <c r="E253" s="12">
        <v>130182</v>
      </c>
      <c r="F253" s="12">
        <v>2265</v>
      </c>
      <c r="G253" s="12">
        <v>108021</v>
      </c>
      <c r="H253" s="23">
        <f t="shared" si="44"/>
        <v>19896</v>
      </c>
      <c r="I253" s="23">
        <f t="shared" si="55"/>
        <v>3589</v>
      </c>
      <c r="J253" s="12">
        <v>622881</v>
      </c>
      <c r="K253" s="23">
        <f t="shared" si="56"/>
        <v>492699</v>
      </c>
      <c r="L253" s="9">
        <f t="shared" si="49"/>
        <v>441</v>
      </c>
      <c r="M253" s="14">
        <f t="shared" si="45"/>
        <v>1.7398718716873301E-2</v>
      </c>
      <c r="N253" s="14">
        <f t="shared" si="54"/>
        <v>0.14962385065477848</v>
      </c>
      <c r="O253" s="12"/>
      <c r="P253" s="12"/>
      <c r="Q253" s="12"/>
      <c r="R253" s="23">
        <f t="shared" si="46"/>
        <v>110286</v>
      </c>
      <c r="S253" s="25">
        <f>(((H253+R253)/(H252+R252))-1)+detalle!$D$1</f>
        <v>7.5570651724764987E-2</v>
      </c>
      <c r="T253" s="25">
        <f t="shared" si="50"/>
        <v>1.0579891241467099</v>
      </c>
      <c r="U253" s="10">
        <f t="shared" si="47"/>
        <v>0.8297690925012674</v>
      </c>
      <c r="V253" s="21">
        <f t="shared" si="53"/>
        <v>47.691390728476819</v>
      </c>
      <c r="W253" s="15">
        <f>J253/detalle!$D$2</f>
        <v>56829.516923423063</v>
      </c>
      <c r="X253" s="15">
        <f>E253/detalle!$D$2</f>
        <v>11877.357267479762</v>
      </c>
      <c r="Y253" s="22">
        <f>F253/detalle!$D$2</f>
        <v>206.65079819669123</v>
      </c>
      <c r="AA253" s="14">
        <f>E253/(detalle!$D$2*1000000)</f>
        <v>1.187735726747976E-2</v>
      </c>
      <c r="AB253" s="14">
        <f>F253/(detalle!$D$2*1000000)</f>
        <v>2.0665079819669123E-4</v>
      </c>
      <c r="AC253" s="13">
        <f>179/522</f>
        <v>0.34291187739463602</v>
      </c>
      <c r="AD253" s="13">
        <f>640/3250</f>
        <v>0.19692307692307692</v>
      </c>
      <c r="AE253" s="13">
        <f>97/426</f>
        <v>0.22769953051643194</v>
      </c>
      <c r="AF253" s="22">
        <f t="shared" si="51"/>
        <v>2</v>
      </c>
      <c r="AG253" s="12">
        <v>0</v>
      </c>
      <c r="AH253" s="12">
        <v>0</v>
      </c>
      <c r="AI253" s="20">
        <v>0</v>
      </c>
      <c r="AJ253" s="23">
        <f t="shared" si="52"/>
        <v>0</v>
      </c>
      <c r="AK253" s="23">
        <v>0</v>
      </c>
      <c r="AL253" s="28">
        <f>AK253/detalle!$D$2</f>
        <v>0</v>
      </c>
    </row>
    <row r="254" spans="1:38">
      <c r="A254" s="12">
        <v>253</v>
      </c>
      <c r="B254" s="19">
        <v>44143</v>
      </c>
      <c r="C254" s="12">
        <v>235</v>
      </c>
      <c r="D254" s="23">
        <f t="shared" si="48"/>
        <v>421</v>
      </c>
      <c r="E254" s="12">
        <v>130603</v>
      </c>
      <c r="F254" s="12">
        <v>2267</v>
      </c>
      <c r="G254" s="12">
        <v>108383</v>
      </c>
      <c r="H254" s="23">
        <f t="shared" si="44"/>
        <v>19953</v>
      </c>
      <c r="I254" s="23">
        <f t="shared" si="55"/>
        <v>2947</v>
      </c>
      <c r="J254" s="12">
        <v>625828</v>
      </c>
      <c r="K254" s="23">
        <f t="shared" si="56"/>
        <v>495225</v>
      </c>
      <c r="L254" s="9">
        <f t="shared" si="49"/>
        <v>362</v>
      </c>
      <c r="M254" s="14">
        <f t="shared" si="45"/>
        <v>1.7357947367212086E-2</v>
      </c>
      <c r="N254" s="14">
        <f t="shared" si="54"/>
        <v>0.14285714285714285</v>
      </c>
      <c r="O254" s="12"/>
      <c r="P254" s="12"/>
      <c r="Q254" s="12"/>
      <c r="R254" s="23">
        <f t="shared" si="46"/>
        <v>110650</v>
      </c>
      <c r="S254" s="25">
        <f>(((H254+R254)/(H253+R253))-1)+detalle!$D$1</f>
        <v>7.4662505459389711E-2</v>
      </c>
      <c r="T254" s="25">
        <f t="shared" si="50"/>
        <v>1.045275076431456</v>
      </c>
      <c r="U254" s="10">
        <f t="shared" si="47"/>
        <v>0.82986608270866669</v>
      </c>
      <c r="V254" s="21">
        <f t="shared" si="53"/>
        <v>47.808998676665198</v>
      </c>
      <c r="W254" s="15">
        <f>J254/detalle!$D$2</f>
        <v>57098.391052467501</v>
      </c>
      <c r="X254" s="15">
        <f>E254/detalle!$D$2</f>
        <v>11915.767857343251</v>
      </c>
      <c r="Y254" s="22">
        <f>F254/detalle!$D$2</f>
        <v>206.83327130768168</v>
      </c>
      <c r="AA254" s="14">
        <f>E254/(detalle!$D$2*1000000)</f>
        <v>1.1915767857343251E-2</v>
      </c>
      <c r="AB254" s="14">
        <f>F254/(detalle!$D$2*1000000)</f>
        <v>2.0683327130768169E-4</v>
      </c>
      <c r="AC254" s="13">
        <f>182/523</f>
        <v>0.34799235181644361</v>
      </c>
      <c r="AD254" s="13">
        <f>653/3250</f>
        <v>0.20092307692307693</v>
      </c>
      <c r="AE254" s="13">
        <f>95/426</f>
        <v>0.22300469483568075</v>
      </c>
      <c r="AF254" s="22">
        <f t="shared" si="51"/>
        <v>2</v>
      </c>
      <c r="AG254" s="12">
        <v>0</v>
      </c>
      <c r="AH254" s="12">
        <v>0</v>
      </c>
      <c r="AI254" s="20">
        <v>0</v>
      </c>
      <c r="AJ254" s="23">
        <f t="shared" si="52"/>
        <v>0</v>
      </c>
      <c r="AK254" s="23">
        <v>0</v>
      </c>
      <c r="AL254" s="28">
        <f>AK254/detalle!$D$2</f>
        <v>0</v>
      </c>
    </row>
    <row r="255" spans="1:38">
      <c r="A255" s="12">
        <v>254</v>
      </c>
      <c r="B255" s="19">
        <v>44144</v>
      </c>
      <c r="C255" s="12">
        <v>236</v>
      </c>
      <c r="D255" s="23">
        <f t="shared" si="48"/>
        <v>528</v>
      </c>
      <c r="E255" s="12">
        <v>131131</v>
      </c>
      <c r="F255" s="12">
        <v>2269</v>
      </c>
      <c r="G255" s="12">
        <v>108765</v>
      </c>
      <c r="H255" s="23">
        <f t="shared" si="44"/>
        <v>20097</v>
      </c>
      <c r="I255" s="23">
        <f t="shared" si="55"/>
        <v>3467</v>
      </c>
      <c r="J255" s="12">
        <v>629295</v>
      </c>
      <c r="K255" s="23">
        <f t="shared" si="56"/>
        <v>498164</v>
      </c>
      <c r="L255" s="9">
        <f t="shared" si="49"/>
        <v>382</v>
      </c>
      <c r="M255" s="14">
        <f t="shared" si="45"/>
        <v>1.7303307379643258E-2</v>
      </c>
      <c r="N255" s="14">
        <f t="shared" si="54"/>
        <v>0.15229304874531296</v>
      </c>
      <c r="O255" s="12"/>
      <c r="P255" s="12"/>
      <c r="Q255" s="12"/>
      <c r="R255" s="23">
        <f t="shared" si="46"/>
        <v>111034</v>
      </c>
      <c r="S255" s="25">
        <f>(((H255+R255)/(H254+R254))-1)+detalle!$D$1</f>
        <v>7.5471357582028747E-2</v>
      </c>
      <c r="T255" s="25">
        <f t="shared" si="50"/>
        <v>1.0565990061484025</v>
      </c>
      <c r="U255" s="10">
        <f t="shared" si="47"/>
        <v>0.82943773783468444</v>
      </c>
      <c r="V255" s="21">
        <f t="shared" si="53"/>
        <v>47.935213750550901</v>
      </c>
      <c r="W255" s="15">
        <f>J255/detalle!$D$2</f>
        <v>57414.708190369456</v>
      </c>
      <c r="X255" s="15">
        <f>E255/detalle!$D$2</f>
        <v>11963.940758644732</v>
      </c>
      <c r="Y255" s="22">
        <f>F255/detalle!$D$2</f>
        <v>207.01574441867214</v>
      </c>
      <c r="AA255" s="14">
        <f>E255/(detalle!$D$2*1000000)</f>
        <v>1.1963940758644731E-2</v>
      </c>
      <c r="AB255" s="14">
        <f>F255/(detalle!$D$2*1000000)</f>
        <v>2.0701574441867214E-4</v>
      </c>
      <c r="AC255" s="13">
        <f>185/523</f>
        <v>0.35372848948374763</v>
      </c>
      <c r="AD255" s="13">
        <f>636/3254</f>
        <v>0.19545175169022741</v>
      </c>
      <c r="AE255" s="13">
        <f>95/426</f>
        <v>0.22300469483568075</v>
      </c>
      <c r="AF255" s="22">
        <f t="shared" si="51"/>
        <v>2</v>
      </c>
      <c r="AG255" s="12">
        <v>0</v>
      </c>
      <c r="AH255" s="12">
        <v>0</v>
      </c>
      <c r="AI255" s="20">
        <v>0</v>
      </c>
      <c r="AJ255" s="23">
        <f t="shared" si="52"/>
        <v>0</v>
      </c>
      <c r="AK255" s="23">
        <v>0</v>
      </c>
      <c r="AL255" s="28">
        <f>AK255/detalle!$D$2</f>
        <v>0</v>
      </c>
    </row>
    <row r="256" spans="1:38">
      <c r="A256" s="12">
        <v>255</v>
      </c>
      <c r="B256" s="19">
        <v>44145</v>
      </c>
      <c r="C256" s="12">
        <v>237</v>
      </c>
      <c r="D256" s="23">
        <f t="shared" si="48"/>
        <v>134</v>
      </c>
      <c r="E256" s="12">
        <v>131265</v>
      </c>
      <c r="F256" s="12">
        <v>2272</v>
      </c>
      <c r="G256" s="12">
        <v>109057</v>
      </c>
      <c r="H256" s="23">
        <f t="shared" si="44"/>
        <v>19936</v>
      </c>
      <c r="I256" s="23">
        <f t="shared" si="55"/>
        <v>1291</v>
      </c>
      <c r="J256" s="12">
        <v>630586</v>
      </c>
      <c r="K256" s="23">
        <f t="shared" si="56"/>
        <v>499321</v>
      </c>
      <c r="L256" s="9">
        <f t="shared" si="49"/>
        <v>292</v>
      </c>
      <c r="M256" s="14">
        <f t="shared" si="45"/>
        <v>1.7308498076410314E-2</v>
      </c>
      <c r="N256" s="14">
        <f t="shared" si="54"/>
        <v>0.10379550735863671</v>
      </c>
      <c r="O256" s="12"/>
      <c r="P256" s="12"/>
      <c r="Q256" s="12"/>
      <c r="R256" s="23">
        <f t="shared" si="46"/>
        <v>111329</v>
      </c>
      <c r="S256" s="25">
        <f>(((H256+R256)/(H255+R255))-1)+detalle!$D$1</f>
        <v>7.2450450313045672E-2</v>
      </c>
      <c r="T256" s="25">
        <f t="shared" si="50"/>
        <v>1.0143063043826395</v>
      </c>
      <c r="U256" s="10">
        <f t="shared" si="47"/>
        <v>0.83081552584466534</v>
      </c>
      <c r="V256" s="21">
        <f t="shared" si="53"/>
        <v>48.000440140845072</v>
      </c>
      <c r="W256" s="15">
        <f>J256/detalle!$D$2</f>
        <v>57532.494583513791</v>
      </c>
      <c r="X256" s="15">
        <f>E256/detalle!$D$2</f>
        <v>11976.166457081094</v>
      </c>
      <c r="Y256" s="22">
        <f>F256/detalle!$D$2</f>
        <v>207.28945408515784</v>
      </c>
      <c r="AA256" s="14">
        <f>E256/(detalle!$D$2*1000000)</f>
        <v>1.1976166457081093E-2</v>
      </c>
      <c r="AB256" s="14">
        <f>F256/(detalle!$D$2*1000000)</f>
        <v>2.0728945408515784E-4</v>
      </c>
      <c r="AC256" s="13">
        <f>182/523</f>
        <v>0.34799235181644361</v>
      </c>
      <c r="AD256" s="13">
        <f>598/3254</f>
        <v>0.18377381684081132</v>
      </c>
      <c r="AE256" s="13">
        <f>100/426</f>
        <v>0.23474178403755869</v>
      </c>
      <c r="AF256" s="22">
        <f t="shared" si="51"/>
        <v>3</v>
      </c>
      <c r="AG256" s="12">
        <v>0</v>
      </c>
      <c r="AH256" s="12">
        <v>0</v>
      </c>
      <c r="AI256" s="20">
        <v>0</v>
      </c>
      <c r="AJ256" s="23">
        <f t="shared" si="52"/>
        <v>0</v>
      </c>
      <c r="AK256" s="23">
        <v>0</v>
      </c>
      <c r="AL256" s="28">
        <f>AK256/detalle!$D$2</f>
        <v>0</v>
      </c>
    </row>
    <row r="257" spans="1:38">
      <c r="A257" s="12">
        <v>256</v>
      </c>
      <c r="B257" s="19">
        <v>44146</v>
      </c>
      <c r="C257" s="12">
        <v>238</v>
      </c>
      <c r="D257" s="23">
        <f t="shared" si="48"/>
        <v>371</v>
      </c>
      <c r="E257" s="12">
        <v>131636</v>
      </c>
      <c r="F257" s="12">
        <v>2274</v>
      </c>
      <c r="G257" s="12">
        <v>109135</v>
      </c>
      <c r="H257" s="23">
        <f t="shared" si="44"/>
        <v>20227</v>
      </c>
      <c r="I257" s="23">
        <f t="shared" si="55"/>
        <v>3251</v>
      </c>
      <c r="J257" s="12">
        <v>633837</v>
      </c>
      <c r="K257" s="23">
        <f t="shared" si="56"/>
        <v>502201</v>
      </c>
      <c r="L257" s="9">
        <f t="shared" si="49"/>
        <v>78</v>
      </c>
      <c r="M257" s="14">
        <f t="shared" si="45"/>
        <v>1.7274909599197787E-2</v>
      </c>
      <c r="N257" s="14">
        <f t="shared" si="54"/>
        <v>0.11411873269763149</v>
      </c>
      <c r="O257" s="12"/>
      <c r="P257" s="12"/>
      <c r="Q257" s="12"/>
      <c r="R257" s="23">
        <f t="shared" si="46"/>
        <v>111409</v>
      </c>
      <c r="S257" s="25">
        <f>(((H257+R257)/(H256+R256))-1)+detalle!$D$1</f>
        <v>7.4254915084534662E-2</v>
      </c>
      <c r="T257" s="25">
        <f t="shared" si="50"/>
        <v>1.0395688111834853</v>
      </c>
      <c r="U257" s="10">
        <f t="shared" si="47"/>
        <v>0.82906651675833354</v>
      </c>
      <c r="V257" s="21">
        <f t="shared" si="53"/>
        <v>47.992524186455583</v>
      </c>
      <c r="W257" s="15">
        <f>J257/detalle!$D$2</f>
        <v>57829.104625428779</v>
      </c>
      <c r="X257" s="15">
        <f>E257/detalle!$D$2</f>
        <v>12010.015219169822</v>
      </c>
      <c r="Y257" s="22">
        <f>F257/detalle!$D$2</f>
        <v>207.4719271961483</v>
      </c>
      <c r="AA257" s="14">
        <f>E257/(detalle!$D$2*1000000)</f>
        <v>1.2010015219169822E-2</v>
      </c>
      <c r="AB257" s="14">
        <f>F257/(detalle!$D$2*1000000)</f>
        <v>2.0747192719614829E-4</v>
      </c>
      <c r="AC257" s="13">
        <f>174/527</f>
        <v>0.33017077798861483</v>
      </c>
      <c r="AD257" s="13">
        <f>606/3241</f>
        <v>0.18697932736809628</v>
      </c>
      <c r="AE257" s="13">
        <f>102/426</f>
        <v>0.23943661971830985</v>
      </c>
      <c r="AF257" s="22">
        <f t="shared" si="51"/>
        <v>2</v>
      </c>
      <c r="AG257" s="12">
        <v>0</v>
      </c>
      <c r="AH257" s="12">
        <v>0</v>
      </c>
      <c r="AI257" s="20">
        <v>0</v>
      </c>
      <c r="AJ257" s="23">
        <f t="shared" si="52"/>
        <v>0</v>
      </c>
      <c r="AK257" s="23">
        <v>0</v>
      </c>
      <c r="AL257" s="28">
        <f>AK257/detalle!$D$2</f>
        <v>0</v>
      </c>
    </row>
    <row r="258" spans="1:38">
      <c r="A258" s="12">
        <v>257</v>
      </c>
      <c r="B258" s="19">
        <v>44147</v>
      </c>
      <c r="C258" s="12">
        <v>239</v>
      </c>
      <c r="D258" s="23">
        <f t="shared" si="48"/>
        <v>918</v>
      </c>
      <c r="E258" s="12">
        <v>132554</v>
      </c>
      <c r="F258" s="12">
        <v>2280</v>
      </c>
      <c r="G258" s="12">
        <v>109268</v>
      </c>
      <c r="H258" s="23">
        <f t="shared" ref="H258:H321" si="57">E258-F258-G258</f>
        <v>21006</v>
      </c>
      <c r="I258" s="23">
        <f t="shared" si="55"/>
        <v>6369</v>
      </c>
      <c r="J258" s="12">
        <v>640206</v>
      </c>
      <c r="K258" s="23">
        <f t="shared" si="56"/>
        <v>507652</v>
      </c>
      <c r="L258" s="9">
        <f t="shared" si="49"/>
        <v>133</v>
      </c>
      <c r="M258" s="14">
        <f t="shared" ref="M258:M321" si="58">F258/E258</f>
        <v>1.7200537139580849E-2</v>
      </c>
      <c r="N258" s="14">
        <f t="shared" si="54"/>
        <v>0.14413565708902495</v>
      </c>
      <c r="O258" s="12"/>
      <c r="P258" s="12"/>
      <c r="Q258" s="12"/>
      <c r="R258" s="23">
        <f t="shared" ref="R258:R321" si="59">F258+G258</f>
        <v>111548</v>
      </c>
      <c r="S258" s="25">
        <f>(((H258+R258)/(H257+R257))-1)+detalle!$D$1</f>
        <v>7.8402347599223737E-2</v>
      </c>
      <c r="T258" s="25">
        <f t="shared" si="50"/>
        <v>1.0976328663891324</v>
      </c>
      <c r="U258" s="10">
        <f t="shared" ref="U258:U321" si="60">G258/E258</f>
        <v>0.82432819831917559</v>
      </c>
      <c r="V258" s="21">
        <f t="shared" si="53"/>
        <v>47.924561403508775</v>
      </c>
      <c r="W258" s="15">
        <f>J258/detalle!$D$2</f>
        <v>58410.190247377883</v>
      </c>
      <c r="X258" s="15">
        <f>E258/detalle!$D$2</f>
        <v>12093.770377114442</v>
      </c>
      <c r="Y258" s="22">
        <f>F258/detalle!$D$2</f>
        <v>208.01934652911964</v>
      </c>
      <c r="AA258" s="14">
        <f>E258/(detalle!$D$2*1000000)</f>
        <v>1.2093770377114441E-2</v>
      </c>
      <c r="AB258" s="14">
        <f>F258/(detalle!$D$2*1000000)</f>
        <v>2.0801934652911965E-4</v>
      </c>
      <c r="AC258" s="13">
        <f>179/528</f>
        <v>0.33901515151515149</v>
      </c>
      <c r="AD258" s="13">
        <f>595/3247</f>
        <v>0.18324607329842932</v>
      </c>
      <c r="AE258" s="13">
        <f>100/426</f>
        <v>0.23474178403755869</v>
      </c>
      <c r="AF258" s="22">
        <f t="shared" si="51"/>
        <v>6</v>
      </c>
      <c r="AG258" s="12">
        <v>0</v>
      </c>
      <c r="AH258" s="12">
        <v>0</v>
      </c>
      <c r="AI258" s="20">
        <v>0</v>
      </c>
      <c r="AJ258" s="23">
        <f t="shared" si="52"/>
        <v>0</v>
      </c>
      <c r="AK258" s="23">
        <v>0</v>
      </c>
      <c r="AL258" s="28">
        <f>AK258/detalle!$D$2</f>
        <v>0</v>
      </c>
    </row>
    <row r="259" spans="1:38">
      <c r="A259" s="12">
        <v>258</v>
      </c>
      <c r="B259" s="19">
        <v>44148</v>
      </c>
      <c r="C259" s="12">
        <v>240</v>
      </c>
      <c r="D259" s="23">
        <f t="shared" ref="D259:D322" si="61">E259-E258</f>
        <v>671</v>
      </c>
      <c r="E259" s="12">
        <v>133225</v>
      </c>
      <c r="F259" s="12">
        <v>2282</v>
      </c>
      <c r="G259" s="12">
        <v>109590</v>
      </c>
      <c r="H259" s="23">
        <f t="shared" si="57"/>
        <v>21353</v>
      </c>
      <c r="I259" s="23">
        <f t="shared" si="55"/>
        <v>4332</v>
      </c>
      <c r="J259" s="12">
        <v>644538</v>
      </c>
      <c r="K259" s="23">
        <f t="shared" si="56"/>
        <v>511313</v>
      </c>
      <c r="L259" s="9">
        <f t="shared" ref="L259:L322" si="62">G259-G258</f>
        <v>322</v>
      </c>
      <c r="M259" s="14">
        <f t="shared" si="58"/>
        <v>1.7128917245261777E-2</v>
      </c>
      <c r="N259" s="14">
        <f t="shared" si="54"/>
        <v>0.15489381348107109</v>
      </c>
      <c r="O259" s="12"/>
      <c r="P259" s="12"/>
      <c r="Q259" s="12"/>
      <c r="R259" s="23">
        <f t="shared" si="59"/>
        <v>111872</v>
      </c>
      <c r="S259" s="25">
        <f>(((H259+R259)/(H258+R258))-1)+detalle!$D$1</f>
        <v>7.6490659332369121E-2</v>
      </c>
      <c r="T259" s="25">
        <f t="shared" ref="T259:T322" si="63">S259*14</f>
        <v>1.0708692306531677</v>
      </c>
      <c r="U259" s="10">
        <f t="shared" si="60"/>
        <v>0.82259335710264592</v>
      </c>
      <c r="V259" s="21">
        <f t="shared" si="53"/>
        <v>48.023663453111304</v>
      </c>
      <c r="W259" s="15">
        <f>J259/detalle!$D$2</f>
        <v>58805.427005783211</v>
      </c>
      <c r="X259" s="15">
        <f>E259/detalle!$D$2</f>
        <v>12154.990105851739</v>
      </c>
      <c r="Y259" s="22">
        <f>F259/detalle!$D$2</f>
        <v>208.2018196401101</v>
      </c>
      <c r="AA259" s="14">
        <f>E259/(detalle!$D$2*1000000)</f>
        <v>1.215499010585174E-2</v>
      </c>
      <c r="AB259" s="14">
        <f>F259/(detalle!$D$2*1000000)</f>
        <v>2.082018196401101E-4</v>
      </c>
      <c r="AC259" s="13">
        <f>191/531</f>
        <v>0.35969868173258002</v>
      </c>
      <c r="AD259" s="13">
        <f>597/3247</f>
        <v>0.18386202648598707</v>
      </c>
      <c r="AE259" s="13">
        <f>105/428</f>
        <v>0.24532710280373832</v>
      </c>
      <c r="AF259" s="22">
        <f t="shared" ref="AF259:AF322" si="64">F259-F258</f>
        <v>2</v>
      </c>
      <c r="AG259" s="12">
        <v>0</v>
      </c>
      <c r="AH259" s="12">
        <v>0</v>
      </c>
      <c r="AI259" s="20">
        <v>0</v>
      </c>
      <c r="AJ259" s="23">
        <f t="shared" ref="AJ259:AJ322" si="65">AK259-AK258</f>
        <v>0</v>
      </c>
      <c r="AK259" s="23">
        <v>0</v>
      </c>
      <c r="AL259" s="28">
        <f>AK259/detalle!$D$2</f>
        <v>0</v>
      </c>
    </row>
    <row r="260" spans="1:38">
      <c r="A260" s="12">
        <v>259</v>
      </c>
      <c r="B260" s="19">
        <v>44149</v>
      </c>
      <c r="C260" s="12">
        <v>241</v>
      </c>
      <c r="D260" s="23">
        <f t="shared" si="61"/>
        <v>499</v>
      </c>
      <c r="E260" s="12">
        <v>133724</v>
      </c>
      <c r="F260" s="12">
        <v>2285</v>
      </c>
      <c r="G260" s="12">
        <v>109981</v>
      </c>
      <c r="H260" s="23">
        <f t="shared" si="57"/>
        <v>21458</v>
      </c>
      <c r="I260" s="23">
        <f t="shared" si="55"/>
        <v>4021</v>
      </c>
      <c r="J260" s="12">
        <v>648559</v>
      </c>
      <c r="K260" s="23">
        <f t="shared" si="56"/>
        <v>514835</v>
      </c>
      <c r="L260" s="9">
        <f t="shared" si="62"/>
        <v>391</v>
      </c>
      <c r="M260" s="14">
        <f t="shared" si="58"/>
        <v>1.7087433818910591E-2</v>
      </c>
      <c r="N260" s="14">
        <f t="shared" si="54"/>
        <v>0.12409848296443671</v>
      </c>
      <c r="O260" s="12"/>
      <c r="P260" s="12"/>
      <c r="Q260" s="12"/>
      <c r="R260" s="23">
        <f t="shared" si="59"/>
        <v>112266</v>
      </c>
      <c r="S260" s="25">
        <f>(((H260+R260)/(H259+R259))-1)+detalle!$D$1</f>
        <v>7.5174114682465182E-2</v>
      </c>
      <c r="T260" s="25">
        <f t="shared" si="63"/>
        <v>1.0524376055545126</v>
      </c>
      <c r="U260" s="10">
        <f t="shared" si="60"/>
        <v>0.82244772815650147</v>
      </c>
      <c r="V260" s="21">
        <f t="shared" si="53"/>
        <v>48.131728665207881</v>
      </c>
      <c r="W260" s="15">
        <f>J260/detalle!$D$2</f>
        <v>59172.289195429526</v>
      </c>
      <c r="X260" s="15">
        <f>E260/detalle!$D$2</f>
        <v>12200.517147043858</v>
      </c>
      <c r="Y260" s="22">
        <f>F260/detalle!$D$2</f>
        <v>208.4755293065958</v>
      </c>
      <c r="AA260" s="14">
        <f>E260/(detalle!$D$2*1000000)</f>
        <v>1.2200517147043857E-2</v>
      </c>
      <c r="AB260" s="14">
        <f>F260/(detalle!$D$2*1000000)</f>
        <v>2.084755293065958E-4</v>
      </c>
      <c r="AC260" s="13">
        <f>189/524</f>
        <v>0.36068702290076338</v>
      </c>
      <c r="AD260" s="13">
        <f>600/3251</f>
        <v>0.1845585973546601</v>
      </c>
      <c r="AE260" s="13">
        <f>105/428</f>
        <v>0.24532710280373832</v>
      </c>
      <c r="AF260" s="22">
        <f t="shared" si="64"/>
        <v>3</v>
      </c>
      <c r="AG260" s="12">
        <v>0</v>
      </c>
      <c r="AH260" s="12">
        <v>0</v>
      </c>
      <c r="AI260" s="20">
        <v>0</v>
      </c>
      <c r="AJ260" s="23">
        <f t="shared" si="65"/>
        <v>0</v>
      </c>
      <c r="AK260" s="23">
        <v>0</v>
      </c>
      <c r="AL260" s="28">
        <f>AK260/detalle!$D$2</f>
        <v>0</v>
      </c>
    </row>
    <row r="261" spans="1:38">
      <c r="A261" s="12">
        <v>260</v>
      </c>
      <c r="B261" s="19">
        <v>44150</v>
      </c>
      <c r="C261" s="12">
        <v>242</v>
      </c>
      <c r="D261" s="23">
        <f t="shared" si="61"/>
        <v>479</v>
      </c>
      <c r="E261" s="12">
        <v>134203</v>
      </c>
      <c r="F261" s="12">
        <v>2286</v>
      </c>
      <c r="G261" s="12">
        <v>110381</v>
      </c>
      <c r="H261" s="23">
        <f t="shared" si="57"/>
        <v>21536</v>
      </c>
      <c r="I261" s="23">
        <f t="shared" si="55"/>
        <v>3511</v>
      </c>
      <c r="J261" s="12">
        <v>652070</v>
      </c>
      <c r="K261" s="23">
        <f t="shared" si="56"/>
        <v>517867</v>
      </c>
      <c r="L261" s="9">
        <f t="shared" si="62"/>
        <v>400</v>
      </c>
      <c r="M261" s="14">
        <f t="shared" si="58"/>
        <v>1.7033896410661459E-2</v>
      </c>
      <c r="N261" s="14">
        <f t="shared" si="54"/>
        <v>0.13642836798632868</v>
      </c>
      <c r="O261" s="12"/>
      <c r="P261" s="12"/>
      <c r="Q261" s="12"/>
      <c r="R261" s="23">
        <f t="shared" si="59"/>
        <v>112667</v>
      </c>
      <c r="S261" s="25">
        <f>(((H261+R261)/(H260+R260))-1)+detalle!$D$1</f>
        <v>7.5010576154723757E-2</v>
      </c>
      <c r="T261" s="25">
        <f t="shared" si="63"/>
        <v>1.0501480661661327</v>
      </c>
      <c r="U261" s="10">
        <f t="shared" si="60"/>
        <v>0.8224927907721884</v>
      </c>
      <c r="V261" s="21">
        <f t="shared" si="53"/>
        <v>48.285651793525808</v>
      </c>
      <c r="W261" s="15">
        <f>J261/detalle!$D$2</f>
        <v>59492.620741773273</v>
      </c>
      <c r="X261" s="15">
        <f>E261/detalle!$D$2</f>
        <v>12244.219457126073</v>
      </c>
      <c r="Y261" s="22">
        <f>F261/detalle!$D$2</f>
        <v>208.56676586209102</v>
      </c>
      <c r="AA261" s="14">
        <f>E261/(detalle!$D$2*1000000)</f>
        <v>1.2244219457126072E-2</v>
      </c>
      <c r="AB261" s="14">
        <f>F261/(detalle!$D$2*1000000)</f>
        <v>2.0856676586209101E-4</v>
      </c>
      <c r="AC261" s="13">
        <f>193/529</f>
        <v>0.36483931947069942</v>
      </c>
      <c r="AD261" s="13">
        <f>625/3248</f>
        <v>0.19242610837438423</v>
      </c>
      <c r="AE261" s="13">
        <f>105/428</f>
        <v>0.24532710280373832</v>
      </c>
      <c r="AF261" s="22">
        <f t="shared" si="64"/>
        <v>1</v>
      </c>
      <c r="AG261" s="12">
        <v>0</v>
      </c>
      <c r="AH261" s="12">
        <v>0</v>
      </c>
      <c r="AI261" s="20">
        <v>0</v>
      </c>
      <c r="AJ261" s="23">
        <f t="shared" si="65"/>
        <v>0</v>
      </c>
      <c r="AK261" s="23">
        <v>0</v>
      </c>
      <c r="AL261" s="28">
        <f>AK261/detalle!$D$2</f>
        <v>0</v>
      </c>
    </row>
    <row r="262" spans="1:38">
      <c r="A262" s="12">
        <v>261</v>
      </c>
      <c r="B262" s="19">
        <v>44151</v>
      </c>
      <c r="C262" s="12">
        <v>243</v>
      </c>
      <c r="D262" s="23">
        <f t="shared" si="61"/>
        <v>494</v>
      </c>
      <c r="E262" s="12">
        <v>134697</v>
      </c>
      <c r="F262" s="12">
        <v>2290</v>
      </c>
      <c r="G262" s="12">
        <v>110761</v>
      </c>
      <c r="H262" s="23">
        <f t="shared" si="57"/>
        <v>21646</v>
      </c>
      <c r="I262" s="23">
        <f t="shared" si="55"/>
        <v>3221</v>
      </c>
      <c r="J262" s="12">
        <v>655291</v>
      </c>
      <c r="K262" s="23">
        <f t="shared" si="56"/>
        <v>520594</v>
      </c>
      <c r="L262" s="9">
        <f t="shared" si="62"/>
        <v>380</v>
      </c>
      <c r="M262" s="14">
        <f t="shared" si="58"/>
        <v>1.7001121034618441E-2</v>
      </c>
      <c r="N262" s="14">
        <f t="shared" si="54"/>
        <v>0.15336851909344923</v>
      </c>
      <c r="O262" s="12"/>
      <c r="P262" s="12"/>
      <c r="Q262" s="12"/>
      <c r="R262" s="23">
        <f t="shared" si="59"/>
        <v>113051</v>
      </c>
      <c r="S262" s="25">
        <f>(((H262+R262)/(H261+R261))-1)+detalle!$D$1</f>
        <v>7.5109562166483484E-2</v>
      </c>
      <c r="T262" s="25">
        <f t="shared" si="63"/>
        <v>1.0515338703307688</v>
      </c>
      <c r="U262" s="10">
        <f t="shared" si="60"/>
        <v>0.82229745280147293</v>
      </c>
      <c r="V262" s="21">
        <f t="shared" si="53"/>
        <v>48.367248908296943</v>
      </c>
      <c r="W262" s="15">
        <f>J262/detalle!$D$2</f>
        <v>59786.493687023401</v>
      </c>
      <c r="X262" s="15">
        <f>E262/detalle!$D$2</f>
        <v>12289.290315540715</v>
      </c>
      <c r="Y262" s="22">
        <f>F262/detalle!$D$2</f>
        <v>208.93171208407193</v>
      </c>
      <c r="AA262" s="14">
        <f>E262/(detalle!$D$2*1000000)</f>
        <v>1.2289290315540715E-2</v>
      </c>
      <c r="AB262" s="14">
        <f>F262/(detalle!$D$2*1000000)</f>
        <v>2.0893171208407192E-4</v>
      </c>
      <c r="AC262" s="13">
        <f>189/531</f>
        <v>0.3559322033898305</v>
      </c>
      <c r="AD262" s="13">
        <f>643/3221</f>
        <v>0.19962744489289042</v>
      </c>
      <c r="AE262" s="13">
        <f>108/426</f>
        <v>0.25352112676056338</v>
      </c>
      <c r="AF262" s="22">
        <f t="shared" si="64"/>
        <v>4</v>
      </c>
      <c r="AG262" s="12">
        <v>0</v>
      </c>
      <c r="AH262" s="12">
        <v>0</v>
      </c>
      <c r="AI262" s="20">
        <v>0</v>
      </c>
      <c r="AJ262" s="23">
        <f t="shared" si="65"/>
        <v>0</v>
      </c>
      <c r="AK262" s="23">
        <v>0</v>
      </c>
      <c r="AL262" s="28">
        <f>AK262/detalle!$D$2</f>
        <v>0</v>
      </c>
    </row>
    <row r="263" spans="1:38">
      <c r="A263" s="12">
        <v>262</v>
      </c>
      <c r="B263" s="19">
        <v>44152</v>
      </c>
      <c r="C263" s="12">
        <v>244</v>
      </c>
      <c r="D263" s="23">
        <f t="shared" si="61"/>
        <v>460</v>
      </c>
      <c r="E263" s="12">
        <v>135157</v>
      </c>
      <c r="F263" s="12">
        <v>2293</v>
      </c>
      <c r="G263" s="12">
        <v>110871</v>
      </c>
      <c r="H263" s="23">
        <f t="shared" si="57"/>
        <v>21993</v>
      </c>
      <c r="I263" s="23">
        <f t="shared" si="55"/>
        <v>3869</v>
      </c>
      <c r="J263" s="12">
        <v>659160</v>
      </c>
      <c r="K263" s="23">
        <f t="shared" si="56"/>
        <v>524003</v>
      </c>
      <c r="L263" s="9">
        <f t="shared" si="62"/>
        <v>110</v>
      </c>
      <c r="M263" s="14">
        <f t="shared" si="58"/>
        <v>1.6965454989382719E-2</v>
      </c>
      <c r="N263" s="14">
        <f t="shared" si="54"/>
        <v>0.11889377100025847</v>
      </c>
      <c r="O263" s="12"/>
      <c r="P263" s="12"/>
      <c r="Q263" s="12"/>
      <c r="R263" s="23">
        <f t="shared" si="59"/>
        <v>113164</v>
      </c>
      <c r="S263" s="25">
        <f>(((H263+R263)/(H262+R262))-1)+detalle!$D$1</f>
        <v>7.4843643776136642E-2</v>
      </c>
      <c r="T263" s="25">
        <f t="shared" si="63"/>
        <v>1.047811012865913</v>
      </c>
      <c r="U263" s="10">
        <f t="shared" si="60"/>
        <v>0.82031267340944236</v>
      </c>
      <c r="V263" s="21">
        <f t="shared" si="53"/>
        <v>48.351940689053642</v>
      </c>
      <c r="W263" s="15">
        <f>J263/detalle!$D$2</f>
        <v>60139.487920234438</v>
      </c>
      <c r="X263" s="15">
        <f>E263/detalle!$D$2</f>
        <v>12331.25913106852</v>
      </c>
      <c r="Y263" s="22">
        <f>F263/detalle!$D$2</f>
        <v>209.20542175055763</v>
      </c>
      <c r="AA263" s="14">
        <f>E263/(detalle!$D$2*1000000)</f>
        <v>1.233125913106852E-2</v>
      </c>
      <c r="AB263" s="14">
        <f>F263/(detalle!$D$2*1000000)</f>
        <v>2.0920542175055761E-4</v>
      </c>
      <c r="AC263" s="13">
        <f>195/532</f>
        <v>0.36654135338345867</v>
      </c>
      <c r="AD263" s="13">
        <f>660/3222</f>
        <v>0.2048417132216015</v>
      </c>
      <c r="AE263" s="13">
        <f>100/426</f>
        <v>0.23474178403755869</v>
      </c>
      <c r="AF263" s="22">
        <f t="shared" si="64"/>
        <v>3</v>
      </c>
      <c r="AG263" s="12">
        <v>0</v>
      </c>
      <c r="AH263" s="12">
        <v>0</v>
      </c>
      <c r="AI263" s="20">
        <v>0</v>
      </c>
      <c r="AJ263" s="23">
        <f t="shared" si="65"/>
        <v>0</v>
      </c>
      <c r="AK263" s="23">
        <v>0</v>
      </c>
      <c r="AL263" s="28">
        <f>AK263/detalle!$D$2</f>
        <v>0</v>
      </c>
    </row>
    <row r="264" spans="1:38">
      <c r="A264" s="12">
        <v>263</v>
      </c>
      <c r="B264" s="19">
        <v>44153</v>
      </c>
      <c r="C264" s="12">
        <v>245</v>
      </c>
      <c r="D264" s="23">
        <f t="shared" si="61"/>
        <v>1026</v>
      </c>
      <c r="E264" s="12">
        <v>136183</v>
      </c>
      <c r="F264" s="12">
        <v>2301</v>
      </c>
      <c r="G264" s="12">
        <v>111527</v>
      </c>
      <c r="H264" s="23">
        <f t="shared" si="57"/>
        <v>22355</v>
      </c>
      <c r="I264" s="23">
        <f t="shared" si="55"/>
        <v>5875</v>
      </c>
      <c r="J264" s="12">
        <v>665035</v>
      </c>
      <c r="K264" s="23">
        <f t="shared" si="56"/>
        <v>528852</v>
      </c>
      <c r="L264" s="9">
        <f t="shared" si="62"/>
        <v>656</v>
      </c>
      <c r="M264" s="14">
        <f t="shared" si="58"/>
        <v>1.6896382074120853E-2</v>
      </c>
      <c r="N264" s="14">
        <f t="shared" si="54"/>
        <v>0.17463829787234042</v>
      </c>
      <c r="O264" s="12"/>
      <c r="P264" s="12"/>
      <c r="Q264" s="12"/>
      <c r="R264" s="23">
        <f t="shared" si="59"/>
        <v>113828</v>
      </c>
      <c r="S264" s="25">
        <f>(((H264+R264)/(H263+R263))-1)+detalle!$D$1</f>
        <v>7.9019743176982599E-2</v>
      </c>
      <c r="T264" s="25">
        <f t="shared" si="63"/>
        <v>1.1062764044777564</v>
      </c>
      <c r="U264" s="10">
        <f t="shared" si="60"/>
        <v>0.81894950177334913</v>
      </c>
      <c r="V264" s="21">
        <f t="shared" si="53"/>
        <v>48.468926553672318</v>
      </c>
      <c r="W264" s="15">
        <f>J264/detalle!$D$2</f>
        <v>60675.5026837689</v>
      </c>
      <c r="X264" s="15">
        <f>E264/detalle!$D$2</f>
        <v>12424.867837006625</v>
      </c>
      <c r="Y264" s="22">
        <f>F264/detalle!$D$2</f>
        <v>209.93531419451944</v>
      </c>
      <c r="AA264" s="14">
        <f>E264/(detalle!$D$2*1000000)</f>
        <v>1.2424867837006623E-2</v>
      </c>
      <c r="AB264" s="14">
        <f>F264/(detalle!$D$2*1000000)</f>
        <v>2.0993531419451943E-4</v>
      </c>
      <c r="AC264" s="31">
        <f>201/532</f>
        <v>0.37781954887218044</v>
      </c>
      <c r="AD264" s="31">
        <f>677/3217</f>
        <v>0.21044451352191482</v>
      </c>
      <c r="AE264" s="31">
        <f>102/427</f>
        <v>0.2388758782201405</v>
      </c>
      <c r="AF264" s="22">
        <f t="shared" si="64"/>
        <v>8</v>
      </c>
      <c r="AG264" s="12">
        <v>0</v>
      </c>
      <c r="AH264" s="12">
        <v>0</v>
      </c>
      <c r="AI264" s="20">
        <v>0</v>
      </c>
      <c r="AJ264" s="23">
        <f t="shared" si="65"/>
        <v>0</v>
      </c>
      <c r="AK264" s="23">
        <v>0</v>
      </c>
      <c r="AL264" s="28">
        <f>AK264/detalle!$D$2</f>
        <v>0</v>
      </c>
    </row>
    <row r="265" spans="1:38">
      <c r="A265" s="12">
        <v>264</v>
      </c>
      <c r="B265" s="19">
        <v>44154</v>
      </c>
      <c r="C265" s="12">
        <v>246</v>
      </c>
      <c r="D265" s="23">
        <f t="shared" si="61"/>
        <v>601</v>
      </c>
      <c r="E265" s="12">
        <v>136784</v>
      </c>
      <c r="F265" s="12">
        <v>2306</v>
      </c>
      <c r="G265" s="12">
        <v>111681</v>
      </c>
      <c r="H265" s="23">
        <f t="shared" si="57"/>
        <v>22797</v>
      </c>
      <c r="I265" s="23">
        <f t="shared" si="55"/>
        <v>5139</v>
      </c>
      <c r="J265" s="12">
        <v>670174</v>
      </c>
      <c r="K265" s="23">
        <f t="shared" si="56"/>
        <v>533390</v>
      </c>
      <c r="L265" s="9">
        <f t="shared" si="62"/>
        <v>154</v>
      </c>
      <c r="M265" s="14">
        <f t="shared" si="58"/>
        <v>1.6858696923616797E-2</v>
      </c>
      <c r="N265" s="14">
        <f t="shared" si="54"/>
        <v>0.11694882272815722</v>
      </c>
      <c r="O265" s="12"/>
      <c r="P265" s="12"/>
      <c r="Q265" s="12"/>
      <c r="R265" s="23">
        <f t="shared" si="59"/>
        <v>113987</v>
      </c>
      <c r="S265" s="25">
        <f>(((H265+R265)/(H264+R264))-1)+detalle!$D$1</f>
        <v>7.5841750753450371E-2</v>
      </c>
      <c r="T265" s="25">
        <f t="shared" si="63"/>
        <v>1.0617845105483052</v>
      </c>
      <c r="U265" s="10">
        <f t="shared" si="60"/>
        <v>0.81647707334191133</v>
      </c>
      <c r="V265" s="21">
        <f t="shared" si="53"/>
        <v>48.43061578490893</v>
      </c>
      <c r="W265" s="15">
        <f>J265/detalle!$D$2</f>
        <v>61144.367342458878</v>
      </c>
      <c r="X265" s="15">
        <f>E265/detalle!$D$2</f>
        <v>12479.701006859255</v>
      </c>
      <c r="Y265" s="22">
        <f>F265/detalle!$D$2</f>
        <v>210.39149697199559</v>
      </c>
      <c r="AA265" s="14">
        <f>E265/(detalle!$D$2*1000000)</f>
        <v>1.2479701006859256E-2</v>
      </c>
      <c r="AB265" s="14">
        <f>F265/(detalle!$D$2*1000000)</f>
        <v>2.1039149697199558E-4</v>
      </c>
      <c r="AC265" s="31">
        <f>190/515</f>
        <v>0.36893203883495146</v>
      </c>
      <c r="AD265" s="31">
        <f>652/2962</f>
        <v>0.22012153950033761</v>
      </c>
      <c r="AE265" s="31">
        <f>95/423</f>
        <v>0.22458628841607564</v>
      </c>
      <c r="AF265" s="22">
        <f t="shared" si="64"/>
        <v>5</v>
      </c>
      <c r="AG265" s="12">
        <v>0</v>
      </c>
      <c r="AH265" s="12">
        <v>0</v>
      </c>
      <c r="AI265" s="20">
        <v>0</v>
      </c>
      <c r="AJ265" s="23">
        <f t="shared" si="65"/>
        <v>0</v>
      </c>
      <c r="AK265" s="23">
        <v>0</v>
      </c>
      <c r="AL265" s="28">
        <f>AK265/detalle!$D$2</f>
        <v>0</v>
      </c>
    </row>
    <row r="266" spans="1:38">
      <c r="A266" s="12">
        <v>265</v>
      </c>
      <c r="B266" s="19">
        <v>44155</v>
      </c>
      <c r="C266" s="12">
        <v>247</v>
      </c>
      <c r="D266" s="23">
        <f t="shared" si="61"/>
        <v>986</v>
      </c>
      <c r="E266" s="12">
        <v>137770</v>
      </c>
      <c r="F266" s="12">
        <v>2308</v>
      </c>
      <c r="G266" s="12">
        <v>112090</v>
      </c>
      <c r="H266" s="23">
        <f t="shared" si="57"/>
        <v>23372</v>
      </c>
      <c r="I266" s="23">
        <f t="shared" si="55"/>
        <v>6404</v>
      </c>
      <c r="J266" s="12">
        <v>676578</v>
      </c>
      <c r="K266" s="23">
        <f t="shared" si="56"/>
        <v>538808</v>
      </c>
      <c r="L266" s="9">
        <f t="shared" si="62"/>
        <v>409</v>
      </c>
      <c r="M266" s="14">
        <f t="shared" si="58"/>
        <v>1.6752558612179721E-2</v>
      </c>
      <c r="N266" s="14">
        <f t="shared" si="54"/>
        <v>0.15396627108057465</v>
      </c>
      <c r="O266" s="12"/>
      <c r="P266" s="12"/>
      <c r="Q266" s="12"/>
      <c r="R266" s="23">
        <f t="shared" si="59"/>
        <v>114398</v>
      </c>
      <c r="S266" s="25">
        <f>(((H266+R266)/(H265+R265))-1)+detalle!$D$1</f>
        <v>7.8637016860785752E-2</v>
      </c>
      <c r="T266" s="25">
        <f t="shared" si="63"/>
        <v>1.1009182360510006</v>
      </c>
      <c r="U266" s="10">
        <f t="shared" si="60"/>
        <v>0.81360238077956015</v>
      </c>
      <c r="V266" s="21">
        <f t="shared" si="53"/>
        <v>48.565857885615252</v>
      </c>
      <c r="W266" s="15">
        <f>J266/detalle!$D$2</f>
        <v>61728.646243850315</v>
      </c>
      <c r="X266" s="15">
        <f>E266/detalle!$D$2</f>
        <v>12569.66025057755</v>
      </c>
      <c r="Y266" s="22">
        <f>F266/detalle!$D$2</f>
        <v>210.57397008298605</v>
      </c>
      <c r="AA266" s="14">
        <f>E266/(detalle!$D$2*1000000)</f>
        <v>1.256966025057755E-2</v>
      </c>
      <c r="AB266" s="14">
        <f>F266/(detalle!$D$2*1000000)</f>
        <v>2.1057397008298603E-4</v>
      </c>
      <c r="AC266" s="31">
        <f>185/500</f>
        <v>0.37</v>
      </c>
      <c r="AD266" s="31">
        <f>687/2881</f>
        <v>0.2384588684484554</v>
      </c>
      <c r="AE266" s="31">
        <f>97/412</f>
        <v>0.2354368932038835</v>
      </c>
      <c r="AF266" s="22">
        <f t="shared" si="64"/>
        <v>2</v>
      </c>
      <c r="AG266" s="12">
        <v>0</v>
      </c>
      <c r="AH266" s="12">
        <v>0</v>
      </c>
      <c r="AI266" s="20">
        <v>0</v>
      </c>
      <c r="AJ266" s="23">
        <f t="shared" si="65"/>
        <v>0</v>
      </c>
      <c r="AK266" s="23">
        <v>0</v>
      </c>
      <c r="AL266" s="28">
        <f>AK266/detalle!$D$2</f>
        <v>0</v>
      </c>
    </row>
    <row r="267" spans="1:38">
      <c r="A267" s="12">
        <v>266</v>
      </c>
      <c r="B267" s="19">
        <v>44156</v>
      </c>
      <c r="C267" s="12">
        <v>248</v>
      </c>
      <c r="D267" s="23">
        <f t="shared" si="61"/>
        <v>640</v>
      </c>
      <c r="E267" s="12">
        <v>138410</v>
      </c>
      <c r="F267" s="12">
        <v>2310</v>
      </c>
      <c r="G267" s="12">
        <v>112552</v>
      </c>
      <c r="H267" s="23">
        <f t="shared" si="57"/>
        <v>23548</v>
      </c>
      <c r="I267" s="23">
        <f t="shared" si="55"/>
        <v>5615</v>
      </c>
      <c r="J267" s="12">
        <v>682193</v>
      </c>
      <c r="K267" s="23">
        <f t="shared" si="56"/>
        <v>543783</v>
      </c>
      <c r="L267" s="9">
        <f t="shared" si="62"/>
        <v>462</v>
      </c>
      <c r="M267" s="14">
        <f t="shared" si="58"/>
        <v>1.6689545553066974E-2</v>
      </c>
      <c r="N267" s="14">
        <f t="shared" si="54"/>
        <v>0.11398040961709706</v>
      </c>
      <c r="O267" s="12"/>
      <c r="P267" s="12"/>
      <c r="Q267" s="12"/>
      <c r="R267" s="23">
        <f t="shared" si="59"/>
        <v>114862</v>
      </c>
      <c r="S267" s="25">
        <f>(((H267+R267)/(H266+R266))-1)+detalle!$D$1</f>
        <v>7.6073994960544927E-2</v>
      </c>
      <c r="T267" s="25">
        <f t="shared" si="63"/>
        <v>1.065035929447629</v>
      </c>
      <c r="U267" s="10">
        <f t="shared" si="60"/>
        <v>0.81317823856657756</v>
      </c>
      <c r="V267" s="21">
        <f t="shared" si="53"/>
        <v>48.723809523809521</v>
      </c>
      <c r="W267" s="15">
        <f>J267/detalle!$D$2</f>
        <v>62240.939502956018</v>
      </c>
      <c r="X267" s="15">
        <f>E267/detalle!$D$2</f>
        <v>12628.051646094496</v>
      </c>
      <c r="Y267" s="22">
        <f>F267/detalle!$D$2</f>
        <v>210.75644319397651</v>
      </c>
      <c r="AA267" s="14">
        <f>E267/(detalle!$D$2*1000000)</f>
        <v>1.2628051646094497E-2</v>
      </c>
      <c r="AB267" s="14">
        <f>F267/(detalle!$D$2*1000000)</f>
        <v>2.1075644319397649E-4</v>
      </c>
      <c r="AC267" s="31">
        <f>185/500</f>
        <v>0.37</v>
      </c>
      <c r="AD267" s="31">
        <f>687/2881</f>
        <v>0.2384588684484554</v>
      </c>
      <c r="AE267" s="31">
        <f>97/412</f>
        <v>0.2354368932038835</v>
      </c>
      <c r="AF267" s="22">
        <f t="shared" si="64"/>
        <v>2</v>
      </c>
      <c r="AG267" s="12">
        <v>0</v>
      </c>
      <c r="AH267" s="12">
        <v>0</v>
      </c>
      <c r="AI267" s="20">
        <v>0</v>
      </c>
      <c r="AJ267" s="23">
        <f t="shared" si="65"/>
        <v>0</v>
      </c>
      <c r="AK267" s="23">
        <v>0</v>
      </c>
      <c r="AL267" s="28">
        <f>AK267/detalle!$D$2</f>
        <v>0</v>
      </c>
    </row>
    <row r="268" spans="1:38">
      <c r="A268" s="12">
        <v>267</v>
      </c>
      <c r="B268" s="19">
        <v>44157</v>
      </c>
      <c r="C268" s="12">
        <v>249</v>
      </c>
      <c r="D268" s="23">
        <f t="shared" si="61"/>
        <v>419</v>
      </c>
      <c r="E268" s="12">
        <v>138829</v>
      </c>
      <c r="F268" s="12">
        <v>2311</v>
      </c>
      <c r="G268" s="12">
        <v>112882</v>
      </c>
      <c r="H268" s="23">
        <f t="shared" si="57"/>
        <v>23636</v>
      </c>
      <c r="I268" s="23">
        <f t="shared" si="55"/>
        <v>3514</v>
      </c>
      <c r="J268" s="12">
        <v>685707</v>
      </c>
      <c r="K268" s="23">
        <f t="shared" si="56"/>
        <v>546878</v>
      </c>
      <c r="L268" s="9">
        <f t="shared" si="62"/>
        <v>330</v>
      </c>
      <c r="M268" s="14">
        <f t="shared" si="58"/>
        <v>1.664637791815831E-2</v>
      </c>
      <c r="N268" s="14">
        <f t="shared" si="54"/>
        <v>0.11923733636881047</v>
      </c>
      <c r="O268" s="12"/>
      <c r="P268" s="12"/>
      <c r="Q268" s="12"/>
      <c r="R268" s="23">
        <f t="shared" si="59"/>
        <v>115193</v>
      </c>
      <c r="S268" s="25">
        <f>(((H268+R268)/(H267+R267))-1)+detalle!$D$1</f>
        <v>7.4455809344907059E-2</v>
      </c>
      <c r="T268" s="25">
        <f t="shared" si="63"/>
        <v>1.0423813308286989</v>
      </c>
      <c r="U268" s="10">
        <f t="shared" si="60"/>
        <v>0.81310100915514771</v>
      </c>
      <c r="V268" s="21">
        <f t="shared" si="53"/>
        <v>48.845521419299004</v>
      </c>
      <c r="W268" s="15">
        <f>J268/detalle!$D$2</f>
        <v>62561.544758966251</v>
      </c>
      <c r="X268" s="15">
        <f>E268/detalle!$D$2</f>
        <v>12666.279762846996</v>
      </c>
      <c r="Y268" s="22">
        <f>F268/detalle!$D$2</f>
        <v>210.84767974947172</v>
      </c>
      <c r="AA268" s="14">
        <f>E268/(detalle!$D$2*1000000)</f>
        <v>1.2666279762846996E-2</v>
      </c>
      <c r="AB268" s="14">
        <f>F268/(detalle!$D$2*1000000)</f>
        <v>2.1084767974947173E-4</v>
      </c>
      <c r="AC268" s="31">
        <f>173/493</f>
        <v>0.35091277890466532</v>
      </c>
      <c r="AD268" s="31">
        <f>711/2893</f>
        <v>0.24576564120290356</v>
      </c>
      <c r="AE268" s="31">
        <f>92/411</f>
        <v>0.22384428223844283</v>
      </c>
      <c r="AF268" s="22">
        <f t="shared" si="64"/>
        <v>1</v>
      </c>
      <c r="AG268" s="12">
        <v>0</v>
      </c>
      <c r="AH268" s="12">
        <v>0</v>
      </c>
      <c r="AI268" s="20">
        <v>0</v>
      </c>
      <c r="AJ268" s="23">
        <f t="shared" si="65"/>
        <v>0</v>
      </c>
      <c r="AK268" s="23">
        <v>0</v>
      </c>
      <c r="AL268" s="28">
        <f>AK268/detalle!$D$2</f>
        <v>0</v>
      </c>
    </row>
    <row r="269" spans="1:38">
      <c r="A269" s="12">
        <v>268</v>
      </c>
      <c r="B269" s="19">
        <v>44158</v>
      </c>
      <c r="C269" s="12">
        <v>250</v>
      </c>
      <c r="D269" s="23">
        <f t="shared" si="61"/>
        <v>282</v>
      </c>
      <c r="E269" s="12">
        <v>139111</v>
      </c>
      <c r="F269" s="12">
        <v>2313</v>
      </c>
      <c r="G269" s="12">
        <v>113134</v>
      </c>
      <c r="H269" s="23">
        <f t="shared" si="57"/>
        <v>23664</v>
      </c>
      <c r="I269" s="23">
        <f t="shared" si="55"/>
        <v>1585</v>
      </c>
      <c r="J269" s="12">
        <v>687292</v>
      </c>
      <c r="K269" s="23">
        <f t="shared" si="56"/>
        <v>548181</v>
      </c>
      <c r="L269" s="9">
        <f t="shared" si="62"/>
        <v>252</v>
      </c>
      <c r="M269" s="14">
        <f t="shared" si="58"/>
        <v>1.6627010085471315E-2</v>
      </c>
      <c r="N269" s="14">
        <f t="shared" si="54"/>
        <v>0.17791798107255521</v>
      </c>
      <c r="O269" s="12"/>
      <c r="P269" s="12"/>
      <c r="Q269" s="12"/>
      <c r="R269" s="23">
        <f t="shared" si="59"/>
        <v>115447</v>
      </c>
      <c r="S269" s="25">
        <f>(((H269+R269)/(H268+R268))-1)+detalle!$D$1</f>
        <v>7.3459847314733456E-2</v>
      </c>
      <c r="T269" s="25">
        <f t="shared" si="63"/>
        <v>1.0284378624062684</v>
      </c>
      <c r="U269" s="10">
        <f t="shared" si="60"/>
        <v>0.81326422784682739</v>
      </c>
      <c r="V269" s="21">
        <f t="shared" si="53"/>
        <v>48.912235192390831</v>
      </c>
      <c r="W269" s="15">
        <f>J269/detalle!$D$2</f>
        <v>62706.154699426188</v>
      </c>
      <c r="X269" s="15">
        <f>E269/detalle!$D$2</f>
        <v>12692.008471496651</v>
      </c>
      <c r="Y269" s="22">
        <f>F269/detalle!$D$2</f>
        <v>211.03015286046218</v>
      </c>
      <c r="AA269" s="14">
        <f>E269/(detalle!$D$2*1000000)</f>
        <v>1.269200847149665E-2</v>
      </c>
      <c r="AB269" s="14">
        <f>F269/(detalle!$D$2*1000000)</f>
        <v>2.1103015286046218E-4</v>
      </c>
      <c r="AC269" s="31">
        <f>172/492</f>
        <v>0.34959349593495936</v>
      </c>
      <c r="AD269" s="31">
        <f>693/2889</f>
        <v>0.23987538940809969</v>
      </c>
      <c r="AE269" s="31">
        <f>93/411</f>
        <v>0.22627737226277372</v>
      </c>
      <c r="AF269" s="22">
        <f t="shared" si="64"/>
        <v>2</v>
      </c>
      <c r="AG269" s="12">
        <v>0</v>
      </c>
      <c r="AH269" s="12">
        <v>0</v>
      </c>
      <c r="AI269" s="20">
        <v>0</v>
      </c>
      <c r="AJ269" s="23">
        <f t="shared" si="65"/>
        <v>0</v>
      </c>
      <c r="AK269" s="23">
        <v>0</v>
      </c>
      <c r="AL269" s="28">
        <f>AK269/detalle!$D$2</f>
        <v>0</v>
      </c>
    </row>
    <row r="270" spans="1:38">
      <c r="A270" s="12">
        <v>269</v>
      </c>
      <c r="B270" s="19">
        <v>44159</v>
      </c>
      <c r="C270" s="12">
        <v>251</v>
      </c>
      <c r="D270" s="23">
        <f t="shared" si="61"/>
        <v>285</v>
      </c>
      <c r="E270" s="12">
        <v>139396</v>
      </c>
      <c r="F270" s="12">
        <v>2315</v>
      </c>
      <c r="G270" s="12">
        <v>113263</v>
      </c>
      <c r="H270" s="23">
        <f t="shared" si="57"/>
        <v>23818</v>
      </c>
      <c r="I270" s="23">
        <f t="shared" si="55"/>
        <v>3436</v>
      </c>
      <c r="J270" s="12">
        <v>690728</v>
      </c>
      <c r="K270" s="23">
        <f t="shared" si="56"/>
        <v>551332</v>
      </c>
      <c r="L270" s="9">
        <f t="shared" si="62"/>
        <v>129</v>
      </c>
      <c r="M270" s="14">
        <f t="shared" si="58"/>
        <v>1.6607363195500588E-2</v>
      </c>
      <c r="N270" s="14">
        <f t="shared" si="54"/>
        <v>8.2945285215366704E-2</v>
      </c>
      <c r="O270" s="12"/>
      <c r="P270" s="12"/>
      <c r="Q270" s="12"/>
      <c r="R270" s="23">
        <f t="shared" si="59"/>
        <v>115578</v>
      </c>
      <c r="S270" s="25">
        <f>(((H270+R270)/(H269+R269))-1)+detalle!$D$1</f>
        <v>7.3477295109660529E-2</v>
      </c>
      <c r="T270" s="25">
        <f t="shared" si="63"/>
        <v>1.0286821315352475</v>
      </c>
      <c r="U270" s="10">
        <f t="shared" si="60"/>
        <v>0.81252690177623466</v>
      </c>
      <c r="V270" s="21">
        <f t="shared" si="53"/>
        <v>48.925701943844494</v>
      </c>
      <c r="W270" s="15">
        <f>J270/detalle!$D$2</f>
        <v>63019.643504107793</v>
      </c>
      <c r="X270" s="15">
        <f>E270/detalle!$D$2</f>
        <v>12718.010889812791</v>
      </c>
      <c r="Y270" s="22">
        <f>F270/detalle!$D$2</f>
        <v>211.21262597145264</v>
      </c>
      <c r="AA270" s="14">
        <f>E270/(detalle!$D$2*1000000)</f>
        <v>1.2718010889812791E-2</v>
      </c>
      <c r="AB270" s="14">
        <f>F270/(detalle!$D$2*1000000)</f>
        <v>2.1121262597145263E-4</v>
      </c>
      <c r="AC270" s="31">
        <f>168/498</f>
        <v>0.33734939759036142</v>
      </c>
      <c r="AD270" s="31">
        <f>679/2879</f>
        <v>0.23584577978464744</v>
      </c>
      <c r="AE270" s="31">
        <f>91/412</f>
        <v>0.220873786407767</v>
      </c>
      <c r="AF270" s="22">
        <f t="shared" si="64"/>
        <v>2</v>
      </c>
      <c r="AG270" s="12">
        <v>0</v>
      </c>
      <c r="AH270" s="12">
        <v>0</v>
      </c>
      <c r="AI270" s="20">
        <v>0</v>
      </c>
      <c r="AJ270" s="23">
        <f t="shared" si="65"/>
        <v>0</v>
      </c>
      <c r="AK270" s="23">
        <v>0</v>
      </c>
      <c r="AL270" s="28">
        <f>AK270/detalle!$D$2</f>
        <v>0</v>
      </c>
    </row>
    <row r="271" spans="1:38">
      <c r="A271" s="12">
        <v>270</v>
      </c>
      <c r="B271" s="19">
        <v>44160</v>
      </c>
      <c r="C271" s="12">
        <v>252</v>
      </c>
      <c r="D271" s="23">
        <f t="shared" si="61"/>
        <v>1526</v>
      </c>
      <c r="E271" s="12">
        <v>140922</v>
      </c>
      <c r="F271" s="12">
        <v>2317</v>
      </c>
      <c r="G271" s="12">
        <v>113687</v>
      </c>
      <c r="H271" s="23">
        <f t="shared" si="57"/>
        <v>24918</v>
      </c>
      <c r="I271" s="23">
        <f t="shared" si="55"/>
        <v>8262</v>
      </c>
      <c r="J271" s="12">
        <v>698990</v>
      </c>
      <c r="K271" s="23">
        <f t="shared" si="56"/>
        <v>558068</v>
      </c>
      <c r="L271" s="9">
        <f t="shared" si="62"/>
        <v>424</v>
      </c>
      <c r="M271" s="14">
        <f t="shared" si="58"/>
        <v>1.644171953279119E-2</v>
      </c>
      <c r="N271" s="14">
        <f t="shared" si="54"/>
        <v>0.18470104091019124</v>
      </c>
      <c r="O271" s="12"/>
      <c r="P271" s="12"/>
      <c r="Q271" s="12"/>
      <c r="R271" s="23">
        <f t="shared" si="59"/>
        <v>116004</v>
      </c>
      <c r="S271" s="25">
        <f>(((H271+R271)/(H270+R270))-1)+detalle!$D$1</f>
        <v>8.2375800904309654E-2</v>
      </c>
      <c r="T271" s="25">
        <f t="shared" si="63"/>
        <v>1.1532612126603352</v>
      </c>
      <c r="U271" s="10">
        <f t="shared" si="60"/>
        <v>0.80673706021770908</v>
      </c>
      <c r="V271" s="21">
        <f t="shared" si="53"/>
        <v>49.066465256797585</v>
      </c>
      <c r="W271" s="15">
        <f>J271/detalle!$D$2</f>
        <v>63773.439925609367</v>
      </c>
      <c r="X271" s="15">
        <f>E271/detalle!$D$2</f>
        <v>12857.237873498509</v>
      </c>
      <c r="Y271" s="22">
        <f>F271/detalle!$D$2</f>
        <v>211.3950990824431</v>
      </c>
      <c r="AA271" s="14">
        <f>E271/(detalle!$D$2*1000000)</f>
        <v>1.2857237873498508E-2</v>
      </c>
      <c r="AB271" s="14">
        <f>F271/(detalle!$D$2*1000000)</f>
        <v>2.1139509908244309E-4</v>
      </c>
      <c r="AC271" s="31">
        <f>181/502</f>
        <v>0.3605577689243028</v>
      </c>
      <c r="AD271" s="31">
        <f>685/2865</f>
        <v>0.23909249563699825</v>
      </c>
      <c r="AE271" s="31">
        <f>91/411</f>
        <v>0.22141119221411193</v>
      </c>
      <c r="AF271" s="22">
        <f t="shared" si="64"/>
        <v>2</v>
      </c>
      <c r="AG271" s="12">
        <v>0</v>
      </c>
      <c r="AH271" s="12">
        <v>0</v>
      </c>
      <c r="AI271" s="20">
        <v>0</v>
      </c>
      <c r="AJ271" s="23">
        <f t="shared" si="65"/>
        <v>0</v>
      </c>
      <c r="AK271" s="23">
        <v>0</v>
      </c>
      <c r="AL271" s="28">
        <f>AK271/detalle!$D$2</f>
        <v>0</v>
      </c>
    </row>
    <row r="272" spans="1:38">
      <c r="A272" s="12">
        <v>271</v>
      </c>
      <c r="B272" s="19">
        <v>44161</v>
      </c>
      <c r="C272" s="12">
        <v>253</v>
      </c>
      <c r="D272" s="23">
        <f t="shared" si="61"/>
        <v>855</v>
      </c>
      <c r="E272" s="12">
        <v>141777</v>
      </c>
      <c r="F272" s="12">
        <v>2324</v>
      </c>
      <c r="G272" s="12">
        <v>113817</v>
      </c>
      <c r="H272" s="23">
        <f t="shared" si="57"/>
        <v>25636</v>
      </c>
      <c r="I272" s="23">
        <f t="shared" si="55"/>
        <v>5590</v>
      </c>
      <c r="J272" s="12">
        <v>704580</v>
      </c>
      <c r="K272" s="23">
        <f t="shared" si="56"/>
        <v>562803</v>
      </c>
      <c r="L272" s="9">
        <f t="shared" si="62"/>
        <v>130</v>
      </c>
      <c r="M272" s="14">
        <f t="shared" si="58"/>
        <v>1.6391939454213307E-2</v>
      </c>
      <c r="N272" s="14">
        <f t="shared" si="54"/>
        <v>0.15295169946332737</v>
      </c>
      <c r="O272" s="12"/>
      <c r="P272" s="12"/>
      <c r="Q272" s="12"/>
      <c r="R272" s="23">
        <f t="shared" si="59"/>
        <v>116141</v>
      </c>
      <c r="S272" s="25">
        <f>(((H272+R272)/(H271+R271))-1)+detalle!$D$1</f>
        <v>7.7495757531522075E-2</v>
      </c>
      <c r="T272" s="25">
        <f t="shared" si="63"/>
        <v>1.0849406054413091</v>
      </c>
      <c r="U272" s="10">
        <f t="shared" si="60"/>
        <v>0.80278888677288984</v>
      </c>
      <c r="V272" s="21">
        <f t="shared" si="53"/>
        <v>48.97461273666093</v>
      </c>
      <c r="W272" s="15">
        <f>J272/detalle!$D$2</f>
        <v>64283.452270827685</v>
      </c>
      <c r="X272" s="15">
        <f>E272/detalle!$D$2</f>
        <v>12935.245128446928</v>
      </c>
      <c r="Y272" s="22">
        <f>F272/detalle!$D$2</f>
        <v>212.03375497090968</v>
      </c>
      <c r="AA272" s="14">
        <f>E272/(detalle!$D$2*1000000)</f>
        <v>1.2935245128446928E-2</v>
      </c>
      <c r="AB272" s="14">
        <f>F272/(detalle!$D$2*1000000)</f>
        <v>2.1203375497090969E-4</v>
      </c>
      <c r="AC272" s="31">
        <f>190/501</f>
        <v>0.37924151696606784</v>
      </c>
      <c r="AD272" s="31">
        <f>707/2882</f>
        <v>0.24531575294934074</v>
      </c>
      <c r="AE272" s="31">
        <f>95/411</f>
        <v>0.23114355231143552</v>
      </c>
      <c r="AF272" s="22">
        <f t="shared" si="64"/>
        <v>7</v>
      </c>
      <c r="AG272" s="12">
        <v>0</v>
      </c>
      <c r="AH272" s="12">
        <v>0</v>
      </c>
      <c r="AI272" s="20">
        <v>0</v>
      </c>
      <c r="AJ272" s="23">
        <f t="shared" si="65"/>
        <v>0</v>
      </c>
      <c r="AK272" s="23">
        <v>0</v>
      </c>
      <c r="AL272" s="28">
        <f>AK272/detalle!$D$2</f>
        <v>0</v>
      </c>
    </row>
    <row r="273" spans="1:38">
      <c r="A273" s="12">
        <v>272</v>
      </c>
      <c r="B273" s="19">
        <v>44162</v>
      </c>
      <c r="C273" s="12">
        <v>254</v>
      </c>
      <c r="D273" s="23">
        <f t="shared" si="61"/>
        <v>876</v>
      </c>
      <c r="E273" s="12">
        <v>142653</v>
      </c>
      <c r="F273" s="12">
        <v>2328</v>
      </c>
      <c r="G273" s="12">
        <v>114317</v>
      </c>
      <c r="H273" s="23">
        <f t="shared" si="57"/>
        <v>26008</v>
      </c>
      <c r="I273" s="23">
        <f t="shared" si="55"/>
        <v>6469</v>
      </c>
      <c r="J273" s="12">
        <v>711049</v>
      </c>
      <c r="K273" s="23">
        <f t="shared" si="56"/>
        <v>568396</v>
      </c>
      <c r="L273" s="9">
        <f t="shared" si="62"/>
        <v>500</v>
      </c>
      <c r="M273" s="14">
        <f t="shared" si="58"/>
        <v>1.6319320308721161E-2</v>
      </c>
      <c r="N273" s="14">
        <f t="shared" si="54"/>
        <v>0.13541505642294019</v>
      </c>
      <c r="O273" s="12"/>
      <c r="P273" s="12"/>
      <c r="Q273" s="12"/>
      <c r="R273" s="23">
        <f t="shared" si="59"/>
        <v>116645</v>
      </c>
      <c r="S273" s="25">
        <f>(((H273+R273)/(H272+R272))-1)+detalle!$D$1</f>
        <v>7.7607288709935746E-2</v>
      </c>
      <c r="T273" s="25">
        <f t="shared" si="63"/>
        <v>1.0865020419391005</v>
      </c>
      <c r="U273" s="10">
        <f t="shared" si="60"/>
        <v>0.801364149369449</v>
      </c>
      <c r="V273" s="21">
        <f t="shared" ref="V273:V336" si="66">G273/F273</f>
        <v>49.105240549828181</v>
      </c>
      <c r="W273" s="15">
        <f>J273/detalle!$D$2</f>
        <v>64873.661548326316</v>
      </c>
      <c r="X273" s="15">
        <f>E273/detalle!$D$2</f>
        <v>13015.168351060749</v>
      </c>
      <c r="Y273" s="22">
        <f>F273/detalle!$D$2</f>
        <v>212.3987011928906</v>
      </c>
      <c r="AA273" s="14">
        <f>E273/(detalle!$D$2*1000000)</f>
        <v>1.3015168351060749E-2</v>
      </c>
      <c r="AB273" s="14">
        <f>F273/(detalle!$D$2*1000000)</f>
        <v>2.123987011928906E-4</v>
      </c>
      <c r="AC273" s="31">
        <f>191/506</f>
        <v>0.37747035573122528</v>
      </c>
      <c r="AD273" s="31">
        <f>709/2882</f>
        <v>0.24600971547536432</v>
      </c>
      <c r="AE273" s="31">
        <f>99/411</f>
        <v>0.24087591240875914</v>
      </c>
      <c r="AF273" s="22">
        <f t="shared" si="64"/>
        <v>4</v>
      </c>
      <c r="AG273" s="12">
        <v>0</v>
      </c>
      <c r="AH273" s="12">
        <v>0</v>
      </c>
      <c r="AI273" s="20">
        <v>0</v>
      </c>
      <c r="AJ273" s="23">
        <f t="shared" si="65"/>
        <v>0</v>
      </c>
      <c r="AK273" s="23">
        <v>0</v>
      </c>
      <c r="AL273" s="28">
        <f>AK273/detalle!$D$2</f>
        <v>0</v>
      </c>
    </row>
    <row r="274" spans="1:38">
      <c r="A274" s="12">
        <v>273</v>
      </c>
      <c r="B274" s="19">
        <v>44163</v>
      </c>
      <c r="C274" s="12">
        <v>255</v>
      </c>
      <c r="D274" s="23">
        <f t="shared" si="61"/>
        <v>820</v>
      </c>
      <c r="E274" s="12">
        <v>143473</v>
      </c>
      <c r="F274" s="12">
        <v>2330</v>
      </c>
      <c r="G274" s="12">
        <v>114818</v>
      </c>
      <c r="H274" s="23">
        <f t="shared" si="57"/>
        <v>26325</v>
      </c>
      <c r="I274" s="23">
        <f t="shared" si="55"/>
        <v>4813</v>
      </c>
      <c r="J274" s="12">
        <v>715862</v>
      </c>
      <c r="K274" s="23">
        <f t="shared" si="56"/>
        <v>572389</v>
      </c>
      <c r="L274" s="9">
        <f t="shared" si="62"/>
        <v>501</v>
      </c>
      <c r="M274" s="14">
        <f t="shared" si="58"/>
        <v>1.6239989405672148E-2</v>
      </c>
      <c r="N274" s="14">
        <f t="shared" si="54"/>
        <v>0.17037190941200914</v>
      </c>
      <c r="O274" s="12"/>
      <c r="P274" s="12"/>
      <c r="Q274" s="12"/>
      <c r="R274" s="23">
        <f t="shared" si="59"/>
        <v>117148</v>
      </c>
      <c r="S274" s="25">
        <f>(((H274+R274)/(H273+R273))-1)+detalle!$D$1</f>
        <v>7.7176785626660555E-2</v>
      </c>
      <c r="T274" s="25">
        <f t="shared" si="63"/>
        <v>1.0804749987732478</v>
      </c>
      <c r="U274" s="10">
        <f t="shared" si="60"/>
        <v>0.80027601012037108</v>
      </c>
      <c r="V274" s="21">
        <f t="shared" si="66"/>
        <v>49.278111587982835</v>
      </c>
      <c r="W274" s="15">
        <f>J274/detalle!$D$2</f>
        <v>65312.783089924851</v>
      </c>
      <c r="X274" s="15">
        <f>E274/detalle!$D$2</f>
        <v>13089.982326566835</v>
      </c>
      <c r="Y274" s="22">
        <f>F274/detalle!$D$2</f>
        <v>212.58117430388106</v>
      </c>
      <c r="AA274" s="14">
        <f>E274/(detalle!$D$2*1000000)</f>
        <v>1.3089982326566834E-2</v>
      </c>
      <c r="AB274" s="14">
        <f>F274/(detalle!$D$2*1000000)</f>
        <v>2.1258117430388105E-4</v>
      </c>
      <c r="AC274" s="31">
        <f>191/500</f>
        <v>0.38200000000000001</v>
      </c>
      <c r="AD274" s="31">
        <f>749/2872</f>
        <v>0.26079387186629527</v>
      </c>
      <c r="AE274" s="31">
        <f>102/414</f>
        <v>0.24637681159420291</v>
      </c>
      <c r="AF274" s="22">
        <f t="shared" si="64"/>
        <v>2</v>
      </c>
      <c r="AG274" s="12">
        <v>0</v>
      </c>
      <c r="AH274" s="12">
        <v>0</v>
      </c>
      <c r="AI274" s="20">
        <v>0</v>
      </c>
      <c r="AJ274" s="23">
        <f t="shared" si="65"/>
        <v>0</v>
      </c>
      <c r="AK274" s="23">
        <v>0</v>
      </c>
      <c r="AL274" s="28">
        <f>AK274/detalle!$D$2</f>
        <v>0</v>
      </c>
    </row>
    <row r="275" spans="1:38">
      <c r="A275" s="12">
        <v>274</v>
      </c>
      <c r="B275" s="19">
        <v>44164</v>
      </c>
      <c r="C275" s="12">
        <v>256</v>
      </c>
      <c r="D275" s="23">
        <f t="shared" si="61"/>
        <v>515</v>
      </c>
      <c r="E275" s="12">
        <v>143988</v>
      </c>
      <c r="F275" s="12">
        <v>2331</v>
      </c>
      <c r="G275" s="12">
        <v>115219</v>
      </c>
      <c r="H275" s="23">
        <f t="shared" si="57"/>
        <v>26438</v>
      </c>
      <c r="I275" s="23">
        <f t="shared" si="55"/>
        <v>2873</v>
      </c>
      <c r="J275" s="12">
        <v>718735</v>
      </c>
      <c r="K275" s="23">
        <f t="shared" si="56"/>
        <v>574747</v>
      </c>
      <c r="L275" s="9">
        <f t="shared" si="62"/>
        <v>401</v>
      </c>
      <c r="M275" s="14">
        <f t="shared" si="58"/>
        <v>1.6188849070755896E-2</v>
      </c>
      <c r="N275" s="14">
        <f t="shared" si="54"/>
        <v>0.17925513400626522</v>
      </c>
      <c r="O275" s="12"/>
      <c r="P275" s="12"/>
      <c r="Q275" s="12"/>
      <c r="R275" s="23">
        <f t="shared" si="59"/>
        <v>117550</v>
      </c>
      <c r="S275" s="25">
        <f>(((H275+R275)/(H274+R274))-1)+detalle!$D$1</f>
        <v>7.5018096983902299E-2</v>
      </c>
      <c r="T275" s="25">
        <f t="shared" si="63"/>
        <v>1.0502533577746322</v>
      </c>
      <c r="U275" s="10">
        <f t="shared" si="60"/>
        <v>0.80019862766341643</v>
      </c>
      <c r="V275" s="21">
        <f t="shared" si="66"/>
        <v>49.429000429000432</v>
      </c>
      <c r="W275" s="15">
        <f>J275/detalle!$D$2</f>
        <v>65574.905713862638</v>
      </c>
      <c r="X275" s="15">
        <f>E275/detalle!$D$2</f>
        <v>13136.969152646878</v>
      </c>
      <c r="Y275" s="22">
        <f>F275/detalle!$D$2</f>
        <v>212.67241085937627</v>
      </c>
      <c r="AA275" s="14">
        <f>E275/(detalle!$D$2*1000000)</f>
        <v>1.3136969152646878E-2</v>
      </c>
      <c r="AB275" s="14">
        <f>F275/(detalle!$D$2*1000000)</f>
        <v>2.1267241085937626E-4</v>
      </c>
      <c r="AC275" s="31">
        <f>192/503</f>
        <v>0.38170974155069581</v>
      </c>
      <c r="AD275" s="31">
        <f>766/2876</f>
        <v>0.26634214186369959</v>
      </c>
      <c r="AE275" s="31">
        <f>102/414</f>
        <v>0.24637681159420291</v>
      </c>
      <c r="AF275" s="22">
        <f t="shared" si="64"/>
        <v>1</v>
      </c>
      <c r="AG275" s="12">
        <v>0</v>
      </c>
      <c r="AH275" s="12">
        <v>0</v>
      </c>
      <c r="AI275" s="20">
        <v>0</v>
      </c>
      <c r="AJ275" s="23">
        <f t="shared" si="65"/>
        <v>0</v>
      </c>
      <c r="AK275" s="23">
        <v>0</v>
      </c>
      <c r="AL275" s="28">
        <f>AK275/detalle!$D$2</f>
        <v>0</v>
      </c>
    </row>
    <row r="276" spans="1:38">
      <c r="A276" s="12">
        <v>275</v>
      </c>
      <c r="B276" s="19">
        <v>44165</v>
      </c>
      <c r="C276" s="12">
        <v>257</v>
      </c>
      <c r="D276" s="23">
        <f t="shared" si="61"/>
        <v>314</v>
      </c>
      <c r="E276" s="12">
        <v>144302</v>
      </c>
      <c r="F276" s="12">
        <v>2333</v>
      </c>
      <c r="G276" s="12">
        <v>115530</v>
      </c>
      <c r="H276" s="23">
        <f t="shared" si="57"/>
        <v>26439</v>
      </c>
      <c r="I276" s="23">
        <f t="shared" si="55"/>
        <v>2070</v>
      </c>
      <c r="J276" s="12">
        <v>720805</v>
      </c>
      <c r="K276" s="23">
        <f t="shared" si="56"/>
        <v>576503</v>
      </c>
      <c r="L276" s="9">
        <f t="shared" si="62"/>
        <v>311</v>
      </c>
      <c r="M276" s="14">
        <f t="shared" si="58"/>
        <v>1.6167482086180372E-2</v>
      </c>
      <c r="N276" s="14">
        <f t="shared" ref="N276:N339" si="67">D276/I276</f>
        <v>0.15169082125603864</v>
      </c>
      <c r="O276" s="12"/>
      <c r="P276" s="12"/>
      <c r="Q276" s="12"/>
      <c r="R276" s="23">
        <f t="shared" si="59"/>
        <v>117863</v>
      </c>
      <c r="S276" s="25">
        <f>(((H276+R276)/(H275+R275))-1)+detalle!$D$1</f>
        <v>7.3609308712234062E-2</v>
      </c>
      <c r="T276" s="25">
        <f t="shared" si="63"/>
        <v>1.0305303219712769</v>
      </c>
      <c r="U276" s="10">
        <f t="shared" si="60"/>
        <v>0.80061260412191104</v>
      </c>
      <c r="V276" s="21">
        <f t="shared" si="66"/>
        <v>49.519931418774114</v>
      </c>
      <c r="W276" s="15">
        <f>J276/detalle!$D$2</f>
        <v>65763.765383737758</v>
      </c>
      <c r="X276" s="15">
        <f>E276/detalle!$D$2</f>
        <v>13165.61743107238</v>
      </c>
      <c r="Y276" s="22">
        <f>F276/detalle!$D$2</f>
        <v>212.85488397036673</v>
      </c>
      <c r="AA276" s="14">
        <f>E276/(detalle!$D$2*1000000)</f>
        <v>1.3165617431072378E-2</v>
      </c>
      <c r="AB276" s="14">
        <f>F276/(detalle!$D$2*1000000)</f>
        <v>2.1285488397036672E-4</v>
      </c>
      <c r="AC276" s="31">
        <f>183/489</f>
        <v>0.37423312883435583</v>
      </c>
      <c r="AD276" s="31">
        <f>775/2867</f>
        <v>0.27031740495291245</v>
      </c>
      <c r="AE276" s="31">
        <f>96/407</f>
        <v>0.23587223587223588</v>
      </c>
      <c r="AF276" s="22">
        <f t="shared" si="64"/>
        <v>2</v>
      </c>
      <c r="AG276" s="12">
        <v>0</v>
      </c>
      <c r="AH276" s="12">
        <v>0</v>
      </c>
      <c r="AI276" s="20">
        <v>0</v>
      </c>
      <c r="AJ276" s="23">
        <f t="shared" si="65"/>
        <v>0</v>
      </c>
      <c r="AK276" s="23">
        <v>0</v>
      </c>
      <c r="AL276" s="28">
        <f>AK276/detalle!$D$2</f>
        <v>0</v>
      </c>
    </row>
    <row r="277" spans="1:38">
      <c r="A277" s="12">
        <v>276</v>
      </c>
      <c r="B277" s="19">
        <v>44166</v>
      </c>
      <c r="C277" s="12">
        <v>258</v>
      </c>
      <c r="D277" s="23">
        <f t="shared" si="61"/>
        <v>895</v>
      </c>
      <c r="E277" s="12">
        <v>145197</v>
      </c>
      <c r="F277" s="12">
        <v>2334</v>
      </c>
      <c r="G277" s="12">
        <v>115611</v>
      </c>
      <c r="H277" s="23">
        <f t="shared" si="57"/>
        <v>27252</v>
      </c>
      <c r="I277" s="23">
        <f t="shared" si="55"/>
        <v>6801</v>
      </c>
      <c r="J277" s="12">
        <v>727606</v>
      </c>
      <c r="K277" s="23">
        <f t="shared" si="56"/>
        <v>582409</v>
      </c>
      <c r="L277" s="9">
        <f t="shared" si="62"/>
        <v>81</v>
      </c>
      <c r="M277" s="14">
        <f t="shared" si="58"/>
        <v>1.6074712287443955E-2</v>
      </c>
      <c r="N277" s="14">
        <f t="shared" si="67"/>
        <v>0.13159829436847523</v>
      </c>
      <c r="O277" s="12"/>
      <c r="P277" s="12"/>
      <c r="Q277" s="12"/>
      <c r="R277" s="23">
        <f t="shared" si="59"/>
        <v>117945</v>
      </c>
      <c r="S277" s="25">
        <f>(((H277+R277)/(H276+R276))-1)+detalle!$D$1</f>
        <v>7.7630841667376133E-2</v>
      </c>
      <c r="T277" s="25">
        <f t="shared" si="63"/>
        <v>1.0868317833432659</v>
      </c>
      <c r="U277" s="10">
        <f t="shared" si="60"/>
        <v>0.79623545941031837</v>
      </c>
      <c r="V277" s="21">
        <f t="shared" si="66"/>
        <v>49.533419023136247</v>
      </c>
      <c r="W277" s="15">
        <f>J277/detalle!$D$2</f>
        <v>66384.265197660803</v>
      </c>
      <c r="X277" s="15">
        <f>E277/detalle!$D$2</f>
        <v>13247.274148240609</v>
      </c>
      <c r="Y277" s="22">
        <f>F277/detalle!$D$2</f>
        <v>212.94612052586197</v>
      </c>
      <c r="AA277" s="14">
        <f>E277/(detalle!$D$2*1000000)</f>
        <v>1.3247274148240607E-2</v>
      </c>
      <c r="AB277" s="14">
        <f>F277/(detalle!$D$2*1000000)</f>
        <v>2.1294612052586196E-4</v>
      </c>
      <c r="AC277" s="31">
        <f>185/490</f>
        <v>0.37755102040816324</v>
      </c>
      <c r="AD277" s="31">
        <f>767/2886</f>
        <v>0.26576576576576577</v>
      </c>
      <c r="AE277" s="31">
        <f>87/403</f>
        <v>0.21588089330024815</v>
      </c>
      <c r="AF277" s="22">
        <f t="shared" si="64"/>
        <v>1</v>
      </c>
      <c r="AG277" s="12">
        <v>0</v>
      </c>
      <c r="AH277" s="12">
        <v>0</v>
      </c>
      <c r="AI277" s="20">
        <v>0</v>
      </c>
      <c r="AJ277" s="23">
        <f t="shared" si="65"/>
        <v>0</v>
      </c>
      <c r="AK277" s="23">
        <v>0</v>
      </c>
      <c r="AL277" s="28">
        <f>AK277/detalle!$D$2</f>
        <v>0</v>
      </c>
    </row>
    <row r="278" spans="1:38">
      <c r="A278" s="12">
        <v>277</v>
      </c>
      <c r="B278" s="19">
        <v>44167</v>
      </c>
      <c r="C278" s="12">
        <v>259</v>
      </c>
      <c r="D278" s="23">
        <f t="shared" si="61"/>
        <v>812</v>
      </c>
      <c r="E278" s="12">
        <v>146009</v>
      </c>
      <c r="F278" s="12">
        <v>2335</v>
      </c>
      <c r="G278" s="12">
        <v>115992</v>
      </c>
      <c r="H278" s="23">
        <f t="shared" si="57"/>
        <v>27682</v>
      </c>
      <c r="I278" s="23">
        <f t="shared" si="55"/>
        <v>4819</v>
      </c>
      <c r="J278" s="12">
        <v>732425</v>
      </c>
      <c r="K278" s="23">
        <f t="shared" si="56"/>
        <v>586416</v>
      </c>
      <c r="L278" s="9">
        <f t="shared" si="62"/>
        <v>381</v>
      </c>
      <c r="M278" s="14">
        <f t="shared" si="58"/>
        <v>1.5992164866549322E-2</v>
      </c>
      <c r="N278" s="14">
        <f t="shared" si="67"/>
        <v>0.16849968873210211</v>
      </c>
      <c r="O278" s="12"/>
      <c r="P278" s="12"/>
      <c r="Q278" s="12"/>
      <c r="R278" s="23">
        <f t="shared" si="59"/>
        <v>118327</v>
      </c>
      <c r="S278" s="25">
        <f>(((H278+R278)/(H277+R277))-1)+detalle!$D$1</f>
        <v>7.7020973475445703E-2</v>
      </c>
      <c r="T278" s="25">
        <f t="shared" si="63"/>
        <v>1.0782936286562399</v>
      </c>
      <c r="U278" s="10">
        <f t="shared" si="60"/>
        <v>0.79441678252710446</v>
      </c>
      <c r="V278" s="21">
        <f t="shared" si="66"/>
        <v>49.675374732334049</v>
      </c>
      <c r="W278" s="15">
        <f>J278/detalle!$D$2</f>
        <v>66823.93415859231</v>
      </c>
      <c r="X278" s="15">
        <f>E278/detalle!$D$2</f>
        <v>13321.358231302733</v>
      </c>
      <c r="Y278" s="22">
        <f>F278/detalle!$D$2</f>
        <v>213.03735708135719</v>
      </c>
      <c r="AA278" s="14">
        <f>E278/(detalle!$D$2*1000000)</f>
        <v>1.3321358231302732E-2</v>
      </c>
      <c r="AB278" s="14">
        <f>F278/(detalle!$D$2*1000000)</f>
        <v>2.130373570813572E-4</v>
      </c>
      <c r="AC278" s="31">
        <f>183/485</f>
        <v>0.37731958762886597</v>
      </c>
      <c r="AD278" s="31">
        <f>788/2865</f>
        <v>0.27504363001745202</v>
      </c>
      <c r="AE278" s="31">
        <f>92/402</f>
        <v>0.22885572139303484</v>
      </c>
      <c r="AF278" s="22">
        <f t="shared" si="64"/>
        <v>1</v>
      </c>
      <c r="AG278" s="12">
        <v>0</v>
      </c>
      <c r="AH278" s="12">
        <v>0</v>
      </c>
      <c r="AI278" s="20">
        <v>0</v>
      </c>
      <c r="AJ278" s="23">
        <f t="shared" si="65"/>
        <v>0</v>
      </c>
      <c r="AK278" s="23">
        <v>0</v>
      </c>
      <c r="AL278" s="28">
        <f>AK278/detalle!$D$2</f>
        <v>0</v>
      </c>
    </row>
    <row r="279" spans="1:38">
      <c r="A279" s="12">
        <v>278</v>
      </c>
      <c r="B279" s="19">
        <v>44168</v>
      </c>
      <c r="C279" s="12">
        <v>260</v>
      </c>
      <c r="D279" s="23">
        <f t="shared" si="61"/>
        <v>671</v>
      </c>
      <c r="E279" s="12">
        <v>146680</v>
      </c>
      <c r="F279" s="12">
        <v>2343</v>
      </c>
      <c r="G279" s="12">
        <v>116169</v>
      </c>
      <c r="H279" s="23">
        <f t="shared" si="57"/>
        <v>28168</v>
      </c>
      <c r="I279" s="23">
        <f t="shared" si="55"/>
        <v>5731</v>
      </c>
      <c r="J279" s="12">
        <v>738156</v>
      </c>
      <c r="K279" s="23">
        <f t="shared" si="56"/>
        <v>591476</v>
      </c>
      <c r="L279" s="9">
        <f t="shared" si="62"/>
        <v>177</v>
      </c>
      <c r="M279" s="14">
        <f t="shared" si="58"/>
        <v>1.5973547859285519E-2</v>
      </c>
      <c r="N279" s="14">
        <f t="shared" si="67"/>
        <v>0.11708253358925144</v>
      </c>
      <c r="O279" s="12"/>
      <c r="P279" s="12"/>
      <c r="Q279" s="12"/>
      <c r="R279" s="23">
        <f t="shared" si="59"/>
        <v>118512</v>
      </c>
      <c r="S279" s="25">
        <f>(((H279+R279)/(H278+R278))-1)+detalle!$D$1</f>
        <v>7.6024178548680404E-2</v>
      </c>
      <c r="T279" s="25">
        <f t="shared" si="63"/>
        <v>1.0643384996815257</v>
      </c>
      <c r="U279" s="10">
        <f t="shared" si="60"/>
        <v>0.79198936460321789</v>
      </c>
      <c r="V279" s="21">
        <f t="shared" si="66"/>
        <v>49.581306017925733</v>
      </c>
      <c r="W279" s="15">
        <f>J279/detalle!$D$2</f>
        <v>67346.810858135461</v>
      </c>
      <c r="X279" s="15">
        <f>E279/detalle!$D$2</f>
        <v>13382.577960040031</v>
      </c>
      <c r="Y279" s="22">
        <f>F279/detalle!$D$2</f>
        <v>213.76724952531902</v>
      </c>
      <c r="AA279" s="14">
        <f>E279/(detalle!$D$2*1000000)</f>
        <v>1.3382577960040032E-2</v>
      </c>
      <c r="AB279" s="14">
        <f>F279/(detalle!$D$2*1000000)</f>
        <v>2.1376724952531901E-4</v>
      </c>
      <c r="AC279" s="31">
        <f>182/485</f>
        <v>0.37525773195876289</v>
      </c>
      <c r="AD279" s="31">
        <f>810/2855</f>
        <v>0.28371278458844135</v>
      </c>
      <c r="AE279" s="31">
        <f>97/402</f>
        <v>0.24129353233830847</v>
      </c>
      <c r="AF279" s="22">
        <f t="shared" si="64"/>
        <v>8</v>
      </c>
      <c r="AG279" s="12">
        <v>0</v>
      </c>
      <c r="AH279" s="12">
        <v>0</v>
      </c>
      <c r="AI279" s="20">
        <v>0</v>
      </c>
      <c r="AJ279" s="23">
        <f t="shared" si="65"/>
        <v>0</v>
      </c>
      <c r="AK279" s="23">
        <v>0</v>
      </c>
      <c r="AL279" s="28">
        <f>AK279/detalle!$D$2</f>
        <v>0</v>
      </c>
    </row>
    <row r="280" spans="1:38">
      <c r="A280" s="12">
        <v>279</v>
      </c>
      <c r="B280" s="19">
        <v>44169</v>
      </c>
      <c r="C280" s="12">
        <v>261</v>
      </c>
      <c r="D280" s="23">
        <f t="shared" si="61"/>
        <v>975</v>
      </c>
      <c r="E280" s="12">
        <v>147655</v>
      </c>
      <c r="F280" s="12">
        <v>2345</v>
      </c>
      <c r="G280" s="12">
        <v>116329</v>
      </c>
      <c r="H280" s="23">
        <f t="shared" si="57"/>
        <v>28981</v>
      </c>
      <c r="I280" s="23">
        <f t="shared" si="55"/>
        <v>8498</v>
      </c>
      <c r="J280" s="12">
        <v>746654</v>
      </c>
      <c r="K280" s="23">
        <f t="shared" si="56"/>
        <v>598999</v>
      </c>
      <c r="L280" s="9">
        <f t="shared" si="62"/>
        <v>160</v>
      </c>
      <c r="M280" s="14">
        <f t="shared" si="58"/>
        <v>1.5881615929023738E-2</v>
      </c>
      <c r="N280" s="14">
        <f t="shared" si="67"/>
        <v>0.1147328783243116</v>
      </c>
      <c r="O280" s="12"/>
      <c r="P280" s="12"/>
      <c r="Q280" s="12"/>
      <c r="R280" s="23">
        <f t="shared" si="59"/>
        <v>118674</v>
      </c>
      <c r="S280" s="25">
        <f>(((H280+R280)/(H279+R279))-1)+detalle!$D$1</f>
        <v>7.8075694417390623E-2</v>
      </c>
      <c r="T280" s="25">
        <f t="shared" si="63"/>
        <v>1.0930597218434688</v>
      </c>
      <c r="U280" s="10">
        <f t="shared" si="60"/>
        <v>0.78784328332938269</v>
      </c>
      <c r="V280" s="21">
        <f t="shared" si="66"/>
        <v>49.607249466950961</v>
      </c>
      <c r="W280" s="15">
        <f>J280/detalle!$D$2</f>
        <v>68122.139106733914</v>
      </c>
      <c r="X280" s="15">
        <f>E280/detalle!$D$2</f>
        <v>13471.533601647878</v>
      </c>
      <c r="Y280" s="22">
        <f>F280/detalle!$D$2</f>
        <v>213.94972263630947</v>
      </c>
      <c r="AA280" s="14">
        <f>E280/(detalle!$D$2*1000000)</f>
        <v>1.3471533601647878E-2</v>
      </c>
      <c r="AB280" s="14">
        <f>F280/(detalle!$D$2*1000000)</f>
        <v>2.1394972263630947E-4</v>
      </c>
      <c r="AC280" s="31">
        <f>185/447</f>
        <v>0.41387024608501116</v>
      </c>
      <c r="AD280" s="31">
        <f>811/2828</f>
        <v>0.28677510608203677</v>
      </c>
      <c r="AE280" s="31">
        <f>106/385</f>
        <v>0.27532467532467531</v>
      </c>
      <c r="AF280" s="22">
        <f t="shared" si="64"/>
        <v>2</v>
      </c>
      <c r="AG280" s="12">
        <v>0</v>
      </c>
      <c r="AH280" s="12">
        <v>0</v>
      </c>
      <c r="AI280" s="20">
        <v>0</v>
      </c>
      <c r="AJ280" s="23">
        <f t="shared" si="65"/>
        <v>0</v>
      </c>
      <c r="AK280" s="23">
        <v>0</v>
      </c>
      <c r="AL280" s="28">
        <f>AK280/detalle!$D$2</f>
        <v>0</v>
      </c>
    </row>
    <row r="281" spans="1:38">
      <c r="A281" s="12">
        <v>280</v>
      </c>
      <c r="B281" s="19">
        <v>44170</v>
      </c>
      <c r="C281" s="12">
        <v>262</v>
      </c>
      <c r="D281" s="23">
        <f t="shared" si="61"/>
        <v>798</v>
      </c>
      <c r="E281" s="12">
        <v>148453</v>
      </c>
      <c r="F281" s="12">
        <v>2345</v>
      </c>
      <c r="G281" s="12">
        <v>116873</v>
      </c>
      <c r="H281" s="23">
        <f t="shared" si="57"/>
        <v>29235</v>
      </c>
      <c r="I281" s="23">
        <f t="shared" si="55"/>
        <v>6479</v>
      </c>
      <c r="J281" s="12">
        <v>753133</v>
      </c>
      <c r="K281" s="23">
        <f t="shared" si="56"/>
        <v>604680</v>
      </c>
      <c r="L281" s="9">
        <f t="shared" si="62"/>
        <v>544</v>
      </c>
      <c r="M281" s="14">
        <f t="shared" si="58"/>
        <v>1.579624527628273E-2</v>
      </c>
      <c r="N281" s="14">
        <f t="shared" si="67"/>
        <v>0.12316715542521994</v>
      </c>
      <c r="O281" s="12"/>
      <c r="P281" s="12"/>
      <c r="Q281" s="12"/>
      <c r="R281" s="23">
        <f t="shared" si="59"/>
        <v>119218</v>
      </c>
      <c r="S281" s="25">
        <f>(((H281+R281)/(H280+R280))-1)+detalle!$D$1</f>
        <v>7.683306162531392E-2</v>
      </c>
      <c r="T281" s="25">
        <f t="shared" si="63"/>
        <v>1.0756628627543949</v>
      </c>
      <c r="U281" s="10">
        <f t="shared" si="60"/>
        <v>0.78727273952025223</v>
      </c>
      <c r="V281" s="21">
        <f t="shared" si="66"/>
        <v>49.839232409381665</v>
      </c>
      <c r="W281" s="15">
        <f>J281/detalle!$D$2</f>
        <v>68713.260749787485</v>
      </c>
      <c r="X281" s="15">
        <f>E281/detalle!$D$2</f>
        <v>13544.340372933071</v>
      </c>
      <c r="Y281" s="22">
        <f>F281/detalle!$D$2</f>
        <v>213.94972263630947</v>
      </c>
      <c r="AA281" s="14">
        <f>E281/(detalle!$D$2*1000000)</f>
        <v>1.354434037293307E-2</v>
      </c>
      <c r="AB281" s="14">
        <f>F281/(detalle!$D$2*1000000)</f>
        <v>2.1394972263630947E-4</v>
      </c>
      <c r="AC281" s="31">
        <f>187/441</f>
        <v>0.42403628117913833</v>
      </c>
      <c r="AD281" s="31">
        <f>807/2781</f>
        <v>0.29018338727076592</v>
      </c>
      <c r="AE281" s="31">
        <f>112/381</f>
        <v>0.29396325459317585</v>
      </c>
      <c r="AF281" s="22">
        <f t="shared" si="64"/>
        <v>0</v>
      </c>
      <c r="AG281" s="12">
        <v>0</v>
      </c>
      <c r="AH281" s="12">
        <v>0</v>
      </c>
      <c r="AI281" s="20">
        <v>0</v>
      </c>
      <c r="AJ281" s="23">
        <f t="shared" si="65"/>
        <v>0</v>
      </c>
      <c r="AK281" s="23">
        <v>0</v>
      </c>
      <c r="AL281" s="28">
        <f>AK281/detalle!$D$2</f>
        <v>0</v>
      </c>
    </row>
    <row r="282" spans="1:38">
      <c r="A282" s="12">
        <v>281</v>
      </c>
      <c r="B282" s="19">
        <v>44171</v>
      </c>
      <c r="C282" s="12">
        <v>263</v>
      </c>
      <c r="D282" s="23">
        <f t="shared" si="61"/>
        <v>685</v>
      </c>
      <c r="E282" s="12">
        <v>149138</v>
      </c>
      <c r="F282" s="12">
        <v>2346</v>
      </c>
      <c r="G282" s="12">
        <v>117402</v>
      </c>
      <c r="H282" s="23">
        <f t="shared" si="57"/>
        <v>29390</v>
      </c>
      <c r="I282" s="23">
        <f t="shared" si="55"/>
        <v>3910</v>
      </c>
      <c r="J282" s="12">
        <v>757043</v>
      </c>
      <c r="K282" s="23">
        <f t="shared" si="56"/>
        <v>607905</v>
      </c>
      <c r="L282" s="9">
        <f t="shared" si="62"/>
        <v>529</v>
      </c>
      <c r="M282" s="14">
        <f t="shared" si="58"/>
        <v>1.5730397350105271E-2</v>
      </c>
      <c r="N282" s="14">
        <f t="shared" si="67"/>
        <v>0.17519181585677748</v>
      </c>
      <c r="O282" s="12"/>
      <c r="P282" s="12"/>
      <c r="Q282" s="12"/>
      <c r="R282" s="23">
        <f t="shared" si="59"/>
        <v>119748</v>
      </c>
      <c r="S282" s="25">
        <f>(((H282+R282)/(H281+R281))-1)+detalle!$D$1</f>
        <v>7.6042826445310824E-2</v>
      </c>
      <c r="T282" s="25">
        <f t="shared" si="63"/>
        <v>1.0645995702343516</v>
      </c>
      <c r="U282" s="10">
        <f t="shared" si="60"/>
        <v>0.78720379782483341</v>
      </c>
      <c r="V282" s="21">
        <f t="shared" si="66"/>
        <v>50.043478260869563</v>
      </c>
      <c r="W282" s="15">
        <f>J282/detalle!$D$2</f>
        <v>69069.995681773828</v>
      </c>
      <c r="X282" s="15">
        <f>E282/detalle!$D$2</f>
        <v>13606.837413447302</v>
      </c>
      <c r="Y282" s="22">
        <f>F282/detalle!$D$2</f>
        <v>214.04095919180469</v>
      </c>
      <c r="AA282" s="14">
        <f>E282/(detalle!$D$2*1000000)</f>
        <v>1.3606837413447301E-2</v>
      </c>
      <c r="AB282" s="14">
        <f>F282/(detalle!$D$2*1000000)</f>
        <v>2.1404095919180468E-4</v>
      </c>
      <c r="AC282" s="31">
        <f>191/445</f>
        <v>0.42921348314606744</v>
      </c>
      <c r="AD282" s="31">
        <f>815/2828</f>
        <v>0.28818953323903818</v>
      </c>
      <c r="AE282" s="31">
        <f>110/385</f>
        <v>0.2857142857142857</v>
      </c>
      <c r="AF282" s="22">
        <f t="shared" si="64"/>
        <v>1</v>
      </c>
      <c r="AG282" s="12">
        <v>0</v>
      </c>
      <c r="AH282" s="12">
        <v>0</v>
      </c>
      <c r="AI282" s="20">
        <v>0</v>
      </c>
      <c r="AJ282" s="23">
        <f t="shared" si="65"/>
        <v>0</v>
      </c>
      <c r="AK282" s="23">
        <v>0</v>
      </c>
      <c r="AL282" s="28">
        <f>AK282/detalle!$D$2</f>
        <v>0</v>
      </c>
    </row>
    <row r="283" spans="1:38">
      <c r="A283" s="12">
        <v>282</v>
      </c>
      <c r="B283" s="19">
        <v>44172</v>
      </c>
      <c r="C283" s="12">
        <v>264</v>
      </c>
      <c r="D283" s="23">
        <f t="shared" si="61"/>
        <v>492</v>
      </c>
      <c r="E283" s="12">
        <v>149630</v>
      </c>
      <c r="F283" s="12">
        <v>2347</v>
      </c>
      <c r="G283" s="12">
        <v>117804</v>
      </c>
      <c r="H283" s="23">
        <f t="shared" si="57"/>
        <v>29479</v>
      </c>
      <c r="I283" s="23">
        <f t="shared" si="55"/>
        <v>3969</v>
      </c>
      <c r="J283" s="12">
        <v>761012</v>
      </c>
      <c r="K283" s="23">
        <f t="shared" si="56"/>
        <v>611382</v>
      </c>
      <c r="L283" s="9">
        <f t="shared" si="62"/>
        <v>402</v>
      </c>
      <c r="M283" s="14">
        <f t="shared" si="58"/>
        <v>1.5685357214462341E-2</v>
      </c>
      <c r="N283" s="14">
        <f t="shared" si="67"/>
        <v>0.12396069538926682</v>
      </c>
      <c r="O283" s="12"/>
      <c r="P283" s="12"/>
      <c r="Q283" s="12"/>
      <c r="R283" s="23">
        <f t="shared" si="59"/>
        <v>120151</v>
      </c>
      <c r="S283" s="25">
        <f>(((H283+R283)/(H282+R282))-1)+detalle!$D$1</f>
        <v>7.4727529440614032E-2</v>
      </c>
      <c r="T283" s="25">
        <f t="shared" si="63"/>
        <v>1.0461854121685965</v>
      </c>
      <c r="U283" s="10">
        <f t="shared" si="60"/>
        <v>0.78730201162868407</v>
      </c>
      <c r="V283" s="21">
        <f t="shared" si="66"/>
        <v>50.193438432040907</v>
      </c>
      <c r="W283" s="15">
        <f>J283/detalle!$D$2</f>
        <v>69432.113570534391</v>
      </c>
      <c r="X283" s="15">
        <f>E283/detalle!$D$2</f>
        <v>13651.725798750953</v>
      </c>
      <c r="Y283" s="22">
        <f>F283/detalle!$D$2</f>
        <v>214.13219574729993</v>
      </c>
      <c r="AA283" s="14">
        <f>E283/(detalle!$D$2*1000000)</f>
        <v>1.3651725798750953E-2</v>
      </c>
      <c r="AB283" s="14">
        <f>F283/(detalle!$D$2*1000000)</f>
        <v>2.1413219574729992E-4</v>
      </c>
      <c r="AC283" s="31">
        <f>197/450</f>
        <v>0.43777777777777777</v>
      </c>
      <c r="AD283" s="31">
        <f>840/2831</f>
        <v>0.29671494171670787</v>
      </c>
      <c r="AE283" s="31">
        <f>109/385</f>
        <v>0.2831168831168831</v>
      </c>
      <c r="AF283" s="22">
        <f t="shared" si="64"/>
        <v>1</v>
      </c>
      <c r="AG283" s="12">
        <v>0</v>
      </c>
      <c r="AH283" s="12">
        <v>0</v>
      </c>
      <c r="AI283" s="20">
        <v>0</v>
      </c>
      <c r="AJ283" s="23">
        <f t="shared" si="65"/>
        <v>0</v>
      </c>
      <c r="AK283" s="23">
        <v>0</v>
      </c>
      <c r="AL283" s="28">
        <f>AK283/detalle!$D$2</f>
        <v>0</v>
      </c>
    </row>
    <row r="284" spans="1:38">
      <c r="A284" s="12">
        <v>283</v>
      </c>
      <c r="B284" s="19">
        <v>44173</v>
      </c>
      <c r="C284" s="12">
        <v>265</v>
      </c>
      <c r="D284" s="23">
        <f t="shared" si="61"/>
        <v>531</v>
      </c>
      <c r="E284" s="12">
        <v>150161</v>
      </c>
      <c r="F284" s="12">
        <v>2350</v>
      </c>
      <c r="G284" s="12">
        <v>118008</v>
      </c>
      <c r="H284" s="23">
        <f t="shared" si="57"/>
        <v>29803</v>
      </c>
      <c r="I284" s="23">
        <f t="shared" si="55"/>
        <v>5059</v>
      </c>
      <c r="J284" s="12">
        <v>766071</v>
      </c>
      <c r="K284" s="23">
        <f t="shared" si="56"/>
        <v>615910</v>
      </c>
      <c r="L284" s="9">
        <f t="shared" si="62"/>
        <v>204</v>
      </c>
      <c r="M284" s="14">
        <f t="shared" si="58"/>
        <v>1.5649869140455911E-2</v>
      </c>
      <c r="N284" s="14">
        <f t="shared" si="67"/>
        <v>0.10496145483297094</v>
      </c>
      <c r="O284" s="12"/>
      <c r="P284" s="12"/>
      <c r="Q284" s="12"/>
      <c r="R284" s="23">
        <f t="shared" si="59"/>
        <v>120358</v>
      </c>
      <c r="S284" s="25">
        <f>(((H284+R284)/(H283+R283))-1)+detalle!$D$1</f>
        <v>7.4977325020765512E-2</v>
      </c>
      <c r="T284" s="25">
        <f t="shared" si="63"/>
        <v>1.0496825502907172</v>
      </c>
      <c r="U284" s="10">
        <f t="shared" si="60"/>
        <v>0.78587649256464731</v>
      </c>
      <c r="V284" s="21">
        <f t="shared" si="66"/>
        <v>50.216170212765959</v>
      </c>
      <c r="W284" s="15">
        <f>J284/detalle!$D$2</f>
        <v>69893.679304784746</v>
      </c>
      <c r="X284" s="15">
        <f>E284/detalle!$D$2</f>
        <v>13700.17240971892</v>
      </c>
      <c r="Y284" s="22">
        <f>F284/detalle!$D$2</f>
        <v>214.4059054137856</v>
      </c>
      <c r="AA284" s="14">
        <f>E284/(detalle!$D$2*1000000)</f>
        <v>1.3700172409718919E-2</v>
      </c>
      <c r="AB284" s="14">
        <f>F284/(detalle!$D$2*1000000)</f>
        <v>2.1440590541378562E-4</v>
      </c>
      <c r="AC284" s="31">
        <f>213/454</f>
        <v>0.46916299559471364</v>
      </c>
      <c r="AD284" s="31">
        <f>812/2788</f>
        <v>0.29124820659971307</v>
      </c>
      <c r="AE284" s="31">
        <f>113/381</f>
        <v>0.29658792650918636</v>
      </c>
      <c r="AF284" s="22">
        <f t="shared" si="64"/>
        <v>3</v>
      </c>
      <c r="AG284" s="12">
        <v>0</v>
      </c>
      <c r="AH284" s="12">
        <v>0</v>
      </c>
      <c r="AI284" s="20">
        <v>0</v>
      </c>
      <c r="AJ284" s="23">
        <f t="shared" si="65"/>
        <v>0</v>
      </c>
      <c r="AK284" s="23">
        <v>0</v>
      </c>
      <c r="AL284" s="28">
        <f>AK284/detalle!$D$2</f>
        <v>0</v>
      </c>
    </row>
    <row r="285" spans="1:38">
      <c r="A285" s="12">
        <v>284</v>
      </c>
      <c r="B285" s="19">
        <v>44174</v>
      </c>
      <c r="C285" s="12">
        <v>266</v>
      </c>
      <c r="D285" s="23">
        <f t="shared" si="61"/>
        <v>1560</v>
      </c>
      <c r="E285" s="12">
        <v>151721</v>
      </c>
      <c r="F285" s="12">
        <v>2358</v>
      </c>
      <c r="G285" s="12">
        <v>118770</v>
      </c>
      <c r="H285" s="23">
        <f t="shared" si="57"/>
        <v>30593</v>
      </c>
      <c r="I285" s="23">
        <f t="shared" si="55"/>
        <v>8316</v>
      </c>
      <c r="J285" s="12">
        <v>774387</v>
      </c>
      <c r="K285" s="23">
        <f t="shared" si="56"/>
        <v>622666</v>
      </c>
      <c r="L285" s="9">
        <f t="shared" si="62"/>
        <v>762</v>
      </c>
      <c r="M285" s="14">
        <f t="shared" si="58"/>
        <v>1.5541685066668424E-2</v>
      </c>
      <c r="N285" s="14">
        <f t="shared" si="67"/>
        <v>0.18759018759018758</v>
      </c>
      <c r="O285" s="12"/>
      <c r="P285" s="12"/>
      <c r="Q285" s="12"/>
      <c r="R285" s="23">
        <f t="shared" si="59"/>
        <v>121128</v>
      </c>
      <c r="S285" s="25">
        <f>(((H285+R285)/(H284+R284))-1)+detalle!$D$1</f>
        <v>8.1817420730320861E-2</v>
      </c>
      <c r="T285" s="25">
        <f t="shared" si="63"/>
        <v>1.1454438902244921</v>
      </c>
      <c r="U285" s="10">
        <f t="shared" si="60"/>
        <v>0.78281846283639045</v>
      </c>
      <c r="V285" s="21">
        <f t="shared" si="66"/>
        <v>50.368956743002542</v>
      </c>
      <c r="W285" s="15">
        <f>J285/detalle!$D$2</f>
        <v>70652.40250028306</v>
      </c>
      <c r="X285" s="15">
        <f>E285/detalle!$D$2</f>
        <v>13842.501436291475</v>
      </c>
      <c r="Y285" s="22">
        <f>F285/detalle!$D$2</f>
        <v>215.13579785774743</v>
      </c>
      <c r="AA285" s="14">
        <f>E285/(detalle!$D$2*1000000)</f>
        <v>1.3842501436291475E-2</v>
      </c>
      <c r="AB285" s="14">
        <f>F285/(detalle!$D$2*1000000)</f>
        <v>2.1513579785774743E-4</v>
      </c>
      <c r="AC285" s="31">
        <f>218/462</f>
        <v>0.47186147186147187</v>
      </c>
      <c r="AD285" s="31">
        <f>837/2809</f>
        <v>0.29797080811676752</v>
      </c>
      <c r="AE285" s="31">
        <f>116/379</f>
        <v>0.30606860158311344</v>
      </c>
      <c r="AF285" s="22">
        <f t="shared" si="64"/>
        <v>8</v>
      </c>
      <c r="AG285" s="12">
        <v>0</v>
      </c>
      <c r="AH285" s="12">
        <v>0</v>
      </c>
      <c r="AI285" s="20">
        <v>0</v>
      </c>
      <c r="AJ285" s="23">
        <f t="shared" si="65"/>
        <v>0</v>
      </c>
      <c r="AK285" s="23">
        <v>0</v>
      </c>
      <c r="AL285" s="28">
        <f>AK285/detalle!$D$2</f>
        <v>0</v>
      </c>
    </row>
    <row r="286" spans="1:38">
      <c r="A286" s="12">
        <v>285</v>
      </c>
      <c r="B286" s="19">
        <v>44175</v>
      </c>
      <c r="C286" s="12">
        <v>267</v>
      </c>
      <c r="D286" s="23">
        <f t="shared" si="61"/>
        <v>731</v>
      </c>
      <c r="E286" s="12">
        <v>152452</v>
      </c>
      <c r="F286" s="12">
        <v>2359</v>
      </c>
      <c r="G286" s="12">
        <v>118877</v>
      </c>
      <c r="H286" s="23">
        <f t="shared" si="57"/>
        <v>31216</v>
      </c>
      <c r="I286" s="23">
        <f t="shared" si="55"/>
        <v>4500</v>
      </c>
      <c r="J286" s="12">
        <v>778887</v>
      </c>
      <c r="K286" s="23">
        <f t="shared" si="56"/>
        <v>626435</v>
      </c>
      <c r="L286" s="9">
        <f t="shared" si="62"/>
        <v>107</v>
      </c>
      <c r="M286" s="14">
        <f t="shared" si="58"/>
        <v>1.5473722876708734E-2</v>
      </c>
      <c r="N286" s="14">
        <f t="shared" si="67"/>
        <v>0.16244444444444445</v>
      </c>
      <c r="O286" s="12"/>
      <c r="P286" s="12"/>
      <c r="Q286" s="12"/>
      <c r="R286" s="23">
        <f t="shared" si="59"/>
        <v>121236</v>
      </c>
      <c r="S286" s="25">
        <f>(((H286+R286)/(H285+R285))-1)+detalle!$D$1</f>
        <v>7.6246625620146641E-2</v>
      </c>
      <c r="T286" s="25">
        <f t="shared" si="63"/>
        <v>1.067452758682053</v>
      </c>
      <c r="U286" s="10">
        <f t="shared" si="60"/>
        <v>0.77976674625455877</v>
      </c>
      <c r="V286" s="21">
        <f t="shared" si="66"/>
        <v>50.39296311996609</v>
      </c>
      <c r="W286" s="15">
        <f>J286/detalle!$D$2</f>
        <v>71062.967000011588</v>
      </c>
      <c r="X286" s="15">
        <f>E286/detalle!$D$2</f>
        <v>13909.195358358487</v>
      </c>
      <c r="Y286" s="22">
        <f>F286/detalle!$D$2</f>
        <v>215.22703441324268</v>
      </c>
      <c r="AA286" s="14">
        <f>E286/(detalle!$D$2*1000000)</f>
        <v>1.3909195358358486E-2</v>
      </c>
      <c r="AB286" s="14">
        <f>F286/(detalle!$D$2*1000000)</f>
        <v>2.1522703441324265E-4</v>
      </c>
      <c r="AC286" s="31">
        <f>231/462</f>
        <v>0.5</v>
      </c>
      <c r="AD286" s="31">
        <f>842/2808</f>
        <v>0.29985754985754987</v>
      </c>
      <c r="AE286" s="31">
        <f>126/379</f>
        <v>0.33245382585751981</v>
      </c>
      <c r="AF286" s="22">
        <f t="shared" si="64"/>
        <v>1</v>
      </c>
      <c r="AG286" s="12">
        <v>0</v>
      </c>
      <c r="AH286" s="12">
        <v>0</v>
      </c>
      <c r="AI286" s="20">
        <v>0</v>
      </c>
      <c r="AJ286" s="23">
        <f t="shared" si="65"/>
        <v>0</v>
      </c>
      <c r="AK286" s="23">
        <v>0</v>
      </c>
      <c r="AL286" s="28">
        <f>AK286/detalle!$D$2</f>
        <v>0</v>
      </c>
    </row>
    <row r="287" spans="1:38">
      <c r="A287" s="12">
        <v>286</v>
      </c>
      <c r="B287" s="19">
        <v>44176</v>
      </c>
      <c r="C287" s="12">
        <v>268</v>
      </c>
      <c r="D287" s="23">
        <f t="shared" si="61"/>
        <v>1133</v>
      </c>
      <c r="E287" s="12">
        <v>153585</v>
      </c>
      <c r="F287" s="12">
        <v>2360</v>
      </c>
      <c r="G287" s="12">
        <v>119616</v>
      </c>
      <c r="H287" s="23">
        <f t="shared" si="57"/>
        <v>31609</v>
      </c>
      <c r="I287" s="23">
        <f t="shared" si="55"/>
        <v>5739</v>
      </c>
      <c r="J287" s="12">
        <v>784626</v>
      </c>
      <c r="K287" s="23">
        <f t="shared" si="56"/>
        <v>631041</v>
      </c>
      <c r="L287" s="9">
        <f t="shared" si="62"/>
        <v>739</v>
      </c>
      <c r="M287" s="14">
        <f t="shared" si="58"/>
        <v>1.5366083927466875E-2</v>
      </c>
      <c r="N287" s="14">
        <f t="shared" si="67"/>
        <v>0.19742115351106465</v>
      </c>
      <c r="O287" s="12"/>
      <c r="P287" s="12"/>
      <c r="Q287" s="12"/>
      <c r="R287" s="23">
        <f t="shared" si="59"/>
        <v>121976</v>
      </c>
      <c r="S287" s="25">
        <f>(((H287+R287)/(H286+R286))-1)+detalle!$D$1</f>
        <v>7.8860418829720641E-2</v>
      </c>
      <c r="T287" s="25">
        <f t="shared" si="63"/>
        <v>1.104045863616089</v>
      </c>
      <c r="U287" s="10">
        <f t="shared" si="60"/>
        <v>0.77882605723215159</v>
      </c>
      <c r="V287" s="21">
        <f t="shared" si="66"/>
        <v>50.684745762711863</v>
      </c>
      <c r="W287" s="15">
        <f>J287/detalle!$D$2</f>
        <v>71586.573591998706</v>
      </c>
      <c r="X287" s="15">
        <f>E287/detalle!$D$2</f>
        <v>14012.566375734581</v>
      </c>
      <c r="Y287" s="22">
        <f>F287/detalle!$D$2</f>
        <v>215.31827096873789</v>
      </c>
      <c r="AA287" s="14">
        <f>E287/(detalle!$D$2*1000000)</f>
        <v>1.4012566375734579E-2</v>
      </c>
      <c r="AB287" s="14">
        <f>F287/(detalle!$D$2*1000000)</f>
        <v>2.1531827096873789E-4</v>
      </c>
      <c r="AC287" s="31">
        <f>230/464</f>
        <v>0.49568965517241381</v>
      </c>
      <c r="AD287" s="31">
        <f>840/2788</f>
        <v>0.30129124820659969</v>
      </c>
      <c r="AE287" s="31">
        <f>126/377</f>
        <v>0.33421750663129973</v>
      </c>
      <c r="AF287" s="22">
        <f t="shared" si="64"/>
        <v>1</v>
      </c>
      <c r="AG287" s="12">
        <v>0</v>
      </c>
      <c r="AH287" s="12">
        <v>0</v>
      </c>
      <c r="AI287" s="20">
        <v>0</v>
      </c>
      <c r="AJ287" s="23">
        <f t="shared" si="65"/>
        <v>0</v>
      </c>
      <c r="AK287" s="23">
        <v>0</v>
      </c>
      <c r="AL287" s="28">
        <f>AK287/detalle!$D$2</f>
        <v>0</v>
      </c>
    </row>
    <row r="288" spans="1:38">
      <c r="A288" s="12">
        <v>287</v>
      </c>
      <c r="B288" s="19">
        <v>44177</v>
      </c>
      <c r="C288" s="12">
        <v>269</v>
      </c>
      <c r="D288" s="23">
        <f t="shared" si="61"/>
        <v>1107</v>
      </c>
      <c r="E288" s="12">
        <v>154692</v>
      </c>
      <c r="F288" s="12">
        <v>2361</v>
      </c>
      <c r="G288" s="12">
        <v>120481</v>
      </c>
      <c r="H288" s="23">
        <f t="shared" si="57"/>
        <v>31850</v>
      </c>
      <c r="I288" s="23">
        <f t="shared" si="55"/>
        <v>6113</v>
      </c>
      <c r="J288" s="12">
        <v>790739</v>
      </c>
      <c r="K288" s="23">
        <f t="shared" si="56"/>
        <v>636047</v>
      </c>
      <c r="L288" s="9">
        <f t="shared" si="62"/>
        <v>865</v>
      </c>
      <c r="M288" s="14">
        <f t="shared" si="58"/>
        <v>1.5262586300519743E-2</v>
      </c>
      <c r="N288" s="14">
        <f t="shared" si="67"/>
        <v>0.18108948143301162</v>
      </c>
      <c r="O288" s="12"/>
      <c r="P288" s="12"/>
      <c r="Q288" s="12"/>
      <c r="R288" s="23">
        <f t="shared" si="59"/>
        <v>122842</v>
      </c>
      <c r="S288" s="25">
        <f>(((H288+R288)/(H287+R287))-1)+detalle!$D$1</f>
        <v>7.8636306558955288E-2</v>
      </c>
      <c r="T288" s="25">
        <f t="shared" si="63"/>
        <v>1.1009082918253741</v>
      </c>
      <c r="U288" s="10">
        <f t="shared" si="60"/>
        <v>0.77884441341504407</v>
      </c>
      <c r="V288" s="21">
        <f t="shared" si="66"/>
        <v>51.029648454044896</v>
      </c>
      <c r="W288" s="15">
        <f>J288/detalle!$D$2</f>
        <v>72144.302655741034</v>
      </c>
      <c r="X288" s="15">
        <f>E288/detalle!$D$2</f>
        <v>14113.565242667797</v>
      </c>
      <c r="Y288" s="22">
        <f>F288/detalle!$D$2</f>
        <v>215.40950752423311</v>
      </c>
      <c r="AA288" s="14">
        <f>E288/(detalle!$D$2*1000000)</f>
        <v>1.4113565242667797E-2</v>
      </c>
      <c r="AB288" s="14">
        <f>F288/(detalle!$D$2*1000000)</f>
        <v>2.1540950752423313E-4</v>
      </c>
      <c r="AC288" s="31">
        <f>235/464</f>
        <v>0.50646551724137934</v>
      </c>
      <c r="AD288" s="31">
        <f>876/2786</f>
        <v>0.31442928930366115</v>
      </c>
      <c r="AE288" s="31">
        <f>131/377</f>
        <v>0.34748010610079577</v>
      </c>
      <c r="AF288" s="22">
        <f t="shared" si="64"/>
        <v>1</v>
      </c>
      <c r="AG288" s="12">
        <v>0</v>
      </c>
      <c r="AH288" s="12">
        <v>0</v>
      </c>
      <c r="AI288" s="20">
        <v>0</v>
      </c>
      <c r="AJ288" s="23">
        <f t="shared" si="65"/>
        <v>0</v>
      </c>
      <c r="AK288" s="23">
        <v>0</v>
      </c>
      <c r="AL288" s="28">
        <f>AK288/detalle!$D$2</f>
        <v>0</v>
      </c>
    </row>
    <row r="289" spans="1:38">
      <c r="A289" s="12">
        <v>288</v>
      </c>
      <c r="B289" s="19">
        <v>44178</v>
      </c>
      <c r="C289" s="12">
        <v>270</v>
      </c>
      <c r="D289" s="23">
        <f t="shared" si="61"/>
        <v>492</v>
      </c>
      <c r="E289" s="12">
        <v>155184</v>
      </c>
      <c r="F289" s="12">
        <v>2364</v>
      </c>
      <c r="G289" s="12">
        <v>121007</v>
      </c>
      <c r="H289" s="23">
        <f t="shared" si="57"/>
        <v>31813</v>
      </c>
      <c r="I289" s="23">
        <f t="shared" si="55"/>
        <v>2824</v>
      </c>
      <c r="J289" s="12">
        <v>793563</v>
      </c>
      <c r="K289" s="23">
        <f t="shared" si="56"/>
        <v>638379</v>
      </c>
      <c r="L289" s="9">
        <f t="shared" si="62"/>
        <v>526</v>
      </c>
      <c r="M289" s="14">
        <f t="shared" si="58"/>
        <v>1.5233529229817506E-2</v>
      </c>
      <c r="N289" s="14">
        <f t="shared" si="67"/>
        <v>0.17422096317280453</v>
      </c>
      <c r="O289" s="12"/>
      <c r="P289" s="12"/>
      <c r="Q289" s="12"/>
      <c r="R289" s="23">
        <f t="shared" si="59"/>
        <v>123371</v>
      </c>
      <c r="S289" s="25">
        <f>(((H289+R289)/(H288+R288))-1)+detalle!$D$1</f>
        <v>7.4609084965147315E-2</v>
      </c>
      <c r="T289" s="25">
        <f t="shared" si="63"/>
        <v>1.0445271895120625</v>
      </c>
      <c r="U289" s="10">
        <f t="shared" si="60"/>
        <v>0.77976466646045983</v>
      </c>
      <c r="V289" s="21">
        <f t="shared" si="66"/>
        <v>51.187394247038917</v>
      </c>
      <c r="W289" s="15">
        <f>J289/detalle!$D$2</f>
        <v>72401.954688459547</v>
      </c>
      <c r="X289" s="15">
        <f>E289/detalle!$D$2</f>
        <v>14158.45362797145</v>
      </c>
      <c r="Y289" s="22">
        <f>F289/detalle!$D$2</f>
        <v>215.68321719071881</v>
      </c>
      <c r="AA289" s="14">
        <f>E289/(detalle!$D$2*1000000)</f>
        <v>1.4158453627971449E-2</v>
      </c>
      <c r="AB289" s="14">
        <f>F289/(detalle!$D$2*1000000)</f>
        <v>2.1568321719071879E-4</v>
      </c>
      <c r="AC289" s="31">
        <f>234/465</f>
        <v>0.50322580645161286</v>
      </c>
      <c r="AD289" s="31">
        <f>863/2786</f>
        <v>0.30976310122038764</v>
      </c>
      <c r="AE289" s="31">
        <f>126/381</f>
        <v>0.33070866141732286</v>
      </c>
      <c r="AF289" s="22">
        <f t="shared" si="64"/>
        <v>3</v>
      </c>
      <c r="AG289" s="12">
        <v>0</v>
      </c>
      <c r="AH289" s="12">
        <v>0</v>
      </c>
      <c r="AI289" s="20">
        <v>0</v>
      </c>
      <c r="AJ289" s="23">
        <f t="shared" si="65"/>
        <v>0</v>
      </c>
      <c r="AK289" s="23">
        <v>0</v>
      </c>
      <c r="AL289" s="28">
        <f>AK289/detalle!$D$2</f>
        <v>0</v>
      </c>
    </row>
    <row r="290" spans="1:38">
      <c r="A290" s="12">
        <v>289</v>
      </c>
      <c r="B290" s="19">
        <v>44179</v>
      </c>
      <c r="C290" s="12">
        <v>271</v>
      </c>
      <c r="D290" s="23">
        <f t="shared" si="61"/>
        <v>613</v>
      </c>
      <c r="E290" s="12">
        <v>155797</v>
      </c>
      <c r="F290" s="12">
        <v>2367</v>
      </c>
      <c r="G290" s="12">
        <v>121323</v>
      </c>
      <c r="H290" s="23">
        <f t="shared" si="57"/>
        <v>32107</v>
      </c>
      <c r="I290" s="23">
        <f t="shared" si="55"/>
        <v>3808</v>
      </c>
      <c r="J290" s="12">
        <v>797371</v>
      </c>
      <c r="K290" s="23">
        <f t="shared" si="56"/>
        <v>641574</v>
      </c>
      <c r="L290" s="9">
        <f t="shared" si="62"/>
        <v>316</v>
      </c>
      <c r="M290" s="14">
        <f t="shared" si="58"/>
        <v>1.5192847102319043E-2</v>
      </c>
      <c r="N290" s="14">
        <f t="shared" si="67"/>
        <v>0.16097689075630253</v>
      </c>
      <c r="O290" s="12"/>
      <c r="P290" s="12"/>
      <c r="Q290" s="12"/>
      <c r="R290" s="23">
        <f t="shared" si="59"/>
        <v>123690</v>
      </c>
      <c r="S290" s="25">
        <f>(((H290+R290)/(H289+R289))-1)+detalle!$D$1</f>
        <v>7.5378720928519966E-2</v>
      </c>
      <c r="T290" s="25">
        <f t="shared" si="63"/>
        <v>1.0553020929992796</v>
      </c>
      <c r="U290" s="10">
        <f t="shared" si="60"/>
        <v>0.7787248791696888</v>
      </c>
      <c r="V290" s="21">
        <f t="shared" si="66"/>
        <v>51.256020278833965</v>
      </c>
      <c r="W290" s="15">
        <f>J290/detalle!$D$2</f>
        <v>72749.383491785382</v>
      </c>
      <c r="X290" s="15">
        <f>E290/detalle!$D$2</f>
        <v>14214.381636490025</v>
      </c>
      <c r="Y290" s="22">
        <f>F290/detalle!$D$2</f>
        <v>215.95692685720448</v>
      </c>
      <c r="AA290" s="14">
        <f>E290/(detalle!$D$2*1000000)</f>
        <v>1.4214381636490024E-2</v>
      </c>
      <c r="AB290" s="14">
        <f>F290/(detalle!$D$2*1000000)</f>
        <v>2.1595692685720449E-4</v>
      </c>
      <c r="AC290" s="31">
        <f>238/464</f>
        <v>0.51293103448275867</v>
      </c>
      <c r="AD290" s="31">
        <f>910/2754</f>
        <v>0.33042846768336964</v>
      </c>
      <c r="AE290" s="31">
        <f>116/379</f>
        <v>0.30606860158311344</v>
      </c>
      <c r="AF290" s="22">
        <f t="shared" si="64"/>
        <v>3</v>
      </c>
      <c r="AG290" s="12">
        <v>0</v>
      </c>
      <c r="AH290" s="12">
        <v>0</v>
      </c>
      <c r="AI290" s="20">
        <v>0</v>
      </c>
      <c r="AJ290" s="23">
        <f t="shared" si="65"/>
        <v>0</v>
      </c>
      <c r="AK290" s="23">
        <v>0</v>
      </c>
      <c r="AL290" s="28">
        <f>AK290/detalle!$D$2</f>
        <v>0</v>
      </c>
    </row>
    <row r="291" spans="1:38">
      <c r="A291" s="12">
        <v>290</v>
      </c>
      <c r="B291" s="19">
        <v>44180</v>
      </c>
      <c r="C291" s="12">
        <v>272</v>
      </c>
      <c r="D291" s="23">
        <f t="shared" si="61"/>
        <v>788</v>
      </c>
      <c r="E291" s="12">
        <v>156585</v>
      </c>
      <c r="F291" s="12">
        <v>2372</v>
      </c>
      <c r="G291" s="12">
        <v>121988</v>
      </c>
      <c r="H291" s="23">
        <f t="shared" si="57"/>
        <v>32225</v>
      </c>
      <c r="I291" s="23">
        <f t="shared" si="55"/>
        <v>4160</v>
      </c>
      <c r="J291" s="12">
        <v>801531</v>
      </c>
      <c r="K291" s="23">
        <f t="shared" si="56"/>
        <v>644946</v>
      </c>
      <c r="L291" s="9">
        <f t="shared" si="62"/>
        <v>665</v>
      </c>
      <c r="M291" s="14">
        <f t="shared" si="58"/>
        <v>1.5148321997637066E-2</v>
      </c>
      <c r="N291" s="14">
        <f t="shared" si="67"/>
        <v>0.18942307692307692</v>
      </c>
      <c r="O291" s="12"/>
      <c r="P291" s="12"/>
      <c r="Q291" s="12"/>
      <c r="R291" s="23">
        <f t="shared" si="59"/>
        <v>124360</v>
      </c>
      <c r="S291" s="25">
        <f>(((H291+R291)/(H290+R290))-1)+detalle!$D$1</f>
        <v>7.6486435187180374E-2</v>
      </c>
      <c r="T291" s="25">
        <f t="shared" si="63"/>
        <v>1.0708100926205253</v>
      </c>
      <c r="U291" s="10">
        <f t="shared" si="60"/>
        <v>0.77905291055975989</v>
      </c>
      <c r="V291" s="21">
        <f t="shared" si="66"/>
        <v>51.428330522765599</v>
      </c>
      <c r="W291" s="15">
        <f>J291/detalle!$D$2</f>
        <v>73128.927562645535</v>
      </c>
      <c r="X291" s="15">
        <f>E291/detalle!$D$2</f>
        <v>14286.276042220265</v>
      </c>
      <c r="Y291" s="22">
        <f>F291/detalle!$D$2</f>
        <v>216.41310963468064</v>
      </c>
      <c r="AA291" s="14">
        <f>E291/(detalle!$D$2*1000000)</f>
        <v>1.4286276042220264E-2</v>
      </c>
      <c r="AB291" s="14">
        <f>F291/(detalle!$D$2*1000000)</f>
        <v>2.1641310963468061E-4</v>
      </c>
      <c r="AC291" s="31">
        <f>235/458</f>
        <v>0.51310043668122274</v>
      </c>
      <c r="AD291" s="31">
        <f>833/2497</f>
        <v>0.33360032038446136</v>
      </c>
      <c r="AE291" s="31">
        <f>124/366</f>
        <v>0.33879781420765026</v>
      </c>
      <c r="AF291" s="22">
        <f t="shared" si="64"/>
        <v>5</v>
      </c>
      <c r="AG291" s="12">
        <v>0</v>
      </c>
      <c r="AH291" s="12">
        <v>0</v>
      </c>
      <c r="AI291" s="20">
        <v>0</v>
      </c>
      <c r="AJ291" s="23">
        <f t="shared" si="65"/>
        <v>0</v>
      </c>
      <c r="AK291" s="23">
        <v>0</v>
      </c>
      <c r="AL291" s="28">
        <f>AK291/detalle!$D$2</f>
        <v>0</v>
      </c>
    </row>
    <row r="292" spans="1:38">
      <c r="A292" s="12">
        <v>291</v>
      </c>
      <c r="B292" s="19">
        <v>44181</v>
      </c>
      <c r="C292" s="12">
        <v>273</v>
      </c>
      <c r="D292" s="23">
        <f t="shared" si="61"/>
        <v>720</v>
      </c>
      <c r="E292" s="12">
        <v>157305</v>
      </c>
      <c r="F292" s="12">
        <v>2375</v>
      </c>
      <c r="G292" s="12">
        <v>122205</v>
      </c>
      <c r="H292" s="23">
        <f t="shared" si="57"/>
        <v>32725</v>
      </c>
      <c r="I292" s="23">
        <f t="shared" si="55"/>
        <v>5049</v>
      </c>
      <c r="J292" s="12">
        <v>806580</v>
      </c>
      <c r="K292" s="23">
        <f t="shared" si="56"/>
        <v>649275</v>
      </c>
      <c r="L292" s="9">
        <f t="shared" si="62"/>
        <v>217</v>
      </c>
      <c r="M292" s="14">
        <f t="shared" si="58"/>
        <v>1.5098057912971617E-2</v>
      </c>
      <c r="N292" s="14">
        <f t="shared" si="67"/>
        <v>0.14260249554367202</v>
      </c>
      <c r="O292" s="12"/>
      <c r="P292" s="12"/>
      <c r="Q292" s="12"/>
      <c r="R292" s="23">
        <f t="shared" si="59"/>
        <v>124580</v>
      </c>
      <c r="S292" s="25">
        <f>(((H292+R292)/(H291+R291))-1)+detalle!$D$1</f>
        <v>7.6026713013014363E-2</v>
      </c>
      <c r="T292" s="25">
        <f t="shared" si="63"/>
        <v>1.0643739821822011</v>
      </c>
      <c r="U292" s="10">
        <f t="shared" si="60"/>
        <v>0.77686659673881953</v>
      </c>
      <c r="V292" s="21">
        <f t="shared" si="66"/>
        <v>51.454736842105262</v>
      </c>
      <c r="W292" s="15">
        <f>J292/detalle!$D$2</f>
        <v>73589.580931340941</v>
      </c>
      <c r="X292" s="15">
        <f>E292/detalle!$D$2</f>
        <v>14351.966362176829</v>
      </c>
      <c r="Y292" s="22">
        <f>F292/detalle!$D$2</f>
        <v>216.68681930116631</v>
      </c>
      <c r="AA292" s="14">
        <f>E292/(detalle!$D$2*1000000)</f>
        <v>1.4351966362176827E-2</v>
      </c>
      <c r="AB292" s="14">
        <f>F292/(detalle!$D$2*1000000)</f>
        <v>2.166868193011663E-4</v>
      </c>
      <c r="AC292" s="31">
        <f>245/445</f>
        <v>0.550561797752809</v>
      </c>
      <c r="AD292" s="31">
        <f>837/2506</f>
        <v>0.33399840383080609</v>
      </c>
      <c r="AE292" s="31">
        <f>127/367</f>
        <v>0.34604904632152589</v>
      </c>
      <c r="AF292" s="22">
        <f t="shared" si="64"/>
        <v>3</v>
      </c>
      <c r="AG292" s="12">
        <v>0</v>
      </c>
      <c r="AH292" s="12">
        <v>0</v>
      </c>
      <c r="AI292" s="20">
        <v>0</v>
      </c>
      <c r="AJ292" s="23">
        <f t="shared" si="65"/>
        <v>0</v>
      </c>
      <c r="AK292" s="23">
        <v>0</v>
      </c>
      <c r="AL292" s="28">
        <f>AK292/detalle!$D$2</f>
        <v>0</v>
      </c>
    </row>
    <row r="293" spans="1:38">
      <c r="A293" s="12">
        <v>292</v>
      </c>
      <c r="B293" s="19">
        <v>44182</v>
      </c>
      <c r="C293" s="12">
        <v>274</v>
      </c>
      <c r="D293" s="23">
        <f t="shared" si="61"/>
        <v>624</v>
      </c>
      <c r="E293" s="12">
        <v>157929</v>
      </c>
      <c r="F293" s="12">
        <v>2376</v>
      </c>
      <c r="G293" s="12">
        <v>122406</v>
      </c>
      <c r="H293" s="23">
        <f t="shared" si="57"/>
        <v>33147</v>
      </c>
      <c r="I293" s="23">
        <f t="shared" si="55"/>
        <v>4550</v>
      </c>
      <c r="J293" s="12">
        <v>811130</v>
      </c>
      <c r="K293" s="23">
        <f t="shared" si="56"/>
        <v>653201</v>
      </c>
      <c r="L293" s="9">
        <f t="shared" si="62"/>
        <v>201</v>
      </c>
      <c r="M293" s="14">
        <f t="shared" si="58"/>
        <v>1.504473529244154E-2</v>
      </c>
      <c r="N293" s="14">
        <f t="shared" si="67"/>
        <v>0.13714285714285715</v>
      </c>
      <c r="O293" s="12"/>
      <c r="P293" s="12"/>
      <c r="Q293" s="12"/>
      <c r="R293" s="23">
        <f t="shared" si="59"/>
        <v>124782</v>
      </c>
      <c r="S293" s="25">
        <f>(((H293+R293)/(H292+R292))-1)+detalle!$D$1</f>
        <v>7.5395387486547866E-2</v>
      </c>
      <c r="T293" s="25">
        <f t="shared" si="63"/>
        <v>1.0555354248116702</v>
      </c>
      <c r="U293" s="10">
        <f t="shared" si="60"/>
        <v>0.77506980985126228</v>
      </c>
      <c r="V293" s="21">
        <f t="shared" si="66"/>
        <v>51.517676767676768</v>
      </c>
      <c r="W293" s="15">
        <f>J293/detalle!$D$2</f>
        <v>74004.707258844224</v>
      </c>
      <c r="X293" s="15">
        <f>E293/detalle!$D$2</f>
        <v>14408.897972805849</v>
      </c>
      <c r="Y293" s="22">
        <f>F293/detalle!$D$2</f>
        <v>216.77805585666155</v>
      </c>
      <c r="AA293" s="14">
        <f>E293/(detalle!$D$2*1000000)</f>
        <v>1.440889797280585E-2</v>
      </c>
      <c r="AB293" s="14">
        <f>F293/(detalle!$D$2*1000000)</f>
        <v>2.1677805585666154E-4</v>
      </c>
      <c r="AC293" s="31">
        <f>254/463</f>
        <v>0.54859611231101513</v>
      </c>
      <c r="AD293" s="31">
        <f>862/2505</f>
        <v>0.34411177644710578</v>
      </c>
      <c r="AE293" s="31">
        <f>122/368</f>
        <v>0.33152173913043476</v>
      </c>
      <c r="AF293" s="22">
        <f t="shared" si="64"/>
        <v>1</v>
      </c>
      <c r="AG293" s="12">
        <v>0</v>
      </c>
      <c r="AH293" s="12">
        <v>0</v>
      </c>
      <c r="AI293" s="20">
        <v>0</v>
      </c>
      <c r="AJ293" s="23">
        <f t="shared" si="65"/>
        <v>0</v>
      </c>
      <c r="AK293" s="23">
        <v>0</v>
      </c>
      <c r="AL293" s="28">
        <f>AK293/detalle!$D$2</f>
        <v>0</v>
      </c>
    </row>
    <row r="294" spans="1:38">
      <c r="A294" s="12">
        <v>293</v>
      </c>
      <c r="B294" s="19">
        <v>44183</v>
      </c>
      <c r="C294" s="12">
        <v>275</v>
      </c>
      <c r="D294" s="23">
        <f t="shared" si="61"/>
        <v>1135</v>
      </c>
      <c r="E294" s="12">
        <v>159064</v>
      </c>
      <c r="F294" s="12">
        <v>2382</v>
      </c>
      <c r="G294" s="12">
        <v>123284</v>
      </c>
      <c r="H294" s="23">
        <f t="shared" si="57"/>
        <v>33398</v>
      </c>
      <c r="I294" s="23">
        <f t="shared" si="55"/>
        <v>6974</v>
      </c>
      <c r="J294" s="12">
        <v>818104</v>
      </c>
      <c r="K294" s="23">
        <f t="shared" si="56"/>
        <v>659040</v>
      </c>
      <c r="L294" s="9">
        <f t="shared" si="62"/>
        <v>878</v>
      </c>
      <c r="M294" s="14">
        <f t="shared" si="58"/>
        <v>1.4975104360508978E-2</v>
      </c>
      <c r="N294" s="14">
        <f t="shared" si="67"/>
        <v>0.16274734728993404</v>
      </c>
      <c r="O294" s="12"/>
      <c r="P294" s="12"/>
      <c r="Q294" s="12"/>
      <c r="R294" s="23">
        <f t="shared" si="59"/>
        <v>125666</v>
      </c>
      <c r="S294" s="25">
        <f>(((H294+R294)/(H293+R293))-1)+detalle!$D$1</f>
        <v>7.8615345231989348E-2</v>
      </c>
      <c r="T294" s="25">
        <f t="shared" si="63"/>
        <v>1.1006148332478509</v>
      </c>
      <c r="U294" s="10">
        <f t="shared" si="60"/>
        <v>0.77505909570990295</v>
      </c>
      <c r="V294" s="21">
        <f t="shared" si="66"/>
        <v>51.756507136859781</v>
      </c>
      <c r="W294" s="15">
        <f>J294/detalle!$D$2</f>
        <v>74640.990996867942</v>
      </c>
      <c r="X294" s="15">
        <f>E294/detalle!$D$2</f>
        <v>14512.451463292933</v>
      </c>
      <c r="Y294" s="22">
        <f>F294/detalle!$D$2</f>
        <v>217.3254751896329</v>
      </c>
      <c r="AA294" s="14">
        <f>E294/(detalle!$D$2*1000000)</f>
        <v>1.4512451463292933E-2</v>
      </c>
      <c r="AB294" s="14">
        <f>F294/(detalle!$D$2*1000000)</f>
        <v>2.1732547518963291E-4</v>
      </c>
      <c r="AC294" s="31">
        <f>259/464</f>
        <v>0.55818965517241381</v>
      </c>
      <c r="AD294" s="31">
        <f>881/2510</f>
        <v>0.35099601593625496</v>
      </c>
      <c r="AE294" s="31">
        <f>120/366</f>
        <v>0.32786885245901637</v>
      </c>
      <c r="AF294" s="22">
        <f t="shared" si="64"/>
        <v>6</v>
      </c>
      <c r="AG294" s="12">
        <v>0</v>
      </c>
      <c r="AH294" s="12">
        <v>0</v>
      </c>
      <c r="AI294" s="20">
        <v>0</v>
      </c>
      <c r="AJ294" s="23">
        <f t="shared" si="65"/>
        <v>0</v>
      </c>
      <c r="AK294" s="23">
        <v>0</v>
      </c>
      <c r="AL294" s="28">
        <f>AK294/detalle!$D$2</f>
        <v>0</v>
      </c>
    </row>
    <row r="295" spans="1:38">
      <c r="A295" s="12">
        <v>294</v>
      </c>
      <c r="B295" s="19">
        <v>44184</v>
      </c>
      <c r="C295" s="12">
        <v>276</v>
      </c>
      <c r="D295" s="23">
        <f t="shared" si="61"/>
        <v>1322</v>
      </c>
      <c r="E295" s="12">
        <v>160386</v>
      </c>
      <c r="F295" s="12">
        <v>2384</v>
      </c>
      <c r="G295" s="12">
        <v>124276</v>
      </c>
      <c r="H295" s="23">
        <f t="shared" si="57"/>
        <v>33726</v>
      </c>
      <c r="I295" s="23">
        <f t="shared" si="55"/>
        <v>7925</v>
      </c>
      <c r="J295" s="12">
        <v>826029</v>
      </c>
      <c r="K295" s="23">
        <f t="shared" si="56"/>
        <v>665643</v>
      </c>
      <c r="L295" s="9">
        <f t="shared" si="62"/>
        <v>992</v>
      </c>
      <c r="M295" s="14">
        <f t="shared" si="58"/>
        <v>1.4864140261618844E-2</v>
      </c>
      <c r="N295" s="14">
        <f t="shared" si="67"/>
        <v>0.16681388012618298</v>
      </c>
      <c r="O295" s="12"/>
      <c r="P295" s="12"/>
      <c r="Q295" s="12"/>
      <c r="R295" s="23">
        <f t="shared" si="59"/>
        <v>126660</v>
      </c>
      <c r="S295" s="25">
        <f>(((H295+R295)/(H294+R294))-1)+detalle!$D$1</f>
        <v>7.9739691480877478E-2</v>
      </c>
      <c r="T295" s="25">
        <f t="shared" si="63"/>
        <v>1.1163556807322847</v>
      </c>
      <c r="U295" s="10">
        <f t="shared" si="60"/>
        <v>0.77485566071851653</v>
      </c>
      <c r="V295" s="21">
        <f t="shared" si="66"/>
        <v>52.129194630872483</v>
      </c>
      <c r="W295" s="15">
        <f>J295/detalle!$D$2</f>
        <v>75364.040699167628</v>
      </c>
      <c r="X295" s="15">
        <f>E295/detalle!$D$2</f>
        <v>14633.066189657626</v>
      </c>
      <c r="Y295" s="22">
        <f>F295/detalle!$D$2</f>
        <v>217.50794830062335</v>
      </c>
      <c r="AA295" s="14">
        <f>E295/(detalle!$D$2*1000000)</f>
        <v>1.4633066189657625E-2</v>
      </c>
      <c r="AB295" s="14">
        <f>F295/(detalle!$D$2*1000000)</f>
        <v>2.1750794830062336E-4</v>
      </c>
      <c r="AC295" s="31">
        <f>247/464</f>
        <v>0.53232758620689657</v>
      </c>
      <c r="AD295" s="31">
        <f>892/2508</f>
        <v>0.35566188197767146</v>
      </c>
      <c r="AE295" s="31">
        <f>122/365</f>
        <v>0.33424657534246577</v>
      </c>
      <c r="AF295" s="22">
        <f t="shared" si="64"/>
        <v>2</v>
      </c>
      <c r="AG295" s="12">
        <v>0</v>
      </c>
      <c r="AH295" s="12">
        <v>0</v>
      </c>
      <c r="AI295" s="20">
        <v>0</v>
      </c>
      <c r="AJ295" s="23">
        <f t="shared" si="65"/>
        <v>0</v>
      </c>
      <c r="AK295" s="23">
        <v>0</v>
      </c>
      <c r="AL295" s="28">
        <f>AK295/detalle!$D$2</f>
        <v>0</v>
      </c>
    </row>
    <row r="296" spans="1:38">
      <c r="A296" s="12">
        <v>295</v>
      </c>
      <c r="B296" s="19">
        <v>44185</v>
      </c>
      <c r="C296" s="12">
        <v>277</v>
      </c>
      <c r="D296" s="23">
        <f t="shared" si="61"/>
        <v>666</v>
      </c>
      <c r="E296" s="12">
        <v>161052</v>
      </c>
      <c r="F296" s="12">
        <v>2385</v>
      </c>
      <c r="G296" s="12">
        <v>124931</v>
      </c>
      <c r="H296" s="23">
        <f t="shared" si="57"/>
        <v>33736</v>
      </c>
      <c r="I296" s="23">
        <f t="shared" si="55"/>
        <v>3752</v>
      </c>
      <c r="J296" s="12">
        <v>829781</v>
      </c>
      <c r="K296" s="23">
        <f t="shared" si="56"/>
        <v>668729</v>
      </c>
      <c r="L296" s="9">
        <f t="shared" si="62"/>
        <v>655</v>
      </c>
      <c r="M296" s="14">
        <f t="shared" si="58"/>
        <v>1.4808881603457268E-2</v>
      </c>
      <c r="N296" s="14">
        <f t="shared" si="67"/>
        <v>0.17750533049040512</v>
      </c>
      <c r="O296" s="12"/>
      <c r="P296" s="12"/>
      <c r="Q296" s="12"/>
      <c r="R296" s="23">
        <f t="shared" si="59"/>
        <v>127316</v>
      </c>
      <c r="S296" s="25">
        <f>(((H296+R296)/(H295+R295))-1)+detalle!$D$1</f>
        <v>7.5581053565416251E-2</v>
      </c>
      <c r="T296" s="25">
        <f t="shared" si="63"/>
        <v>1.0581347499158276</v>
      </c>
      <c r="U296" s="10">
        <f t="shared" si="60"/>
        <v>0.77571840151007132</v>
      </c>
      <c r="V296" s="21">
        <f t="shared" si="66"/>
        <v>52.38197064989518</v>
      </c>
      <c r="W296" s="15">
        <f>J296/detalle!$D$2</f>
        <v>75706.36025538572</v>
      </c>
      <c r="X296" s="15">
        <f>E296/detalle!$D$2</f>
        <v>14693.829735617446</v>
      </c>
      <c r="Y296" s="22">
        <f>F296/detalle!$D$2</f>
        <v>217.5991848561186</v>
      </c>
      <c r="AA296" s="14">
        <f>E296/(detalle!$D$2*1000000)</f>
        <v>1.4693829735617447E-2</v>
      </c>
      <c r="AB296" s="14">
        <f>F296/(detalle!$D$2*1000000)</f>
        <v>2.1759918485611857E-4</v>
      </c>
      <c r="AC296" s="31">
        <f>245/468</f>
        <v>0.52350427350427353</v>
      </c>
      <c r="AD296" s="31">
        <f>897/2503</f>
        <v>0.35836995605273669</v>
      </c>
      <c r="AE296" s="31">
        <f>124/365</f>
        <v>0.33972602739726027</v>
      </c>
      <c r="AF296" s="22">
        <f t="shared" si="64"/>
        <v>1</v>
      </c>
      <c r="AG296" s="12">
        <v>0</v>
      </c>
      <c r="AH296" s="12">
        <v>0</v>
      </c>
      <c r="AI296" s="20">
        <v>0</v>
      </c>
      <c r="AJ296" s="23">
        <f t="shared" si="65"/>
        <v>0</v>
      </c>
      <c r="AK296" s="23">
        <v>0</v>
      </c>
      <c r="AL296" s="28">
        <f>AK296/detalle!$D$2</f>
        <v>0</v>
      </c>
    </row>
    <row r="297" spans="1:38">
      <c r="A297" s="12">
        <v>296</v>
      </c>
      <c r="B297" s="19">
        <v>44186</v>
      </c>
      <c r="C297" s="12">
        <v>278</v>
      </c>
      <c r="D297" s="23">
        <f t="shared" si="61"/>
        <v>878</v>
      </c>
      <c r="E297" s="12">
        <v>161930</v>
      </c>
      <c r="F297" s="12">
        <v>2398</v>
      </c>
      <c r="G297" s="12">
        <v>125715</v>
      </c>
      <c r="H297" s="23">
        <f t="shared" si="57"/>
        <v>33817</v>
      </c>
      <c r="I297" s="23">
        <f t="shared" si="55"/>
        <v>5650</v>
      </c>
      <c r="J297" s="12">
        <v>835431</v>
      </c>
      <c r="K297" s="23">
        <f t="shared" si="56"/>
        <v>673501</v>
      </c>
      <c r="L297" s="9">
        <f t="shared" si="62"/>
        <v>784</v>
      </c>
      <c r="M297" s="14">
        <f t="shared" si="58"/>
        <v>1.4808868029395418E-2</v>
      </c>
      <c r="N297" s="14">
        <f t="shared" si="67"/>
        <v>0.15539823008849557</v>
      </c>
      <c r="O297" s="12"/>
      <c r="P297" s="12"/>
      <c r="Q297" s="12"/>
      <c r="R297" s="23">
        <f t="shared" si="59"/>
        <v>128113</v>
      </c>
      <c r="S297" s="25">
        <f>(((H297+R297)/(H296+R296))-1)+detalle!$D$1</f>
        <v>7.6880226794540124E-2</v>
      </c>
      <c r="T297" s="25">
        <f t="shared" si="63"/>
        <v>1.0763231751235618</v>
      </c>
      <c r="U297" s="10">
        <f t="shared" si="60"/>
        <v>0.77635398011486445</v>
      </c>
      <c r="V297" s="21">
        <f t="shared" si="66"/>
        <v>52.424937447873226</v>
      </c>
      <c r="W297" s="15">
        <f>J297/detalle!$D$2</f>
        <v>76221.846793933757</v>
      </c>
      <c r="X297" s="15">
        <f>E297/detalle!$D$2</f>
        <v>14773.935431342257</v>
      </c>
      <c r="Y297" s="22">
        <f>F297/detalle!$D$2</f>
        <v>218.78526007755656</v>
      </c>
      <c r="AA297" s="14">
        <f>E297/(detalle!$D$2*1000000)</f>
        <v>1.4773935431342257E-2</v>
      </c>
      <c r="AB297" s="14">
        <f>F297/(detalle!$D$2*1000000)</f>
        <v>2.1878526007755654E-4</v>
      </c>
      <c r="AC297" s="31">
        <f>246/464</f>
        <v>0.53017241379310343</v>
      </c>
      <c r="AD297" s="31">
        <f>867/2504</f>
        <v>0.34624600638977637</v>
      </c>
      <c r="AE297" s="31">
        <f>123/367</f>
        <v>0.33514986376021799</v>
      </c>
      <c r="AF297" s="22">
        <f t="shared" si="64"/>
        <v>13</v>
      </c>
      <c r="AG297" s="12">
        <v>0</v>
      </c>
      <c r="AH297" s="12">
        <v>0</v>
      </c>
      <c r="AI297" s="20">
        <v>0</v>
      </c>
      <c r="AJ297" s="23">
        <f t="shared" si="65"/>
        <v>0</v>
      </c>
      <c r="AK297" s="23">
        <v>0</v>
      </c>
      <c r="AL297" s="28">
        <f>AK297/detalle!$D$2</f>
        <v>0</v>
      </c>
    </row>
    <row r="298" spans="1:38">
      <c r="A298" s="12">
        <v>297</v>
      </c>
      <c r="B298" s="19">
        <v>44187</v>
      </c>
      <c r="C298" s="12">
        <v>279</v>
      </c>
      <c r="D298" s="23">
        <f t="shared" si="61"/>
        <v>566</v>
      </c>
      <c r="E298" s="12">
        <v>162496</v>
      </c>
      <c r="F298" s="12">
        <v>2401</v>
      </c>
      <c r="G298" s="12">
        <v>125965</v>
      </c>
      <c r="H298" s="23">
        <f t="shared" si="57"/>
        <v>34130</v>
      </c>
      <c r="I298" s="23">
        <f t="shared" si="55"/>
        <v>3353</v>
      </c>
      <c r="J298" s="12">
        <v>838784</v>
      </c>
      <c r="K298" s="23">
        <f t="shared" si="56"/>
        <v>676288</v>
      </c>
      <c r="L298" s="9">
        <f t="shared" si="62"/>
        <v>250</v>
      </c>
      <c r="M298" s="14">
        <f t="shared" si="58"/>
        <v>1.4775748326112642E-2</v>
      </c>
      <c r="N298" s="14">
        <f t="shared" si="67"/>
        <v>0.16880405606919177</v>
      </c>
      <c r="O298" s="12"/>
      <c r="P298" s="12"/>
      <c r="Q298" s="12"/>
      <c r="R298" s="23">
        <f t="shared" si="59"/>
        <v>128366</v>
      </c>
      <c r="S298" s="25">
        <f>(((H298+R298)/(H297+R297))-1)+detalle!$D$1</f>
        <v>7.492390892008019E-2</v>
      </c>
      <c r="T298" s="25">
        <f t="shared" si="63"/>
        <v>1.0489347248811227</v>
      </c>
      <c r="U298" s="10">
        <f t="shared" si="60"/>
        <v>0.77518831232768803</v>
      </c>
      <c r="V298" s="21">
        <f t="shared" si="66"/>
        <v>52.463556851311957</v>
      </c>
      <c r="W298" s="15">
        <f>J298/detalle!$D$2</f>
        <v>76527.762964509253</v>
      </c>
      <c r="X298" s="15">
        <f>E298/detalle!$D$2</f>
        <v>14825.575321752556</v>
      </c>
      <c r="Y298" s="22">
        <f>F298/detalle!$D$2</f>
        <v>219.05896974404223</v>
      </c>
      <c r="AA298" s="14">
        <f>E298/(detalle!$D$2*1000000)</f>
        <v>1.4825575321752556E-2</v>
      </c>
      <c r="AB298" s="14">
        <f>F298/(detalle!$D$2*1000000)</f>
        <v>2.1905896974404223E-4</v>
      </c>
      <c r="AC298" s="31">
        <f>245/458</f>
        <v>0.53493449781659386</v>
      </c>
      <c r="AD298" s="31">
        <f>861/2509</f>
        <v>0.34316460741331206</v>
      </c>
      <c r="AE298" s="31">
        <f>129/367</f>
        <v>0.35149863760217986</v>
      </c>
      <c r="AF298" s="22">
        <f t="shared" si="64"/>
        <v>3</v>
      </c>
      <c r="AG298" s="12">
        <v>0</v>
      </c>
      <c r="AH298" s="12">
        <v>0</v>
      </c>
      <c r="AI298" s="20">
        <v>0</v>
      </c>
      <c r="AJ298" s="23">
        <f t="shared" si="65"/>
        <v>0</v>
      </c>
      <c r="AK298" s="23">
        <v>0</v>
      </c>
      <c r="AL298" s="28">
        <f>AK298/detalle!$D$2</f>
        <v>0</v>
      </c>
    </row>
    <row r="299" spans="1:38">
      <c r="A299" s="12">
        <v>298</v>
      </c>
      <c r="B299" s="19">
        <v>44188</v>
      </c>
      <c r="C299" s="12">
        <v>280</v>
      </c>
      <c r="D299" s="23">
        <f t="shared" si="61"/>
        <v>1158</v>
      </c>
      <c r="E299" s="12">
        <v>163654</v>
      </c>
      <c r="F299" s="12">
        <v>2404</v>
      </c>
      <c r="G299" s="12">
        <v>126732</v>
      </c>
      <c r="H299" s="23">
        <f t="shared" si="57"/>
        <v>34518</v>
      </c>
      <c r="I299" s="23">
        <f t="shared" ref="I299:I362" si="68">J299-J298</f>
        <v>4609</v>
      </c>
      <c r="J299" s="12">
        <v>843393</v>
      </c>
      <c r="K299" s="23">
        <f t="shared" si="56"/>
        <v>679739</v>
      </c>
      <c r="L299" s="9">
        <f t="shared" si="62"/>
        <v>767</v>
      </c>
      <c r="M299" s="14">
        <f t="shared" si="58"/>
        <v>1.4689527906436751E-2</v>
      </c>
      <c r="N299" s="14">
        <f t="shared" si="67"/>
        <v>0.25124755912345409</v>
      </c>
      <c r="O299" s="12"/>
      <c r="P299" s="12"/>
      <c r="Q299" s="12"/>
      <c r="R299" s="23">
        <f t="shared" si="59"/>
        <v>129136</v>
      </c>
      <c r="S299" s="25">
        <f>(((H299+R299)/(H298+R298))-1)+detalle!$D$1</f>
        <v>7.8554900692060975E-2</v>
      </c>
      <c r="T299" s="25">
        <f t="shared" si="63"/>
        <v>1.0997686096888537</v>
      </c>
      <c r="U299" s="10">
        <f t="shared" si="60"/>
        <v>0.77438987131386949</v>
      </c>
      <c r="V299" s="21">
        <f t="shared" si="66"/>
        <v>52.717138103161396</v>
      </c>
      <c r="W299" s="15">
        <f>J299/detalle!$D$2</f>
        <v>76948.272248786758</v>
      </c>
      <c r="X299" s="15">
        <f>E299/detalle!$D$2</f>
        <v>14931.22725301603</v>
      </c>
      <c r="Y299" s="22">
        <f>F299/detalle!$D$2</f>
        <v>219.33267941052793</v>
      </c>
      <c r="AA299" s="14">
        <f>E299/(detalle!$D$2*1000000)</f>
        <v>1.493122725301603E-2</v>
      </c>
      <c r="AB299" s="14">
        <f>F299/(detalle!$D$2*1000000)</f>
        <v>2.1933267941052793E-4</v>
      </c>
      <c r="AC299" s="31">
        <f>242/453</f>
        <v>0.5342163355408388</v>
      </c>
      <c r="AD299" s="31">
        <f>881/2507</f>
        <v>0.35141603510171521</v>
      </c>
      <c r="AE299" s="31">
        <f>129/367</f>
        <v>0.35149863760217986</v>
      </c>
      <c r="AF299" s="22">
        <f t="shared" si="64"/>
        <v>3</v>
      </c>
      <c r="AG299" s="12">
        <v>0</v>
      </c>
      <c r="AH299" s="12">
        <v>0</v>
      </c>
      <c r="AI299" s="20">
        <v>0</v>
      </c>
      <c r="AJ299" s="23">
        <f t="shared" si="65"/>
        <v>0</v>
      </c>
      <c r="AK299" s="23">
        <v>0</v>
      </c>
      <c r="AL299" s="28">
        <f>AK299/detalle!$D$2</f>
        <v>0</v>
      </c>
    </row>
    <row r="300" spans="1:38">
      <c r="A300" s="12">
        <v>299</v>
      </c>
      <c r="B300" s="19">
        <v>44189</v>
      </c>
      <c r="C300" s="12">
        <v>281</v>
      </c>
      <c r="D300" s="23">
        <f t="shared" si="61"/>
        <v>1381</v>
      </c>
      <c r="E300" s="12">
        <v>165035</v>
      </c>
      <c r="F300" s="12">
        <v>2404</v>
      </c>
      <c r="G300" s="12">
        <v>127106</v>
      </c>
      <c r="H300" s="23">
        <f t="shared" si="57"/>
        <v>35525</v>
      </c>
      <c r="I300" s="23">
        <f t="shared" si="68"/>
        <v>6689</v>
      </c>
      <c r="J300" s="12">
        <v>850082</v>
      </c>
      <c r="K300" s="23">
        <f t="shared" si="56"/>
        <v>685047</v>
      </c>
      <c r="L300" s="9">
        <f t="shared" si="62"/>
        <v>374</v>
      </c>
      <c r="M300" s="14">
        <f t="shared" si="58"/>
        <v>1.4566607083345957E-2</v>
      </c>
      <c r="N300" s="14">
        <f t="shared" si="67"/>
        <v>0.20645836447899538</v>
      </c>
      <c r="O300" s="12"/>
      <c r="P300" s="12"/>
      <c r="Q300" s="12"/>
      <c r="R300" s="23">
        <f t="shared" si="59"/>
        <v>129510</v>
      </c>
      <c r="S300" s="25">
        <f>(((H300+R300)/(H299+R299))-1)+detalle!$D$1</f>
        <v>7.986710638647046E-2</v>
      </c>
      <c r="T300" s="25">
        <f t="shared" si="63"/>
        <v>1.1181394894105865</v>
      </c>
      <c r="U300" s="10">
        <f t="shared" si="60"/>
        <v>0.77017602326779167</v>
      </c>
      <c r="V300" s="21">
        <f t="shared" si="66"/>
        <v>52.872712146422629</v>
      </c>
      <c r="W300" s="15">
        <f>J300/detalle!$D$2</f>
        <v>77558.553568494346</v>
      </c>
      <c r="X300" s="15">
        <f>E300/detalle!$D$2</f>
        <v>15057.22493615494</v>
      </c>
      <c r="Y300" s="22">
        <f>F300/detalle!$D$2</f>
        <v>219.33267941052793</v>
      </c>
      <c r="AA300" s="14">
        <f>E300/(detalle!$D$2*1000000)</f>
        <v>1.5057224936154939E-2</v>
      </c>
      <c r="AB300" s="14">
        <f>F300/(detalle!$D$2*1000000)</f>
        <v>2.1933267941052793E-4</v>
      </c>
      <c r="AC300" s="31">
        <f>224/448</f>
        <v>0.5</v>
      </c>
      <c r="AD300" s="31">
        <f>874/2507</f>
        <v>0.34862385321100919</v>
      </c>
      <c r="AE300" s="31">
        <f>118/367</f>
        <v>0.32152588555858308</v>
      </c>
      <c r="AF300" s="22">
        <f t="shared" si="64"/>
        <v>0</v>
      </c>
      <c r="AG300" s="12">
        <v>0</v>
      </c>
      <c r="AH300" s="12">
        <v>0</v>
      </c>
      <c r="AI300" s="20">
        <v>0</v>
      </c>
      <c r="AJ300" s="23">
        <f t="shared" si="65"/>
        <v>0</v>
      </c>
      <c r="AK300" s="23">
        <v>0</v>
      </c>
      <c r="AL300" s="28">
        <f>AK300/detalle!$D$2</f>
        <v>0</v>
      </c>
    </row>
    <row r="301" spans="1:38">
      <c r="A301" s="12">
        <v>300</v>
      </c>
      <c r="B301" s="19">
        <v>44190</v>
      </c>
      <c r="C301" s="12">
        <v>282</v>
      </c>
      <c r="D301" s="23">
        <f t="shared" si="61"/>
        <v>905</v>
      </c>
      <c r="E301" s="12">
        <v>165940</v>
      </c>
      <c r="F301" s="12">
        <v>2404</v>
      </c>
      <c r="G301" s="12">
        <v>127866</v>
      </c>
      <c r="H301" s="23">
        <f t="shared" si="57"/>
        <v>35670</v>
      </c>
      <c r="I301" s="23">
        <f t="shared" si="68"/>
        <v>2965</v>
      </c>
      <c r="J301" s="12">
        <v>853047</v>
      </c>
      <c r="K301" s="23">
        <f t="shared" si="56"/>
        <v>687107</v>
      </c>
      <c r="L301" s="9">
        <f t="shared" si="62"/>
        <v>760</v>
      </c>
      <c r="M301" s="14">
        <f t="shared" si="58"/>
        <v>1.4487164035193444E-2</v>
      </c>
      <c r="N301" s="14">
        <f t="shared" si="67"/>
        <v>0.30522765598650925</v>
      </c>
      <c r="O301" s="12"/>
      <c r="P301" s="12"/>
      <c r="Q301" s="12"/>
      <c r="R301" s="23">
        <f t="shared" si="59"/>
        <v>130270</v>
      </c>
      <c r="S301" s="25">
        <f>(((H301+R301)/(H300+R300))-1)+detalle!$D$1</f>
        <v>7.6912256707451637E-2</v>
      </c>
      <c r="T301" s="25">
        <f t="shared" si="63"/>
        <v>1.076771593904323</v>
      </c>
      <c r="U301" s="10">
        <f t="shared" si="60"/>
        <v>0.77055562251416176</v>
      </c>
      <c r="V301" s="21">
        <f t="shared" si="66"/>
        <v>53.188851913477535</v>
      </c>
      <c r="W301" s="15">
        <f>J301/detalle!$D$2</f>
        <v>77829.069955537692</v>
      </c>
      <c r="X301" s="15">
        <f>E301/detalle!$D$2</f>
        <v>15139.794018878121</v>
      </c>
      <c r="Y301" s="22">
        <f>F301/detalle!$D$2</f>
        <v>219.33267941052793</v>
      </c>
      <c r="AA301" s="14">
        <f>E301/(detalle!$D$2*1000000)</f>
        <v>1.5139794018878121E-2</v>
      </c>
      <c r="AB301" s="14">
        <f>F301/(detalle!$D$2*1000000)</f>
        <v>2.1933267941052793E-4</v>
      </c>
      <c r="AC301" s="31">
        <f>233/450</f>
        <v>0.51777777777777778</v>
      </c>
      <c r="AD301" s="31">
        <f>843/2505</f>
        <v>0.33652694610778444</v>
      </c>
      <c r="AE301" s="31">
        <f>118/367</f>
        <v>0.32152588555858308</v>
      </c>
      <c r="AF301" s="22">
        <f t="shared" si="64"/>
        <v>0</v>
      </c>
      <c r="AG301" s="12">
        <v>0</v>
      </c>
      <c r="AH301" s="12">
        <v>0</v>
      </c>
      <c r="AI301" s="20">
        <v>0</v>
      </c>
      <c r="AJ301" s="23">
        <f t="shared" si="65"/>
        <v>0</v>
      </c>
      <c r="AK301" s="23">
        <v>0</v>
      </c>
      <c r="AL301" s="28">
        <f>AK301/detalle!$D$2</f>
        <v>0</v>
      </c>
    </row>
    <row r="302" spans="1:38">
      <c r="A302" s="12">
        <v>301</v>
      </c>
      <c r="B302" s="19">
        <v>44191</v>
      </c>
      <c r="C302" s="12">
        <v>283</v>
      </c>
      <c r="D302" s="23">
        <f t="shared" si="61"/>
        <v>824</v>
      </c>
      <c r="E302" s="12">
        <v>166764</v>
      </c>
      <c r="F302" s="12">
        <v>2404</v>
      </c>
      <c r="G302" s="12">
        <v>128604</v>
      </c>
      <c r="H302" s="23">
        <f t="shared" si="57"/>
        <v>35756</v>
      </c>
      <c r="I302" s="23">
        <f t="shared" si="68"/>
        <v>2808</v>
      </c>
      <c r="J302" s="12">
        <v>855855</v>
      </c>
      <c r="K302" s="23">
        <f t="shared" si="56"/>
        <v>689091</v>
      </c>
      <c r="L302" s="9">
        <f t="shared" si="62"/>
        <v>738</v>
      </c>
      <c r="M302" s="14">
        <f t="shared" si="58"/>
        <v>1.4415581300520496E-2</v>
      </c>
      <c r="N302" s="14">
        <f t="shared" si="67"/>
        <v>0.29344729344729342</v>
      </c>
      <c r="O302" s="12"/>
      <c r="P302" s="12"/>
      <c r="Q302" s="12"/>
      <c r="R302" s="23">
        <f t="shared" si="59"/>
        <v>131008</v>
      </c>
      <c r="S302" s="25">
        <f>(((H302+R302)/(H301+R301))-1)+detalle!$D$1</f>
        <v>7.6394221663596024E-2</v>
      </c>
      <c r="T302" s="25">
        <f t="shared" si="63"/>
        <v>1.0695191032903444</v>
      </c>
      <c r="U302" s="10">
        <f t="shared" si="60"/>
        <v>0.77117363459739507</v>
      </c>
      <c r="V302" s="21">
        <f t="shared" si="66"/>
        <v>53.495840266222963</v>
      </c>
      <c r="W302" s="15">
        <f>J302/detalle!$D$2</f>
        <v>78085.262203368286</v>
      </c>
      <c r="X302" s="15">
        <f>E302/detalle!$D$2</f>
        <v>15214.972940606189</v>
      </c>
      <c r="Y302" s="22">
        <f>F302/detalle!$D$2</f>
        <v>219.33267941052793</v>
      </c>
      <c r="AA302" s="14">
        <f>E302/(detalle!$D$2*1000000)</f>
        <v>1.5214972940606189E-2</v>
      </c>
      <c r="AB302" s="14">
        <f>F302/(detalle!$D$2*1000000)</f>
        <v>2.1933267941052793E-4</v>
      </c>
      <c r="AC302" s="31">
        <f>228/449</f>
        <v>0.50779510022271712</v>
      </c>
      <c r="AD302" s="31">
        <f>830/2526</f>
        <v>0.32858273950910533</v>
      </c>
      <c r="AE302" s="31">
        <f>121/365</f>
        <v>0.33150684931506852</v>
      </c>
      <c r="AF302" s="22">
        <f t="shared" si="64"/>
        <v>0</v>
      </c>
      <c r="AG302" s="12">
        <v>0</v>
      </c>
      <c r="AH302" s="12">
        <v>0</v>
      </c>
      <c r="AI302" s="20">
        <v>0</v>
      </c>
      <c r="AJ302" s="23">
        <f t="shared" si="65"/>
        <v>0</v>
      </c>
      <c r="AK302" s="23">
        <v>0</v>
      </c>
      <c r="AL302" s="28">
        <f>AK302/detalle!$D$2</f>
        <v>0</v>
      </c>
    </row>
    <row r="303" spans="1:38">
      <c r="A303" s="12">
        <v>302</v>
      </c>
      <c r="B303" s="19">
        <v>44192</v>
      </c>
      <c r="C303" s="12">
        <v>284</v>
      </c>
      <c r="D303" s="23">
        <f t="shared" si="61"/>
        <v>641</v>
      </c>
      <c r="E303" s="12">
        <v>167405</v>
      </c>
      <c r="F303" s="12">
        <v>2404</v>
      </c>
      <c r="G303" s="12">
        <v>129306</v>
      </c>
      <c r="H303" s="23">
        <f t="shared" si="57"/>
        <v>35695</v>
      </c>
      <c r="I303" s="23">
        <f t="shared" si="68"/>
        <v>2040</v>
      </c>
      <c r="J303" s="12">
        <v>857895</v>
      </c>
      <c r="K303" s="23">
        <f t="shared" si="56"/>
        <v>690490</v>
      </c>
      <c r="L303" s="9">
        <f t="shared" si="62"/>
        <v>702</v>
      </c>
      <c r="M303" s="14">
        <f t="shared" si="58"/>
        <v>1.436038350109017E-2</v>
      </c>
      <c r="N303" s="14">
        <f t="shared" si="67"/>
        <v>0.3142156862745098</v>
      </c>
      <c r="O303" s="12"/>
      <c r="P303" s="12"/>
      <c r="Q303" s="12"/>
      <c r="R303" s="23">
        <f t="shared" si="59"/>
        <v>131710</v>
      </c>
      <c r="S303" s="25">
        <f>(((H303+R303)/(H302+R302))-1)+detalle!$D$1</f>
        <v>7.5272326675507123E-2</v>
      </c>
      <c r="T303" s="25">
        <f t="shared" si="63"/>
        <v>1.0538125734570998</v>
      </c>
      <c r="U303" s="10">
        <f t="shared" si="60"/>
        <v>0.77241420507153313</v>
      </c>
      <c r="V303" s="21">
        <f t="shared" si="66"/>
        <v>53.787853577371045</v>
      </c>
      <c r="W303" s="15">
        <f>J303/detalle!$D$2</f>
        <v>78271.384776578561</v>
      </c>
      <c r="X303" s="15">
        <f>E303/detalle!$D$2</f>
        <v>15273.455572678629</v>
      </c>
      <c r="Y303" s="22">
        <f>F303/detalle!$D$2</f>
        <v>219.33267941052793</v>
      </c>
      <c r="AA303" s="14">
        <f>E303/(detalle!$D$2*1000000)</f>
        <v>1.527345557267863E-2</v>
      </c>
      <c r="AB303" s="14">
        <f>F303/(detalle!$D$2*1000000)</f>
        <v>2.1933267941052793E-4</v>
      </c>
      <c r="AC303" s="31">
        <f>233/449</f>
        <v>0.51893095768374164</v>
      </c>
      <c r="AD303" s="31">
        <f>857/2626</f>
        <v>0.32635186595582633</v>
      </c>
      <c r="AE303" s="31">
        <f>123/365</f>
        <v>0.33698630136986302</v>
      </c>
      <c r="AF303" s="22">
        <f t="shared" si="64"/>
        <v>0</v>
      </c>
      <c r="AG303" s="12">
        <v>0</v>
      </c>
      <c r="AH303" s="12">
        <v>0</v>
      </c>
      <c r="AI303" s="20">
        <v>0</v>
      </c>
      <c r="AJ303" s="23">
        <f t="shared" si="65"/>
        <v>0</v>
      </c>
      <c r="AK303" s="23">
        <v>0</v>
      </c>
      <c r="AL303" s="28">
        <f>AK303/detalle!$D$2</f>
        <v>0</v>
      </c>
    </row>
    <row r="304" spans="1:38">
      <c r="A304" s="12">
        <v>303</v>
      </c>
      <c r="B304" s="19">
        <v>44193</v>
      </c>
      <c r="C304" s="12">
        <v>285</v>
      </c>
      <c r="D304" s="23">
        <f t="shared" si="61"/>
        <v>860</v>
      </c>
      <c r="E304" s="12">
        <v>168265</v>
      </c>
      <c r="F304" s="12">
        <v>2405</v>
      </c>
      <c r="G304" s="12">
        <v>129965</v>
      </c>
      <c r="H304" s="23">
        <f t="shared" si="57"/>
        <v>35895</v>
      </c>
      <c r="I304" s="23">
        <f t="shared" si="68"/>
        <v>2311</v>
      </c>
      <c r="J304" s="12">
        <v>860206</v>
      </c>
      <c r="K304" s="23">
        <f t="shared" ref="K304:K367" si="69">J304-E304</f>
        <v>691941</v>
      </c>
      <c r="L304" s="9">
        <f t="shared" si="62"/>
        <v>659</v>
      </c>
      <c r="M304" s="14">
        <f t="shared" si="58"/>
        <v>1.4292930793688527E-2</v>
      </c>
      <c r="N304" s="14">
        <f t="shared" si="67"/>
        <v>0.37213327563825183</v>
      </c>
      <c r="O304" s="12"/>
      <c r="P304" s="12"/>
      <c r="Q304" s="12"/>
      <c r="R304" s="23">
        <f t="shared" si="59"/>
        <v>132370</v>
      </c>
      <c r="S304" s="25">
        <f>(((H304+R304)/(H303+R303))-1)+detalle!$D$1</f>
        <v>7.6565813446432235E-2</v>
      </c>
      <c r="T304" s="25">
        <f t="shared" si="63"/>
        <v>1.0719213882500513</v>
      </c>
      <c r="U304" s="10">
        <f t="shared" si="60"/>
        <v>0.77238284848304761</v>
      </c>
      <c r="V304" s="21">
        <f t="shared" si="66"/>
        <v>54.03950103950104</v>
      </c>
      <c r="W304" s="15">
        <f>J304/detalle!$D$2</f>
        <v>78482.232456328027</v>
      </c>
      <c r="X304" s="15">
        <f>E304/detalle!$D$2</f>
        <v>15351.919010404526</v>
      </c>
      <c r="Y304" s="22">
        <f>F304/detalle!$D$2</f>
        <v>219.42391596602315</v>
      </c>
      <c r="AA304" s="14">
        <f>E304/(detalle!$D$2*1000000)</f>
        <v>1.5351919010404525E-2</v>
      </c>
      <c r="AB304" s="14">
        <f>F304/(detalle!$D$2*1000000)</f>
        <v>2.1942391596602314E-4</v>
      </c>
      <c r="AC304" s="31">
        <f>246/440</f>
        <v>0.55909090909090908</v>
      </c>
      <c r="AD304" s="31">
        <f>901/2493</f>
        <v>0.36141195346971522</v>
      </c>
      <c r="AE304" s="31">
        <f>121/358</f>
        <v>0.33798882681564246</v>
      </c>
      <c r="AF304" s="22">
        <f t="shared" si="64"/>
        <v>1</v>
      </c>
      <c r="AG304" s="12">
        <v>0</v>
      </c>
      <c r="AH304" s="12">
        <v>0</v>
      </c>
      <c r="AI304" s="20">
        <v>0</v>
      </c>
      <c r="AJ304" s="23">
        <f t="shared" si="65"/>
        <v>0</v>
      </c>
      <c r="AK304" s="23">
        <v>0</v>
      </c>
      <c r="AL304" s="28">
        <f>AK304/detalle!$D$2</f>
        <v>0</v>
      </c>
    </row>
    <row r="305" spans="1:38">
      <c r="A305" s="12">
        <v>304</v>
      </c>
      <c r="B305" s="19">
        <v>44194</v>
      </c>
      <c r="C305" s="12">
        <v>286</v>
      </c>
      <c r="D305" s="23">
        <f t="shared" si="61"/>
        <v>1314</v>
      </c>
      <c r="E305" s="12">
        <v>169579</v>
      </c>
      <c r="F305" s="12">
        <v>2409</v>
      </c>
      <c r="G305" s="12">
        <v>130264</v>
      </c>
      <c r="H305" s="23">
        <f t="shared" si="57"/>
        <v>36906</v>
      </c>
      <c r="I305" s="23">
        <f t="shared" si="68"/>
        <v>5388</v>
      </c>
      <c r="J305" s="12">
        <v>865594</v>
      </c>
      <c r="K305" s="23">
        <f t="shared" si="69"/>
        <v>696015</v>
      </c>
      <c r="L305" s="9">
        <f t="shared" si="62"/>
        <v>299</v>
      </c>
      <c r="M305" s="14">
        <f t="shared" si="58"/>
        <v>1.4205768402927249E-2</v>
      </c>
      <c r="N305" s="14">
        <f t="shared" si="67"/>
        <v>0.24387527839643652</v>
      </c>
      <c r="O305" s="12"/>
      <c r="P305" s="12"/>
      <c r="Q305" s="12"/>
      <c r="R305" s="23">
        <f t="shared" si="59"/>
        <v>132673</v>
      </c>
      <c r="S305" s="25">
        <f>(((H305+R305)/(H304+R304))-1)+detalle!$D$1</f>
        <v>7.923768205763862E-2</v>
      </c>
      <c r="T305" s="25">
        <f t="shared" si="63"/>
        <v>1.1093275488069407</v>
      </c>
      <c r="U305" s="10">
        <f t="shared" si="60"/>
        <v>0.76816115202943758</v>
      </c>
      <c r="V305" s="21">
        <f t="shared" si="66"/>
        <v>54.073889580738893</v>
      </c>
      <c r="W305" s="15">
        <f>J305/detalle!$D$2</f>
        <v>78973.81501733631</v>
      </c>
      <c r="X305" s="15">
        <f>E305/detalle!$D$2</f>
        <v>15471.803844325255</v>
      </c>
      <c r="Y305" s="22">
        <f>F305/detalle!$D$2</f>
        <v>219.78886218800406</v>
      </c>
      <c r="AA305" s="14">
        <f>E305/(detalle!$D$2*1000000)</f>
        <v>1.5471803844325255E-2</v>
      </c>
      <c r="AB305" s="14">
        <f>F305/(detalle!$D$2*1000000)</f>
        <v>2.1978886218800405E-4</v>
      </c>
      <c r="AC305" s="31">
        <f>256/448</f>
        <v>0.5714285714285714</v>
      </c>
      <c r="AD305" s="31">
        <f>985/2538</f>
        <v>0.38810086682427108</v>
      </c>
      <c r="AE305" s="31">
        <f>133/364</f>
        <v>0.36538461538461536</v>
      </c>
      <c r="AF305" s="22">
        <f t="shared" si="64"/>
        <v>4</v>
      </c>
      <c r="AG305" s="12">
        <v>0</v>
      </c>
      <c r="AH305" s="12">
        <v>0</v>
      </c>
      <c r="AI305" s="20">
        <v>0</v>
      </c>
      <c r="AJ305" s="23">
        <f t="shared" si="65"/>
        <v>0</v>
      </c>
      <c r="AK305" s="23">
        <v>0</v>
      </c>
      <c r="AL305" s="28">
        <f>AK305/detalle!$D$2</f>
        <v>0</v>
      </c>
    </row>
    <row r="306" spans="1:38">
      <c r="A306" s="12">
        <v>305</v>
      </c>
      <c r="B306" s="19">
        <v>44195</v>
      </c>
      <c r="C306" s="12">
        <v>287</v>
      </c>
      <c r="D306" s="23">
        <f t="shared" si="61"/>
        <v>1206</v>
      </c>
      <c r="E306" s="12">
        <v>170785</v>
      </c>
      <c r="F306" s="12">
        <v>2414</v>
      </c>
      <c r="G306" s="12">
        <v>131185</v>
      </c>
      <c r="H306" s="23">
        <f t="shared" si="57"/>
        <v>37186</v>
      </c>
      <c r="I306" s="23">
        <f t="shared" si="68"/>
        <v>4266</v>
      </c>
      <c r="J306" s="12">
        <v>869860</v>
      </c>
      <c r="K306" s="23">
        <f t="shared" si="69"/>
        <v>699075</v>
      </c>
      <c r="L306" s="9">
        <f t="shared" si="62"/>
        <v>921</v>
      </c>
      <c r="M306" s="14">
        <f t="shared" si="58"/>
        <v>1.4134730801885412E-2</v>
      </c>
      <c r="N306" s="14">
        <f t="shared" si="67"/>
        <v>0.28270042194092826</v>
      </c>
      <c r="O306" s="12"/>
      <c r="P306" s="12"/>
      <c r="Q306" s="12"/>
      <c r="R306" s="23">
        <f t="shared" si="59"/>
        <v>133599</v>
      </c>
      <c r="S306" s="25">
        <f>(((H306+R306)/(H305+R305))-1)+detalle!$D$1</f>
        <v>7.8540301064906198E-2</v>
      </c>
      <c r="T306" s="25">
        <f t="shared" si="63"/>
        <v>1.0995642149086868</v>
      </c>
      <c r="U306" s="10">
        <f t="shared" si="60"/>
        <v>0.76812951957139097</v>
      </c>
      <c r="V306" s="21">
        <f t="shared" si="66"/>
        <v>54.343413421706714</v>
      </c>
      <c r="W306" s="15">
        <f>J306/detalle!$D$2</f>
        <v>79363.030163078962</v>
      </c>
      <c r="X306" s="15">
        <f>E306/detalle!$D$2</f>
        <v>15581.835130252501</v>
      </c>
      <c r="Y306" s="22">
        <f>F306/detalle!$D$2</f>
        <v>220.24504496548019</v>
      </c>
      <c r="AA306" s="14">
        <f>E306/(detalle!$D$2*1000000)</f>
        <v>1.55818351302525E-2</v>
      </c>
      <c r="AB306" s="14">
        <f>F306/(detalle!$D$2*1000000)</f>
        <v>2.2024504496548019E-4</v>
      </c>
      <c r="AC306" s="31">
        <f>258/490</f>
        <v>0.52653061224489794</v>
      </c>
      <c r="AD306" s="31">
        <f>1027/2616</f>
        <v>0.39258409785932724</v>
      </c>
      <c r="AE306" s="31">
        <f>151/386</f>
        <v>0.39119170984455959</v>
      </c>
      <c r="AF306" s="22">
        <f t="shared" si="64"/>
        <v>5</v>
      </c>
      <c r="AG306" s="12">
        <v>0</v>
      </c>
      <c r="AH306" s="12">
        <v>0</v>
      </c>
      <c r="AI306" s="20">
        <v>0</v>
      </c>
      <c r="AJ306" s="23">
        <f t="shared" si="65"/>
        <v>0</v>
      </c>
      <c r="AK306" s="23">
        <v>0</v>
      </c>
      <c r="AL306" s="28">
        <f>AK306/detalle!$D$2</f>
        <v>0</v>
      </c>
    </row>
    <row r="307" spans="1:38">
      <c r="A307" s="12">
        <v>306</v>
      </c>
      <c r="B307" s="19">
        <v>44196</v>
      </c>
      <c r="C307" s="12">
        <v>288</v>
      </c>
      <c r="D307" s="23">
        <f t="shared" si="61"/>
        <v>1433</v>
      </c>
      <c r="E307" s="12">
        <v>172218</v>
      </c>
      <c r="F307" s="12">
        <v>2416</v>
      </c>
      <c r="G307" s="12">
        <v>131543</v>
      </c>
      <c r="H307" s="23">
        <f t="shared" si="57"/>
        <v>38259</v>
      </c>
      <c r="I307" s="23">
        <f t="shared" si="68"/>
        <v>6384</v>
      </c>
      <c r="J307" s="12">
        <f>876244</f>
        <v>876244</v>
      </c>
      <c r="K307" s="23">
        <f t="shared" si="69"/>
        <v>704026</v>
      </c>
      <c r="L307" s="9">
        <f t="shared" si="62"/>
        <v>358</v>
      </c>
      <c r="M307" s="14">
        <f t="shared" si="58"/>
        <v>1.4028731026954209E-2</v>
      </c>
      <c r="N307" s="14">
        <f t="shared" si="67"/>
        <v>0.22446741854636593</v>
      </c>
      <c r="O307" s="12"/>
      <c r="P307" s="12"/>
      <c r="Q307" s="12"/>
      <c r="R307" s="23">
        <f t="shared" si="59"/>
        <v>133959</v>
      </c>
      <c r="S307" s="25">
        <f>(((H307+R307)/(H306+R306))-1)+detalle!$D$1</f>
        <v>7.981923805620264E-2</v>
      </c>
      <c r="T307" s="25">
        <f t="shared" si="63"/>
        <v>1.117469332786837</v>
      </c>
      <c r="U307" s="10">
        <f t="shared" si="60"/>
        <v>0.76381679034711814</v>
      </c>
      <c r="V307" s="21">
        <f t="shared" si="66"/>
        <v>54.446605960264904</v>
      </c>
      <c r="W307" s="15">
        <f>J307/detalle!$D$2</f>
        <v>79945.484333360495</v>
      </c>
      <c r="X307" s="15">
        <f>E307/detalle!$D$2</f>
        <v>15712.577114277163</v>
      </c>
      <c r="Y307" s="22">
        <f>F307/detalle!$D$2</f>
        <v>220.42751807647065</v>
      </c>
      <c r="AA307" s="14">
        <f>E307/(detalle!$D$2*1000000)</f>
        <v>1.5712577114277163E-2</v>
      </c>
      <c r="AB307" s="14">
        <f>F307/(detalle!$D$2*1000000)</f>
        <v>2.2042751807647065E-4</v>
      </c>
      <c r="AC307" s="31">
        <f>266/495</f>
        <v>0.53737373737373739</v>
      </c>
      <c r="AD307" s="31">
        <f>1021/2610</f>
        <v>0.39118773946360152</v>
      </c>
      <c r="AE307" s="31">
        <f>149/388</f>
        <v>0.38402061855670105</v>
      </c>
      <c r="AF307" s="22">
        <f t="shared" si="64"/>
        <v>2</v>
      </c>
      <c r="AG307" s="12">
        <v>0</v>
      </c>
      <c r="AH307" s="12">
        <v>0</v>
      </c>
      <c r="AI307" s="20">
        <v>0</v>
      </c>
      <c r="AJ307" s="23">
        <f t="shared" si="65"/>
        <v>0</v>
      </c>
      <c r="AK307" s="23">
        <v>0</v>
      </c>
      <c r="AL307" s="28">
        <f>AK307/detalle!$D$2</f>
        <v>0</v>
      </c>
    </row>
    <row r="308" spans="1:38">
      <c r="A308" s="12">
        <v>307</v>
      </c>
      <c r="B308" s="19">
        <v>44197</v>
      </c>
      <c r="C308" s="12">
        <v>289</v>
      </c>
      <c r="D308" s="23">
        <f t="shared" si="61"/>
        <v>747</v>
      </c>
      <c r="E308" s="12">
        <v>172965</v>
      </c>
      <c r="F308" s="12">
        <v>2416</v>
      </c>
      <c r="G308" s="12">
        <v>132282</v>
      </c>
      <c r="H308" s="23">
        <f t="shared" si="57"/>
        <v>38267</v>
      </c>
      <c r="I308" s="23">
        <f t="shared" si="68"/>
        <v>2337</v>
      </c>
      <c r="J308" s="12">
        <v>878581</v>
      </c>
      <c r="K308" s="23">
        <f t="shared" si="69"/>
        <v>705616</v>
      </c>
      <c r="L308" s="9">
        <f t="shared" si="62"/>
        <v>739</v>
      </c>
      <c r="M308" s="14">
        <f t="shared" si="58"/>
        <v>1.3968143844130315E-2</v>
      </c>
      <c r="N308" s="14">
        <f t="shared" si="67"/>
        <v>0.31964056482670089</v>
      </c>
      <c r="O308" s="12"/>
      <c r="P308" s="12"/>
      <c r="Q308" s="12"/>
      <c r="R308" s="23">
        <f t="shared" si="59"/>
        <v>134698</v>
      </c>
      <c r="S308" s="25">
        <f>(((H308+R308)/(H307+R307))-1)+detalle!$D$1</f>
        <v>7.5766097122749648E-2</v>
      </c>
      <c r="T308" s="25">
        <f t="shared" si="63"/>
        <v>1.0607253597184951</v>
      </c>
      <c r="U308" s="10">
        <f t="shared" si="60"/>
        <v>0.76479056456508543</v>
      </c>
      <c r="V308" s="21">
        <f t="shared" si="66"/>
        <v>54.752483443708613</v>
      </c>
      <c r="W308" s="15">
        <f>J308/detalle!$D$2</f>
        <v>80158.704163552844</v>
      </c>
      <c r="X308" s="15">
        <f>E308/detalle!$D$2</f>
        <v>15780.730821232097</v>
      </c>
      <c r="Y308" s="22">
        <f>F308/detalle!$D$2</f>
        <v>220.42751807647065</v>
      </c>
      <c r="AA308" s="14">
        <f>E308/(detalle!$D$2*1000000)</f>
        <v>1.5780730821232096E-2</v>
      </c>
      <c r="AB308" s="14">
        <f>F308/(detalle!$D$2*1000000)</f>
        <v>2.2042751807647065E-4</v>
      </c>
      <c r="AC308" s="31">
        <f>266/495</f>
        <v>0.53737373737373739</v>
      </c>
      <c r="AD308" s="31">
        <f>1034/2611</f>
        <v>0.39601685178092683</v>
      </c>
      <c r="AE308" s="31">
        <f>144/388</f>
        <v>0.37113402061855671</v>
      </c>
      <c r="AF308" s="22">
        <f t="shared" si="64"/>
        <v>0</v>
      </c>
      <c r="AG308" s="12">
        <v>0</v>
      </c>
      <c r="AH308" s="12">
        <v>0</v>
      </c>
      <c r="AI308" s="20">
        <v>0</v>
      </c>
      <c r="AJ308" s="23">
        <f t="shared" si="65"/>
        <v>0</v>
      </c>
      <c r="AK308" s="23">
        <v>0</v>
      </c>
      <c r="AL308" s="28">
        <f>AK308/detalle!$D$2</f>
        <v>0</v>
      </c>
    </row>
    <row r="309" spans="1:38">
      <c r="A309" s="12">
        <v>308</v>
      </c>
      <c r="B309" s="19">
        <v>44198</v>
      </c>
      <c r="C309" s="12">
        <v>290</v>
      </c>
      <c r="D309" s="23">
        <f t="shared" si="61"/>
        <v>366</v>
      </c>
      <c r="E309" s="12">
        <v>173331</v>
      </c>
      <c r="F309" s="12">
        <v>2418</v>
      </c>
      <c r="G309" s="12">
        <v>132935</v>
      </c>
      <c r="H309" s="23">
        <f t="shared" si="57"/>
        <v>37978</v>
      </c>
      <c r="I309" s="23">
        <f t="shared" si="68"/>
        <v>1337</v>
      </c>
      <c r="J309" s="12">
        <v>879918</v>
      </c>
      <c r="K309" s="23">
        <f t="shared" si="69"/>
        <v>706587</v>
      </c>
      <c r="L309" s="9">
        <f t="shared" si="62"/>
        <v>653</v>
      </c>
      <c r="M309" s="14">
        <f t="shared" si="58"/>
        <v>1.3950187790989494E-2</v>
      </c>
      <c r="N309" s="14">
        <f t="shared" si="67"/>
        <v>0.27374719521316382</v>
      </c>
      <c r="O309" s="12"/>
      <c r="P309" s="12"/>
      <c r="Q309" s="12"/>
      <c r="R309" s="23">
        <f t="shared" si="59"/>
        <v>135353</v>
      </c>
      <c r="S309" s="25">
        <f>(((H309+R309)/(H308+R308))-1)+detalle!$D$1</f>
        <v>7.3544606464561318E-2</v>
      </c>
      <c r="T309" s="25">
        <f t="shared" si="63"/>
        <v>1.0296244905038585</v>
      </c>
      <c r="U309" s="10">
        <f t="shared" si="60"/>
        <v>0.76694301654060726</v>
      </c>
      <c r="V309" s="21">
        <f t="shared" si="66"/>
        <v>54.97725392886683</v>
      </c>
      <c r="W309" s="15">
        <f>J309/detalle!$D$2</f>
        <v>80280.687438249966</v>
      </c>
      <c r="X309" s="15">
        <f>E309/detalle!$D$2</f>
        <v>15814.123400543351</v>
      </c>
      <c r="Y309" s="22">
        <f>F309/detalle!$D$2</f>
        <v>220.60999118746111</v>
      </c>
      <c r="AA309" s="14">
        <f>E309/(detalle!$D$2*1000000)</f>
        <v>1.5814123400543351E-2</v>
      </c>
      <c r="AB309" s="14">
        <f>F309/(detalle!$D$2*1000000)</f>
        <v>2.206099911874611E-4</v>
      </c>
      <c r="AC309" s="31">
        <f>268/500</f>
        <v>0.53600000000000003</v>
      </c>
      <c r="AD309" s="31">
        <f>1056/2623</f>
        <v>0.40259245139153643</v>
      </c>
      <c r="AE309" s="31">
        <f>148/396</f>
        <v>0.37373737373737376</v>
      </c>
      <c r="AF309" s="22">
        <f t="shared" si="64"/>
        <v>2</v>
      </c>
      <c r="AG309" s="12">
        <v>0</v>
      </c>
      <c r="AH309" s="12">
        <v>0</v>
      </c>
      <c r="AI309" s="20">
        <v>0</v>
      </c>
      <c r="AJ309" s="23">
        <f t="shared" si="65"/>
        <v>0</v>
      </c>
      <c r="AK309" s="23">
        <v>0</v>
      </c>
      <c r="AL309" s="28">
        <f>AK309/detalle!$D$2</f>
        <v>0</v>
      </c>
    </row>
    <row r="310" spans="1:38">
      <c r="A310" s="12">
        <v>309</v>
      </c>
      <c r="B310" s="19">
        <v>44199</v>
      </c>
      <c r="C310" s="12">
        <v>291</v>
      </c>
      <c r="D310" s="23">
        <f t="shared" si="61"/>
        <v>2043</v>
      </c>
      <c r="E310" s="12">
        <v>175374</v>
      </c>
      <c r="F310" s="12">
        <v>2419</v>
      </c>
      <c r="G310" s="12">
        <v>133812</v>
      </c>
      <c r="H310" s="23">
        <f t="shared" si="57"/>
        <v>39143</v>
      </c>
      <c r="I310" s="23">
        <f t="shared" si="68"/>
        <v>5858</v>
      </c>
      <c r="J310" s="12">
        <v>885776</v>
      </c>
      <c r="K310" s="23">
        <f t="shared" si="69"/>
        <v>710402</v>
      </c>
      <c r="L310" s="9">
        <f t="shared" si="62"/>
        <v>877</v>
      </c>
      <c r="M310" s="14">
        <f t="shared" si="58"/>
        <v>1.3793378722045457E-2</v>
      </c>
      <c r="N310" s="14">
        <f t="shared" si="67"/>
        <v>0.34875384090133149</v>
      </c>
      <c r="O310" s="12"/>
      <c r="P310" s="12"/>
      <c r="Q310" s="12"/>
      <c r="R310" s="23">
        <f t="shared" si="59"/>
        <v>136231</v>
      </c>
      <c r="S310" s="25">
        <f>(((H310+R310)/(H309+R309))-1)+detalle!$D$1</f>
        <v>8.3215268557186556E-2</v>
      </c>
      <c r="T310" s="25">
        <f t="shared" si="63"/>
        <v>1.1650137598006118</v>
      </c>
      <c r="U310" s="10">
        <f t="shared" si="60"/>
        <v>0.76300934003900234</v>
      </c>
      <c r="V310" s="21">
        <f t="shared" si="66"/>
        <v>55.31707317073171</v>
      </c>
      <c r="W310" s="15">
        <f>J310/detalle!$D$2</f>
        <v>80815.15118034101</v>
      </c>
      <c r="X310" s="15">
        <f>E310/detalle!$D$2</f>
        <v>16000.519683420102</v>
      </c>
      <c r="Y310" s="22">
        <f>F310/detalle!$D$2</f>
        <v>220.70122774295635</v>
      </c>
      <c r="AA310" s="14">
        <f>E310/(detalle!$D$2*1000000)</f>
        <v>1.60005196834201E-2</v>
      </c>
      <c r="AB310" s="14">
        <f>F310/(detalle!$D$2*1000000)</f>
        <v>2.2070122774295634E-4</v>
      </c>
      <c r="AC310" s="31">
        <f>270/501</f>
        <v>0.53892215568862278</v>
      </c>
      <c r="AD310" s="31">
        <f>1030/2615</f>
        <v>0.39388145315487572</v>
      </c>
      <c r="AE310" s="31">
        <f>152/396</f>
        <v>0.38383838383838381</v>
      </c>
      <c r="AF310" s="22">
        <f t="shared" si="64"/>
        <v>1</v>
      </c>
      <c r="AG310" s="12">
        <v>0</v>
      </c>
      <c r="AH310" s="12">
        <v>0</v>
      </c>
      <c r="AI310" s="20">
        <v>0</v>
      </c>
      <c r="AJ310" s="23">
        <f t="shared" si="65"/>
        <v>0</v>
      </c>
      <c r="AK310" s="23">
        <v>0</v>
      </c>
      <c r="AL310" s="28">
        <f>AK310/detalle!$D$2</f>
        <v>0</v>
      </c>
    </row>
    <row r="311" spans="1:38">
      <c r="A311" s="12">
        <v>310</v>
      </c>
      <c r="B311" s="19">
        <v>44200</v>
      </c>
      <c r="C311" s="12">
        <v>292</v>
      </c>
      <c r="D311" s="23">
        <f t="shared" si="61"/>
        <v>475</v>
      </c>
      <c r="E311" s="12">
        <v>175849</v>
      </c>
      <c r="F311" s="12">
        <v>2419</v>
      </c>
      <c r="G311" s="12">
        <v>134331</v>
      </c>
      <c r="H311" s="23">
        <f t="shared" si="57"/>
        <v>39099</v>
      </c>
      <c r="I311" s="23">
        <f t="shared" si="68"/>
        <v>1626</v>
      </c>
      <c r="J311" s="12">
        <v>887402</v>
      </c>
      <c r="K311" s="23">
        <f t="shared" si="69"/>
        <v>711553</v>
      </c>
      <c r="L311" s="9">
        <f t="shared" si="62"/>
        <v>519</v>
      </c>
      <c r="M311" s="14">
        <f t="shared" si="58"/>
        <v>1.3756120307764047E-2</v>
      </c>
      <c r="N311" s="14">
        <f t="shared" si="67"/>
        <v>0.29212792127921278</v>
      </c>
      <c r="O311" s="12"/>
      <c r="P311" s="12"/>
      <c r="Q311" s="12"/>
      <c r="R311" s="23">
        <f t="shared" si="59"/>
        <v>136750</v>
      </c>
      <c r="S311" s="25">
        <f>(((H311+R311)/(H310+R310))-1)+detalle!$D$1</f>
        <v>7.4137068697265801E-2</v>
      </c>
      <c r="T311" s="25">
        <f t="shared" si="63"/>
        <v>1.0379189617617213</v>
      </c>
      <c r="U311" s="10">
        <f t="shared" si="60"/>
        <v>0.76389970940977769</v>
      </c>
      <c r="V311" s="21">
        <f t="shared" si="66"/>
        <v>55.531624638280285</v>
      </c>
      <c r="W311" s="15">
        <f>J311/detalle!$D$2</f>
        <v>80963.501819576253</v>
      </c>
      <c r="X311" s="15">
        <f>E311/detalle!$D$2</f>
        <v>16043.857047280335</v>
      </c>
      <c r="Y311" s="22">
        <f>F311/detalle!$D$2</f>
        <v>220.70122774295635</v>
      </c>
      <c r="AA311" s="14">
        <f>E311/(detalle!$D$2*1000000)</f>
        <v>1.6043857047280334E-2</v>
      </c>
      <c r="AB311" s="14">
        <f>F311/(detalle!$D$2*1000000)</f>
        <v>2.2070122774295634E-4</v>
      </c>
      <c r="AC311" s="31">
        <f>281/502</f>
        <v>0.55976095617529875</v>
      </c>
      <c r="AD311" s="31">
        <f>1063/2617</f>
        <v>0.40619029423003439</v>
      </c>
      <c r="AE311" s="31">
        <f>160/395</f>
        <v>0.4050632911392405</v>
      </c>
      <c r="AF311" s="22">
        <f t="shared" si="64"/>
        <v>0</v>
      </c>
      <c r="AG311" s="12">
        <v>0</v>
      </c>
      <c r="AH311" s="12">
        <v>0</v>
      </c>
      <c r="AI311" s="20">
        <v>0</v>
      </c>
      <c r="AJ311" s="23">
        <f t="shared" si="65"/>
        <v>0</v>
      </c>
      <c r="AK311" s="23">
        <v>0</v>
      </c>
      <c r="AL311" s="28">
        <f>AK311/detalle!$D$2</f>
        <v>0</v>
      </c>
    </row>
    <row r="312" spans="1:38">
      <c r="A312" s="12">
        <v>311</v>
      </c>
      <c r="B312" s="19">
        <v>44201</v>
      </c>
      <c r="C312" s="12">
        <v>293</v>
      </c>
      <c r="D312" s="23">
        <f t="shared" si="61"/>
        <v>529</v>
      </c>
      <c r="E312" s="12">
        <v>176378</v>
      </c>
      <c r="F312" s="12">
        <v>2419</v>
      </c>
      <c r="G312" s="12">
        <v>134932</v>
      </c>
      <c r="H312" s="23">
        <f t="shared" si="57"/>
        <v>39027</v>
      </c>
      <c r="I312" s="23">
        <f t="shared" si="68"/>
        <v>1778</v>
      </c>
      <c r="J312" s="12">
        <v>889180</v>
      </c>
      <c r="K312" s="23">
        <f t="shared" si="69"/>
        <v>712802</v>
      </c>
      <c r="L312" s="9">
        <f t="shared" si="62"/>
        <v>601</v>
      </c>
      <c r="M312" s="14">
        <f t="shared" si="58"/>
        <v>1.3714862397804714E-2</v>
      </c>
      <c r="N312" s="14">
        <f t="shared" si="67"/>
        <v>0.29752530933633298</v>
      </c>
      <c r="O312" s="12"/>
      <c r="P312" s="12"/>
      <c r="Q312" s="12"/>
      <c r="R312" s="23">
        <f t="shared" si="59"/>
        <v>137351</v>
      </c>
      <c r="S312" s="25">
        <f>(((H312+R312)/(H311+R311))-1)+detalle!$D$1</f>
        <v>7.4436834199471474E-2</v>
      </c>
      <c r="T312" s="25">
        <f t="shared" si="63"/>
        <v>1.0421156787926007</v>
      </c>
      <c r="U312" s="10">
        <f t="shared" si="60"/>
        <v>0.76501604508498788</v>
      </c>
      <c r="V312" s="21">
        <f t="shared" si="66"/>
        <v>55.780074410913599</v>
      </c>
      <c r="W312" s="15">
        <f>J312/detalle!$D$2</f>
        <v>81125.72041524676</v>
      </c>
      <c r="X312" s="15">
        <f>E312/detalle!$D$2</f>
        <v>16092.12118513731</v>
      </c>
      <c r="Y312" s="22">
        <f>F312/detalle!$D$2</f>
        <v>220.70122774295635</v>
      </c>
      <c r="AA312" s="14">
        <f>E312/(detalle!$D$2*1000000)</f>
        <v>1.6092121185137309E-2</v>
      </c>
      <c r="AB312" s="14">
        <f>F312/(detalle!$D$2*1000000)</f>
        <v>2.2070122774295634E-4</v>
      </c>
      <c r="AC312" s="31">
        <f>282/500</f>
        <v>0.56399999999999995</v>
      </c>
      <c r="AD312" s="31">
        <f>1081/2612</f>
        <v>0.41385911179173046</v>
      </c>
      <c r="AE312" s="31">
        <f>152/391</f>
        <v>0.38874680306905368</v>
      </c>
      <c r="AF312" s="22">
        <f t="shared" si="64"/>
        <v>0</v>
      </c>
      <c r="AG312" s="12">
        <v>0</v>
      </c>
      <c r="AH312" s="12">
        <v>0</v>
      </c>
      <c r="AI312" s="20">
        <v>0</v>
      </c>
      <c r="AJ312" s="23">
        <f t="shared" si="65"/>
        <v>0</v>
      </c>
      <c r="AK312" s="23">
        <v>0</v>
      </c>
      <c r="AL312" s="28">
        <f>AK312/detalle!$D$2</f>
        <v>0</v>
      </c>
    </row>
    <row r="313" spans="1:38">
      <c r="A313" s="12">
        <v>312</v>
      </c>
      <c r="B313" s="19">
        <v>44202</v>
      </c>
      <c r="C313" s="12">
        <v>294</v>
      </c>
      <c r="D313" s="23">
        <f t="shared" si="61"/>
        <v>1115</v>
      </c>
      <c r="E313" s="12">
        <v>177493</v>
      </c>
      <c r="F313" s="12">
        <v>2423</v>
      </c>
      <c r="G313" s="12">
        <v>135587</v>
      </c>
      <c r="H313" s="23">
        <f t="shared" si="57"/>
        <v>39483</v>
      </c>
      <c r="I313" s="23">
        <f t="shared" si="68"/>
        <v>3568</v>
      </c>
      <c r="J313" s="12">
        <v>892748</v>
      </c>
      <c r="K313" s="23">
        <f t="shared" si="69"/>
        <v>715255</v>
      </c>
      <c r="L313" s="9">
        <f t="shared" si="62"/>
        <v>655</v>
      </c>
      <c r="M313" s="14">
        <f t="shared" si="58"/>
        <v>1.3651242584214589E-2</v>
      </c>
      <c r="N313" s="14">
        <f t="shared" si="67"/>
        <v>0.3125</v>
      </c>
      <c r="O313" s="12"/>
      <c r="P313" s="12"/>
      <c r="Q313" s="12"/>
      <c r="R313" s="23">
        <f t="shared" si="59"/>
        <v>138010</v>
      </c>
      <c r="S313" s="25">
        <f>(((H313+R313)/(H312+R312))-1)+detalle!$D$1</f>
        <v>7.7750221520986679E-2</v>
      </c>
      <c r="T313" s="25">
        <f t="shared" si="63"/>
        <v>1.0885031012938136</v>
      </c>
      <c r="U313" s="10">
        <f t="shared" si="60"/>
        <v>0.76390054819063291</v>
      </c>
      <c r="V313" s="21">
        <f t="shared" si="66"/>
        <v>55.958316137020226</v>
      </c>
      <c r="W313" s="15">
        <f>J313/detalle!$D$2</f>
        <v>81451.252445253733</v>
      </c>
      <c r="X313" s="15">
        <f>E313/detalle!$D$2</f>
        <v>16193.84994451449</v>
      </c>
      <c r="Y313" s="22">
        <f>F313/detalle!$D$2</f>
        <v>221.06617396493726</v>
      </c>
      <c r="AA313" s="14">
        <f>E313/(detalle!$D$2*1000000)</f>
        <v>1.6193849944514487E-2</v>
      </c>
      <c r="AB313" s="14">
        <f>F313/(detalle!$D$2*1000000)</f>
        <v>2.2106617396493725E-4</v>
      </c>
      <c r="AC313" s="31">
        <f>290/500</f>
        <v>0.57999999999999996</v>
      </c>
      <c r="AD313" s="31">
        <f>1094/2629</f>
        <v>0.41612780524914417</v>
      </c>
      <c r="AE313" s="31">
        <f>156/392</f>
        <v>0.39795918367346939</v>
      </c>
      <c r="AF313" s="22">
        <f t="shared" si="64"/>
        <v>4</v>
      </c>
      <c r="AG313" s="12">
        <v>0</v>
      </c>
      <c r="AH313" s="12">
        <v>0</v>
      </c>
      <c r="AI313" s="20">
        <v>0</v>
      </c>
      <c r="AJ313" s="23">
        <f t="shared" si="65"/>
        <v>0</v>
      </c>
      <c r="AK313" s="23">
        <v>0</v>
      </c>
      <c r="AL313" s="28">
        <f>AK313/detalle!$D$2</f>
        <v>0</v>
      </c>
    </row>
    <row r="314" spans="1:38">
      <c r="A314" s="12">
        <v>313</v>
      </c>
      <c r="B314" s="19">
        <v>44203</v>
      </c>
      <c r="C314" s="12">
        <v>295</v>
      </c>
      <c r="D314" s="23">
        <f t="shared" si="61"/>
        <v>1045</v>
      </c>
      <c r="E314" s="12">
        <v>178538</v>
      </c>
      <c r="F314" s="12">
        <v>2424</v>
      </c>
      <c r="G314" s="12">
        <v>135934</v>
      </c>
      <c r="H314" s="23">
        <f t="shared" si="57"/>
        <v>40180</v>
      </c>
      <c r="I314" s="23">
        <f t="shared" si="68"/>
        <v>5285</v>
      </c>
      <c r="J314" s="12">
        <v>898033</v>
      </c>
      <c r="K314" s="23">
        <f t="shared" si="69"/>
        <v>719495</v>
      </c>
      <c r="L314" s="9">
        <f t="shared" si="62"/>
        <v>347</v>
      </c>
      <c r="M314" s="14">
        <f t="shared" si="58"/>
        <v>1.357694160346817E-2</v>
      </c>
      <c r="N314" s="14">
        <f t="shared" si="67"/>
        <v>0.1977294228949858</v>
      </c>
      <c r="O314" s="12"/>
      <c r="P314" s="12"/>
      <c r="Q314" s="12"/>
      <c r="R314" s="23">
        <f t="shared" si="59"/>
        <v>138358</v>
      </c>
      <c r="S314" s="25">
        <f>(((H314+R314)/(H313+R313))-1)+detalle!$D$1</f>
        <v>7.7316127557545605E-2</v>
      </c>
      <c r="T314" s="25">
        <f t="shared" si="63"/>
        <v>1.0824257858056385</v>
      </c>
      <c r="U314" s="10">
        <f t="shared" si="60"/>
        <v>0.76137292901231113</v>
      </c>
      <c r="V314" s="21">
        <f t="shared" si="66"/>
        <v>56.078382838283829</v>
      </c>
      <c r="W314" s="15">
        <f>J314/detalle!$D$2</f>
        <v>81933.43764104601</v>
      </c>
      <c r="X314" s="15">
        <f>E314/detalle!$D$2</f>
        <v>16289.192145007002</v>
      </c>
      <c r="Y314" s="22">
        <f>F314/detalle!$D$2</f>
        <v>221.15741052043248</v>
      </c>
      <c r="AA314" s="14">
        <f>E314/(detalle!$D$2*1000000)</f>
        <v>1.6289192145007E-2</v>
      </c>
      <c r="AB314" s="14">
        <f>F314/(detalle!$D$2*1000000)</f>
        <v>2.2115741052043246E-4</v>
      </c>
      <c r="AC314" s="31">
        <f>302/508</f>
        <v>0.59448818897637801</v>
      </c>
      <c r="AD314" s="31">
        <f>1142/2614</f>
        <v>0.43687834736036724</v>
      </c>
      <c r="AE314" s="31">
        <f>155/399</f>
        <v>0.38847117794486213</v>
      </c>
      <c r="AF314" s="22">
        <f t="shared" si="64"/>
        <v>1</v>
      </c>
      <c r="AG314" s="12">
        <v>0</v>
      </c>
      <c r="AH314" s="12">
        <v>0</v>
      </c>
      <c r="AI314" s="20">
        <v>0</v>
      </c>
      <c r="AJ314" s="23">
        <f t="shared" si="65"/>
        <v>0</v>
      </c>
      <c r="AK314" s="23">
        <v>0</v>
      </c>
      <c r="AL314" s="28">
        <f>AK314/detalle!$D$2</f>
        <v>0</v>
      </c>
    </row>
    <row r="315" spans="1:38">
      <c r="A315" s="12">
        <v>314</v>
      </c>
      <c r="B315" s="19">
        <v>44204</v>
      </c>
      <c r="C315" s="12">
        <v>296</v>
      </c>
      <c r="D315" s="23">
        <f t="shared" si="61"/>
        <v>2106</v>
      </c>
      <c r="E315" s="12">
        <v>180644</v>
      </c>
      <c r="F315" s="12">
        <v>2424</v>
      </c>
      <c r="G315" s="12">
        <v>137098</v>
      </c>
      <c r="H315" s="23">
        <f t="shared" si="57"/>
        <v>41122</v>
      </c>
      <c r="I315" s="23">
        <f t="shared" si="68"/>
        <v>6911</v>
      </c>
      <c r="J315" s="12">
        <v>904944</v>
      </c>
      <c r="K315" s="23">
        <f t="shared" si="69"/>
        <v>724300</v>
      </c>
      <c r="L315" s="9">
        <f t="shared" si="62"/>
        <v>1164</v>
      </c>
      <c r="M315" s="14">
        <f t="shared" si="58"/>
        <v>1.3418657691370873E-2</v>
      </c>
      <c r="N315" s="14">
        <f t="shared" si="67"/>
        <v>0.30473158732455508</v>
      </c>
      <c r="O315" s="12"/>
      <c r="P315" s="12"/>
      <c r="Q315" s="12"/>
      <c r="R315" s="23">
        <f t="shared" si="59"/>
        <v>139522</v>
      </c>
      <c r="S315" s="25">
        <f>(((H315+R315)/(H314+R314))-1)+detalle!$D$1</f>
        <v>8.3224379603861892E-2</v>
      </c>
      <c r="T315" s="25">
        <f t="shared" si="63"/>
        <v>1.1651413144540665</v>
      </c>
      <c r="U315" s="10">
        <f t="shared" si="60"/>
        <v>0.75894023604437455</v>
      </c>
      <c r="V315" s="21">
        <f t="shared" si="66"/>
        <v>56.558580858085811</v>
      </c>
      <c r="W315" s="15">
        <f>J315/detalle!$D$2</f>
        <v>82563.97347607353</v>
      </c>
      <c r="X315" s="15">
        <f>E315/detalle!$D$2</f>
        <v>16481.336330879953</v>
      </c>
      <c r="Y315" s="22">
        <f>F315/detalle!$D$2</f>
        <v>221.15741052043248</v>
      </c>
      <c r="AA315" s="14">
        <f>E315/(detalle!$D$2*1000000)</f>
        <v>1.6481336330879951E-2</v>
      </c>
      <c r="AB315" s="14">
        <f>F315/(detalle!$D$2*1000000)</f>
        <v>2.2115741052043246E-4</v>
      </c>
      <c r="AC315" s="31">
        <f>306/510</f>
        <v>0.6</v>
      </c>
      <c r="AD315" s="31">
        <f>1188/2616</f>
        <v>0.45412844036697247</v>
      </c>
      <c r="AE315" s="31">
        <f>150/397</f>
        <v>0.37783375314861462</v>
      </c>
      <c r="AF315" s="22">
        <f t="shared" si="64"/>
        <v>0</v>
      </c>
      <c r="AG315" s="12">
        <v>0</v>
      </c>
      <c r="AH315" s="12">
        <v>0</v>
      </c>
      <c r="AI315" s="20">
        <v>0</v>
      </c>
      <c r="AJ315" s="23">
        <f t="shared" si="65"/>
        <v>0</v>
      </c>
      <c r="AK315" s="23">
        <v>0</v>
      </c>
      <c r="AL315" s="28">
        <f>AK315/detalle!$D$2</f>
        <v>0</v>
      </c>
    </row>
    <row r="316" spans="1:38">
      <c r="A316" s="12">
        <v>315</v>
      </c>
      <c r="B316" s="19">
        <v>44205</v>
      </c>
      <c r="C316" s="12">
        <v>297</v>
      </c>
      <c r="D316" s="23">
        <f t="shared" si="61"/>
        <v>1459</v>
      </c>
      <c r="E316" s="12">
        <v>182103</v>
      </c>
      <c r="F316" s="12">
        <v>2427</v>
      </c>
      <c r="G316" s="12">
        <v>138076</v>
      </c>
      <c r="H316" s="23">
        <f t="shared" si="57"/>
        <v>41600</v>
      </c>
      <c r="I316" s="23">
        <f t="shared" si="68"/>
        <v>4933</v>
      </c>
      <c r="J316" s="12">
        <v>909877</v>
      </c>
      <c r="K316" s="23">
        <f t="shared" si="69"/>
        <v>727774</v>
      </c>
      <c r="L316" s="9">
        <f t="shared" si="62"/>
        <v>978</v>
      </c>
      <c r="M316" s="14">
        <f t="shared" si="58"/>
        <v>1.3327622279698852E-2</v>
      </c>
      <c r="N316" s="14">
        <f t="shared" si="67"/>
        <v>0.29576322724508414</v>
      </c>
      <c r="O316" s="12"/>
      <c r="P316" s="12"/>
      <c r="Q316" s="12"/>
      <c r="R316" s="23">
        <f t="shared" si="59"/>
        <v>140503</v>
      </c>
      <c r="S316" s="25">
        <f>(((H316+R316)/(H315+R315))-1)+detalle!$D$1</f>
        <v>7.950523049280836E-2</v>
      </c>
      <c r="T316" s="25">
        <f t="shared" si="63"/>
        <v>1.1130732268993171</v>
      </c>
      <c r="U316" s="10">
        <f t="shared" si="60"/>
        <v>0.75823023234103781</v>
      </c>
      <c r="V316" s="21">
        <f t="shared" si="66"/>
        <v>56.891635764318089</v>
      </c>
      <c r="W316" s="15">
        <f>J316/detalle!$D$2</f>
        <v>83014.043404331489</v>
      </c>
      <c r="X316" s="15">
        <f>E316/detalle!$D$2</f>
        <v>16614.450465347491</v>
      </c>
      <c r="Y316" s="22">
        <f>F316/detalle!$D$2</f>
        <v>221.43112018691815</v>
      </c>
      <c r="AA316" s="14">
        <f>E316/(detalle!$D$2*1000000)</f>
        <v>1.6614450465347489E-2</v>
      </c>
      <c r="AB316" s="14">
        <f>F316/(detalle!$D$2*1000000)</f>
        <v>2.2143112018691816E-4</v>
      </c>
      <c r="AC316" s="31">
        <f>308/517</f>
        <v>0.5957446808510638</v>
      </c>
      <c r="AD316" s="31">
        <f>1205/2625</f>
        <v>0.45904761904761904</v>
      </c>
      <c r="AE316" s="31">
        <f>164/399</f>
        <v>0.41102756892230574</v>
      </c>
      <c r="AF316" s="22">
        <f t="shared" si="64"/>
        <v>3</v>
      </c>
      <c r="AG316" s="12">
        <v>0</v>
      </c>
      <c r="AH316" s="12">
        <v>0</v>
      </c>
      <c r="AI316" s="20">
        <v>0</v>
      </c>
      <c r="AJ316" s="23">
        <f t="shared" si="65"/>
        <v>0</v>
      </c>
      <c r="AK316" s="23">
        <v>0</v>
      </c>
      <c r="AL316" s="28">
        <f>AK316/detalle!$D$2</f>
        <v>0</v>
      </c>
    </row>
    <row r="317" spans="1:38">
      <c r="A317" s="12">
        <v>316</v>
      </c>
      <c r="B317" s="19">
        <v>44206</v>
      </c>
      <c r="C317" s="12">
        <v>298</v>
      </c>
      <c r="D317" s="23">
        <f t="shared" si="61"/>
        <v>1179</v>
      </c>
      <c r="E317" s="12">
        <v>183282</v>
      </c>
      <c r="F317" s="12">
        <v>2427</v>
      </c>
      <c r="G317" s="12">
        <v>138888</v>
      </c>
      <c r="H317" s="23">
        <f t="shared" si="57"/>
        <v>41967</v>
      </c>
      <c r="I317" s="23">
        <f t="shared" si="68"/>
        <v>4379</v>
      </c>
      <c r="J317" s="12">
        <v>914256</v>
      </c>
      <c r="K317" s="23">
        <f t="shared" si="69"/>
        <v>730974</v>
      </c>
      <c r="L317" s="9">
        <f t="shared" si="62"/>
        <v>812</v>
      </c>
      <c r="M317" s="14">
        <f t="shared" si="58"/>
        <v>1.324188954725505E-2</v>
      </c>
      <c r="N317" s="14">
        <f t="shared" si="67"/>
        <v>0.26923955240922587</v>
      </c>
      <c r="O317" s="12"/>
      <c r="P317" s="12"/>
      <c r="Q317" s="12"/>
      <c r="R317" s="23">
        <f t="shared" si="59"/>
        <v>141315</v>
      </c>
      <c r="S317" s="25">
        <f>(((H317+R317)/(H316+R316))-1)+detalle!$D$1</f>
        <v>7.7902929346892275E-2</v>
      </c>
      <c r="T317" s="25">
        <f t="shared" si="63"/>
        <v>1.0906410108564919</v>
      </c>
      <c r="U317" s="10">
        <f t="shared" si="60"/>
        <v>0.75778308835564867</v>
      </c>
      <c r="V317" s="21">
        <f t="shared" si="66"/>
        <v>57.226205191594559</v>
      </c>
      <c r="W317" s="15">
        <f>J317/detalle!$D$2</f>
        <v>83413.568280845095</v>
      </c>
      <c r="X317" s="15">
        <f>E317/detalle!$D$2</f>
        <v>16722.018364276362</v>
      </c>
      <c r="Y317" s="22">
        <f>F317/detalle!$D$2</f>
        <v>221.43112018691815</v>
      </c>
      <c r="AA317" s="14">
        <f>E317/(detalle!$D$2*1000000)</f>
        <v>1.6722018364276364E-2</v>
      </c>
      <c r="AB317" s="14">
        <f>F317/(detalle!$D$2*1000000)</f>
        <v>2.2143112018691816E-4</v>
      </c>
      <c r="AC317" s="31">
        <f>320/517</f>
        <v>0.61895551257253389</v>
      </c>
      <c r="AD317" s="31">
        <f>1213/2625</f>
        <v>0.46209523809523811</v>
      </c>
      <c r="AE317" s="31">
        <f>173/399</f>
        <v>0.43358395989974935</v>
      </c>
      <c r="AF317" s="22">
        <f t="shared" si="64"/>
        <v>0</v>
      </c>
      <c r="AG317" s="12">
        <v>0</v>
      </c>
      <c r="AH317" s="12">
        <v>0</v>
      </c>
      <c r="AI317" s="20">
        <v>0</v>
      </c>
      <c r="AJ317" s="23">
        <f t="shared" si="65"/>
        <v>0</v>
      </c>
      <c r="AK317" s="23">
        <v>0</v>
      </c>
      <c r="AL317" s="28">
        <f>AK317/detalle!$D$2</f>
        <v>0</v>
      </c>
    </row>
    <row r="318" spans="1:38">
      <c r="A318" s="12">
        <v>317</v>
      </c>
      <c r="B318" s="19">
        <v>44207</v>
      </c>
      <c r="C318" s="12">
        <v>299</v>
      </c>
      <c r="D318" s="23">
        <f t="shared" si="61"/>
        <v>1506</v>
      </c>
      <c r="E318" s="12">
        <v>184788</v>
      </c>
      <c r="F318" s="12">
        <v>2427</v>
      </c>
      <c r="G318" s="12">
        <v>139867</v>
      </c>
      <c r="H318" s="23">
        <f t="shared" si="57"/>
        <v>42494</v>
      </c>
      <c r="I318" s="23">
        <f t="shared" si="68"/>
        <v>5465</v>
      </c>
      <c r="J318" s="12">
        <v>919721</v>
      </c>
      <c r="K318" s="23">
        <f t="shared" si="69"/>
        <v>734933</v>
      </c>
      <c r="L318" s="9">
        <f t="shared" si="62"/>
        <v>979</v>
      </c>
      <c r="M318" s="14">
        <f t="shared" si="58"/>
        <v>1.3133969738294695E-2</v>
      </c>
      <c r="N318" s="14">
        <f t="shared" si="67"/>
        <v>0.27557182067703567</v>
      </c>
      <c r="O318" s="12"/>
      <c r="P318" s="12"/>
      <c r="Q318" s="12"/>
      <c r="R318" s="23">
        <f t="shared" si="59"/>
        <v>142294</v>
      </c>
      <c r="S318" s="25">
        <f>(((H318+R318)/(H317+R317))-1)+detalle!$D$1</f>
        <v>7.9645417600044982E-2</v>
      </c>
      <c r="T318" s="25">
        <f t="shared" si="63"/>
        <v>1.1150358464006298</v>
      </c>
      <c r="U318" s="10">
        <f t="shared" si="60"/>
        <v>0.75690521029504076</v>
      </c>
      <c r="V318" s="21">
        <f t="shared" si="66"/>
        <v>57.629583848372476</v>
      </c>
      <c r="W318" s="15">
        <f>J318/detalle!$D$2</f>
        <v>83912.176056626515</v>
      </c>
      <c r="X318" s="15">
        <f>E318/detalle!$D$2</f>
        <v>16859.420616852178</v>
      </c>
      <c r="Y318" s="22">
        <f>F318/detalle!$D$2</f>
        <v>221.43112018691815</v>
      </c>
      <c r="AA318" s="14">
        <f>E318/(detalle!$D$2*1000000)</f>
        <v>1.6859420616852177E-2</v>
      </c>
      <c r="AB318" s="14">
        <f>F318/(detalle!$D$2*1000000)</f>
        <v>2.2143112018691816E-4</v>
      </c>
      <c r="AC318" s="31">
        <v>0.61567877629063095</v>
      </c>
      <c r="AD318" s="31">
        <f>1245/2680</f>
        <v>0.46455223880597013</v>
      </c>
      <c r="AE318" s="31">
        <f>168/399</f>
        <v>0.42105263157894735</v>
      </c>
      <c r="AF318" s="22">
        <f t="shared" si="64"/>
        <v>0</v>
      </c>
      <c r="AG318" s="12">
        <v>0</v>
      </c>
      <c r="AH318" s="12">
        <v>0</v>
      </c>
      <c r="AI318" s="20">
        <v>0</v>
      </c>
      <c r="AJ318" s="23">
        <f t="shared" si="65"/>
        <v>0</v>
      </c>
      <c r="AK318" s="23">
        <v>0</v>
      </c>
      <c r="AL318" s="28">
        <f>AK318/detalle!$D$2</f>
        <v>0</v>
      </c>
    </row>
    <row r="319" spans="1:38">
      <c r="A319" s="12">
        <v>318</v>
      </c>
      <c r="B319" s="19">
        <v>44208</v>
      </c>
      <c r="C319" s="12">
        <v>300</v>
      </c>
      <c r="D319" s="23">
        <f t="shared" si="61"/>
        <v>1595</v>
      </c>
      <c r="E319" s="12">
        <v>186383</v>
      </c>
      <c r="F319" s="12">
        <v>2428</v>
      </c>
      <c r="G319" s="12">
        <v>140217</v>
      </c>
      <c r="H319" s="23">
        <f t="shared" si="57"/>
        <v>43738</v>
      </c>
      <c r="I319" s="23">
        <f t="shared" si="68"/>
        <v>8028</v>
      </c>
      <c r="J319" s="12">
        <v>927749</v>
      </c>
      <c r="K319" s="23">
        <f t="shared" si="69"/>
        <v>741366</v>
      </c>
      <c r="L319" s="9">
        <f t="shared" si="62"/>
        <v>350</v>
      </c>
      <c r="M319" s="14">
        <f t="shared" si="58"/>
        <v>1.3026939152175896E-2</v>
      </c>
      <c r="N319" s="14">
        <f t="shared" si="67"/>
        <v>0.19867962132536124</v>
      </c>
      <c r="O319" s="12"/>
      <c r="P319" s="12"/>
      <c r="Q319" s="12"/>
      <c r="R319" s="23">
        <f t="shared" si="59"/>
        <v>142645</v>
      </c>
      <c r="S319" s="25">
        <f>(((H319+R319)/(H318+R318))-1)+detalle!$D$1</f>
        <v>8.0060084297372464E-2</v>
      </c>
      <c r="T319" s="25">
        <f t="shared" si="63"/>
        <v>1.1208411801632145</v>
      </c>
      <c r="U319" s="10">
        <f t="shared" si="60"/>
        <v>0.75230573603815798</v>
      </c>
      <c r="V319" s="21">
        <f t="shared" si="66"/>
        <v>57.75</v>
      </c>
      <c r="W319" s="15">
        <f>J319/detalle!$D$2</f>
        <v>84644.623124142207</v>
      </c>
      <c r="X319" s="15">
        <f>E319/detalle!$D$2</f>
        <v>17004.942922867067</v>
      </c>
      <c r="Y319" s="22">
        <f>F319/detalle!$D$2</f>
        <v>221.52235674241339</v>
      </c>
      <c r="AA319" s="14">
        <f>E319/(detalle!$D$2*1000000)</f>
        <v>1.7004942922867066E-2</v>
      </c>
      <c r="AB319" s="14">
        <f>F319/(detalle!$D$2*1000000)</f>
        <v>2.2152235674241337E-4</v>
      </c>
      <c r="AC319" s="31">
        <f>311/527</f>
        <v>0.59013282732447814</v>
      </c>
      <c r="AD319" s="31">
        <f>1298/2686</f>
        <v>0.48324646314221892</v>
      </c>
      <c r="AE319" s="31">
        <f>174/397</f>
        <v>0.43828715365239296</v>
      </c>
      <c r="AF319" s="22">
        <f t="shared" si="64"/>
        <v>1</v>
      </c>
      <c r="AG319" s="12">
        <v>0</v>
      </c>
      <c r="AH319" s="12">
        <v>0</v>
      </c>
      <c r="AI319" s="20">
        <v>0</v>
      </c>
      <c r="AJ319" s="23">
        <f t="shared" si="65"/>
        <v>0</v>
      </c>
      <c r="AK319" s="23">
        <v>0</v>
      </c>
      <c r="AL319" s="28">
        <f>AK319/detalle!$D$2</f>
        <v>0</v>
      </c>
    </row>
    <row r="320" spans="1:38">
      <c r="A320" s="12">
        <v>319</v>
      </c>
      <c r="B320" s="19">
        <v>44209</v>
      </c>
      <c r="C320" s="12">
        <v>301</v>
      </c>
      <c r="D320" s="23">
        <f t="shared" si="61"/>
        <v>1104</v>
      </c>
      <c r="E320" s="12">
        <v>187487</v>
      </c>
      <c r="F320" s="12">
        <v>2428</v>
      </c>
      <c r="G320" s="12">
        <v>140524</v>
      </c>
      <c r="H320" s="23">
        <f t="shared" si="57"/>
        <v>44535</v>
      </c>
      <c r="I320" s="23">
        <f t="shared" si="68"/>
        <v>4840</v>
      </c>
      <c r="J320" s="12">
        <v>932589</v>
      </c>
      <c r="K320" s="23">
        <f t="shared" si="69"/>
        <v>745102</v>
      </c>
      <c r="L320" s="9">
        <f t="shared" si="62"/>
        <v>307</v>
      </c>
      <c r="M320" s="14">
        <f t="shared" si="58"/>
        <v>1.2950231216030977E-2</v>
      </c>
      <c r="N320" s="14">
        <f t="shared" si="67"/>
        <v>0.228099173553719</v>
      </c>
      <c r="O320" s="12"/>
      <c r="P320" s="12"/>
      <c r="Q320" s="12"/>
      <c r="R320" s="23">
        <f t="shared" si="59"/>
        <v>142952</v>
      </c>
      <c r="S320" s="25">
        <f>(((H320+R320)/(H319+R319))-1)+detalle!$D$1</f>
        <v>7.7351858423629932E-2</v>
      </c>
      <c r="T320" s="25">
        <f t="shared" si="63"/>
        <v>1.0829260179308191</v>
      </c>
      <c r="U320" s="10">
        <f t="shared" si="60"/>
        <v>0.74951329958877144</v>
      </c>
      <c r="V320" s="21">
        <f t="shared" si="66"/>
        <v>57.87644151565074</v>
      </c>
      <c r="W320" s="15">
        <f>J320/detalle!$D$2</f>
        <v>85086.208052739108</v>
      </c>
      <c r="X320" s="15">
        <f>E320/detalle!$D$2</f>
        <v>17105.668080133797</v>
      </c>
      <c r="Y320" s="22">
        <f>F320/detalle!$D$2</f>
        <v>221.52235674241339</v>
      </c>
      <c r="AA320" s="14">
        <f>E320/(detalle!$D$2*1000000)</f>
        <v>1.7105668080133796E-2</v>
      </c>
      <c r="AB320" s="14">
        <f>F320/(detalle!$D$2*1000000)</f>
        <v>2.2152235674241337E-4</v>
      </c>
      <c r="AC320" s="31">
        <f>318/532</f>
        <v>0.59774436090225569</v>
      </c>
      <c r="AD320" s="31">
        <f>1295/2719</f>
        <v>0.4762780433983082</v>
      </c>
      <c r="AE320" s="31">
        <f>162/400</f>
        <v>0.40500000000000003</v>
      </c>
      <c r="AF320" s="22">
        <f t="shared" si="64"/>
        <v>0</v>
      </c>
      <c r="AG320" s="12">
        <v>0</v>
      </c>
      <c r="AH320" s="12">
        <v>0</v>
      </c>
      <c r="AI320" s="20">
        <v>0</v>
      </c>
      <c r="AJ320" s="23">
        <f t="shared" si="65"/>
        <v>0</v>
      </c>
      <c r="AK320" s="23">
        <v>0</v>
      </c>
      <c r="AL320" s="28">
        <f>AK320/detalle!$D$2</f>
        <v>0</v>
      </c>
    </row>
    <row r="321" spans="1:38">
      <c r="A321" s="12">
        <v>320</v>
      </c>
      <c r="B321" s="19">
        <v>44210</v>
      </c>
      <c r="C321" s="12">
        <v>302</v>
      </c>
      <c r="D321" s="23">
        <f t="shared" si="61"/>
        <v>1482</v>
      </c>
      <c r="E321" s="12">
        <v>188969</v>
      </c>
      <c r="F321" s="12">
        <v>2432</v>
      </c>
      <c r="G321" s="12">
        <v>140931</v>
      </c>
      <c r="H321" s="23">
        <f t="shared" si="57"/>
        <v>45606</v>
      </c>
      <c r="I321" s="23">
        <f t="shared" si="68"/>
        <v>6164</v>
      </c>
      <c r="J321" s="12">
        <v>938753</v>
      </c>
      <c r="K321" s="23">
        <f t="shared" si="69"/>
        <v>749784</v>
      </c>
      <c r="L321" s="9">
        <f t="shared" si="62"/>
        <v>407</v>
      </c>
      <c r="M321" s="14">
        <f t="shared" si="58"/>
        <v>1.2869835793172425E-2</v>
      </c>
      <c r="N321" s="14">
        <f t="shared" si="67"/>
        <v>0.24042829331602855</v>
      </c>
      <c r="O321" s="12"/>
      <c r="P321" s="12"/>
      <c r="Q321" s="12"/>
      <c r="R321" s="23">
        <f t="shared" si="59"/>
        <v>143363</v>
      </c>
      <c r="S321" s="25">
        <f>(((H321+R321)/(H320+R320))-1)+detalle!$D$1</f>
        <v>7.933311947723623E-2</v>
      </c>
      <c r="T321" s="25">
        <f t="shared" si="63"/>
        <v>1.1106636726813073</v>
      </c>
      <c r="U321" s="10">
        <f t="shared" si="60"/>
        <v>0.74578899184522329</v>
      </c>
      <c r="V321" s="21">
        <f t="shared" si="66"/>
        <v>57.948601973684212</v>
      </c>
      <c r="W321" s="15">
        <f>J321/detalle!$D$2</f>
        <v>85648.590180811691</v>
      </c>
      <c r="X321" s="15">
        <f>E321/detalle!$D$2</f>
        <v>17240.880655377725</v>
      </c>
      <c r="Y321" s="22">
        <f>F321/detalle!$D$2</f>
        <v>221.88730296439431</v>
      </c>
      <c r="AA321" s="14">
        <f>E321/(detalle!$D$2*1000000)</f>
        <v>1.7240880655377724E-2</v>
      </c>
      <c r="AB321" s="14">
        <f>F321/(detalle!$D$2*1000000)</f>
        <v>2.2188730296439431E-4</v>
      </c>
      <c r="AC321" s="31">
        <f>317/528</f>
        <v>0.60037878787878785</v>
      </c>
      <c r="AD321" s="31">
        <f>1303/2722</f>
        <v>0.47869213813372519</v>
      </c>
      <c r="AE321" s="31">
        <f>165/390</f>
        <v>0.42307692307692307</v>
      </c>
      <c r="AF321" s="22">
        <f t="shared" si="64"/>
        <v>4</v>
      </c>
      <c r="AG321" s="12">
        <v>0</v>
      </c>
      <c r="AH321" s="12">
        <v>0</v>
      </c>
      <c r="AI321" s="20">
        <v>0</v>
      </c>
      <c r="AJ321" s="23">
        <f t="shared" si="65"/>
        <v>0</v>
      </c>
      <c r="AK321" s="23">
        <v>0</v>
      </c>
      <c r="AL321" s="28">
        <f>AK321/detalle!$D$2</f>
        <v>0</v>
      </c>
    </row>
    <row r="322" spans="1:38">
      <c r="A322" s="12">
        <v>321</v>
      </c>
      <c r="B322" s="19">
        <v>44211</v>
      </c>
      <c r="C322" s="12">
        <v>303</v>
      </c>
      <c r="D322" s="23">
        <f t="shared" si="61"/>
        <v>2370</v>
      </c>
      <c r="E322" s="12">
        <v>191339</v>
      </c>
      <c r="F322" s="12">
        <v>2432</v>
      </c>
      <c r="G322" s="12">
        <v>142030</v>
      </c>
      <c r="H322" s="23">
        <f t="shared" ref="H322:H385" si="70">E322-F322-G322</f>
        <v>46877</v>
      </c>
      <c r="I322" s="23">
        <f t="shared" si="68"/>
        <v>8670</v>
      </c>
      <c r="J322" s="12">
        <v>947423</v>
      </c>
      <c r="K322" s="23">
        <f t="shared" si="69"/>
        <v>756084</v>
      </c>
      <c r="L322" s="9">
        <f t="shared" si="62"/>
        <v>1099</v>
      </c>
      <c r="M322" s="14">
        <f t="shared" ref="M322:M385" si="71">F322/E322</f>
        <v>1.2710424952571091E-2</v>
      </c>
      <c r="N322" s="14">
        <f t="shared" si="67"/>
        <v>0.27335640138408307</v>
      </c>
      <c r="O322" s="12"/>
      <c r="P322" s="12"/>
      <c r="Q322" s="12"/>
      <c r="R322" s="23">
        <f t="shared" ref="R322:R385" si="72">F322+G322</f>
        <v>144462</v>
      </c>
      <c r="S322" s="25">
        <f>(((H322+R322)/(H321+R321))-1)+detalle!$D$1</f>
        <v>8.3970311078990251E-2</v>
      </c>
      <c r="T322" s="25">
        <f t="shared" si="63"/>
        <v>1.1755843551058636</v>
      </c>
      <c r="U322" s="10">
        <f t="shared" ref="U322:U385" si="73">G322/E322</f>
        <v>0.74229508882141126</v>
      </c>
      <c r="V322" s="21">
        <f t="shared" si="66"/>
        <v>58.40049342105263</v>
      </c>
      <c r="W322" s="15">
        <f>J322/detalle!$D$2</f>
        <v>86439.611116955319</v>
      </c>
      <c r="X322" s="15">
        <f>E322/detalle!$D$2</f>
        <v>17457.111291901416</v>
      </c>
      <c r="Y322" s="22">
        <f>F322/detalle!$D$2</f>
        <v>221.88730296439431</v>
      </c>
      <c r="AA322" s="14">
        <f>E322/(detalle!$D$2*1000000)</f>
        <v>1.7457111291901414E-2</v>
      </c>
      <c r="AB322" s="14">
        <f>F322/(detalle!$D$2*1000000)</f>
        <v>2.2188730296439431E-4</v>
      </c>
      <c r="AC322" s="31">
        <f>321/532</f>
        <v>0.60338345864661658</v>
      </c>
      <c r="AD322" s="31">
        <f>1261/2729</f>
        <v>0.46207401978746793</v>
      </c>
      <c r="AE322" s="31">
        <f>166/388</f>
        <v>0.42783505154639173</v>
      </c>
      <c r="AF322" s="22">
        <f t="shared" si="64"/>
        <v>0</v>
      </c>
      <c r="AG322" s="12">
        <v>0</v>
      </c>
      <c r="AH322" s="12">
        <v>0</v>
      </c>
      <c r="AI322" s="20">
        <v>0</v>
      </c>
      <c r="AJ322" s="23">
        <f t="shared" si="65"/>
        <v>0</v>
      </c>
      <c r="AK322" s="23">
        <v>0</v>
      </c>
      <c r="AL322" s="28">
        <f>AK322/detalle!$D$2</f>
        <v>0</v>
      </c>
    </row>
    <row r="323" spans="1:38">
      <c r="A323" s="12">
        <v>322</v>
      </c>
      <c r="B323" s="19">
        <v>44212</v>
      </c>
      <c r="C323" s="12">
        <v>304</v>
      </c>
      <c r="D323" s="23">
        <f t="shared" ref="D323:D386" si="74">E323-E322</f>
        <v>1779</v>
      </c>
      <c r="E323" s="12">
        <v>193118</v>
      </c>
      <c r="F323" s="12">
        <v>2437</v>
      </c>
      <c r="G323" s="12">
        <v>143050</v>
      </c>
      <c r="H323" s="23">
        <f t="shared" si="70"/>
        <v>47631</v>
      </c>
      <c r="I323" s="23">
        <f t="shared" si="68"/>
        <v>6414</v>
      </c>
      <c r="J323" s="12">
        <v>953837</v>
      </c>
      <c r="K323" s="23">
        <f t="shared" si="69"/>
        <v>760719</v>
      </c>
      <c r="L323" s="9">
        <f t="shared" ref="L323:L386" si="75">G323-G322</f>
        <v>1020</v>
      </c>
      <c r="M323" s="14">
        <f t="shared" si="71"/>
        <v>1.2619227622489876E-2</v>
      </c>
      <c r="N323" s="14">
        <f t="shared" si="67"/>
        <v>0.27736202057998127</v>
      </c>
      <c r="O323" s="12"/>
      <c r="P323" s="12"/>
      <c r="Q323" s="12"/>
      <c r="R323" s="23">
        <f t="shared" si="72"/>
        <v>145487</v>
      </c>
      <c r="S323" s="25">
        <f>(((H323+R323)/(H322+R322))-1)+detalle!$D$1</f>
        <v>8.0726205470768725E-2</v>
      </c>
      <c r="T323" s="25">
        <f t="shared" ref="T323:T386" si="76">S323*14</f>
        <v>1.1301668765907622</v>
      </c>
      <c r="U323" s="10">
        <f t="shared" si="73"/>
        <v>0.74073882289584603</v>
      </c>
      <c r="V323" s="21">
        <f t="shared" si="66"/>
        <v>58.699220352892901</v>
      </c>
      <c r="W323" s="15">
        <f>J323/detalle!$D$2</f>
        <v>87024.802383901711</v>
      </c>
      <c r="X323" s="15">
        <f>E323/detalle!$D$2</f>
        <v>17619.421124127424</v>
      </c>
      <c r="Y323" s="22">
        <f>F323/detalle!$D$2</f>
        <v>222.34348574187044</v>
      </c>
      <c r="AA323" s="14">
        <f>E323/(detalle!$D$2*1000000)</f>
        <v>1.7619421124127423E-2</v>
      </c>
      <c r="AB323" s="14">
        <f>F323/(detalle!$D$2*1000000)</f>
        <v>2.2234348574187043E-4</v>
      </c>
      <c r="AC323" s="31">
        <f>322/543</f>
        <v>0.59300184162062619</v>
      </c>
      <c r="AD323" s="31">
        <f>1306/2733</f>
        <v>0.47786315404317597</v>
      </c>
      <c r="AE323" s="31">
        <f>166/389</f>
        <v>0.42673521850899743</v>
      </c>
      <c r="AF323" s="22">
        <f t="shared" ref="AF323:AF386" si="77">F323-F322</f>
        <v>5</v>
      </c>
      <c r="AG323" s="12">
        <v>0</v>
      </c>
      <c r="AH323" s="12">
        <v>0</v>
      </c>
      <c r="AI323" s="20">
        <v>0</v>
      </c>
      <c r="AJ323" s="23">
        <f t="shared" ref="AJ323:AJ386" si="78">AK323-AK322</f>
        <v>0</v>
      </c>
      <c r="AK323" s="23">
        <v>0</v>
      </c>
      <c r="AL323" s="28">
        <f>AK323/detalle!$D$2</f>
        <v>0</v>
      </c>
    </row>
    <row r="324" spans="1:38">
      <c r="A324" s="12">
        <v>323</v>
      </c>
      <c r="B324" s="19">
        <v>44213</v>
      </c>
      <c r="C324" s="12">
        <v>305</v>
      </c>
      <c r="D324" s="23">
        <f t="shared" si="74"/>
        <v>1848</v>
      </c>
      <c r="E324" s="12">
        <v>194966</v>
      </c>
      <c r="F324" s="12">
        <v>2448</v>
      </c>
      <c r="G324" s="12">
        <v>144208</v>
      </c>
      <c r="H324" s="23">
        <f t="shared" si="70"/>
        <v>48310</v>
      </c>
      <c r="I324" s="23">
        <f t="shared" si="68"/>
        <v>6967</v>
      </c>
      <c r="J324" s="12">
        <v>960804</v>
      </c>
      <c r="K324" s="23">
        <f t="shared" si="69"/>
        <v>765838</v>
      </c>
      <c r="L324" s="9">
        <f t="shared" si="75"/>
        <v>1158</v>
      </c>
      <c r="M324" s="14">
        <f t="shared" si="71"/>
        <v>1.2556035411302484E-2</v>
      </c>
      <c r="N324" s="14">
        <f t="shared" si="67"/>
        <v>0.26525046648485717</v>
      </c>
      <c r="O324" s="12"/>
      <c r="P324" s="12"/>
      <c r="Q324" s="12"/>
      <c r="R324" s="23">
        <f t="shared" si="72"/>
        <v>146656</v>
      </c>
      <c r="S324" s="25">
        <f>(((H324+R324)/(H323+R323))-1)+detalle!$D$1</f>
        <v>8.099785031505527E-2</v>
      </c>
      <c r="T324" s="25">
        <f t="shared" si="76"/>
        <v>1.1339699044107738</v>
      </c>
      <c r="U324" s="10">
        <f t="shared" si="73"/>
        <v>0.73965717099391692</v>
      </c>
      <c r="V324" s="21">
        <f t="shared" si="66"/>
        <v>58.908496732026144</v>
      </c>
      <c r="W324" s="15">
        <f>J324/detalle!$D$2</f>
        <v>87660.44746603696</v>
      </c>
      <c r="X324" s="15">
        <f>E324/detalle!$D$2</f>
        <v>17788.026278682606</v>
      </c>
      <c r="Y324" s="22">
        <f>F324/detalle!$D$2</f>
        <v>223.34708785231794</v>
      </c>
      <c r="AA324" s="14">
        <f>E324/(detalle!$D$2*1000000)</f>
        <v>1.7788026278682607E-2</v>
      </c>
      <c r="AB324" s="14">
        <f>F324/(detalle!$D$2*1000000)</f>
        <v>2.2334708785231794E-4</v>
      </c>
      <c r="AC324" s="31">
        <f>331/543</f>
        <v>0.60957642725598526</v>
      </c>
      <c r="AD324" s="31">
        <f>1302/2731</f>
        <v>0.47674844379348225</v>
      </c>
      <c r="AE324" s="31">
        <f>170/391</f>
        <v>0.43478260869565216</v>
      </c>
      <c r="AF324" s="22">
        <f t="shared" si="77"/>
        <v>11</v>
      </c>
      <c r="AG324" s="12">
        <v>0</v>
      </c>
      <c r="AH324" s="12">
        <v>0</v>
      </c>
      <c r="AI324" s="20">
        <v>0</v>
      </c>
      <c r="AJ324" s="23">
        <f t="shared" si="78"/>
        <v>0</v>
      </c>
      <c r="AK324" s="23">
        <v>0</v>
      </c>
      <c r="AL324" s="28">
        <f>AK324/detalle!$D$2</f>
        <v>0</v>
      </c>
    </row>
    <row r="325" spans="1:38">
      <c r="A325" s="12">
        <v>324</v>
      </c>
      <c r="B325" s="19">
        <v>44214</v>
      </c>
      <c r="C325" s="12">
        <v>306</v>
      </c>
      <c r="D325" s="23">
        <f t="shared" si="74"/>
        <v>1625</v>
      </c>
      <c r="E325" s="12">
        <v>196591</v>
      </c>
      <c r="F325" s="12">
        <v>2461</v>
      </c>
      <c r="G325" s="12">
        <v>145115</v>
      </c>
      <c r="H325" s="23">
        <f t="shared" si="70"/>
        <v>49015</v>
      </c>
      <c r="I325" s="23">
        <f t="shared" si="68"/>
        <v>5741</v>
      </c>
      <c r="J325" s="12">
        <v>966545</v>
      </c>
      <c r="K325" s="23">
        <f t="shared" si="69"/>
        <v>769954</v>
      </c>
      <c r="L325" s="9">
        <f t="shared" si="75"/>
        <v>907</v>
      </c>
      <c r="M325" s="14">
        <f t="shared" si="71"/>
        <v>1.2518375714045913E-2</v>
      </c>
      <c r="N325" s="14">
        <f t="shared" si="67"/>
        <v>0.28305173314753529</v>
      </c>
      <c r="O325" s="12"/>
      <c r="P325" s="12"/>
      <c r="Q325" s="12"/>
      <c r="R325" s="23">
        <f t="shared" si="72"/>
        <v>147576</v>
      </c>
      <c r="S325" s="25">
        <f>(((H325+R325)/(H324+R324))-1)+detalle!$D$1</f>
        <v>7.9763358006744084E-2</v>
      </c>
      <c r="T325" s="25">
        <f t="shared" si="76"/>
        <v>1.1166870120944172</v>
      </c>
      <c r="U325" s="10">
        <f t="shared" si="73"/>
        <v>0.73815688408930213</v>
      </c>
      <c r="V325" s="21">
        <f t="shared" si="66"/>
        <v>58.96586753352296</v>
      </c>
      <c r="W325" s="15">
        <f>J325/detalle!$D$2</f>
        <v>88184.236531135073</v>
      </c>
      <c r="X325" s="15">
        <f>E325/detalle!$D$2</f>
        <v>17936.285681362351</v>
      </c>
      <c r="Y325" s="22">
        <f>F325/detalle!$D$2</f>
        <v>224.5331630737559</v>
      </c>
      <c r="AA325" s="14">
        <f>E325/(detalle!$D$2*1000000)</f>
        <v>1.7936285681362352E-2</v>
      </c>
      <c r="AB325" s="14">
        <f>F325/(detalle!$D$2*1000000)</f>
        <v>2.245331630737559E-4</v>
      </c>
      <c r="AC325" s="31">
        <f>336/546</f>
        <v>0.61538461538461542</v>
      </c>
      <c r="AD325" s="31">
        <f>1282/2735</f>
        <v>0.4687385740402194</v>
      </c>
      <c r="AE325" s="31">
        <f>173/396</f>
        <v>0.43686868686868685</v>
      </c>
      <c r="AF325" s="22">
        <f t="shared" si="77"/>
        <v>13</v>
      </c>
      <c r="AG325" s="12">
        <v>0</v>
      </c>
      <c r="AH325" s="12">
        <v>0</v>
      </c>
      <c r="AI325" s="20">
        <v>0</v>
      </c>
      <c r="AJ325" s="23">
        <f t="shared" si="78"/>
        <v>0</v>
      </c>
      <c r="AK325" s="23">
        <v>0</v>
      </c>
      <c r="AL325" s="28">
        <f>AK325/detalle!$D$2</f>
        <v>0</v>
      </c>
    </row>
    <row r="326" spans="1:38">
      <c r="A326" s="12">
        <v>325</v>
      </c>
      <c r="B326" s="19">
        <v>44215</v>
      </c>
      <c r="C326" s="12">
        <v>307</v>
      </c>
      <c r="D326" s="23">
        <f t="shared" si="74"/>
        <v>1532</v>
      </c>
      <c r="E326" s="12">
        <v>198123</v>
      </c>
      <c r="F326" s="12">
        <v>2470</v>
      </c>
      <c r="G326" s="12">
        <v>145681</v>
      </c>
      <c r="H326" s="23">
        <f t="shared" si="70"/>
        <v>49972</v>
      </c>
      <c r="I326" s="23">
        <f t="shared" si="68"/>
        <v>7041</v>
      </c>
      <c r="J326" s="12">
        <v>973586</v>
      </c>
      <c r="K326" s="23">
        <f t="shared" si="69"/>
        <v>775463</v>
      </c>
      <c r="L326" s="9">
        <f t="shared" si="75"/>
        <v>566</v>
      </c>
      <c r="M326" s="14">
        <f t="shared" si="71"/>
        <v>1.2467002821479585E-2</v>
      </c>
      <c r="N326" s="14">
        <f t="shared" si="67"/>
        <v>0.21758272972589121</v>
      </c>
      <c r="O326" s="12"/>
      <c r="P326" s="12"/>
      <c r="Q326" s="12"/>
      <c r="R326" s="23">
        <f t="shared" si="72"/>
        <v>148151</v>
      </c>
      <c r="S326" s="25">
        <f>(((H326+R326)/(H325+R325))-1)+detalle!$D$1</f>
        <v>7.922140019489346E-2</v>
      </c>
      <c r="T326" s="25">
        <f t="shared" si="76"/>
        <v>1.1090996027285085</v>
      </c>
      <c r="U326" s="10">
        <f t="shared" si="73"/>
        <v>0.73530584535869137</v>
      </c>
      <c r="V326" s="21">
        <f t="shared" si="66"/>
        <v>58.980161943319835</v>
      </c>
      <c r="W326" s="15">
        <f>J326/detalle!$D$2</f>
        <v>88826.633118376965</v>
      </c>
      <c r="X326" s="15">
        <f>E326/detalle!$D$2</f>
        <v>18076.060084381043</v>
      </c>
      <c r="Y326" s="22">
        <f>F326/detalle!$D$2</f>
        <v>225.35429207321297</v>
      </c>
      <c r="AA326" s="14">
        <f>E326/(detalle!$D$2*1000000)</f>
        <v>1.8076060084381042E-2</v>
      </c>
      <c r="AB326" s="14">
        <f>F326/(detalle!$D$2*1000000)</f>
        <v>2.2535429207321296E-4</v>
      </c>
      <c r="AC326" s="31">
        <f>331/543</f>
        <v>0.60957642725598526</v>
      </c>
      <c r="AD326" s="31">
        <f>1302/2731</f>
        <v>0.47674844379348225</v>
      </c>
      <c r="AE326" s="31">
        <f>170/391</f>
        <v>0.43478260869565216</v>
      </c>
      <c r="AF326" s="22">
        <f t="shared" si="77"/>
        <v>9</v>
      </c>
      <c r="AG326" s="12">
        <v>0</v>
      </c>
      <c r="AH326" s="12">
        <v>0</v>
      </c>
      <c r="AI326" s="20">
        <v>0</v>
      </c>
      <c r="AJ326" s="23">
        <f t="shared" si="78"/>
        <v>0</v>
      </c>
      <c r="AK326" s="23">
        <v>0</v>
      </c>
      <c r="AL326" s="28">
        <f>AK326/detalle!$D$2</f>
        <v>0</v>
      </c>
    </row>
    <row r="327" spans="1:38">
      <c r="A327" s="12">
        <v>326</v>
      </c>
      <c r="B327" s="19">
        <v>44216</v>
      </c>
      <c r="C327" s="12">
        <v>308</v>
      </c>
      <c r="D327" s="23">
        <f t="shared" si="74"/>
        <v>1549</v>
      </c>
      <c r="E327" s="12">
        <v>199672</v>
      </c>
      <c r="F327" s="12">
        <v>2482</v>
      </c>
      <c r="G327" s="12">
        <v>146020</v>
      </c>
      <c r="H327" s="23">
        <f t="shared" si="70"/>
        <v>51170</v>
      </c>
      <c r="I327" s="23">
        <f t="shared" si="68"/>
        <v>7920</v>
      </c>
      <c r="J327" s="12">
        <v>981506</v>
      </c>
      <c r="K327" s="23">
        <f t="shared" si="69"/>
        <v>781834</v>
      </c>
      <c r="L327" s="9">
        <f t="shared" si="75"/>
        <v>339</v>
      </c>
      <c r="M327" s="14">
        <f t="shared" si="71"/>
        <v>1.2430385832765735E-2</v>
      </c>
      <c r="N327" s="14">
        <f t="shared" si="67"/>
        <v>0.19558080808080808</v>
      </c>
      <c r="O327" s="12"/>
      <c r="P327" s="12"/>
      <c r="Q327" s="12"/>
      <c r="R327" s="23">
        <f t="shared" si="72"/>
        <v>148502</v>
      </c>
      <c r="S327" s="25">
        <f>(((H327+R327)/(H326+R326))-1)+detalle!$D$1</f>
        <v>7.9246946882203712E-2</v>
      </c>
      <c r="T327" s="25">
        <f t="shared" si="76"/>
        <v>1.109457256350852</v>
      </c>
      <c r="U327" s="10">
        <f t="shared" si="73"/>
        <v>0.7312993309026804</v>
      </c>
      <c r="V327" s="21">
        <f t="shared" si="66"/>
        <v>58.831587429492345</v>
      </c>
      <c r="W327" s="15">
        <f>J327/detalle!$D$2</f>
        <v>89549.226637899177</v>
      </c>
      <c r="X327" s="15">
        <f>E327/detalle!$D$2</f>
        <v>18217.385508843148</v>
      </c>
      <c r="Y327" s="22">
        <f>F327/detalle!$D$2</f>
        <v>226.44913073915569</v>
      </c>
      <c r="AA327" s="14">
        <f>E327/(detalle!$D$2*1000000)</f>
        <v>1.8217385508843147E-2</v>
      </c>
      <c r="AB327" s="14">
        <f>F327/(detalle!$D$2*1000000)</f>
        <v>2.2644913073915568E-4</v>
      </c>
      <c r="AC327" s="31">
        <f>329/542</f>
        <v>0.6070110701107011</v>
      </c>
      <c r="AD327" s="31">
        <f>1275/2736</f>
        <v>0.46600877192982454</v>
      </c>
      <c r="AE327" s="31">
        <f>183/397</f>
        <v>0.46095717884130982</v>
      </c>
      <c r="AF327" s="22">
        <f t="shared" si="77"/>
        <v>12</v>
      </c>
      <c r="AG327" s="12">
        <v>0</v>
      </c>
      <c r="AH327" s="12">
        <v>0</v>
      </c>
      <c r="AI327" s="20">
        <v>0</v>
      </c>
      <c r="AJ327" s="23">
        <f t="shared" si="78"/>
        <v>0</v>
      </c>
      <c r="AK327" s="23">
        <v>0</v>
      </c>
      <c r="AL327" s="28">
        <f>AK327/detalle!$D$2</f>
        <v>0</v>
      </c>
    </row>
    <row r="328" spans="1:38">
      <c r="A328" s="12">
        <v>327</v>
      </c>
      <c r="B328" s="19">
        <v>44217</v>
      </c>
      <c r="C328" s="12">
        <v>309</v>
      </c>
      <c r="D328" s="23">
        <f t="shared" si="74"/>
        <v>1473</v>
      </c>
      <c r="E328" s="12">
        <v>201145</v>
      </c>
      <c r="F328" s="12">
        <v>2496</v>
      </c>
      <c r="G328" s="12">
        <v>146491</v>
      </c>
      <c r="H328" s="23">
        <f t="shared" si="70"/>
        <v>52158</v>
      </c>
      <c r="I328" s="23">
        <f t="shared" si="68"/>
        <v>7532</v>
      </c>
      <c r="J328" s="12">
        <v>989038</v>
      </c>
      <c r="K328" s="23">
        <f t="shared" si="69"/>
        <v>787893</v>
      </c>
      <c r="L328" s="9">
        <f t="shared" si="75"/>
        <v>471</v>
      </c>
      <c r="M328" s="14">
        <f t="shared" si="71"/>
        <v>1.2408958711377364E-2</v>
      </c>
      <c r="N328" s="14">
        <f t="shared" si="67"/>
        <v>0.19556558682952735</v>
      </c>
      <c r="O328" s="12"/>
      <c r="P328" s="12"/>
      <c r="Q328" s="12"/>
      <c r="R328" s="23">
        <f t="shared" si="72"/>
        <v>148987</v>
      </c>
      <c r="S328" s="25">
        <f>(((H328+R328)/(H327+R327))-1)+detalle!$D$1</f>
        <v>7.8805669870015499E-2</v>
      </c>
      <c r="T328" s="25">
        <f t="shared" si="76"/>
        <v>1.103279378180217</v>
      </c>
      <c r="U328" s="10">
        <f t="shared" si="73"/>
        <v>0.72828556513957587</v>
      </c>
      <c r="V328" s="21">
        <f t="shared" si="66"/>
        <v>58.690304487179489</v>
      </c>
      <c r="W328" s="15">
        <f>J328/detalle!$D$2</f>
        <v>90236.420373889225</v>
      </c>
      <c r="X328" s="15">
        <f>E328/detalle!$D$2</f>
        <v>18351.776955087618</v>
      </c>
      <c r="Y328" s="22">
        <f>F328/detalle!$D$2</f>
        <v>227.72644251608889</v>
      </c>
      <c r="AA328" s="14">
        <f>E328/(detalle!$D$2*1000000)</f>
        <v>1.835177695508762E-2</v>
      </c>
      <c r="AB328" s="14">
        <f>F328/(detalle!$D$2*1000000)</f>
        <v>2.2772644251608888E-4</v>
      </c>
      <c r="AC328" s="31">
        <f>332/543</f>
        <v>0.61141804788213627</v>
      </c>
      <c r="AD328" s="31">
        <f>1305/2731</f>
        <v>0.47784694251190041</v>
      </c>
      <c r="AE328" s="31">
        <f>190/396</f>
        <v>0.47979797979797978</v>
      </c>
      <c r="AF328" s="22">
        <f t="shared" si="77"/>
        <v>14</v>
      </c>
      <c r="AG328" s="12">
        <v>0</v>
      </c>
      <c r="AH328" s="12">
        <v>0</v>
      </c>
      <c r="AI328" s="20">
        <v>0</v>
      </c>
      <c r="AJ328" s="23">
        <f t="shared" si="78"/>
        <v>0</v>
      </c>
      <c r="AK328" s="23">
        <v>0</v>
      </c>
      <c r="AL328" s="28">
        <f>AK328/detalle!$D$2</f>
        <v>0</v>
      </c>
    </row>
    <row r="329" spans="1:38">
      <c r="A329" s="12">
        <v>328</v>
      </c>
      <c r="B329" s="19">
        <v>44218</v>
      </c>
      <c r="C329" s="12">
        <v>310</v>
      </c>
      <c r="D329" s="23">
        <f t="shared" si="74"/>
        <v>1362</v>
      </c>
      <c r="E329" s="12">
        <v>202507</v>
      </c>
      <c r="F329" s="12">
        <v>2513</v>
      </c>
      <c r="G329" s="12">
        <v>147147</v>
      </c>
      <c r="H329" s="23">
        <f t="shared" si="70"/>
        <v>52847</v>
      </c>
      <c r="I329" s="23">
        <f t="shared" si="68"/>
        <v>6932</v>
      </c>
      <c r="J329" s="12">
        <v>995970</v>
      </c>
      <c r="K329" s="23">
        <f t="shared" si="69"/>
        <v>793463</v>
      </c>
      <c r="L329" s="9">
        <f t="shared" si="75"/>
        <v>656</v>
      </c>
      <c r="M329" s="14">
        <f t="shared" si="71"/>
        <v>1.240944757465174E-2</v>
      </c>
      <c r="N329" s="14">
        <f t="shared" si="67"/>
        <v>0.19648009232544719</v>
      </c>
      <c r="O329" s="12"/>
      <c r="P329" s="12"/>
      <c r="Q329" s="12"/>
      <c r="R329" s="23">
        <f t="shared" si="72"/>
        <v>149660</v>
      </c>
      <c r="S329" s="25">
        <f>(((H329+R329)/(H328+R328))-1)+detalle!$D$1</f>
        <v>7.8199806110020226E-2</v>
      </c>
      <c r="T329" s="25">
        <f t="shared" si="76"/>
        <v>1.0947972855402832</v>
      </c>
      <c r="U329" s="10">
        <f t="shared" si="73"/>
        <v>0.72662673389068033</v>
      </c>
      <c r="V329" s="21">
        <f t="shared" si="66"/>
        <v>58.554317548746518</v>
      </c>
      <c r="W329" s="15">
        <f>J329/detalle!$D$2</f>
        <v>90868.872176582154</v>
      </c>
      <c r="X329" s="15">
        <f>E329/detalle!$D$2</f>
        <v>18476.041143672119</v>
      </c>
      <c r="Y329" s="22">
        <f>F329/detalle!$D$2</f>
        <v>229.27746395950777</v>
      </c>
      <c r="AA329" s="14">
        <f>E329/(detalle!$D$2*1000000)</f>
        <v>1.8476041143672121E-2</v>
      </c>
      <c r="AB329" s="14">
        <f>F329/(detalle!$D$2*1000000)</f>
        <v>2.2927746395950776E-4</v>
      </c>
      <c r="AC329" s="31">
        <f>317/542</f>
        <v>0.58487084870848705</v>
      </c>
      <c r="AD329" s="31">
        <f>1297/2731</f>
        <v>0.47491761259611864</v>
      </c>
      <c r="AE329" s="31">
        <f>182/403</f>
        <v>0.45161290322580644</v>
      </c>
      <c r="AF329" s="22">
        <f t="shared" si="77"/>
        <v>17</v>
      </c>
      <c r="AG329" s="12">
        <v>0</v>
      </c>
      <c r="AH329" s="12">
        <v>0</v>
      </c>
      <c r="AI329" s="20">
        <v>0</v>
      </c>
      <c r="AJ329" s="23">
        <f t="shared" si="78"/>
        <v>0</v>
      </c>
      <c r="AK329" s="23">
        <v>0</v>
      </c>
      <c r="AL329" s="28">
        <f>AK329/detalle!$D$2</f>
        <v>0</v>
      </c>
    </row>
    <row r="330" spans="1:38">
      <c r="A330" s="12">
        <v>329</v>
      </c>
      <c r="B330" s="19">
        <v>44219</v>
      </c>
      <c r="C330" s="12">
        <v>311</v>
      </c>
      <c r="D330" s="23">
        <f t="shared" si="74"/>
        <v>1439</v>
      </c>
      <c r="E330" s="12">
        <v>203946</v>
      </c>
      <c r="F330" s="12">
        <v>2531</v>
      </c>
      <c r="G330" s="12">
        <v>147886</v>
      </c>
      <c r="H330" s="23">
        <f t="shared" si="70"/>
        <v>53529</v>
      </c>
      <c r="I330" s="23">
        <f t="shared" si="68"/>
        <v>7507</v>
      </c>
      <c r="J330" s="12">
        <v>1003477</v>
      </c>
      <c r="K330" s="23">
        <f t="shared" si="69"/>
        <v>799531</v>
      </c>
      <c r="L330" s="9">
        <f t="shared" si="75"/>
        <v>739</v>
      </c>
      <c r="M330" s="14">
        <f t="shared" si="71"/>
        <v>1.2410147784217391E-2</v>
      </c>
      <c r="N330" s="14">
        <f t="shared" si="67"/>
        <v>0.19168775809244704</v>
      </c>
      <c r="O330" s="12"/>
      <c r="P330" s="12"/>
      <c r="Q330" s="12"/>
      <c r="R330" s="23">
        <f t="shared" si="72"/>
        <v>150417</v>
      </c>
      <c r="S330" s="25">
        <f>(((H330+R330)/(H329+R329))-1)+detalle!$D$1</f>
        <v>7.8534498631087885E-2</v>
      </c>
      <c r="T330" s="25">
        <f t="shared" si="76"/>
        <v>1.0994829808352304</v>
      </c>
      <c r="U330" s="10">
        <f t="shared" si="73"/>
        <v>0.72512331695644927</v>
      </c>
      <c r="V330" s="21">
        <f t="shared" si="66"/>
        <v>58.429869616752271</v>
      </c>
      <c r="W330" s="15">
        <f>J330/detalle!$D$2</f>
        <v>91553.78499868483</v>
      </c>
      <c r="X330" s="15">
        <f>E330/detalle!$D$2</f>
        <v>18607.330547029753</v>
      </c>
      <c r="Y330" s="22">
        <f>F330/detalle!$D$2</f>
        <v>230.91972195842186</v>
      </c>
      <c r="AA330" s="14">
        <f>E330/(detalle!$D$2*1000000)</f>
        <v>1.8607330547029753E-2</v>
      </c>
      <c r="AB330" s="14">
        <f>F330/(detalle!$D$2*1000000)</f>
        <v>2.3091972195842187E-4</v>
      </c>
      <c r="AC330" s="31">
        <f>303/543</f>
        <v>0.55801104972375692</v>
      </c>
      <c r="AD330" s="31">
        <f>1286/2735</f>
        <v>0.47020109689213896</v>
      </c>
      <c r="AE330" s="31">
        <f>172/403</f>
        <v>0.42679900744416871</v>
      </c>
      <c r="AF330" s="22">
        <f t="shared" si="77"/>
        <v>18</v>
      </c>
      <c r="AG330" s="12">
        <v>0</v>
      </c>
      <c r="AH330" s="12">
        <v>0</v>
      </c>
      <c r="AI330" s="20">
        <v>0</v>
      </c>
      <c r="AJ330" s="23">
        <f t="shared" si="78"/>
        <v>0</v>
      </c>
      <c r="AK330" s="23">
        <v>0</v>
      </c>
      <c r="AL330" s="28">
        <f>AK330/detalle!$D$2</f>
        <v>0</v>
      </c>
    </row>
    <row r="331" spans="1:38">
      <c r="A331" s="12">
        <v>330</v>
      </c>
      <c r="B331" s="19">
        <v>44220</v>
      </c>
      <c r="C331" s="12">
        <v>312</v>
      </c>
      <c r="D331" s="23">
        <f t="shared" si="74"/>
        <v>1216</v>
      </c>
      <c r="E331" s="12">
        <v>205162</v>
      </c>
      <c r="F331" s="12">
        <v>2545</v>
      </c>
      <c r="G331" s="12">
        <v>148922</v>
      </c>
      <c r="H331" s="23">
        <f t="shared" si="70"/>
        <v>53695</v>
      </c>
      <c r="I331" s="23">
        <f t="shared" si="68"/>
        <v>4600</v>
      </c>
      <c r="J331" s="12">
        <v>1008077</v>
      </c>
      <c r="K331" s="23">
        <f t="shared" si="69"/>
        <v>802915</v>
      </c>
      <c r="L331" s="9">
        <f t="shared" si="75"/>
        <v>1036</v>
      </c>
      <c r="M331" s="14">
        <f t="shared" si="71"/>
        <v>1.2404831304042659E-2</v>
      </c>
      <c r="N331" s="14">
        <f t="shared" si="67"/>
        <v>0.26434782608695651</v>
      </c>
      <c r="O331" s="12"/>
      <c r="P331" s="12"/>
      <c r="Q331" s="12"/>
      <c r="R331" s="23">
        <f t="shared" si="72"/>
        <v>151467</v>
      </c>
      <c r="S331" s="25">
        <f>(((H331+R331)/(H330+R330))-1)+detalle!$D$1</f>
        <v>7.7390934014746088E-2</v>
      </c>
      <c r="T331" s="25">
        <f t="shared" si="76"/>
        <v>1.0834730762064453</v>
      </c>
      <c r="U331" s="10">
        <f t="shared" si="73"/>
        <v>0.7258751620670495</v>
      </c>
      <c r="V331" s="21">
        <f t="shared" si="66"/>
        <v>58.515520628683696</v>
      </c>
      <c r="W331" s="15">
        <f>J331/detalle!$D$2</f>
        <v>91973.47315396287</v>
      </c>
      <c r="X331" s="15">
        <f>E331/detalle!$D$2</f>
        <v>18718.27419851195</v>
      </c>
      <c r="Y331" s="22">
        <f>F331/detalle!$D$2</f>
        <v>232.19703373535506</v>
      </c>
      <c r="AA331" s="14">
        <f>E331/(detalle!$D$2*1000000)</f>
        <v>1.871827419851195E-2</v>
      </c>
      <c r="AB331" s="14">
        <f>F331/(detalle!$D$2*1000000)</f>
        <v>2.3219703373535504E-4</v>
      </c>
      <c r="AC331" s="31">
        <f>307/543</f>
        <v>0.56537753222836096</v>
      </c>
      <c r="AD331" s="31">
        <f>1259/2731</f>
        <v>0.46100329549615526</v>
      </c>
      <c r="AE331" s="31">
        <f>164/407</f>
        <v>0.40294840294840295</v>
      </c>
      <c r="AF331" s="22">
        <f t="shared" si="77"/>
        <v>14</v>
      </c>
      <c r="AG331" s="12">
        <v>0</v>
      </c>
      <c r="AH331" s="12">
        <v>0</v>
      </c>
      <c r="AI331" s="20">
        <v>0</v>
      </c>
      <c r="AJ331" s="23">
        <f t="shared" si="78"/>
        <v>0</v>
      </c>
      <c r="AK331" s="23">
        <v>0</v>
      </c>
      <c r="AL331" s="28">
        <f>AK331/detalle!$D$2</f>
        <v>0</v>
      </c>
    </row>
    <row r="332" spans="1:38">
      <c r="A332" s="12">
        <v>331</v>
      </c>
      <c r="B332" s="19">
        <v>44221</v>
      </c>
      <c r="C332" s="12">
        <v>313</v>
      </c>
      <c r="D332" s="23">
        <f t="shared" si="74"/>
        <v>1143</v>
      </c>
      <c r="E332" s="12">
        <v>206305</v>
      </c>
      <c r="F332" s="12">
        <v>2564</v>
      </c>
      <c r="G332" s="12">
        <v>149812</v>
      </c>
      <c r="H332" s="23">
        <f t="shared" si="70"/>
        <v>53929</v>
      </c>
      <c r="I332" s="23">
        <f t="shared" si="68"/>
        <v>4567</v>
      </c>
      <c r="J332" s="12">
        <v>1012644</v>
      </c>
      <c r="K332" s="23">
        <f t="shared" si="69"/>
        <v>806339</v>
      </c>
      <c r="L332" s="9">
        <f t="shared" si="75"/>
        <v>890</v>
      </c>
      <c r="M332" s="14">
        <f t="shared" si="71"/>
        <v>1.242820096459126E-2</v>
      </c>
      <c r="N332" s="14">
        <f t="shared" si="67"/>
        <v>0.25027370264944165</v>
      </c>
      <c r="O332" s="12"/>
      <c r="P332" s="12"/>
      <c r="Q332" s="12"/>
      <c r="R332" s="23">
        <f t="shared" si="72"/>
        <v>152376</v>
      </c>
      <c r="S332" s="25">
        <f>(((H332+R332)/(H331+R331))-1)+detalle!$D$1</f>
        <v>7.699977857219456E-2</v>
      </c>
      <c r="T332" s="25">
        <f t="shared" si="76"/>
        <v>1.0779969000107239</v>
      </c>
      <c r="U332" s="10">
        <f t="shared" si="73"/>
        <v>0.72616756743656241</v>
      </c>
      <c r="V332" s="21">
        <f t="shared" si="66"/>
        <v>58.429017160686428</v>
      </c>
      <c r="W332" s="15">
        <f>J332/detalle!$D$2</f>
        <v>92390.150502909586</v>
      </c>
      <c r="X332" s="15">
        <f>E332/detalle!$D$2</f>
        <v>18822.557581442998</v>
      </c>
      <c r="Y332" s="22">
        <f>F332/detalle!$D$2</f>
        <v>233.9305282897644</v>
      </c>
      <c r="AA332" s="14">
        <f>E332/(detalle!$D$2*1000000)</f>
        <v>1.8822557581442995E-2</v>
      </c>
      <c r="AB332" s="14">
        <f>F332/(detalle!$D$2*1000000)</f>
        <v>2.3393052828976437E-4</v>
      </c>
      <c r="AC332" s="31">
        <f>307/543</f>
        <v>0.56537753222836096</v>
      </c>
      <c r="AD332" s="31">
        <f>1259/2731</f>
        <v>0.46100329549615526</v>
      </c>
      <c r="AE332" s="31">
        <f>164/407</f>
        <v>0.40294840294840295</v>
      </c>
      <c r="AF332" s="22">
        <f t="shared" si="77"/>
        <v>19</v>
      </c>
      <c r="AG332" s="12">
        <v>0</v>
      </c>
      <c r="AH332" s="12">
        <v>0</v>
      </c>
      <c r="AI332" s="20">
        <v>0</v>
      </c>
      <c r="AJ332" s="23">
        <f t="shared" si="78"/>
        <v>0</v>
      </c>
      <c r="AK332" s="23">
        <v>0</v>
      </c>
      <c r="AL332" s="28">
        <f>AK332/detalle!$D$2</f>
        <v>0</v>
      </c>
    </row>
    <row r="333" spans="1:38">
      <c r="A333" s="12">
        <v>332</v>
      </c>
      <c r="B333" s="19">
        <v>44222</v>
      </c>
      <c r="C333" s="12">
        <v>314</v>
      </c>
      <c r="D333" s="23">
        <f t="shared" si="74"/>
        <v>1150</v>
      </c>
      <c r="E333" s="12">
        <v>207455</v>
      </c>
      <c r="F333" s="12">
        <v>2579</v>
      </c>
      <c r="G333" s="12">
        <v>150804</v>
      </c>
      <c r="H333" s="23">
        <f t="shared" si="70"/>
        <v>54072</v>
      </c>
      <c r="I333" s="23">
        <f t="shared" si="68"/>
        <v>5020</v>
      </c>
      <c r="J333" s="12">
        <v>1017664</v>
      </c>
      <c r="K333" s="23">
        <f t="shared" si="69"/>
        <v>810209</v>
      </c>
      <c r="L333" s="9">
        <f t="shared" si="75"/>
        <v>992</v>
      </c>
      <c r="M333" s="14">
        <f t="shared" si="71"/>
        <v>1.2431611674821045E-2</v>
      </c>
      <c r="N333" s="14">
        <f t="shared" si="67"/>
        <v>0.22908366533864541</v>
      </c>
      <c r="O333" s="12"/>
      <c r="P333" s="12"/>
      <c r="Q333" s="12"/>
      <c r="R333" s="23">
        <f t="shared" si="72"/>
        <v>153383</v>
      </c>
      <c r="S333" s="25">
        <f>(((H333+R333)/(H332+R332))-1)+detalle!$D$1</f>
        <v>7.7002842532034849E-2</v>
      </c>
      <c r="T333" s="25">
        <f t="shared" si="76"/>
        <v>1.0780397954484879</v>
      </c>
      <c r="U333" s="10">
        <f t="shared" si="73"/>
        <v>0.72692391120965993</v>
      </c>
      <c r="V333" s="21">
        <f t="shared" si="66"/>
        <v>58.473827064753777</v>
      </c>
      <c r="W333" s="15">
        <f>J333/detalle!$D$2</f>
        <v>92848.15801149563</v>
      </c>
      <c r="X333" s="15">
        <f>E333/detalle!$D$2</f>
        <v>18927.479620262508</v>
      </c>
      <c r="Y333" s="22">
        <f>F333/detalle!$D$2</f>
        <v>235.29907662219281</v>
      </c>
      <c r="AA333" s="14">
        <f>E333/(detalle!$D$2*1000000)</f>
        <v>1.8927479620262509E-2</v>
      </c>
      <c r="AB333" s="14">
        <f>F333/(detalle!$D$2*1000000)</f>
        <v>2.3529907662219279E-4</v>
      </c>
      <c r="AC333" s="31">
        <f>293/545</f>
        <v>0.53761467889908254</v>
      </c>
      <c r="AD333" s="31">
        <f>1165/2725</f>
        <v>0.42752293577981654</v>
      </c>
      <c r="AE333" s="31">
        <f>165/407</f>
        <v>0.40540540540540543</v>
      </c>
      <c r="AF333" s="22">
        <f t="shared" si="77"/>
        <v>15</v>
      </c>
      <c r="AG333" s="12">
        <v>0</v>
      </c>
      <c r="AH333" s="12">
        <v>0</v>
      </c>
      <c r="AI333" s="20">
        <v>0</v>
      </c>
      <c r="AJ333" s="23">
        <f t="shared" si="78"/>
        <v>0</v>
      </c>
      <c r="AK333" s="23">
        <v>0</v>
      </c>
      <c r="AL333" s="28">
        <f>AK333/detalle!$D$2</f>
        <v>0</v>
      </c>
    </row>
    <row r="334" spans="1:38">
      <c r="A334" s="12">
        <v>333</v>
      </c>
      <c r="B334" s="19">
        <v>44223</v>
      </c>
      <c r="C334" s="12">
        <v>315</v>
      </c>
      <c r="D334" s="23">
        <f t="shared" si="74"/>
        <v>1155</v>
      </c>
      <c r="E334" s="12">
        <v>208610</v>
      </c>
      <c r="F334" s="12">
        <v>2603</v>
      </c>
      <c r="G334" s="12">
        <v>151703</v>
      </c>
      <c r="H334" s="23">
        <f t="shared" si="70"/>
        <v>54304</v>
      </c>
      <c r="I334" s="23">
        <f t="shared" si="68"/>
        <v>8674</v>
      </c>
      <c r="J334" s="12">
        <v>1026338</v>
      </c>
      <c r="K334" s="23">
        <f t="shared" si="69"/>
        <v>817728</v>
      </c>
      <c r="L334" s="9">
        <f t="shared" si="75"/>
        <v>899</v>
      </c>
      <c r="M334" s="14">
        <f t="shared" si="71"/>
        <v>1.247782944250036E-2</v>
      </c>
      <c r="N334" s="14">
        <f t="shared" si="67"/>
        <v>0.13315655983398664</v>
      </c>
      <c r="O334" s="12"/>
      <c r="P334" s="12"/>
      <c r="Q334" s="12"/>
      <c r="R334" s="23">
        <f t="shared" si="72"/>
        <v>154306</v>
      </c>
      <c r="S334" s="25">
        <f>(((H334+R334)/(H333+R333))-1)+detalle!$D$1</f>
        <v>7.6996043892479299E-2</v>
      </c>
      <c r="T334" s="25">
        <f t="shared" si="76"/>
        <v>1.0779446144947102</v>
      </c>
      <c r="U334" s="10">
        <f t="shared" si="73"/>
        <v>0.72720866689036956</v>
      </c>
      <c r="V334" s="21">
        <f t="shared" si="66"/>
        <v>58.280061467537458</v>
      </c>
      <c r="W334" s="15">
        <f>J334/detalle!$D$2</f>
        <v>93639.543893861235</v>
      </c>
      <c r="X334" s="15">
        <f>E334/detalle!$D$2</f>
        <v>19032.857841859495</v>
      </c>
      <c r="Y334" s="22">
        <f>F334/detalle!$D$2</f>
        <v>237.48875395407828</v>
      </c>
      <c r="AA334" s="14">
        <f>E334/(detalle!$D$2*1000000)</f>
        <v>1.9032857841859496E-2</v>
      </c>
      <c r="AB334" s="14">
        <f>F334/(detalle!$D$2*1000000)</f>
        <v>2.3748875395407826E-4</v>
      </c>
      <c r="AC334" s="31">
        <f>288/545</f>
        <v>0.52844036697247709</v>
      </c>
      <c r="AD334" s="31">
        <f>1134/2728</f>
        <v>0.41568914956011732</v>
      </c>
      <c r="AE334" s="31">
        <f>165/406</f>
        <v>0.40640394088669951</v>
      </c>
      <c r="AF334" s="22">
        <f t="shared" si="77"/>
        <v>24</v>
      </c>
      <c r="AG334" s="12">
        <v>0</v>
      </c>
      <c r="AH334" s="12">
        <v>0</v>
      </c>
      <c r="AI334" s="20">
        <v>0</v>
      </c>
      <c r="AJ334" s="23">
        <f t="shared" si="78"/>
        <v>0</v>
      </c>
      <c r="AK334" s="23">
        <v>0</v>
      </c>
      <c r="AL334" s="28">
        <f>AK334/detalle!$D$2</f>
        <v>0</v>
      </c>
    </row>
    <row r="335" spans="1:38">
      <c r="A335" s="12">
        <v>334</v>
      </c>
      <c r="B335" s="19">
        <v>44224</v>
      </c>
      <c r="C335" s="12">
        <v>316</v>
      </c>
      <c r="D335" s="23">
        <f t="shared" si="74"/>
        <v>1802</v>
      </c>
      <c r="E335" s="12">
        <v>210412</v>
      </c>
      <c r="F335" s="12">
        <v>2626</v>
      </c>
      <c r="G335" s="12">
        <v>154145</v>
      </c>
      <c r="H335" s="23">
        <f t="shared" si="70"/>
        <v>53641</v>
      </c>
      <c r="I335" s="23">
        <f t="shared" si="68"/>
        <v>7194</v>
      </c>
      <c r="J335" s="12">
        <v>1033532</v>
      </c>
      <c r="K335" s="23">
        <f t="shared" si="69"/>
        <v>823120</v>
      </c>
      <c r="L335" s="9">
        <f t="shared" si="75"/>
        <v>2442</v>
      </c>
      <c r="M335" s="14">
        <f t="shared" si="71"/>
        <v>1.2480276790297132E-2</v>
      </c>
      <c r="N335" s="14">
        <f t="shared" si="67"/>
        <v>0.2504865165415624</v>
      </c>
      <c r="O335" s="12"/>
      <c r="P335" s="12"/>
      <c r="Q335" s="12"/>
      <c r="R335" s="23">
        <f t="shared" si="72"/>
        <v>156771</v>
      </c>
      <c r="S335" s="25">
        <f>(((H335+R335)/(H334+R334))-1)+detalle!$D$1</f>
        <v>8.0066699993836671E-2</v>
      </c>
      <c r="T335" s="25">
        <f t="shared" si="76"/>
        <v>1.1209337999137134</v>
      </c>
      <c r="U335" s="10">
        <f t="shared" si="73"/>
        <v>0.73258654449366001</v>
      </c>
      <c r="V335" s="21">
        <f t="shared" si="66"/>
        <v>58.699543031226199</v>
      </c>
      <c r="W335" s="15">
        <f>J335/detalle!$D$2</f>
        <v>94295.899674093904</v>
      </c>
      <c r="X335" s="15">
        <f>E335/detalle!$D$2</f>
        <v>19197.266114861897</v>
      </c>
      <c r="Y335" s="22">
        <f>F335/detalle!$D$2</f>
        <v>239.58719473046852</v>
      </c>
      <c r="AA335" s="14">
        <f>E335/(detalle!$D$2*1000000)</f>
        <v>1.9197266114861895E-2</v>
      </c>
      <c r="AB335" s="14">
        <f>F335/(detalle!$D$2*1000000)</f>
        <v>2.3958719473046852E-4</v>
      </c>
      <c r="AC335" s="31">
        <f>285/544</f>
        <v>0.52389705882352944</v>
      </c>
      <c r="AD335" s="31">
        <f>1119/2730</f>
        <v>0.40989010989010988</v>
      </c>
      <c r="AE335" s="31">
        <f>167/405</f>
        <v>0.4123456790123457</v>
      </c>
      <c r="AF335" s="22">
        <f t="shared" si="77"/>
        <v>23</v>
      </c>
      <c r="AG335" s="12">
        <v>0</v>
      </c>
      <c r="AH335" s="12">
        <v>0</v>
      </c>
      <c r="AI335" s="20">
        <v>0</v>
      </c>
      <c r="AJ335" s="23">
        <f t="shared" si="78"/>
        <v>0</v>
      </c>
      <c r="AK335" s="23">
        <v>0</v>
      </c>
      <c r="AL335" s="28">
        <f>AK335/detalle!$D$2</f>
        <v>0</v>
      </c>
    </row>
    <row r="336" spans="1:38">
      <c r="A336" s="12">
        <v>335</v>
      </c>
      <c r="B336" s="19">
        <v>44225</v>
      </c>
      <c r="C336" s="12">
        <v>317</v>
      </c>
      <c r="D336" s="23">
        <f t="shared" si="74"/>
        <v>2141</v>
      </c>
      <c r="E336" s="12">
        <v>212553</v>
      </c>
      <c r="F336" s="12">
        <v>2646</v>
      </c>
      <c r="G336" s="12">
        <v>155867</v>
      </c>
      <c r="H336" s="23">
        <f t="shared" si="70"/>
        <v>54040</v>
      </c>
      <c r="I336" s="23">
        <f t="shared" si="68"/>
        <v>11329</v>
      </c>
      <c r="J336" s="12">
        <v>1044861</v>
      </c>
      <c r="K336" s="23">
        <f t="shared" si="69"/>
        <v>832308</v>
      </c>
      <c r="L336" s="9">
        <f t="shared" si="75"/>
        <v>1722</v>
      </c>
      <c r="M336" s="14">
        <f t="shared" si="71"/>
        <v>1.2448659863657535E-2</v>
      </c>
      <c r="N336" s="14">
        <f t="shared" si="67"/>
        <v>0.18898402330302763</v>
      </c>
      <c r="O336" s="12"/>
      <c r="P336" s="12"/>
      <c r="Q336" s="12"/>
      <c r="R336" s="23">
        <f t="shared" si="72"/>
        <v>158513</v>
      </c>
      <c r="S336" s="25">
        <f>(((H336+R336)/(H335+R335))-1)+detalle!$D$1</f>
        <v>8.1603846602991165E-2</v>
      </c>
      <c r="T336" s="25">
        <f t="shared" si="76"/>
        <v>1.1424538524418764</v>
      </c>
      <c r="U336" s="10">
        <f t="shared" si="73"/>
        <v>0.73330886884682878</v>
      </c>
      <c r="V336" s="21">
        <f t="shared" si="66"/>
        <v>58.906651549508695</v>
      </c>
      <c r="W336" s="15">
        <f>J336/detalle!$D$2</f>
        <v>95329.51861129934</v>
      </c>
      <c r="X336" s="15">
        <f>E336/detalle!$D$2</f>
        <v>19392.60358017718</v>
      </c>
      <c r="Y336" s="22">
        <f>F336/detalle!$D$2</f>
        <v>241.41192584037307</v>
      </c>
      <c r="AA336" s="14">
        <f>E336/(detalle!$D$2*1000000)</f>
        <v>1.9392603580177178E-2</v>
      </c>
      <c r="AB336" s="14">
        <f>F336/(detalle!$D$2*1000000)</f>
        <v>2.4141192584037306E-4</v>
      </c>
      <c r="AC336" s="31">
        <f>286/543</f>
        <v>0.52670349907918967</v>
      </c>
      <c r="AD336" s="31">
        <f>1086/2712</f>
        <v>0.40044247787610621</v>
      </c>
      <c r="AE336" s="31">
        <f>167/404</f>
        <v>0.41336633663366334</v>
      </c>
      <c r="AF336" s="22">
        <f t="shared" si="77"/>
        <v>20</v>
      </c>
      <c r="AG336" s="12">
        <v>0</v>
      </c>
      <c r="AH336" s="12">
        <v>0</v>
      </c>
      <c r="AI336" s="20">
        <v>0</v>
      </c>
      <c r="AJ336" s="23">
        <f t="shared" si="78"/>
        <v>0</v>
      </c>
      <c r="AK336" s="23">
        <v>0</v>
      </c>
      <c r="AL336" s="28">
        <f>AK336/detalle!$D$2</f>
        <v>0</v>
      </c>
    </row>
    <row r="337" spans="1:38">
      <c r="A337" s="12">
        <v>336</v>
      </c>
      <c r="B337" s="19">
        <v>44226</v>
      </c>
      <c r="C337" s="12">
        <v>318</v>
      </c>
      <c r="D337" s="23">
        <f t="shared" si="74"/>
        <v>1507</v>
      </c>
      <c r="E337" s="12">
        <v>214060</v>
      </c>
      <c r="F337" s="12">
        <v>2666</v>
      </c>
      <c r="G337" s="12">
        <v>157533</v>
      </c>
      <c r="H337" s="23">
        <f t="shared" si="70"/>
        <v>53861</v>
      </c>
      <c r="I337" s="23">
        <f t="shared" si="68"/>
        <v>6952</v>
      </c>
      <c r="J337" s="12">
        <v>1051813</v>
      </c>
      <c r="K337" s="23">
        <f t="shared" si="69"/>
        <v>837753</v>
      </c>
      <c r="L337" s="9">
        <f t="shared" si="75"/>
        <v>1666</v>
      </c>
      <c r="M337" s="14">
        <f t="shared" si="71"/>
        <v>1.2454452022797347E-2</v>
      </c>
      <c r="N337" s="14">
        <f t="shared" si="67"/>
        <v>0.21677215189873417</v>
      </c>
      <c r="O337" s="12"/>
      <c r="P337" s="12"/>
      <c r="Q337" s="12"/>
      <c r="R337" s="23">
        <f t="shared" si="72"/>
        <v>160199</v>
      </c>
      <c r="S337" s="25">
        <f>(((H337+R337)/(H336+R336))-1)+detalle!$D$1</f>
        <v>7.8518567805945488E-2</v>
      </c>
      <c r="T337" s="25">
        <f t="shared" si="76"/>
        <v>1.0992599492832369</v>
      </c>
      <c r="U337" s="10">
        <f t="shared" si="73"/>
        <v>0.73592917873493413</v>
      </c>
      <c r="V337" s="21">
        <f t="shared" ref="V337:V400" si="79">G337/F337</f>
        <v>59.089647411852965</v>
      </c>
      <c r="W337" s="15">
        <f>J337/detalle!$D$2</f>
        <v>95963.795145102165</v>
      </c>
      <c r="X337" s="15">
        <f>E337/detalle!$D$2</f>
        <v>19530.097069308489</v>
      </c>
      <c r="Y337" s="22">
        <f>F337/detalle!$D$2</f>
        <v>243.23665695027765</v>
      </c>
      <c r="AA337" s="14">
        <f>E337/(detalle!$D$2*1000000)</f>
        <v>1.9530097069308489E-2</v>
      </c>
      <c r="AB337" s="14">
        <f>F337/(detalle!$D$2*1000000)</f>
        <v>2.4323665695027763E-4</v>
      </c>
      <c r="AC337" s="31">
        <f>292/541</f>
        <v>0.53974121996303137</v>
      </c>
      <c r="AD337" s="31">
        <f>1056/2712</f>
        <v>0.38938053097345132</v>
      </c>
      <c r="AE337" s="31">
        <f>163/404</f>
        <v>0.40346534653465349</v>
      </c>
      <c r="AF337" s="22">
        <f t="shared" si="77"/>
        <v>20</v>
      </c>
      <c r="AG337" s="12">
        <v>0</v>
      </c>
      <c r="AH337" s="12">
        <v>0</v>
      </c>
      <c r="AI337" s="20">
        <v>0</v>
      </c>
      <c r="AJ337" s="23">
        <f t="shared" si="78"/>
        <v>0</v>
      </c>
      <c r="AK337" s="23">
        <v>0</v>
      </c>
      <c r="AL337" s="28">
        <f>AK337/detalle!$D$2</f>
        <v>0</v>
      </c>
    </row>
    <row r="338" spans="1:38">
      <c r="A338" s="12">
        <v>337</v>
      </c>
      <c r="B338" s="19">
        <v>44227</v>
      </c>
      <c r="C338" s="12">
        <v>319</v>
      </c>
      <c r="D338" s="23">
        <f t="shared" si="74"/>
        <v>1026</v>
      </c>
      <c r="E338" s="12">
        <v>215086</v>
      </c>
      <c r="F338" s="12">
        <v>2688</v>
      </c>
      <c r="G338" s="12">
        <v>158775</v>
      </c>
      <c r="H338" s="23">
        <f t="shared" si="70"/>
        <v>53623</v>
      </c>
      <c r="I338" s="23">
        <f t="shared" si="68"/>
        <v>5381</v>
      </c>
      <c r="J338" s="12">
        <v>1057194</v>
      </c>
      <c r="K338" s="23">
        <f t="shared" si="69"/>
        <v>842108</v>
      </c>
      <c r="L338" s="9">
        <f t="shared" si="75"/>
        <v>1242</v>
      </c>
      <c r="M338" s="14">
        <f t="shared" si="71"/>
        <v>1.2497326650735054E-2</v>
      </c>
      <c r="N338" s="14">
        <f t="shared" si="67"/>
        <v>0.19067087901876975</v>
      </c>
      <c r="O338" s="12"/>
      <c r="P338" s="12"/>
      <c r="Q338" s="12"/>
      <c r="R338" s="23">
        <f t="shared" si="72"/>
        <v>161463</v>
      </c>
      <c r="S338" s="25">
        <f>(((H338+R338)/(H337+R337))-1)+detalle!$D$1</f>
        <v>7.6221620106512261E-2</v>
      </c>
      <c r="T338" s="25">
        <f t="shared" si="76"/>
        <v>1.0671026814911717</v>
      </c>
      <c r="U338" s="10">
        <f t="shared" si="73"/>
        <v>0.73819309485508122</v>
      </c>
      <c r="V338" s="21">
        <f t="shared" si="79"/>
        <v>59.068080357142854</v>
      </c>
      <c r="W338" s="15">
        <f>J338/detalle!$D$2</f>
        <v>96454.739050221979</v>
      </c>
      <c r="X338" s="15">
        <f>E338/detalle!$D$2</f>
        <v>19623.705775246592</v>
      </c>
      <c r="Y338" s="22">
        <f>F338/detalle!$D$2</f>
        <v>245.24386117117265</v>
      </c>
      <c r="AA338" s="14">
        <f>E338/(detalle!$D$2*1000000)</f>
        <v>1.9623705775246591E-2</v>
      </c>
      <c r="AB338" s="14">
        <f>F338/(detalle!$D$2*1000000)</f>
        <v>2.4524386117117264E-4</v>
      </c>
      <c r="AC338" s="31">
        <f>293/540</f>
        <v>0.54259259259259263</v>
      </c>
      <c r="AD338" s="31">
        <f>1043/2712</f>
        <v>0.38458702064896755</v>
      </c>
      <c r="AE338" s="31">
        <f>161/403</f>
        <v>0.39950372208436724</v>
      </c>
      <c r="AF338" s="22">
        <f t="shared" si="77"/>
        <v>22</v>
      </c>
      <c r="AG338" s="12">
        <v>0</v>
      </c>
      <c r="AH338" s="12">
        <v>0</v>
      </c>
      <c r="AI338" s="20">
        <v>0</v>
      </c>
      <c r="AJ338" s="23">
        <f t="shared" si="78"/>
        <v>0</v>
      </c>
      <c r="AK338" s="23">
        <v>0</v>
      </c>
      <c r="AL338" s="28">
        <f>AK338/detalle!$D$2</f>
        <v>0</v>
      </c>
    </row>
    <row r="339" spans="1:38">
      <c r="A339" s="12">
        <v>338</v>
      </c>
      <c r="B339" s="19">
        <v>44228</v>
      </c>
      <c r="C339" s="12">
        <v>320</v>
      </c>
      <c r="D339" s="23">
        <f t="shared" si="74"/>
        <v>834</v>
      </c>
      <c r="E339" s="12">
        <v>215920</v>
      </c>
      <c r="F339" s="12">
        <v>2704</v>
      </c>
      <c r="G339" s="12">
        <v>159606</v>
      </c>
      <c r="H339" s="23">
        <f t="shared" si="70"/>
        <v>53610</v>
      </c>
      <c r="I339" s="23">
        <f t="shared" si="68"/>
        <v>5413</v>
      </c>
      <c r="J339" s="12">
        <v>1062607</v>
      </c>
      <c r="K339" s="23">
        <f t="shared" si="69"/>
        <v>846687</v>
      </c>
      <c r="L339" s="9">
        <f t="shared" si="75"/>
        <v>831</v>
      </c>
      <c r="M339" s="14">
        <f t="shared" si="71"/>
        <v>1.2523156724712856E-2</v>
      </c>
      <c r="N339" s="14">
        <f t="shared" si="67"/>
        <v>0.15407352669499352</v>
      </c>
      <c r="O339" s="12"/>
      <c r="P339" s="12"/>
      <c r="Q339" s="12"/>
      <c r="R339" s="23">
        <f t="shared" si="72"/>
        <v>162310</v>
      </c>
      <c r="S339" s="25">
        <f>(((H339+R339)/(H338+R338))-1)+detalle!$D$1</f>
        <v>7.5306090188509228E-2</v>
      </c>
      <c r="T339" s="25">
        <f t="shared" si="76"/>
        <v>1.0542852626391293</v>
      </c>
      <c r="U339" s="10">
        <f t="shared" si="73"/>
        <v>0.73919044090403851</v>
      </c>
      <c r="V339" s="21">
        <f t="shared" si="79"/>
        <v>59.025887573964496</v>
      </c>
      <c r="W339" s="15">
        <f>J339/detalle!$D$2</f>
        <v>96948.602525117662</v>
      </c>
      <c r="X339" s="15">
        <f>E339/detalle!$D$2</f>
        <v>19699.797062529611</v>
      </c>
      <c r="Y339" s="22">
        <f>F339/detalle!$D$2</f>
        <v>246.70364605909629</v>
      </c>
      <c r="AA339" s="14">
        <f>E339/(detalle!$D$2*1000000)</f>
        <v>1.9699797062529611E-2</v>
      </c>
      <c r="AB339" s="14">
        <f>F339/(detalle!$D$2*1000000)</f>
        <v>2.4670364605909628E-4</v>
      </c>
      <c r="AC339" s="31">
        <f>293/540</f>
        <v>0.54259259259259263</v>
      </c>
      <c r="AD339" s="31">
        <f>1012/2712</f>
        <v>0.37315634218289084</v>
      </c>
      <c r="AE339" s="31">
        <f>161/403</f>
        <v>0.39950372208436724</v>
      </c>
      <c r="AF339" s="22">
        <f t="shared" si="77"/>
        <v>16</v>
      </c>
      <c r="AG339" s="12">
        <v>0</v>
      </c>
      <c r="AH339" s="12">
        <v>0</v>
      </c>
      <c r="AI339" s="20">
        <v>0</v>
      </c>
      <c r="AJ339" s="23">
        <f t="shared" si="78"/>
        <v>0</v>
      </c>
      <c r="AK339" s="23">
        <v>0</v>
      </c>
      <c r="AL339" s="28">
        <f>AK339/detalle!$D$2</f>
        <v>0</v>
      </c>
    </row>
    <row r="340" spans="1:38">
      <c r="A340" s="12">
        <v>339</v>
      </c>
      <c r="B340" s="19">
        <v>44229</v>
      </c>
      <c r="C340" s="12">
        <v>321</v>
      </c>
      <c r="D340" s="23">
        <f t="shared" si="74"/>
        <v>1357</v>
      </c>
      <c r="E340" s="12">
        <v>217277</v>
      </c>
      <c r="F340" s="12">
        <v>2719</v>
      </c>
      <c r="G340" s="12">
        <v>160364</v>
      </c>
      <c r="H340" s="23">
        <f t="shared" si="70"/>
        <v>54194</v>
      </c>
      <c r="I340" s="23">
        <f t="shared" si="68"/>
        <v>6086</v>
      </c>
      <c r="J340" s="12">
        <v>1068693</v>
      </c>
      <c r="K340" s="23">
        <f t="shared" si="69"/>
        <v>851416</v>
      </c>
      <c r="L340" s="9">
        <f t="shared" si="75"/>
        <v>758</v>
      </c>
      <c r="M340" s="14">
        <f t="shared" si="71"/>
        <v>1.2513979850605449E-2</v>
      </c>
      <c r="N340" s="14">
        <f t="shared" ref="N340:N403" si="80">D340/I340</f>
        <v>0.2229707525468288</v>
      </c>
      <c r="O340" s="12"/>
      <c r="P340" s="12"/>
      <c r="Q340" s="12"/>
      <c r="R340" s="23">
        <f t="shared" si="72"/>
        <v>163083</v>
      </c>
      <c r="S340" s="25">
        <f>(((H340+R340)/(H339+R339))-1)+detalle!$D$1</f>
        <v>7.7713306515640818E-2</v>
      </c>
      <c r="T340" s="25">
        <f t="shared" si="76"/>
        <v>1.0879862912189715</v>
      </c>
      <c r="U340" s="10">
        <f t="shared" si="73"/>
        <v>0.73806247324843399</v>
      </c>
      <c r="V340" s="21">
        <f t="shared" si="79"/>
        <v>58.979036410445019</v>
      </c>
      <c r="W340" s="15">
        <f>J340/detalle!$D$2</f>
        <v>97503.868201861609</v>
      </c>
      <c r="X340" s="15">
        <f>E340/detalle!$D$2</f>
        <v>19823.605068336637</v>
      </c>
      <c r="Y340" s="22">
        <f>F340/detalle!$D$2</f>
        <v>248.0721943915247</v>
      </c>
      <c r="AA340" s="14">
        <f>E340/(detalle!$D$2*1000000)</f>
        <v>1.9823605068336636E-2</v>
      </c>
      <c r="AB340" s="14">
        <f>F340/(detalle!$D$2*1000000)</f>
        <v>2.4807219439152469E-4</v>
      </c>
      <c r="AC340" s="31">
        <f>294/540</f>
        <v>0.5444444444444444</v>
      </c>
      <c r="AD340" s="31">
        <f>933/2712</f>
        <v>0.34402654867256638</v>
      </c>
      <c r="AE340" s="31">
        <f>165/401</f>
        <v>0.41147132169576062</v>
      </c>
      <c r="AF340" s="22">
        <f t="shared" si="77"/>
        <v>15</v>
      </c>
      <c r="AG340" s="12">
        <v>0</v>
      </c>
      <c r="AH340" s="12">
        <v>0</v>
      </c>
      <c r="AI340" s="20">
        <v>0</v>
      </c>
      <c r="AJ340" s="23">
        <f t="shared" si="78"/>
        <v>0</v>
      </c>
      <c r="AK340" s="23">
        <v>0</v>
      </c>
      <c r="AL340" s="28">
        <f>AK340/detalle!$D$2</f>
        <v>0</v>
      </c>
    </row>
    <row r="341" spans="1:38">
      <c r="A341" s="12">
        <v>340</v>
      </c>
      <c r="B341" s="19">
        <v>44230</v>
      </c>
      <c r="C341" s="12">
        <v>322</v>
      </c>
      <c r="D341" s="23">
        <f t="shared" si="74"/>
        <v>1671</v>
      </c>
      <c r="E341" s="12">
        <v>218948</v>
      </c>
      <c r="F341" s="12">
        <v>2747</v>
      </c>
      <c r="G341" s="12">
        <v>162810</v>
      </c>
      <c r="H341" s="23">
        <f t="shared" si="70"/>
        <v>53391</v>
      </c>
      <c r="I341" s="23">
        <f t="shared" si="68"/>
        <v>8230</v>
      </c>
      <c r="J341" s="12">
        <v>1076923</v>
      </c>
      <c r="K341" s="23">
        <f t="shared" si="69"/>
        <v>857975</v>
      </c>
      <c r="L341" s="9">
        <f t="shared" si="75"/>
        <v>2446</v>
      </c>
      <c r="M341" s="14">
        <f t="shared" si="71"/>
        <v>1.2546358039351809E-2</v>
      </c>
      <c r="N341" s="14">
        <f t="shared" si="80"/>
        <v>0.20303766707168894</v>
      </c>
      <c r="O341" s="12"/>
      <c r="P341" s="12"/>
      <c r="Q341" s="12"/>
      <c r="R341" s="23">
        <f t="shared" si="72"/>
        <v>165557</v>
      </c>
      <c r="S341" s="25">
        <f>(((H341+R341)/(H340+R340))-1)+detalle!$D$1</f>
        <v>7.91192151690501E-2</v>
      </c>
      <c r="T341" s="25">
        <f t="shared" si="76"/>
        <v>1.1076690123667015</v>
      </c>
      <c r="U341" s="10">
        <f t="shared" si="73"/>
        <v>0.74360122038109511</v>
      </c>
      <c r="V341" s="21">
        <f t="shared" si="79"/>
        <v>59.268292682926827</v>
      </c>
      <c r="W341" s="15">
        <f>J341/detalle!$D$2</f>
        <v>98254.745053587336</v>
      </c>
      <c r="X341" s="15">
        <f>E341/detalle!$D$2</f>
        <v>19976.061352569162</v>
      </c>
      <c r="Y341" s="22">
        <f>F341/detalle!$D$2</f>
        <v>250.62681794539111</v>
      </c>
      <c r="AA341" s="14">
        <f>E341/(detalle!$D$2*1000000)</f>
        <v>1.9976061352569161E-2</v>
      </c>
      <c r="AB341" s="14">
        <f>F341/(detalle!$D$2*1000000)</f>
        <v>2.506268179453911E-4</v>
      </c>
      <c r="AC341" s="31">
        <f>288/540</f>
        <v>0.53333333333333333</v>
      </c>
      <c r="AD341" s="31">
        <f>958/2736</f>
        <v>0.35014619883040937</v>
      </c>
      <c r="AE341" s="31">
        <f>157/401</f>
        <v>0.39152119700748128</v>
      </c>
      <c r="AF341" s="22">
        <f t="shared" si="77"/>
        <v>28</v>
      </c>
      <c r="AG341" s="12">
        <v>0</v>
      </c>
      <c r="AH341" s="12">
        <v>0</v>
      </c>
      <c r="AI341" s="20">
        <v>0</v>
      </c>
      <c r="AJ341" s="23">
        <f t="shared" si="78"/>
        <v>0</v>
      </c>
      <c r="AK341" s="23">
        <v>0</v>
      </c>
      <c r="AL341" s="28">
        <f>AK341/detalle!$D$2</f>
        <v>0</v>
      </c>
    </row>
    <row r="342" spans="1:38">
      <c r="A342" s="12">
        <v>341</v>
      </c>
      <c r="B342" s="19">
        <v>44231</v>
      </c>
      <c r="C342" s="12">
        <v>323</v>
      </c>
      <c r="D342" s="23">
        <f t="shared" si="74"/>
        <v>1478</v>
      </c>
      <c r="E342" s="12">
        <v>220426</v>
      </c>
      <c r="F342" s="12">
        <v>2773</v>
      </c>
      <c r="G342" s="12">
        <v>164033</v>
      </c>
      <c r="H342" s="23">
        <f t="shared" si="70"/>
        <v>53620</v>
      </c>
      <c r="I342" s="23">
        <f t="shared" si="68"/>
        <v>7805</v>
      </c>
      <c r="J342" s="12">
        <v>1084728</v>
      </c>
      <c r="K342" s="23">
        <f t="shared" si="69"/>
        <v>864302</v>
      </c>
      <c r="L342" s="9">
        <f t="shared" si="75"/>
        <v>1223</v>
      </c>
      <c r="M342" s="14">
        <f t="shared" si="71"/>
        <v>1.2580185640532423E-2</v>
      </c>
      <c r="N342" s="14">
        <f t="shared" si="80"/>
        <v>0.18936579115951313</v>
      </c>
      <c r="O342" s="12"/>
      <c r="P342" s="12"/>
      <c r="Q342" s="12"/>
      <c r="R342" s="23">
        <f t="shared" si="72"/>
        <v>166806</v>
      </c>
      <c r="S342" s="25">
        <f>(((H342+R342)/(H341+R341))-1)+detalle!$D$1</f>
        <v>7.8179032725317593E-2</v>
      </c>
      <c r="T342" s="25">
        <f t="shared" si="76"/>
        <v>1.0945064581544464</v>
      </c>
      <c r="U342" s="10">
        <f t="shared" si="73"/>
        <v>0.74416357417001622</v>
      </c>
      <c r="V342" s="21">
        <f t="shared" si="79"/>
        <v>59.153624233681931</v>
      </c>
      <c r="W342" s="15">
        <f>J342/detalle!$D$2</f>
        <v>98966.846369227598</v>
      </c>
      <c r="X342" s="15">
        <f>E342/detalle!$D$2</f>
        <v>20110.90898159111</v>
      </c>
      <c r="Y342" s="22">
        <f>F342/detalle!$D$2</f>
        <v>252.99896838826703</v>
      </c>
      <c r="AA342" s="14">
        <f>E342/(detalle!$D$2*1000000)</f>
        <v>2.0110908981591107E-2</v>
      </c>
      <c r="AB342" s="14">
        <f>F342/(detalle!$D$2*1000000)</f>
        <v>2.5299896838826703E-4</v>
      </c>
      <c r="AC342" s="31">
        <f>287/536</f>
        <v>0.53544776119402981</v>
      </c>
      <c r="AD342" s="31">
        <f>963/2737</f>
        <v>0.35184508586043112</v>
      </c>
      <c r="AE342" s="31">
        <f>153/401</f>
        <v>0.38154613466334164</v>
      </c>
      <c r="AF342" s="22">
        <f t="shared" si="77"/>
        <v>26</v>
      </c>
      <c r="AG342" s="12">
        <v>0</v>
      </c>
      <c r="AH342" s="12">
        <v>0</v>
      </c>
      <c r="AI342" s="20">
        <v>0</v>
      </c>
      <c r="AJ342" s="23">
        <f t="shared" si="78"/>
        <v>0</v>
      </c>
      <c r="AK342" s="23">
        <v>0</v>
      </c>
      <c r="AL342" s="28">
        <f>AK342/detalle!$D$2</f>
        <v>0</v>
      </c>
    </row>
    <row r="343" spans="1:38">
      <c r="A343" s="12">
        <v>342</v>
      </c>
      <c r="B343" s="19">
        <v>44232</v>
      </c>
      <c r="C343" s="12">
        <v>324</v>
      </c>
      <c r="D343" s="23">
        <f t="shared" si="74"/>
        <v>1722</v>
      </c>
      <c r="E343" s="12">
        <v>222148</v>
      </c>
      <c r="F343" s="12">
        <v>2801</v>
      </c>
      <c r="G343" s="12">
        <v>165659</v>
      </c>
      <c r="H343" s="23">
        <f t="shared" si="70"/>
        <v>53688</v>
      </c>
      <c r="I343" s="23">
        <f t="shared" si="68"/>
        <v>9468</v>
      </c>
      <c r="J343" s="12">
        <v>1094196</v>
      </c>
      <c r="K343" s="23">
        <f t="shared" si="69"/>
        <v>872048</v>
      </c>
      <c r="L343" s="9">
        <f t="shared" si="75"/>
        <v>1626</v>
      </c>
      <c r="M343" s="14">
        <f t="shared" si="71"/>
        <v>1.2608711309577398E-2</v>
      </c>
      <c r="N343" s="14">
        <f t="shared" si="80"/>
        <v>0.18187579214195185</v>
      </c>
      <c r="O343" s="12"/>
      <c r="P343" s="12"/>
      <c r="Q343" s="12"/>
      <c r="R343" s="23">
        <f t="shared" si="72"/>
        <v>168460</v>
      </c>
      <c r="S343" s="25">
        <f>(((H343+R343)/(H342+R342))-1)+detalle!$D$1</f>
        <v>7.9240717001235278E-2</v>
      </c>
      <c r="T343" s="25">
        <f t="shared" si="76"/>
        <v>1.1093700380172939</v>
      </c>
      <c r="U343" s="10">
        <f t="shared" si="73"/>
        <v>0.74571456866593444</v>
      </c>
      <c r="V343" s="21">
        <f t="shared" si="79"/>
        <v>59.14280614066405</v>
      </c>
      <c r="W343" s="15">
        <f>J343/detalle!$D$2</f>
        <v>99830.674076656403</v>
      </c>
      <c r="X343" s="15">
        <f>E343/detalle!$D$2</f>
        <v>20268.018330153893</v>
      </c>
      <c r="Y343" s="22">
        <f>F343/detalle!$D$2</f>
        <v>255.55359194213341</v>
      </c>
      <c r="AA343" s="14">
        <f>E343/(detalle!$D$2*1000000)</f>
        <v>2.0268018330153893E-2</v>
      </c>
      <c r="AB343" s="14">
        <f>F343/(detalle!$D$2*1000000)</f>
        <v>2.5555359194213338E-4</v>
      </c>
      <c r="AC343" s="31">
        <f>294/538</f>
        <v>0.54646840148698883</v>
      </c>
      <c r="AD343" s="31">
        <f>956/2740</f>
        <v>0.34890510948905107</v>
      </c>
      <c r="AE343" s="31">
        <f>157/401</f>
        <v>0.39152119700748128</v>
      </c>
      <c r="AF343" s="22">
        <f t="shared" si="77"/>
        <v>28</v>
      </c>
      <c r="AG343" s="12">
        <v>0</v>
      </c>
      <c r="AH343" s="12">
        <v>0</v>
      </c>
      <c r="AI343" s="20">
        <v>0</v>
      </c>
      <c r="AJ343" s="23">
        <f t="shared" si="78"/>
        <v>0</v>
      </c>
      <c r="AK343" s="23">
        <v>0</v>
      </c>
      <c r="AL343" s="28">
        <f>AK343/detalle!$D$2</f>
        <v>0</v>
      </c>
    </row>
    <row r="344" spans="1:38">
      <c r="A344" s="12">
        <v>343</v>
      </c>
      <c r="B344" s="19">
        <v>44233</v>
      </c>
      <c r="C344" s="12">
        <v>325</v>
      </c>
      <c r="D344" s="23">
        <f t="shared" si="74"/>
        <v>1250</v>
      </c>
      <c r="E344" s="12">
        <v>223398</v>
      </c>
      <c r="F344" s="12">
        <v>2831</v>
      </c>
      <c r="G344" s="12">
        <v>167214</v>
      </c>
      <c r="H344" s="23">
        <f t="shared" si="70"/>
        <v>53353</v>
      </c>
      <c r="I344" s="23">
        <f t="shared" si="68"/>
        <v>7921</v>
      </c>
      <c r="J344" s="12">
        <v>1102117</v>
      </c>
      <c r="K344" s="23">
        <f t="shared" si="69"/>
        <v>878719</v>
      </c>
      <c r="L344" s="9">
        <f t="shared" si="75"/>
        <v>1555</v>
      </c>
      <c r="M344" s="14">
        <f t="shared" si="71"/>
        <v>1.2672450066697106E-2</v>
      </c>
      <c r="N344" s="14">
        <f t="shared" si="80"/>
        <v>0.15780835753061481</v>
      </c>
      <c r="O344" s="12"/>
      <c r="P344" s="12"/>
      <c r="Q344" s="12"/>
      <c r="R344" s="23">
        <f t="shared" si="72"/>
        <v>170045</v>
      </c>
      <c r="S344" s="25">
        <f>(((H344+R344)/(H343+R343))-1)+detalle!$D$1</f>
        <v>7.7055450806283537E-2</v>
      </c>
      <c r="T344" s="25">
        <f t="shared" si="76"/>
        <v>1.0787763112879696</v>
      </c>
      <c r="U344" s="10">
        <f t="shared" si="73"/>
        <v>0.74850267236054036</v>
      </c>
      <c r="V344" s="21">
        <f t="shared" si="79"/>
        <v>59.065347933592371</v>
      </c>
      <c r="W344" s="15">
        <f>J344/detalle!$D$2</f>
        <v>100553.35883273411</v>
      </c>
      <c r="X344" s="15">
        <f>E344/detalle!$D$2</f>
        <v>20382.064024522926</v>
      </c>
      <c r="Y344" s="22">
        <f>F344/detalle!$D$2</f>
        <v>258.29068860699022</v>
      </c>
      <c r="AA344" s="14">
        <f>E344/(detalle!$D$2*1000000)</f>
        <v>2.0382064024522927E-2</v>
      </c>
      <c r="AB344" s="14">
        <f>F344/(detalle!$D$2*1000000)</f>
        <v>2.5829068860699022E-4</v>
      </c>
      <c r="AC344" s="31">
        <f>293/538</f>
        <v>0.54460966542750933</v>
      </c>
      <c r="AD344" s="31">
        <f>938/2740</f>
        <v>0.34233576642335767</v>
      </c>
      <c r="AE344" s="31">
        <f>153/401</f>
        <v>0.38154613466334164</v>
      </c>
      <c r="AF344" s="22">
        <f t="shared" si="77"/>
        <v>30</v>
      </c>
      <c r="AG344" s="12">
        <v>0</v>
      </c>
      <c r="AH344" s="12">
        <v>0</v>
      </c>
      <c r="AI344" s="20">
        <v>0</v>
      </c>
      <c r="AJ344" s="23">
        <f t="shared" si="78"/>
        <v>0</v>
      </c>
      <c r="AK344" s="23">
        <v>0</v>
      </c>
      <c r="AL344" s="28">
        <f>AK344/detalle!$D$2</f>
        <v>0</v>
      </c>
    </row>
    <row r="345" spans="1:38">
      <c r="A345" s="12">
        <v>344</v>
      </c>
      <c r="B345" s="19">
        <v>44234</v>
      </c>
      <c r="C345" s="12">
        <v>326</v>
      </c>
      <c r="D345" s="23">
        <f t="shared" si="74"/>
        <v>721</v>
      </c>
      <c r="E345" s="12">
        <v>224119</v>
      </c>
      <c r="F345" s="12">
        <v>2843</v>
      </c>
      <c r="G345" s="12">
        <v>168627</v>
      </c>
      <c r="H345" s="23">
        <f t="shared" si="70"/>
        <v>52649</v>
      </c>
      <c r="I345" s="23">
        <f t="shared" si="68"/>
        <v>5140</v>
      </c>
      <c r="J345" s="12">
        <v>1107257</v>
      </c>
      <c r="K345" s="23">
        <f t="shared" si="69"/>
        <v>883138</v>
      </c>
      <c r="L345" s="9">
        <f t="shared" si="75"/>
        <v>1413</v>
      </c>
      <c r="M345" s="14">
        <f t="shared" si="71"/>
        <v>1.268522525979502E-2</v>
      </c>
      <c r="N345" s="14">
        <f t="shared" si="80"/>
        <v>0.14027237354085603</v>
      </c>
      <c r="O345" s="12"/>
      <c r="P345" s="12"/>
      <c r="Q345" s="12"/>
      <c r="R345" s="23">
        <f t="shared" si="72"/>
        <v>171470</v>
      </c>
      <c r="S345" s="25">
        <f>(((H345+R345)/(H344+R344))-1)+detalle!$D$1</f>
        <v>7.465599512976831E-2</v>
      </c>
      <c r="T345" s="25">
        <f t="shared" si="76"/>
        <v>1.0451839318167564</v>
      </c>
      <c r="U345" s="10">
        <f t="shared" si="73"/>
        <v>0.75239939496428232</v>
      </c>
      <c r="V345" s="21">
        <f t="shared" si="79"/>
        <v>59.313049595497716</v>
      </c>
      <c r="W345" s="15">
        <f>J345/detalle!$D$2</f>
        <v>101022.31472797958</v>
      </c>
      <c r="X345" s="15">
        <f>E345/detalle!$D$2</f>
        <v>20447.845581034988</v>
      </c>
      <c r="Y345" s="22">
        <f>F345/detalle!$D$2</f>
        <v>259.38552727293296</v>
      </c>
      <c r="AA345" s="14">
        <f>E345/(detalle!$D$2*1000000)</f>
        <v>2.0447845581034987E-2</v>
      </c>
      <c r="AB345" s="14">
        <f>F345/(detalle!$D$2*1000000)</f>
        <v>2.59385527272933E-4</v>
      </c>
      <c r="AC345" s="31">
        <f>289/538</f>
        <v>0.53717472118959109</v>
      </c>
      <c r="AD345" s="31">
        <f>907/2740</f>
        <v>0.33102189781021896</v>
      </c>
      <c r="AE345" s="31">
        <f>159/401</f>
        <v>0.39650872817955113</v>
      </c>
      <c r="AF345" s="22">
        <f t="shared" si="77"/>
        <v>12</v>
      </c>
      <c r="AG345" s="12">
        <v>0</v>
      </c>
      <c r="AH345" s="12">
        <v>0</v>
      </c>
      <c r="AI345" s="20">
        <v>0</v>
      </c>
      <c r="AJ345" s="23">
        <f t="shared" si="78"/>
        <v>0</v>
      </c>
      <c r="AK345" s="23">
        <v>0</v>
      </c>
      <c r="AL345" s="28">
        <f>AK345/detalle!$D$2</f>
        <v>0</v>
      </c>
    </row>
    <row r="346" spans="1:38">
      <c r="A346" s="12">
        <v>345</v>
      </c>
      <c r="B346" s="19">
        <v>44235</v>
      </c>
      <c r="C346" s="12">
        <v>327</v>
      </c>
      <c r="D346" s="23">
        <f t="shared" si="74"/>
        <v>419</v>
      </c>
      <c r="E346" s="12">
        <v>224538</v>
      </c>
      <c r="F346" s="12">
        <v>2864</v>
      </c>
      <c r="G346" s="12">
        <v>169843</v>
      </c>
      <c r="H346" s="23">
        <f t="shared" si="70"/>
        <v>51831</v>
      </c>
      <c r="I346" s="23">
        <f t="shared" si="68"/>
        <v>2186</v>
      </c>
      <c r="J346" s="12">
        <v>1109443</v>
      </c>
      <c r="K346" s="23">
        <f t="shared" si="69"/>
        <v>884905</v>
      </c>
      <c r="L346" s="9">
        <f t="shared" si="75"/>
        <v>1216</v>
      </c>
      <c r="M346" s="14">
        <f t="shared" si="71"/>
        <v>1.2755079318422716E-2</v>
      </c>
      <c r="N346" s="14">
        <f t="shared" si="80"/>
        <v>0.19167429094236046</v>
      </c>
      <c r="O346" s="12"/>
      <c r="P346" s="12"/>
      <c r="Q346" s="12"/>
      <c r="R346" s="23">
        <f t="shared" si="72"/>
        <v>172707</v>
      </c>
      <c r="S346" s="25">
        <f>(((H346+R346)/(H345+R345))-1)+detalle!$D$1</f>
        <v>7.3298113948393501E-2</v>
      </c>
      <c r="T346" s="25">
        <f t="shared" si="76"/>
        <v>1.0261735952775091</v>
      </c>
      <c r="U346" s="10">
        <f t="shared" si="73"/>
        <v>0.75641094157781752</v>
      </c>
      <c r="V346" s="21">
        <f t="shared" si="79"/>
        <v>59.302723463687151</v>
      </c>
      <c r="W346" s="15">
        <f>J346/detalle!$D$2</f>
        <v>101221.75783829215</v>
      </c>
      <c r="X346" s="15">
        <f>E346/detalle!$D$2</f>
        <v>20486.073697787488</v>
      </c>
      <c r="Y346" s="22">
        <f>F346/detalle!$D$2</f>
        <v>261.30149493833278</v>
      </c>
      <c r="AA346" s="14">
        <f>E346/(detalle!$D$2*1000000)</f>
        <v>2.0486073697787485E-2</v>
      </c>
      <c r="AB346" s="14">
        <f>F346/(detalle!$D$2*1000000)</f>
        <v>2.6130149493833275E-4</v>
      </c>
      <c r="AC346" s="31">
        <f>292/538</f>
        <v>0.54275092936802971</v>
      </c>
      <c r="AD346" s="31">
        <f>880/2738</f>
        <v>0.32140248356464574</v>
      </c>
      <c r="AE346" s="31">
        <f>155/404</f>
        <v>0.38366336633663367</v>
      </c>
      <c r="AF346" s="22">
        <f t="shared" si="77"/>
        <v>21</v>
      </c>
      <c r="AG346" s="12">
        <v>0</v>
      </c>
      <c r="AH346" s="12">
        <v>0</v>
      </c>
      <c r="AI346" s="20">
        <v>0</v>
      </c>
      <c r="AJ346" s="23">
        <f t="shared" si="78"/>
        <v>0</v>
      </c>
      <c r="AK346" s="23">
        <v>0</v>
      </c>
      <c r="AL346" s="28">
        <f>AK346/detalle!$D$2</f>
        <v>0</v>
      </c>
    </row>
    <row r="347" spans="1:38">
      <c r="A347" s="12">
        <v>346</v>
      </c>
      <c r="B347" s="19">
        <v>44236</v>
      </c>
      <c r="C347" s="12">
        <v>328</v>
      </c>
      <c r="D347" s="23">
        <f t="shared" si="74"/>
        <v>934</v>
      </c>
      <c r="E347" s="12">
        <v>225472</v>
      </c>
      <c r="F347" s="12">
        <v>2883</v>
      </c>
      <c r="G347" s="12">
        <v>171186</v>
      </c>
      <c r="H347" s="23">
        <f t="shared" si="70"/>
        <v>51403</v>
      </c>
      <c r="I347" s="23">
        <f t="shared" si="68"/>
        <v>5391</v>
      </c>
      <c r="J347" s="12">
        <v>1114834</v>
      </c>
      <c r="K347" s="23">
        <f t="shared" si="69"/>
        <v>889362</v>
      </c>
      <c r="L347" s="9">
        <f t="shared" si="75"/>
        <v>1343</v>
      </c>
      <c r="M347" s="14">
        <f t="shared" si="71"/>
        <v>1.2786510076639227E-2</v>
      </c>
      <c r="N347" s="14">
        <f t="shared" si="80"/>
        <v>0.17325171582266741</v>
      </c>
      <c r="O347" s="12"/>
      <c r="P347" s="12"/>
      <c r="Q347" s="12"/>
      <c r="R347" s="23">
        <f t="shared" si="72"/>
        <v>174069</v>
      </c>
      <c r="S347" s="25">
        <f>(((H347+R347)/(H346+R346))-1)+detalle!$D$1</f>
        <v>7.5588223692330897E-2</v>
      </c>
      <c r="T347" s="25">
        <f t="shared" si="76"/>
        <v>1.0582351316926326</v>
      </c>
      <c r="U347" s="10">
        <f t="shared" si="73"/>
        <v>0.75923396253193298</v>
      </c>
      <c r="V347" s="21">
        <f t="shared" si="79"/>
        <v>59.377731529656607</v>
      </c>
      <c r="W347" s="15">
        <f>J347/detalle!$D$2</f>
        <v>101713.61410896693</v>
      </c>
      <c r="X347" s="15">
        <f>E347/detalle!$D$2</f>
        <v>20571.28864062003</v>
      </c>
      <c r="Y347" s="22">
        <f>F347/detalle!$D$2</f>
        <v>263.03498949274211</v>
      </c>
      <c r="AA347" s="14">
        <f>E347/(detalle!$D$2*1000000)</f>
        <v>2.0571288640620029E-2</v>
      </c>
      <c r="AB347" s="14">
        <f>F347/(detalle!$D$2*1000000)</f>
        <v>2.6303498949274207E-4</v>
      </c>
      <c r="AC347" s="31">
        <f>279/538</f>
        <v>0.51858736059479549</v>
      </c>
      <c r="AD347" s="31">
        <f>834/2740</f>
        <v>0.30437956204379563</v>
      </c>
      <c r="AE347" s="31">
        <f>146/404</f>
        <v>0.36138613861386137</v>
      </c>
      <c r="AF347" s="22">
        <f t="shared" si="77"/>
        <v>19</v>
      </c>
      <c r="AG347" s="12">
        <v>0</v>
      </c>
      <c r="AH347" s="12">
        <v>0</v>
      </c>
      <c r="AI347" s="20">
        <v>0</v>
      </c>
      <c r="AJ347" s="23">
        <f t="shared" si="78"/>
        <v>0</v>
      </c>
      <c r="AK347" s="23">
        <v>0</v>
      </c>
      <c r="AL347" s="28">
        <f>AK347/detalle!$D$2</f>
        <v>0</v>
      </c>
    </row>
    <row r="348" spans="1:38">
      <c r="A348" s="12">
        <v>347</v>
      </c>
      <c r="B348" s="19">
        <v>44237</v>
      </c>
      <c r="C348" s="12">
        <v>329</v>
      </c>
      <c r="D348" s="23">
        <f t="shared" si="74"/>
        <v>1242</v>
      </c>
      <c r="E348" s="12">
        <v>226714</v>
      </c>
      <c r="F348" s="12">
        <v>2904</v>
      </c>
      <c r="G348" s="12">
        <v>172562</v>
      </c>
      <c r="H348" s="23">
        <f t="shared" si="70"/>
        <v>51248</v>
      </c>
      <c r="I348" s="23">
        <f t="shared" si="68"/>
        <v>6552</v>
      </c>
      <c r="J348" s="12">
        <v>1121386</v>
      </c>
      <c r="K348" s="23">
        <f t="shared" si="69"/>
        <v>894672</v>
      </c>
      <c r="L348" s="9">
        <f t="shared" si="75"/>
        <v>1376</v>
      </c>
      <c r="M348" s="14">
        <f t="shared" si="71"/>
        <v>1.2809089866527873E-2</v>
      </c>
      <c r="N348" s="14">
        <f t="shared" si="80"/>
        <v>0.18956043956043955</v>
      </c>
      <c r="O348" s="12"/>
      <c r="P348" s="12"/>
      <c r="Q348" s="12"/>
      <c r="R348" s="23">
        <f t="shared" si="72"/>
        <v>175466</v>
      </c>
      <c r="S348" s="25">
        <f>(((H348+R348)/(H347+R347))-1)+detalle!$D$1</f>
        <v>7.6937015936093395E-2</v>
      </c>
      <c r="T348" s="25">
        <f t="shared" si="76"/>
        <v>1.0771182231053076</v>
      </c>
      <c r="U348" s="10">
        <f t="shared" si="73"/>
        <v>0.76114399640075159</v>
      </c>
      <c r="V348" s="21">
        <f t="shared" si="79"/>
        <v>59.422176308539946</v>
      </c>
      <c r="W348" s="15">
        <f>J348/detalle!$D$2</f>
        <v>102311.39602057166</v>
      </c>
      <c r="X348" s="15">
        <f>E348/detalle!$D$2</f>
        <v>20684.604442545104</v>
      </c>
      <c r="Y348" s="22">
        <f>F348/detalle!$D$2</f>
        <v>264.95095715814188</v>
      </c>
      <c r="AA348" s="14">
        <f>E348/(detalle!$D$2*1000000)</f>
        <v>2.0684604442545104E-2</v>
      </c>
      <c r="AB348" s="14">
        <f>F348/(detalle!$D$2*1000000)</f>
        <v>2.6495095715814188E-4</v>
      </c>
      <c r="AC348" s="31">
        <f>273/538</f>
        <v>0.50743494423791824</v>
      </c>
      <c r="AD348" s="31">
        <f>801/2740</f>
        <v>0.29233576642335768</v>
      </c>
      <c r="AE348" s="31">
        <f>141/404</f>
        <v>0.34900990099009899</v>
      </c>
      <c r="AF348" s="22">
        <f t="shared" si="77"/>
        <v>21</v>
      </c>
      <c r="AG348" s="12">
        <v>0</v>
      </c>
      <c r="AH348" s="12">
        <v>0</v>
      </c>
      <c r="AI348" s="20">
        <v>0</v>
      </c>
      <c r="AJ348" s="23">
        <f t="shared" si="78"/>
        <v>0</v>
      </c>
      <c r="AK348" s="23">
        <v>0</v>
      </c>
      <c r="AL348" s="28">
        <f>AK348/detalle!$D$2</f>
        <v>0</v>
      </c>
    </row>
    <row r="349" spans="1:38">
      <c r="A349" s="12">
        <v>348</v>
      </c>
      <c r="B349" s="19">
        <v>44238</v>
      </c>
      <c r="C349" s="12">
        <v>330</v>
      </c>
      <c r="D349" s="23">
        <f t="shared" si="74"/>
        <v>1050</v>
      </c>
      <c r="E349" s="12">
        <v>227764</v>
      </c>
      <c r="F349" s="12">
        <v>2917</v>
      </c>
      <c r="G349" s="12">
        <v>173882</v>
      </c>
      <c r="H349" s="23">
        <f t="shared" si="70"/>
        <v>50965</v>
      </c>
      <c r="I349" s="23">
        <f t="shared" si="68"/>
        <v>6175</v>
      </c>
      <c r="J349" s="12">
        <v>1127561</v>
      </c>
      <c r="K349" s="23">
        <f t="shared" si="69"/>
        <v>899797</v>
      </c>
      <c r="L349" s="9">
        <f t="shared" si="75"/>
        <v>1320</v>
      </c>
      <c r="M349" s="14">
        <f t="shared" si="71"/>
        <v>1.2807116137756626E-2</v>
      </c>
      <c r="N349" s="14">
        <f t="shared" si="80"/>
        <v>0.17004048582995951</v>
      </c>
      <c r="O349" s="12"/>
      <c r="P349" s="12"/>
      <c r="Q349" s="12"/>
      <c r="R349" s="23">
        <f t="shared" si="72"/>
        <v>176799</v>
      </c>
      <c r="S349" s="25">
        <f>(((H349+R349)/(H348+R348))-1)+detalle!$D$1</f>
        <v>7.6059957227419234E-2</v>
      </c>
      <c r="T349" s="25">
        <f t="shared" si="76"/>
        <v>1.0648394011838693</v>
      </c>
      <c r="U349" s="10">
        <f t="shared" si="73"/>
        <v>0.76343056848316682</v>
      </c>
      <c r="V349" s="21">
        <f t="shared" si="79"/>
        <v>59.609873157353448</v>
      </c>
      <c r="W349" s="15">
        <f>J349/detalle!$D$2</f>
        <v>102874.78175075469</v>
      </c>
      <c r="X349" s="15">
        <f>E349/detalle!$D$2</f>
        <v>20780.402825815094</v>
      </c>
      <c r="Y349" s="22">
        <f>F349/detalle!$D$2</f>
        <v>266.13703237957986</v>
      </c>
      <c r="AA349" s="14">
        <f>E349/(detalle!$D$2*1000000)</f>
        <v>2.078040282581509E-2</v>
      </c>
      <c r="AB349" s="14">
        <f>F349/(detalle!$D$2*1000000)</f>
        <v>2.6613703237957982E-4</v>
      </c>
      <c r="AC349" s="31">
        <f>264/538</f>
        <v>0.49070631970260226</v>
      </c>
      <c r="AD349" s="31">
        <f>817/2730</f>
        <v>0.29926739926739926</v>
      </c>
      <c r="AE349" s="31">
        <f>137/406</f>
        <v>0.33743842364532017</v>
      </c>
      <c r="AF349" s="22">
        <f t="shared" si="77"/>
        <v>13</v>
      </c>
      <c r="AG349" s="12">
        <v>0</v>
      </c>
      <c r="AH349" s="12">
        <v>0</v>
      </c>
      <c r="AI349" s="20">
        <v>0</v>
      </c>
      <c r="AJ349" s="23">
        <f t="shared" si="78"/>
        <v>0</v>
      </c>
      <c r="AK349" s="23">
        <v>0</v>
      </c>
      <c r="AL349" s="28">
        <f>AK349/detalle!$D$2</f>
        <v>0</v>
      </c>
    </row>
    <row r="350" spans="1:38">
      <c r="A350" s="12">
        <v>349</v>
      </c>
      <c r="B350" s="19">
        <v>44239</v>
      </c>
      <c r="C350" s="12">
        <v>331</v>
      </c>
      <c r="D350" s="23">
        <f t="shared" si="74"/>
        <v>1131</v>
      </c>
      <c r="E350" s="12">
        <v>228895</v>
      </c>
      <c r="F350" s="12">
        <v>2932</v>
      </c>
      <c r="G350" s="12">
        <v>175329</v>
      </c>
      <c r="H350" s="23">
        <f t="shared" si="70"/>
        <v>50634</v>
      </c>
      <c r="I350" s="23">
        <f t="shared" si="68"/>
        <v>7109</v>
      </c>
      <c r="J350" s="12">
        <v>1134670</v>
      </c>
      <c r="K350" s="23">
        <f t="shared" si="69"/>
        <v>905775</v>
      </c>
      <c r="L350" s="9">
        <f t="shared" si="75"/>
        <v>1447</v>
      </c>
      <c r="M350" s="14">
        <f t="shared" si="71"/>
        <v>1.2809366740208392E-2</v>
      </c>
      <c r="N350" s="14">
        <f t="shared" si="80"/>
        <v>0.15909410606273738</v>
      </c>
      <c r="O350" s="12"/>
      <c r="P350" s="12"/>
      <c r="Q350" s="12"/>
      <c r="R350" s="23">
        <f t="shared" si="72"/>
        <v>178261</v>
      </c>
      <c r="S350" s="25">
        <f>(((H350+R350)/(H349+R349))-1)+detalle!$D$1</f>
        <v>7.6394237644479085E-2</v>
      </c>
      <c r="T350" s="25">
        <f t="shared" si="76"/>
        <v>1.0695193270227072</v>
      </c>
      <c r="U350" s="10">
        <f t="shared" si="73"/>
        <v>0.76598003451364161</v>
      </c>
      <c r="V350" s="21">
        <f t="shared" si="79"/>
        <v>59.798431105047747</v>
      </c>
      <c r="W350" s="15">
        <f>J350/detalle!$D$2</f>
        <v>103523.38242377026</v>
      </c>
      <c r="X350" s="15">
        <f>E350/detalle!$D$2</f>
        <v>20883.591370080194</v>
      </c>
      <c r="Y350" s="22">
        <f>F350/detalle!$D$2</f>
        <v>267.50558071200828</v>
      </c>
      <c r="AA350" s="14">
        <f>E350/(detalle!$D$2*1000000)</f>
        <v>2.0883591370080196E-2</v>
      </c>
      <c r="AB350" s="14">
        <f>F350/(detalle!$D$2*1000000)</f>
        <v>2.6750558071200823E-4</v>
      </c>
      <c r="AC350" s="31">
        <f>255/538</f>
        <v>0.47397769516728627</v>
      </c>
      <c r="AD350" s="31">
        <f>802/2730</f>
        <v>0.29377289377289378</v>
      </c>
      <c r="AE350" s="31">
        <f>133/406</f>
        <v>0.32758620689655171</v>
      </c>
      <c r="AF350" s="22">
        <f t="shared" si="77"/>
        <v>15</v>
      </c>
      <c r="AG350" s="12">
        <v>0</v>
      </c>
      <c r="AH350" s="12">
        <v>0</v>
      </c>
      <c r="AI350" s="20">
        <v>0</v>
      </c>
      <c r="AJ350" s="23">
        <f t="shared" si="78"/>
        <v>0</v>
      </c>
      <c r="AK350" s="23">
        <v>0</v>
      </c>
      <c r="AL350" s="28">
        <f>AK350/detalle!$D$2</f>
        <v>0</v>
      </c>
    </row>
    <row r="351" spans="1:38">
      <c r="A351" s="12">
        <v>350</v>
      </c>
      <c r="B351" s="19">
        <v>44240</v>
      </c>
      <c r="C351" s="12">
        <v>332</v>
      </c>
      <c r="D351" s="23">
        <f t="shared" si="74"/>
        <v>873</v>
      </c>
      <c r="E351" s="12">
        <v>229768</v>
      </c>
      <c r="F351" s="12">
        <v>2944</v>
      </c>
      <c r="G351" s="12">
        <v>176788</v>
      </c>
      <c r="H351" s="23">
        <f t="shared" si="70"/>
        <v>50036</v>
      </c>
      <c r="I351" s="23">
        <f t="shared" si="68"/>
        <v>5794</v>
      </c>
      <c r="J351" s="12">
        <v>1140464</v>
      </c>
      <c r="K351" s="23">
        <f t="shared" si="69"/>
        <v>910696</v>
      </c>
      <c r="L351" s="9">
        <f t="shared" si="75"/>
        <v>1459</v>
      </c>
      <c r="M351" s="14">
        <f t="shared" si="71"/>
        <v>1.2812924341074476E-2</v>
      </c>
      <c r="N351" s="14">
        <f t="shared" si="80"/>
        <v>0.15067311011391094</v>
      </c>
      <c r="O351" s="12"/>
      <c r="P351" s="12"/>
      <c r="Q351" s="12"/>
      <c r="R351" s="23">
        <f t="shared" si="72"/>
        <v>179732</v>
      </c>
      <c r="S351" s="25">
        <f>(((H351+R351)/(H350+R350))-1)+detalle!$D$1</f>
        <v>7.5242547269022381E-2</v>
      </c>
      <c r="T351" s="25">
        <f t="shared" si="76"/>
        <v>1.0533956617663134</v>
      </c>
      <c r="U351" s="10">
        <f t="shared" si="73"/>
        <v>0.76941958845444103</v>
      </c>
      <c r="V351" s="21">
        <f t="shared" si="79"/>
        <v>60.050271739130437</v>
      </c>
      <c r="W351" s="15">
        <f>J351/detalle!$D$2</f>
        <v>104052.00702630961</v>
      </c>
      <c r="X351" s="15">
        <f>E351/detalle!$D$2</f>
        <v>20963.240883027527</v>
      </c>
      <c r="Y351" s="22">
        <f>F351/detalle!$D$2</f>
        <v>268.60041937795097</v>
      </c>
      <c r="AA351" s="14">
        <f>E351/(detalle!$D$2*1000000)</f>
        <v>2.0963240883027527E-2</v>
      </c>
      <c r="AB351" s="14">
        <f>F351/(detalle!$D$2*1000000)</f>
        <v>2.6860041937795101E-4</v>
      </c>
      <c r="AC351" s="31">
        <f>256/538</f>
        <v>0.47583643122676578</v>
      </c>
      <c r="AD351" s="31">
        <f>796/2730</f>
        <v>0.29157509157509159</v>
      </c>
      <c r="AE351" s="31">
        <f>133/406</f>
        <v>0.32758620689655171</v>
      </c>
      <c r="AF351" s="22">
        <f t="shared" si="77"/>
        <v>12</v>
      </c>
      <c r="AG351" s="12">
        <v>0</v>
      </c>
      <c r="AH351" s="12">
        <v>0</v>
      </c>
      <c r="AI351" s="20">
        <v>0</v>
      </c>
      <c r="AJ351" s="23">
        <f t="shared" si="78"/>
        <v>0</v>
      </c>
      <c r="AK351" s="23">
        <v>0</v>
      </c>
      <c r="AL351" s="28">
        <f>AK351/detalle!$D$2</f>
        <v>0</v>
      </c>
    </row>
    <row r="352" spans="1:38">
      <c r="A352" s="12">
        <v>351</v>
      </c>
      <c r="B352" s="19">
        <v>44241</v>
      </c>
      <c r="C352" s="12">
        <v>333</v>
      </c>
      <c r="D352" s="23">
        <f t="shared" si="74"/>
        <v>795</v>
      </c>
      <c r="E352" s="12">
        <v>230563</v>
      </c>
      <c r="F352" s="12">
        <v>2959</v>
      </c>
      <c r="G352" s="12">
        <v>178146</v>
      </c>
      <c r="H352" s="23">
        <f t="shared" si="70"/>
        <v>49458</v>
      </c>
      <c r="I352" s="23">
        <f t="shared" si="68"/>
        <v>6013</v>
      </c>
      <c r="J352" s="12">
        <v>1146477</v>
      </c>
      <c r="K352" s="23">
        <f t="shared" si="69"/>
        <v>915914</v>
      </c>
      <c r="L352" s="9">
        <f t="shared" si="75"/>
        <v>1358</v>
      </c>
      <c r="M352" s="14">
        <f t="shared" si="71"/>
        <v>1.2833802474811657E-2</v>
      </c>
      <c r="N352" s="14">
        <f t="shared" si="80"/>
        <v>0.13221353733577249</v>
      </c>
      <c r="O352" s="12"/>
      <c r="P352" s="12"/>
      <c r="Q352" s="12"/>
      <c r="R352" s="23">
        <f t="shared" si="72"/>
        <v>181105</v>
      </c>
      <c r="S352" s="25">
        <f>(((H352+R352)/(H351+R351))-1)+detalle!$D$1</f>
        <v>7.4888583266599335E-2</v>
      </c>
      <c r="T352" s="25">
        <f t="shared" si="76"/>
        <v>1.0484401657323907</v>
      </c>
      <c r="U352" s="10">
        <f t="shared" si="73"/>
        <v>0.77265649735647091</v>
      </c>
      <c r="V352" s="21">
        <f t="shared" si="79"/>
        <v>60.204798918553564</v>
      </c>
      <c r="W352" s="15">
        <f>J352/detalle!$D$2</f>
        <v>104600.61243450241</v>
      </c>
      <c r="X352" s="15">
        <f>E352/detalle!$D$2</f>
        <v>21035.773944646236</v>
      </c>
      <c r="Y352" s="22">
        <f>F352/detalle!$D$2</f>
        <v>269.96896771037939</v>
      </c>
      <c r="AA352" s="14">
        <f>E352/(detalle!$D$2*1000000)</f>
        <v>2.1035773944646233E-2</v>
      </c>
      <c r="AB352" s="14">
        <f>F352/(detalle!$D$2*1000000)</f>
        <v>2.6996896771037943E-4</v>
      </c>
      <c r="AC352" s="31">
        <f>261/538</f>
        <v>0.48513011152416358</v>
      </c>
      <c r="AD352" s="31">
        <f>806/2730</f>
        <v>0.29523809523809524</v>
      </c>
      <c r="AE352" s="31">
        <f>132/405</f>
        <v>0.32592592592592595</v>
      </c>
      <c r="AF352" s="22">
        <f t="shared" si="77"/>
        <v>15</v>
      </c>
      <c r="AG352" s="12">
        <v>0</v>
      </c>
      <c r="AH352" s="12">
        <v>0</v>
      </c>
      <c r="AI352" s="20">
        <v>0</v>
      </c>
      <c r="AJ352" s="23">
        <f t="shared" si="78"/>
        <v>0</v>
      </c>
      <c r="AK352" s="23">
        <v>0</v>
      </c>
      <c r="AL352" s="28">
        <f>AK352/detalle!$D$2</f>
        <v>0</v>
      </c>
    </row>
    <row r="353" spans="1:38">
      <c r="A353" s="12">
        <v>352</v>
      </c>
      <c r="B353" s="19">
        <v>44242</v>
      </c>
      <c r="C353" s="12">
        <v>334</v>
      </c>
      <c r="D353" s="23">
        <f t="shared" si="74"/>
        <v>532</v>
      </c>
      <c r="E353" s="12">
        <v>231095</v>
      </c>
      <c r="F353" s="12">
        <v>2975</v>
      </c>
      <c r="G353" s="12">
        <v>179097</v>
      </c>
      <c r="H353" s="23">
        <f t="shared" si="70"/>
        <v>49023</v>
      </c>
      <c r="I353" s="23">
        <f t="shared" si="68"/>
        <v>3205</v>
      </c>
      <c r="J353" s="12">
        <v>1149682</v>
      </c>
      <c r="K353" s="23">
        <f t="shared" si="69"/>
        <v>918587</v>
      </c>
      <c r="L353" s="9">
        <f t="shared" si="75"/>
        <v>951</v>
      </c>
      <c r="M353" s="14">
        <f t="shared" si="71"/>
        <v>1.2873493584889331E-2</v>
      </c>
      <c r="N353" s="14">
        <f t="shared" si="80"/>
        <v>0.16599063962558502</v>
      </c>
      <c r="O353" s="12"/>
      <c r="P353" s="12"/>
      <c r="Q353" s="12"/>
      <c r="R353" s="23">
        <f t="shared" si="72"/>
        <v>182072</v>
      </c>
      <c r="S353" s="25">
        <f>(((H353+R353)/(H352+R352))-1)+detalle!$D$1</f>
        <v>7.3735966804238801E-2</v>
      </c>
      <c r="T353" s="25">
        <f t="shared" si="76"/>
        <v>1.0323035352593433</v>
      </c>
      <c r="U353" s="10">
        <f t="shared" si="73"/>
        <v>0.77499296825980657</v>
      </c>
      <c r="V353" s="21">
        <f t="shared" si="79"/>
        <v>60.20067226890756</v>
      </c>
      <c r="W353" s="15">
        <f>J353/detalle!$D$2</f>
        <v>104893.02559486462</v>
      </c>
      <c r="X353" s="15">
        <f>E353/detalle!$D$2</f>
        <v>21084.311792169698</v>
      </c>
      <c r="Y353" s="22">
        <f>F353/detalle!$D$2</f>
        <v>271.42875259830305</v>
      </c>
      <c r="AA353" s="14">
        <f>E353/(detalle!$D$2*1000000)</f>
        <v>2.1084311792169696E-2</v>
      </c>
      <c r="AB353" s="14">
        <f>F353/(detalle!$D$2*1000000)</f>
        <v>2.7142875259830306E-4</v>
      </c>
      <c r="AC353" s="31">
        <f>245/538</f>
        <v>0.45539033457249073</v>
      </c>
      <c r="AD353" s="31">
        <f>764/2710</f>
        <v>0.28191881918819189</v>
      </c>
      <c r="AE353" s="31">
        <f>127/405</f>
        <v>0.31358024691358027</v>
      </c>
      <c r="AF353" s="22">
        <f t="shared" si="77"/>
        <v>16</v>
      </c>
      <c r="AG353" s="12">
        <v>0</v>
      </c>
      <c r="AH353" s="12">
        <v>0</v>
      </c>
      <c r="AI353" s="20">
        <v>0</v>
      </c>
      <c r="AJ353" s="23">
        <f t="shared" si="78"/>
        <v>0</v>
      </c>
      <c r="AK353" s="23">
        <v>0</v>
      </c>
      <c r="AL353" s="28">
        <f>AK353/detalle!$D$2</f>
        <v>0</v>
      </c>
    </row>
    <row r="354" spans="1:38">
      <c r="A354" s="12">
        <v>353</v>
      </c>
      <c r="B354" s="19">
        <v>44243</v>
      </c>
      <c r="C354" s="12">
        <v>335</v>
      </c>
      <c r="D354" s="23">
        <f t="shared" si="74"/>
        <v>642</v>
      </c>
      <c r="E354" s="12">
        <v>231737</v>
      </c>
      <c r="F354" s="12">
        <v>2990</v>
      </c>
      <c r="G354" s="12">
        <v>180170</v>
      </c>
      <c r="H354" s="23">
        <f t="shared" si="70"/>
        <v>48577</v>
      </c>
      <c r="I354" s="23">
        <f t="shared" si="68"/>
        <v>3767</v>
      </c>
      <c r="J354" s="12">
        <v>1153449</v>
      </c>
      <c r="K354" s="23">
        <f t="shared" si="69"/>
        <v>921712</v>
      </c>
      <c r="L354" s="9">
        <f t="shared" si="75"/>
        <v>1073</v>
      </c>
      <c r="M354" s="14">
        <f t="shared" si="71"/>
        <v>1.2902557640773808E-2</v>
      </c>
      <c r="N354" s="14">
        <f t="shared" si="80"/>
        <v>0.17042739580568092</v>
      </c>
      <c r="O354" s="12"/>
      <c r="P354" s="12"/>
      <c r="Q354" s="12"/>
      <c r="R354" s="23">
        <f t="shared" si="72"/>
        <v>183160</v>
      </c>
      <c r="S354" s="25">
        <f>(((H354+R354)/(H353+R353))-1)+detalle!$D$1</f>
        <v>7.4206649708066924E-2</v>
      </c>
      <c r="T354" s="25">
        <f t="shared" si="76"/>
        <v>1.038893095912937</v>
      </c>
      <c r="U354" s="10">
        <f t="shared" si="73"/>
        <v>0.77747619068167795</v>
      </c>
      <c r="V354" s="21">
        <f t="shared" si="79"/>
        <v>60.257525083612038</v>
      </c>
      <c r="W354" s="15">
        <f>J354/detalle!$D$2</f>
        <v>105236.71369941515</v>
      </c>
      <c r="X354" s="15">
        <f>E354/detalle!$D$2</f>
        <v>21142.885660797634</v>
      </c>
      <c r="Y354" s="22">
        <f>F354/detalle!$D$2</f>
        <v>272.79730093073147</v>
      </c>
      <c r="AA354" s="14">
        <f>E354/(detalle!$D$2*1000000)</f>
        <v>2.1142885660797632E-2</v>
      </c>
      <c r="AB354" s="14">
        <f>F354/(detalle!$D$2*1000000)</f>
        <v>2.7279730093073148E-4</v>
      </c>
      <c r="AC354" s="31">
        <f>241/538</f>
        <v>0.44795539033457249</v>
      </c>
      <c r="AD354" s="31">
        <f>755/2706</f>
        <v>0.27900960827790094</v>
      </c>
      <c r="AE354" s="31">
        <f>127/405</f>
        <v>0.31358024691358027</v>
      </c>
      <c r="AF354" s="22">
        <f t="shared" si="77"/>
        <v>15</v>
      </c>
      <c r="AG354" s="12">
        <v>385</v>
      </c>
      <c r="AH354" s="12">
        <v>0</v>
      </c>
      <c r="AI354" s="20">
        <v>0</v>
      </c>
      <c r="AJ354" s="23">
        <f t="shared" si="78"/>
        <v>385</v>
      </c>
      <c r="AK354" s="23">
        <v>385</v>
      </c>
      <c r="AL354" s="28">
        <f>AK354/detalle!$D$2</f>
        <v>35.126073865662747</v>
      </c>
    </row>
    <row r="355" spans="1:38">
      <c r="A355" s="12">
        <v>354</v>
      </c>
      <c r="B355" s="19">
        <v>44244</v>
      </c>
      <c r="C355" s="12">
        <v>336</v>
      </c>
      <c r="D355" s="23">
        <f t="shared" si="74"/>
        <v>1043</v>
      </c>
      <c r="E355" s="12">
        <v>232780</v>
      </c>
      <c r="F355" s="12">
        <v>3007</v>
      </c>
      <c r="G355" s="12">
        <v>181402</v>
      </c>
      <c r="H355" s="23">
        <f t="shared" si="70"/>
        <v>48371</v>
      </c>
      <c r="I355" s="23">
        <f t="shared" si="68"/>
        <v>6031</v>
      </c>
      <c r="J355" s="12">
        <v>1159480</v>
      </c>
      <c r="K355" s="23">
        <f t="shared" si="69"/>
        <v>926700</v>
      </c>
      <c r="L355" s="9">
        <f t="shared" si="75"/>
        <v>1232</v>
      </c>
      <c r="M355" s="14">
        <f t="shared" si="71"/>
        <v>1.2917776441275024E-2</v>
      </c>
      <c r="N355" s="14">
        <f t="shared" si="80"/>
        <v>0.17293981097662078</v>
      </c>
      <c r="O355" s="12"/>
      <c r="P355" s="12"/>
      <c r="Q355" s="12"/>
      <c r="R355" s="23">
        <f t="shared" si="72"/>
        <v>184409</v>
      </c>
      <c r="S355" s="25">
        <f>(((H355+R355)/(H354+R354))-1)+detalle!$D$1</f>
        <v>7.59293632745002E-2</v>
      </c>
      <c r="T355" s="25">
        <f t="shared" si="76"/>
        <v>1.0630110858430029</v>
      </c>
      <c r="U355" s="10">
        <f t="shared" si="73"/>
        <v>0.77928516195549447</v>
      </c>
      <c r="V355" s="21">
        <f t="shared" si="79"/>
        <v>60.326571333555037</v>
      </c>
      <c r="W355" s="15">
        <f>J355/detalle!$D$2</f>
        <v>105786.96136560687</v>
      </c>
      <c r="X355" s="15">
        <f>E355/detalle!$D$2</f>
        <v>21238.045388179155</v>
      </c>
      <c r="Y355" s="22">
        <f>F355/detalle!$D$2</f>
        <v>274.34832237415037</v>
      </c>
      <c r="AA355" s="14">
        <f>E355/(detalle!$D$2*1000000)</f>
        <v>2.1238045388179156E-2</v>
      </c>
      <c r="AB355" s="14">
        <f>F355/(detalle!$D$2*1000000)</f>
        <v>2.7434832237415037E-4</v>
      </c>
      <c r="AC355" s="31">
        <f>227/538</f>
        <v>0.42193308550185876</v>
      </c>
      <c r="AD355" s="31">
        <f>765/2706</f>
        <v>0.28270509977827052</v>
      </c>
      <c r="AE355" s="31">
        <f>124/405</f>
        <v>0.30617283950617286</v>
      </c>
      <c r="AF355" s="22">
        <f t="shared" si="77"/>
        <v>17</v>
      </c>
      <c r="AG355" s="12">
        <v>1428</v>
      </c>
      <c r="AH355" s="12">
        <v>0</v>
      </c>
      <c r="AI355" s="20">
        <v>0</v>
      </c>
      <c r="AJ355" s="23">
        <f t="shared" si="78"/>
        <v>1043</v>
      </c>
      <c r="AK355" s="23">
        <v>1428</v>
      </c>
      <c r="AL355" s="28">
        <f>AK355/detalle!$D$2</f>
        <v>130.28580124718547</v>
      </c>
    </row>
    <row r="356" spans="1:38">
      <c r="A356" s="12">
        <v>355</v>
      </c>
      <c r="B356" s="19">
        <v>44245</v>
      </c>
      <c r="C356" s="12">
        <v>337</v>
      </c>
      <c r="D356" s="23">
        <f t="shared" si="74"/>
        <v>818</v>
      </c>
      <c r="E356" s="12">
        <v>233598</v>
      </c>
      <c r="F356" s="12">
        <v>3024</v>
      </c>
      <c r="G356" s="12">
        <v>182603</v>
      </c>
      <c r="H356" s="23">
        <f t="shared" si="70"/>
        <v>47971</v>
      </c>
      <c r="I356" s="23">
        <f t="shared" si="68"/>
        <v>5627</v>
      </c>
      <c r="J356" s="12">
        <v>1165107</v>
      </c>
      <c r="K356" s="23">
        <f t="shared" si="69"/>
        <v>931509</v>
      </c>
      <c r="L356" s="9">
        <f t="shared" si="75"/>
        <v>1201</v>
      </c>
      <c r="M356" s="14">
        <f t="shared" si="71"/>
        <v>1.2945316312639663E-2</v>
      </c>
      <c r="N356" s="14">
        <f t="shared" si="80"/>
        <v>0.14537053492091701</v>
      </c>
      <c r="O356" s="12"/>
      <c r="P356" s="12"/>
      <c r="Q356" s="12"/>
      <c r="R356" s="23">
        <f t="shared" si="72"/>
        <v>185627</v>
      </c>
      <c r="S356" s="25">
        <f>(((H356+R356)/(H355+R355))-1)+detalle!$D$1</f>
        <v>7.4942619027162288E-2</v>
      </c>
      <c r="T356" s="25">
        <f t="shared" si="76"/>
        <v>1.0491966663802721</v>
      </c>
      <c r="U356" s="10">
        <f t="shared" si="73"/>
        <v>0.78169761727412046</v>
      </c>
      <c r="V356" s="21">
        <f t="shared" si="79"/>
        <v>60.38458994708995</v>
      </c>
      <c r="W356" s="15">
        <f>J356/detalle!$D$2</f>
        <v>106300.34946337852</v>
      </c>
      <c r="X356" s="15">
        <f>E356/detalle!$D$2</f>
        <v>21312.67689057425</v>
      </c>
      <c r="Y356" s="22">
        <f>F356/detalle!$D$2</f>
        <v>275.89934381756922</v>
      </c>
      <c r="AA356" s="14">
        <f>E356/(detalle!$D$2*1000000)</f>
        <v>2.1312676890574252E-2</v>
      </c>
      <c r="AB356" s="14">
        <f>F356/(detalle!$D$2*1000000)</f>
        <v>2.7589934381756922E-4</v>
      </c>
      <c r="AC356" s="31">
        <f>236/538</f>
        <v>0.43866171003717475</v>
      </c>
      <c r="AD356" s="31">
        <f>768/2707</f>
        <v>0.28370890284447731</v>
      </c>
      <c r="AE356" s="31">
        <f>129/405</f>
        <v>0.31851851851851853</v>
      </c>
      <c r="AF356" s="22">
        <f t="shared" si="77"/>
        <v>17</v>
      </c>
      <c r="AG356" s="12">
        <v>0</v>
      </c>
      <c r="AH356" s="12">
        <v>0</v>
      </c>
      <c r="AI356" s="20">
        <v>0</v>
      </c>
      <c r="AJ356" s="23">
        <f t="shared" si="78"/>
        <v>4144</v>
      </c>
      <c r="AK356" s="23">
        <v>5572</v>
      </c>
      <c r="AL356" s="28">
        <f>AK356/detalle!$D$2</f>
        <v>508.37008721940998</v>
      </c>
    </row>
    <row r="357" spans="1:38">
      <c r="A357" s="12">
        <v>356</v>
      </c>
      <c r="B357" s="19">
        <v>44246</v>
      </c>
      <c r="C357" s="12">
        <v>338</v>
      </c>
      <c r="D357" s="23">
        <f t="shared" si="74"/>
        <v>904</v>
      </c>
      <c r="E357" s="12">
        <v>234502</v>
      </c>
      <c r="F357" s="12">
        <v>3028</v>
      </c>
      <c r="G357" s="12">
        <v>183720</v>
      </c>
      <c r="H357" s="23">
        <f t="shared" si="70"/>
        <v>47754</v>
      </c>
      <c r="I357" s="23">
        <f t="shared" si="68"/>
        <v>7054</v>
      </c>
      <c r="J357" s="12">
        <v>1172161</v>
      </c>
      <c r="K357" s="23">
        <f t="shared" si="69"/>
        <v>937659</v>
      </c>
      <c r="L357" s="9">
        <f t="shared" si="75"/>
        <v>1117</v>
      </c>
      <c r="M357" s="14">
        <f t="shared" si="71"/>
        <v>1.2912469829681623E-2</v>
      </c>
      <c r="N357" s="14">
        <f t="shared" si="80"/>
        <v>0.1281542387297987</v>
      </c>
      <c r="O357" s="12"/>
      <c r="P357" s="12"/>
      <c r="Q357" s="12"/>
      <c r="R357" s="23">
        <f t="shared" si="72"/>
        <v>186748</v>
      </c>
      <c r="S357" s="25">
        <f>(((H357+R357)/(H356+R356))-1)+detalle!$D$1</f>
        <v>7.5298467574942435E-2</v>
      </c>
      <c r="T357" s="25">
        <f t="shared" si="76"/>
        <v>1.0541785460491941</v>
      </c>
      <c r="U357" s="10">
        <f t="shared" si="73"/>
        <v>0.78344747592771069</v>
      </c>
      <c r="V357" s="21">
        <f t="shared" si="79"/>
        <v>60.673712021136062</v>
      </c>
      <c r="W357" s="15">
        <f>J357/detalle!$D$2</f>
        <v>106943.93212584185</v>
      </c>
      <c r="X357" s="15">
        <f>E357/detalle!$D$2</f>
        <v>21395.154736741937</v>
      </c>
      <c r="Y357" s="22">
        <f>F357/detalle!$D$2</f>
        <v>276.26429003955013</v>
      </c>
      <c r="AA357" s="14">
        <f>E357/(detalle!$D$2*1000000)</f>
        <v>2.1395154736741938E-2</v>
      </c>
      <c r="AB357" s="14">
        <f>F357/(detalle!$D$2*1000000)</f>
        <v>2.7626429003955013E-4</v>
      </c>
      <c r="AC357" s="31">
        <f>236/538</f>
        <v>0.43866171003717475</v>
      </c>
      <c r="AD357" s="31">
        <f>737/2707</f>
        <v>0.27225711119320278</v>
      </c>
      <c r="AE357" s="31">
        <f>131/404</f>
        <v>0.32425742574257427</v>
      </c>
      <c r="AF357" s="22">
        <f t="shared" si="77"/>
        <v>4</v>
      </c>
      <c r="AG357" s="12">
        <v>0</v>
      </c>
      <c r="AH357" s="12">
        <v>0</v>
      </c>
      <c r="AI357" s="20">
        <v>0</v>
      </c>
      <c r="AJ357" s="23">
        <f t="shared" si="78"/>
        <v>5086</v>
      </c>
      <c r="AK357" s="23">
        <v>10658</v>
      </c>
      <c r="AL357" s="28">
        <f>AK357/detalle!$D$2</f>
        <v>972.39920846813914</v>
      </c>
    </row>
    <row r="358" spans="1:38">
      <c r="A358" s="12">
        <v>357</v>
      </c>
      <c r="B358" s="19">
        <v>44247</v>
      </c>
      <c r="C358" s="12">
        <v>339</v>
      </c>
      <c r="D358" s="23">
        <f t="shared" si="74"/>
        <v>960</v>
      </c>
      <c r="E358" s="12">
        <v>235462</v>
      </c>
      <c r="F358" s="12">
        <v>3038</v>
      </c>
      <c r="G358" s="12">
        <v>185154</v>
      </c>
      <c r="H358" s="23">
        <f t="shared" si="70"/>
        <v>47270</v>
      </c>
      <c r="I358" s="23">
        <f t="shared" si="68"/>
        <v>6066</v>
      </c>
      <c r="J358" s="12">
        <v>1178227</v>
      </c>
      <c r="K358" s="23">
        <f t="shared" si="69"/>
        <v>942765</v>
      </c>
      <c r="L358" s="9">
        <f t="shared" si="75"/>
        <v>1434</v>
      </c>
      <c r="M358" s="14">
        <f t="shared" si="71"/>
        <v>1.2902294213078968E-2</v>
      </c>
      <c r="N358" s="14">
        <f t="shared" si="80"/>
        <v>0.15825914935707219</v>
      </c>
      <c r="O358" s="12"/>
      <c r="P358" s="12"/>
      <c r="Q358" s="12"/>
      <c r="R358" s="23">
        <f t="shared" si="72"/>
        <v>188192</v>
      </c>
      <c r="S358" s="25">
        <f>(((H358+R358)/(H357+R357))-1)+detalle!$D$1</f>
        <v>7.5522353144718918E-2</v>
      </c>
      <c r="T358" s="25">
        <f t="shared" si="76"/>
        <v>1.0573129440260649</v>
      </c>
      <c r="U358" s="10">
        <f t="shared" si="73"/>
        <v>0.7863434439527397</v>
      </c>
      <c r="V358" s="21">
        <f t="shared" si="79"/>
        <v>60.946017116524025</v>
      </c>
      <c r="W358" s="15">
        <f>J358/detalle!$D$2</f>
        <v>107497.3730714759</v>
      </c>
      <c r="X358" s="15">
        <f>E358/detalle!$D$2</f>
        <v>21482.741830017356</v>
      </c>
      <c r="Y358" s="22">
        <f>F358/detalle!$D$2</f>
        <v>277.17665559450245</v>
      </c>
      <c r="AA358" s="14">
        <f>E358/(detalle!$D$2*1000000)</f>
        <v>2.1482741830017357E-2</v>
      </c>
      <c r="AB358" s="14">
        <f>F358/(detalle!$D$2*1000000)</f>
        <v>2.7717665559450242E-4</v>
      </c>
      <c r="AC358" s="31">
        <f>239/538</f>
        <v>0.44423791821561337</v>
      </c>
      <c r="AD358" s="31">
        <f>737/2707</f>
        <v>0.27225711119320278</v>
      </c>
      <c r="AE358" s="31">
        <f>134/405</f>
        <v>0.33086419753086421</v>
      </c>
      <c r="AF358" s="22">
        <f t="shared" si="77"/>
        <v>10</v>
      </c>
      <c r="AG358" s="12">
        <v>0</v>
      </c>
      <c r="AH358" s="12">
        <v>0</v>
      </c>
      <c r="AI358" s="20">
        <v>0</v>
      </c>
      <c r="AJ358" s="23">
        <f t="shared" si="78"/>
        <v>2376</v>
      </c>
      <c r="AK358" s="23">
        <v>13034</v>
      </c>
      <c r="AL358" s="28">
        <f>AK358/detalle!$D$2</f>
        <v>1189.1772643248007</v>
      </c>
    </row>
    <row r="359" spans="1:38">
      <c r="A359" s="12">
        <v>358</v>
      </c>
      <c r="B359" s="19">
        <v>44248</v>
      </c>
      <c r="C359" s="12">
        <v>340</v>
      </c>
      <c r="D359" s="23">
        <f t="shared" si="74"/>
        <v>420</v>
      </c>
      <c r="E359" s="12">
        <v>235882</v>
      </c>
      <c r="F359" s="12">
        <v>3048</v>
      </c>
      <c r="G359" s="12">
        <v>185964</v>
      </c>
      <c r="H359" s="23">
        <f t="shared" si="70"/>
        <v>46870</v>
      </c>
      <c r="I359" s="23">
        <f t="shared" si="68"/>
        <v>3583</v>
      </c>
      <c r="J359" s="12">
        <v>1181810</v>
      </c>
      <c r="K359" s="23">
        <f t="shared" si="69"/>
        <v>945928</v>
      </c>
      <c r="L359" s="9">
        <f t="shared" si="75"/>
        <v>810</v>
      </c>
      <c r="M359" s="14">
        <f t="shared" si="71"/>
        <v>1.2921715094835553E-2</v>
      </c>
      <c r="N359" s="14">
        <f t="shared" si="80"/>
        <v>0.11722020653084007</v>
      </c>
      <c r="O359" s="12"/>
      <c r="P359" s="12"/>
      <c r="Q359" s="12"/>
      <c r="R359" s="23">
        <f t="shared" si="72"/>
        <v>189012</v>
      </c>
      <c r="S359" s="25">
        <f>(((H359+R359)/(H358+R358))-1)+detalle!$D$1</f>
        <v>7.321229873913529E-2</v>
      </c>
      <c r="T359" s="25">
        <f t="shared" si="76"/>
        <v>1.0249721823478941</v>
      </c>
      <c r="U359" s="10">
        <f t="shared" si="73"/>
        <v>0.78837723946719118</v>
      </c>
      <c r="V359" s="21">
        <f t="shared" si="79"/>
        <v>61.011811023622045</v>
      </c>
      <c r="W359" s="15">
        <f>J359/detalle!$D$2</f>
        <v>107824.27364981531</v>
      </c>
      <c r="X359" s="15">
        <f>E359/detalle!$D$2</f>
        <v>21521.061183325353</v>
      </c>
      <c r="Y359" s="22">
        <f>F359/detalle!$D$2</f>
        <v>278.08902114945471</v>
      </c>
      <c r="AA359" s="14">
        <f>E359/(detalle!$D$2*1000000)</f>
        <v>2.1521061183325352E-2</v>
      </c>
      <c r="AB359" s="14">
        <f>F359/(detalle!$D$2*1000000)</f>
        <v>2.7808902114945472E-4</v>
      </c>
      <c r="AC359" s="31">
        <f>239/538</f>
        <v>0.44423791821561337</v>
      </c>
      <c r="AD359" s="31">
        <f>737/2707</f>
        <v>0.27225711119320278</v>
      </c>
      <c r="AE359" s="31">
        <f>137/404</f>
        <v>0.33910891089108913</v>
      </c>
      <c r="AF359" s="22">
        <f t="shared" si="77"/>
        <v>10</v>
      </c>
      <c r="AG359" s="12">
        <v>0</v>
      </c>
      <c r="AH359" s="12">
        <v>0</v>
      </c>
      <c r="AI359" s="20">
        <v>0</v>
      </c>
      <c r="AJ359" s="23">
        <f t="shared" si="78"/>
        <v>1393</v>
      </c>
      <c r="AK359" s="23">
        <v>14427</v>
      </c>
      <c r="AL359" s="28">
        <f>AK359/detalle!$D$2</f>
        <v>1316.2697861296533</v>
      </c>
    </row>
    <row r="360" spans="1:38">
      <c r="A360" s="12">
        <v>359</v>
      </c>
      <c r="B360" s="19">
        <v>44249</v>
      </c>
      <c r="C360" s="12">
        <v>341</v>
      </c>
      <c r="D360" s="23">
        <f t="shared" si="74"/>
        <v>328</v>
      </c>
      <c r="E360" s="12">
        <v>236210</v>
      </c>
      <c r="F360" s="12">
        <v>3057</v>
      </c>
      <c r="G360" s="12">
        <v>186703</v>
      </c>
      <c r="H360" s="23">
        <f t="shared" si="70"/>
        <v>46450</v>
      </c>
      <c r="I360" s="23">
        <f t="shared" si="68"/>
        <v>2281</v>
      </c>
      <c r="J360" s="12">
        <v>1184091</v>
      </c>
      <c r="K360" s="23">
        <f t="shared" si="69"/>
        <v>947881</v>
      </c>
      <c r="L360" s="9">
        <f t="shared" si="75"/>
        <v>739</v>
      </c>
      <c r="M360" s="14">
        <f t="shared" si="71"/>
        <v>1.29418737564032E-2</v>
      </c>
      <c r="N360" s="14">
        <f t="shared" si="80"/>
        <v>0.14379658044717231</v>
      </c>
      <c r="O360" s="12"/>
      <c r="P360" s="12"/>
      <c r="Q360" s="12"/>
      <c r="R360" s="23">
        <f t="shared" si="72"/>
        <v>189760</v>
      </c>
      <c r="S360" s="25">
        <f>(((H360+R360)/(H359+R359))-1)+detalle!$D$1</f>
        <v>7.2819097199931654E-2</v>
      </c>
      <c r="T360" s="25">
        <f t="shared" si="76"/>
        <v>1.0194673607990432</v>
      </c>
      <c r="U360" s="10">
        <f t="shared" si="73"/>
        <v>0.79041107489098683</v>
      </c>
      <c r="V360" s="21">
        <f t="shared" si="79"/>
        <v>61.073928688256458</v>
      </c>
      <c r="W360" s="15">
        <f>J360/detalle!$D$2</f>
        <v>108032.38423289992</v>
      </c>
      <c r="X360" s="15">
        <f>E360/detalle!$D$2</f>
        <v>21550.986773527788</v>
      </c>
      <c r="Y360" s="22">
        <f>F360/detalle!$D$2</f>
        <v>278.91015014891173</v>
      </c>
      <c r="AA360" s="14">
        <f>E360/(detalle!$D$2*1000000)</f>
        <v>2.1550986773527788E-2</v>
      </c>
      <c r="AB360" s="14">
        <f>F360/(detalle!$D$2*1000000)</f>
        <v>2.7891015014891175E-4</v>
      </c>
      <c r="AC360" s="31">
        <f>232/538</f>
        <v>0.43122676579925651</v>
      </c>
      <c r="AD360" s="31">
        <f>646/2707</f>
        <v>0.23864056150720356</v>
      </c>
      <c r="AE360" s="31">
        <f>126/404</f>
        <v>0.31188118811881188</v>
      </c>
      <c r="AF360" s="22">
        <f t="shared" si="77"/>
        <v>9</v>
      </c>
      <c r="AG360" s="12">
        <v>0</v>
      </c>
      <c r="AH360" s="12">
        <v>0</v>
      </c>
      <c r="AI360" s="20">
        <v>0</v>
      </c>
      <c r="AJ360" s="23">
        <f t="shared" si="78"/>
        <v>4995</v>
      </c>
      <c r="AK360" s="23">
        <v>19422</v>
      </c>
      <c r="AL360" s="28">
        <f>AK360/detalle!$D$2</f>
        <v>1771.9963808283167</v>
      </c>
    </row>
    <row r="361" spans="1:38">
      <c r="A361" s="12">
        <v>360</v>
      </c>
      <c r="B361" s="19">
        <v>44250</v>
      </c>
      <c r="C361" s="12">
        <v>342</v>
      </c>
      <c r="D361" s="23">
        <f t="shared" si="74"/>
        <v>673</v>
      </c>
      <c r="E361" s="12">
        <v>236883</v>
      </c>
      <c r="F361" s="12">
        <v>3066</v>
      </c>
      <c r="G361" s="12">
        <v>187422</v>
      </c>
      <c r="H361" s="23">
        <f t="shared" si="70"/>
        <v>46395</v>
      </c>
      <c r="I361" s="23">
        <f t="shared" si="68"/>
        <v>3882</v>
      </c>
      <c r="J361" s="12">
        <v>1187973</v>
      </c>
      <c r="K361" s="23">
        <f t="shared" si="69"/>
        <v>951090</v>
      </c>
      <c r="L361" s="9">
        <f t="shared" si="75"/>
        <v>719</v>
      </c>
      <c r="M361" s="14">
        <f t="shared" si="71"/>
        <v>1.294309849166044E-2</v>
      </c>
      <c r="N361" s="14">
        <f t="shared" si="80"/>
        <v>0.17336424523441524</v>
      </c>
      <c r="O361" s="12"/>
      <c r="P361" s="12"/>
      <c r="Q361" s="12"/>
      <c r="R361" s="23">
        <f t="shared" si="72"/>
        <v>190488</v>
      </c>
      <c r="S361" s="25">
        <f>(((H361+R361)/(H360+R360))-1)+detalle!$D$1</f>
        <v>7.4277731074648995E-2</v>
      </c>
      <c r="T361" s="25">
        <f t="shared" si="76"/>
        <v>1.039888235045086</v>
      </c>
      <c r="U361" s="10">
        <f t="shared" si="73"/>
        <v>0.79120071934246017</v>
      </c>
      <c r="V361" s="21">
        <f t="shared" si="79"/>
        <v>61.12915851272016</v>
      </c>
      <c r="W361" s="15">
        <f>J361/detalle!$D$2</f>
        <v>108386.56454133239</v>
      </c>
      <c r="X361" s="15">
        <f>E361/detalle!$D$2</f>
        <v>21612.388975376074</v>
      </c>
      <c r="Y361" s="22">
        <f>F361/detalle!$D$2</f>
        <v>279.7312791483688</v>
      </c>
      <c r="AA361" s="14">
        <f>E361/(detalle!$D$2*1000000)</f>
        <v>2.1612388975376075E-2</v>
      </c>
      <c r="AB361" s="14">
        <f>F361/(detalle!$D$2*1000000)</f>
        <v>2.7973127914836878E-4</v>
      </c>
      <c r="AC361" s="31">
        <f>232/538</f>
        <v>0.43122676579925651</v>
      </c>
      <c r="AD361" s="31">
        <f>639/2707</f>
        <v>0.23605467306981898</v>
      </c>
      <c r="AE361" s="31">
        <f>121/404</f>
        <v>0.29950495049504949</v>
      </c>
      <c r="AF361" s="22">
        <f t="shared" si="77"/>
        <v>9</v>
      </c>
      <c r="AG361" s="12">
        <v>0</v>
      </c>
      <c r="AH361" s="12">
        <v>0</v>
      </c>
      <c r="AI361" s="20">
        <v>0</v>
      </c>
      <c r="AJ361" s="23">
        <f t="shared" si="78"/>
        <v>7284</v>
      </c>
      <c r="AK361" s="23">
        <v>26706</v>
      </c>
      <c r="AL361" s="28">
        <f>AK361/detalle!$D$2</f>
        <v>2436.5634510555569</v>
      </c>
    </row>
    <row r="362" spans="1:38">
      <c r="A362" s="12">
        <v>361</v>
      </c>
      <c r="B362" s="19">
        <v>44251</v>
      </c>
      <c r="C362" s="12">
        <v>343</v>
      </c>
      <c r="D362" s="23">
        <f t="shared" si="74"/>
        <v>746</v>
      </c>
      <c r="E362" s="12">
        <v>237629</v>
      </c>
      <c r="F362" s="12">
        <v>3075</v>
      </c>
      <c r="G362" s="12">
        <v>188300</v>
      </c>
      <c r="H362" s="23">
        <f t="shared" si="70"/>
        <v>46254</v>
      </c>
      <c r="I362" s="23">
        <f t="shared" si="68"/>
        <v>4302</v>
      </c>
      <c r="J362" s="12">
        <v>1192275</v>
      </c>
      <c r="K362" s="23">
        <f t="shared" si="69"/>
        <v>954646</v>
      </c>
      <c r="L362" s="9">
        <f t="shared" si="75"/>
        <v>878</v>
      </c>
      <c r="M362" s="14">
        <f t="shared" si="71"/>
        <v>1.2940339773344163E-2</v>
      </c>
      <c r="N362" s="14">
        <f t="shared" si="80"/>
        <v>0.17340771734077173</v>
      </c>
      <c r="O362" s="12"/>
      <c r="P362" s="12"/>
      <c r="Q362" s="12"/>
      <c r="R362" s="23">
        <f t="shared" si="72"/>
        <v>191375</v>
      </c>
      <c r="S362" s="25">
        <f>(((H362+R362)/(H361+R361))-1)+detalle!$D$1</f>
        <v>7.4577805438610173E-2</v>
      </c>
      <c r="T362" s="25">
        <f t="shared" si="76"/>
        <v>1.0440892761405425</v>
      </c>
      <c r="U362" s="10">
        <f t="shared" si="73"/>
        <v>0.79241170059209942</v>
      </c>
      <c r="V362" s="21">
        <f t="shared" si="79"/>
        <v>61.235772357723576</v>
      </c>
      <c r="W362" s="15">
        <f>J362/detalle!$D$2</f>
        <v>108779.06420307286</v>
      </c>
      <c r="X362" s="15">
        <f>E362/detalle!$D$2</f>
        <v>21680.451445775514</v>
      </c>
      <c r="Y362" s="22">
        <f>F362/detalle!$D$2</f>
        <v>280.55240814782587</v>
      </c>
      <c r="AA362" s="14">
        <f>E362/(detalle!$D$2*1000000)</f>
        <v>2.1680451445775514E-2</v>
      </c>
      <c r="AB362" s="14">
        <f>F362/(detalle!$D$2*1000000)</f>
        <v>2.8055240814782586E-4</v>
      </c>
      <c r="AC362" s="31">
        <f>224/542</f>
        <v>0.41328413284132842</v>
      </c>
      <c r="AD362" s="31">
        <f>633/2683</f>
        <v>0.23592992918374953</v>
      </c>
      <c r="AE362" s="31">
        <f>131/406</f>
        <v>0.32266009852216748</v>
      </c>
      <c r="AF362" s="22">
        <f t="shared" si="77"/>
        <v>9</v>
      </c>
      <c r="AG362" s="12">
        <v>0</v>
      </c>
      <c r="AH362" s="12">
        <v>0</v>
      </c>
      <c r="AI362" s="20">
        <v>0</v>
      </c>
      <c r="AJ362" s="23">
        <f t="shared" si="78"/>
        <v>8396</v>
      </c>
      <c r="AK362" s="23">
        <v>35102</v>
      </c>
      <c r="AL362" s="28">
        <f>AK362/detalle!$D$2</f>
        <v>3202.5855709934904</v>
      </c>
    </row>
    <row r="363" spans="1:38">
      <c r="A363" s="12">
        <v>362</v>
      </c>
      <c r="B363" s="19">
        <v>44252</v>
      </c>
      <c r="C363" s="12">
        <v>344</v>
      </c>
      <c r="D363" s="23">
        <f t="shared" si="74"/>
        <v>576</v>
      </c>
      <c r="E363" s="12">
        <v>238205</v>
      </c>
      <c r="F363" s="12">
        <v>3082</v>
      </c>
      <c r="G363" s="12">
        <v>189163</v>
      </c>
      <c r="H363" s="23">
        <f t="shared" si="70"/>
        <v>45960</v>
      </c>
      <c r="I363" s="23">
        <f t="shared" ref="I363:I426" si="81">J363-J362</f>
        <v>4569</v>
      </c>
      <c r="J363" s="12">
        <v>1196844</v>
      </c>
      <c r="K363" s="23">
        <f t="shared" si="69"/>
        <v>958639</v>
      </c>
      <c r="L363" s="9">
        <f t="shared" si="75"/>
        <v>863</v>
      </c>
      <c r="M363" s="14">
        <f t="shared" si="71"/>
        <v>1.2938435381289226E-2</v>
      </c>
      <c r="N363" s="14">
        <f t="shared" si="80"/>
        <v>0.12606697307944845</v>
      </c>
      <c r="O363" s="12"/>
      <c r="P363" s="12"/>
      <c r="Q363" s="12"/>
      <c r="R363" s="23">
        <f t="shared" si="72"/>
        <v>192245</v>
      </c>
      <c r="S363" s="25">
        <f>(((H363+R363)/(H362+R362))-1)+detalle!$D$1</f>
        <v>7.3852518000749018E-2</v>
      </c>
      <c r="T363" s="25">
        <f t="shared" si="76"/>
        <v>1.0339352520104863</v>
      </c>
      <c r="U363" s="10">
        <f t="shared" si="73"/>
        <v>0.7941185113662601</v>
      </c>
      <c r="V363" s="21">
        <f t="shared" si="79"/>
        <v>61.376703439325112</v>
      </c>
      <c r="W363" s="15">
        <f>J363/detalle!$D$2</f>
        <v>109195.92402513056</v>
      </c>
      <c r="X363" s="15">
        <f>E363/detalle!$D$2</f>
        <v>21733.003701740767</v>
      </c>
      <c r="Y363" s="22">
        <f>F363/detalle!$D$2</f>
        <v>281.19106403629246</v>
      </c>
      <c r="AA363" s="14">
        <f>E363/(detalle!$D$2*1000000)</f>
        <v>2.1733003701740767E-2</v>
      </c>
      <c r="AB363" s="14">
        <f>F363/(detalle!$D$2*1000000)</f>
        <v>2.8119106403629246E-4</v>
      </c>
      <c r="AC363" s="31">
        <f>220/542</f>
        <v>0.4059040590405904</v>
      </c>
      <c r="AD363" s="31">
        <f>634/2682</f>
        <v>0.23639075316927666</v>
      </c>
      <c r="AE363" s="31">
        <f>125/406</f>
        <v>0.30788177339901479</v>
      </c>
      <c r="AF363" s="22">
        <f t="shared" si="77"/>
        <v>7</v>
      </c>
      <c r="AG363" s="12">
        <v>0</v>
      </c>
      <c r="AH363" s="12">
        <v>0</v>
      </c>
      <c r="AI363" s="20">
        <v>0</v>
      </c>
      <c r="AJ363" s="23">
        <f t="shared" si="78"/>
        <v>10363</v>
      </c>
      <c r="AK363" s="23">
        <v>45465</v>
      </c>
      <c r="AL363" s="28">
        <f>AK363/detalle!$D$2</f>
        <v>4148.0699955905375</v>
      </c>
    </row>
    <row r="364" spans="1:38">
      <c r="A364" s="12">
        <v>363</v>
      </c>
      <c r="B364" s="19">
        <v>44253</v>
      </c>
      <c r="C364" s="12">
        <v>345</v>
      </c>
      <c r="D364" s="23">
        <f t="shared" si="74"/>
        <v>804</v>
      </c>
      <c r="E364" s="12">
        <v>239009</v>
      </c>
      <c r="F364" s="12">
        <v>3093</v>
      </c>
      <c r="G364" s="12">
        <v>190295</v>
      </c>
      <c r="H364" s="23">
        <f t="shared" si="70"/>
        <v>45621</v>
      </c>
      <c r="I364" s="23">
        <f t="shared" si="81"/>
        <v>6597</v>
      </c>
      <c r="J364" s="12">
        <v>1203441</v>
      </c>
      <c r="K364" s="23">
        <f t="shared" si="69"/>
        <v>964432</v>
      </c>
      <c r="L364" s="9">
        <f t="shared" si="75"/>
        <v>1132</v>
      </c>
      <c r="M364" s="14">
        <f t="shared" si="71"/>
        <v>1.2940935278587836E-2</v>
      </c>
      <c r="N364" s="14">
        <f t="shared" si="80"/>
        <v>0.12187357889949978</v>
      </c>
      <c r="O364" s="12"/>
      <c r="P364" s="12"/>
      <c r="Q364" s="12"/>
      <c r="R364" s="23">
        <f t="shared" si="72"/>
        <v>193388</v>
      </c>
      <c r="S364" s="25">
        <f>(((H364+R364)/(H363+R363))-1)+detalle!$D$1</f>
        <v>7.480381544108175E-2</v>
      </c>
      <c r="T364" s="25">
        <f t="shared" si="76"/>
        <v>1.0472534161751446</v>
      </c>
      <c r="U364" s="10">
        <f t="shared" si="73"/>
        <v>0.79618340731938964</v>
      </c>
      <c r="V364" s="21">
        <f t="shared" si="79"/>
        <v>61.52440995796961</v>
      </c>
      <c r="W364" s="15">
        <f>J364/detalle!$D$2</f>
        <v>109797.81158173259</v>
      </c>
      <c r="X364" s="15">
        <f>E364/detalle!$D$2</f>
        <v>21806.35789235893</v>
      </c>
      <c r="Y364" s="22">
        <f>F364/detalle!$D$2</f>
        <v>282.19466614673996</v>
      </c>
      <c r="AA364" s="14">
        <f>E364/(detalle!$D$2*1000000)</f>
        <v>2.1806357892358928E-2</v>
      </c>
      <c r="AB364" s="14">
        <f>F364/(detalle!$D$2*1000000)</f>
        <v>2.8219466614673997E-4</v>
      </c>
      <c r="AC364" s="31">
        <f>219/542</f>
        <v>0.40405904059040593</v>
      </c>
      <c r="AD364" s="31">
        <f>618/2680</f>
        <v>0.23059701492537313</v>
      </c>
      <c r="AE364" s="31">
        <f>129/406</f>
        <v>0.31773399014778325</v>
      </c>
      <c r="AF364" s="22">
        <f t="shared" si="77"/>
        <v>11</v>
      </c>
      <c r="AG364" s="12">
        <v>0</v>
      </c>
      <c r="AH364" s="12">
        <v>0</v>
      </c>
      <c r="AI364" s="20">
        <v>0</v>
      </c>
      <c r="AJ364" s="23">
        <f t="shared" si="78"/>
        <v>16496</v>
      </c>
      <c r="AK364" s="23">
        <v>61961</v>
      </c>
      <c r="AL364" s="28">
        <f>AK364/detalle!$D$2</f>
        <v>5653.108215039817</v>
      </c>
    </row>
    <row r="365" spans="1:38">
      <c r="A365" s="12">
        <v>364</v>
      </c>
      <c r="B365" s="19">
        <v>44254</v>
      </c>
      <c r="C365" s="12">
        <v>346</v>
      </c>
      <c r="D365" s="23">
        <f t="shared" si="74"/>
        <v>608</v>
      </c>
      <c r="E365" s="12">
        <v>239617</v>
      </c>
      <c r="F365" s="12">
        <v>3100</v>
      </c>
      <c r="G365" s="12">
        <v>191338</v>
      </c>
      <c r="H365" s="23">
        <f t="shared" si="70"/>
        <v>45179</v>
      </c>
      <c r="I365" s="23">
        <f t="shared" si="81"/>
        <v>4180</v>
      </c>
      <c r="J365" s="12">
        <v>1207621</v>
      </c>
      <c r="K365" s="23">
        <f t="shared" si="69"/>
        <v>968004</v>
      </c>
      <c r="L365" s="9">
        <f t="shared" si="75"/>
        <v>1043</v>
      </c>
      <c r="M365" s="14">
        <f t="shared" si="71"/>
        <v>1.2937312461135896E-2</v>
      </c>
      <c r="N365" s="14">
        <f t="shared" si="80"/>
        <v>0.14545454545454545</v>
      </c>
      <c r="O365" s="12"/>
      <c r="P365" s="12"/>
      <c r="Q365" s="12"/>
      <c r="R365" s="23">
        <f t="shared" si="72"/>
        <v>194438</v>
      </c>
      <c r="S365" s="25">
        <f>(((H365+R365)/(H364+R364))-1)+detalle!$D$1</f>
        <v>7.3972408689929853E-2</v>
      </c>
      <c r="T365" s="25">
        <f t="shared" si="76"/>
        <v>1.035613721659018</v>
      </c>
      <c r="U365" s="10">
        <f t="shared" si="73"/>
        <v>0.79851596506090972</v>
      </c>
      <c r="V365" s="21">
        <f t="shared" si="79"/>
        <v>61.721935483870965</v>
      </c>
      <c r="W365" s="15">
        <f>J365/detalle!$D$2</f>
        <v>110179.18038370264</v>
      </c>
      <c r="X365" s="15">
        <f>E365/detalle!$D$2</f>
        <v>21861.829718100027</v>
      </c>
      <c r="Y365" s="22">
        <f>F365/detalle!$D$2</f>
        <v>282.83332203520655</v>
      </c>
      <c r="AA365" s="14">
        <f>E365/(detalle!$D$2*1000000)</f>
        <v>2.1861829718100027E-2</v>
      </c>
      <c r="AB365" s="14">
        <f>F365/(detalle!$D$2*1000000)</f>
        <v>2.8283332203520652E-4</v>
      </c>
      <c r="AC365" s="31">
        <f>207/542</f>
        <v>0.38191881918819187</v>
      </c>
      <c r="AD365" s="31">
        <f>601/2680</f>
        <v>0.22425373134328358</v>
      </c>
      <c r="AE365" s="31">
        <f>130/406</f>
        <v>0.32019704433497537</v>
      </c>
      <c r="AF365" s="22">
        <f t="shared" si="77"/>
        <v>7</v>
      </c>
      <c r="AG365" s="12">
        <v>0</v>
      </c>
      <c r="AH365" s="12">
        <v>0</v>
      </c>
      <c r="AI365" s="20">
        <v>0</v>
      </c>
      <c r="AJ365" s="23">
        <f t="shared" si="78"/>
        <v>5266</v>
      </c>
      <c r="AK365" s="23">
        <v>67227</v>
      </c>
      <c r="AL365" s="28">
        <f>AK365/detalle!$D$2</f>
        <v>6133.5599162776871</v>
      </c>
    </row>
    <row r="366" spans="1:38">
      <c r="A366" s="12">
        <v>365</v>
      </c>
      <c r="B366" s="19">
        <v>44255</v>
      </c>
      <c r="C366" s="12">
        <v>347</v>
      </c>
      <c r="D366" s="23">
        <f t="shared" si="74"/>
        <v>381</v>
      </c>
      <c r="E366" s="12">
        <v>239998</v>
      </c>
      <c r="F366" s="12">
        <v>3106</v>
      </c>
      <c r="G366" s="12">
        <v>192078</v>
      </c>
      <c r="H366" s="23">
        <f t="shared" si="70"/>
        <v>44814</v>
      </c>
      <c r="I366" s="23">
        <f t="shared" si="81"/>
        <v>3095</v>
      </c>
      <c r="J366" s="12">
        <v>1210716</v>
      </c>
      <c r="K366" s="23">
        <f t="shared" si="69"/>
        <v>970718</v>
      </c>
      <c r="L366" s="9">
        <f t="shared" si="75"/>
        <v>740</v>
      </c>
      <c r="M366" s="14">
        <f t="shared" si="71"/>
        <v>1.2941774514787624E-2</v>
      </c>
      <c r="N366" s="14">
        <f t="shared" si="80"/>
        <v>0.12310177705977383</v>
      </c>
      <c r="O366" s="12"/>
      <c r="P366" s="12"/>
      <c r="Q366" s="12"/>
      <c r="R366" s="23">
        <f t="shared" si="72"/>
        <v>195184</v>
      </c>
      <c r="S366" s="25">
        <f>(((H366+R366)/(H365+R365))-1)+detalle!$D$1</f>
        <v>7.3018608863310935E-2</v>
      </c>
      <c r="T366" s="25">
        <f t="shared" si="76"/>
        <v>1.0222605240863532</v>
      </c>
      <c r="U366" s="10">
        <f t="shared" si="73"/>
        <v>0.80033166943057854</v>
      </c>
      <c r="V366" s="21">
        <f t="shared" si="79"/>
        <v>61.840952994204763</v>
      </c>
      <c r="W366" s="15">
        <f>J366/detalle!$D$2</f>
        <v>110461.55752296037</v>
      </c>
      <c r="X366" s="15">
        <f>E366/detalle!$D$2</f>
        <v>21896.590845743711</v>
      </c>
      <c r="Y366" s="22">
        <f>F366/detalle!$D$2</f>
        <v>283.38074136817789</v>
      </c>
      <c r="AA366" s="14">
        <f>E366/(detalle!$D$2*1000000)</f>
        <v>2.1896590845743708E-2</v>
      </c>
      <c r="AB366" s="14">
        <f>F366/(detalle!$D$2*1000000)</f>
        <v>2.8338074136817791E-4</v>
      </c>
      <c r="AC366" s="31">
        <f>203/542</f>
        <v>0.37453874538745385</v>
      </c>
      <c r="AD366" s="31">
        <f>598/2680</f>
        <v>0.22313432835820896</v>
      </c>
      <c r="AE366" s="31">
        <f>126/406</f>
        <v>0.31034482758620691</v>
      </c>
      <c r="AF366" s="22">
        <f t="shared" si="77"/>
        <v>6</v>
      </c>
      <c r="AG366" s="12">
        <v>0</v>
      </c>
      <c r="AH366" s="12">
        <v>0</v>
      </c>
      <c r="AI366" s="20">
        <v>0</v>
      </c>
      <c r="AJ366" s="23">
        <f t="shared" si="78"/>
        <v>5519</v>
      </c>
      <c r="AK366" s="23">
        <v>72746</v>
      </c>
      <c r="AL366" s="28">
        <f>AK366/detalle!$D$2</f>
        <v>6637.0944660558507</v>
      </c>
    </row>
    <row r="367" spans="1:38">
      <c r="A367" s="12">
        <v>366</v>
      </c>
      <c r="B367" s="19">
        <v>44256</v>
      </c>
      <c r="C367" s="12">
        <v>348</v>
      </c>
      <c r="D367" s="23">
        <f t="shared" si="74"/>
        <v>203</v>
      </c>
      <c r="E367" s="12">
        <v>240201</v>
      </c>
      <c r="F367" s="12">
        <v>3118</v>
      </c>
      <c r="G367" s="12">
        <v>192651</v>
      </c>
      <c r="H367" s="23">
        <f t="shared" si="70"/>
        <v>44432</v>
      </c>
      <c r="I367" s="23">
        <f t="shared" si="81"/>
        <v>1101</v>
      </c>
      <c r="J367" s="12">
        <v>1211817</v>
      </c>
      <c r="K367" s="23">
        <f t="shared" si="69"/>
        <v>971616</v>
      </c>
      <c r="L367" s="9">
        <f t="shared" si="75"/>
        <v>573</v>
      </c>
      <c r="M367" s="14">
        <f t="shared" si="71"/>
        <v>1.2980795250644252E-2</v>
      </c>
      <c r="N367" s="14">
        <f t="shared" si="80"/>
        <v>0.18437783832879201</v>
      </c>
      <c r="O367" s="12"/>
      <c r="P367" s="12"/>
      <c r="Q367" s="12"/>
      <c r="R367" s="23">
        <f t="shared" si="72"/>
        <v>195769</v>
      </c>
      <c r="S367" s="25">
        <f>(((H367+R367)/(H366+R366))-1)+detalle!$D$1</f>
        <v>7.2274411810574507E-2</v>
      </c>
      <c r="T367" s="25">
        <f t="shared" si="76"/>
        <v>1.0118417653480432</v>
      </c>
      <c r="U367" s="10">
        <f t="shared" si="73"/>
        <v>0.80204079083767343</v>
      </c>
      <c r="V367" s="21">
        <f t="shared" si="79"/>
        <v>61.786722257857598</v>
      </c>
      <c r="W367" s="15">
        <f>J367/detalle!$D$2</f>
        <v>110562.00897056061</v>
      </c>
      <c r="X367" s="15">
        <f>E367/detalle!$D$2</f>
        <v>21915.11186650924</v>
      </c>
      <c r="Y367" s="22">
        <f>F367/detalle!$D$2</f>
        <v>284.47558003412064</v>
      </c>
      <c r="AA367" s="14">
        <f>E367/(detalle!$D$2*1000000)</f>
        <v>2.191511186650924E-2</v>
      </c>
      <c r="AB367" s="14">
        <f>F367/(detalle!$D$2*1000000)</f>
        <v>2.8447558003412063E-4</v>
      </c>
      <c r="AC367" s="31">
        <f>191/547</f>
        <v>0.34917733089579522</v>
      </c>
      <c r="AD367" s="31">
        <f>563/2669</f>
        <v>0.21094042712626451</v>
      </c>
      <c r="AE367" s="31">
        <f>117/407</f>
        <v>0.28746928746928746</v>
      </c>
      <c r="AF367" s="22">
        <f t="shared" si="77"/>
        <v>12</v>
      </c>
      <c r="AG367" s="12">
        <v>0</v>
      </c>
      <c r="AH367" s="12">
        <v>0</v>
      </c>
      <c r="AI367" s="20">
        <v>0</v>
      </c>
      <c r="AJ367" s="23">
        <f t="shared" si="78"/>
        <v>33258</v>
      </c>
      <c r="AK367" s="23">
        <v>106004</v>
      </c>
      <c r="AL367" s="28">
        <f>AK367/detalle!$D$2</f>
        <v>9671.4398287161403</v>
      </c>
    </row>
    <row r="368" spans="1:38">
      <c r="A368" s="12">
        <v>367</v>
      </c>
      <c r="B368" s="19">
        <v>44257</v>
      </c>
      <c r="C368" s="12">
        <v>349</v>
      </c>
      <c r="D368" s="23">
        <f t="shared" si="74"/>
        <v>572</v>
      </c>
      <c r="E368" s="12">
        <v>240773</v>
      </c>
      <c r="F368" s="12">
        <v>3130</v>
      </c>
      <c r="G368" s="12">
        <v>193433</v>
      </c>
      <c r="H368" s="23">
        <f t="shared" si="70"/>
        <v>44210</v>
      </c>
      <c r="I368" s="23">
        <f t="shared" si="81"/>
        <v>3964</v>
      </c>
      <c r="J368" s="12">
        <v>1215781</v>
      </c>
      <c r="K368" s="23">
        <f t="shared" ref="K368:K431" si="82">J368-E368</f>
        <v>975008</v>
      </c>
      <c r="L368" s="9">
        <f t="shared" si="75"/>
        <v>782</v>
      </c>
      <c r="M368" s="14">
        <f t="shared" si="71"/>
        <v>1.2999796488808961E-2</v>
      </c>
      <c r="N368" s="14">
        <f t="shared" si="80"/>
        <v>0.1442986881937437</v>
      </c>
      <c r="O368" s="12"/>
      <c r="P368" s="12"/>
      <c r="Q368" s="12"/>
      <c r="R368" s="23">
        <f t="shared" si="72"/>
        <v>196563</v>
      </c>
      <c r="S368" s="25">
        <f>(((H368+R368)/(H367+R367))-1)+detalle!$D$1</f>
        <v>7.3809910390524119E-2</v>
      </c>
      <c r="T368" s="25">
        <f t="shared" si="76"/>
        <v>1.0333387454673377</v>
      </c>
      <c r="U368" s="10">
        <f t="shared" si="73"/>
        <v>0.80338326971878071</v>
      </c>
      <c r="V368" s="21">
        <f t="shared" si="79"/>
        <v>61.79968051118211</v>
      </c>
      <c r="W368" s="15">
        <f>J368/detalle!$D$2</f>
        <v>110923.6706765437</v>
      </c>
      <c r="X368" s="15">
        <f>E368/detalle!$D$2</f>
        <v>21967.299176252513</v>
      </c>
      <c r="Y368" s="22">
        <f>F368/detalle!$D$2</f>
        <v>285.57041870006339</v>
      </c>
      <c r="AA368" s="14">
        <f>E368/(detalle!$D$2*1000000)</f>
        <v>2.1967299176252512E-2</v>
      </c>
      <c r="AB368" s="14">
        <f>F368/(detalle!$D$2*1000000)</f>
        <v>2.8557041870006341E-4</v>
      </c>
      <c r="AC368" s="31">
        <f>199/550</f>
        <v>0.36181818181818182</v>
      </c>
      <c r="AD368" s="31">
        <f>540/2670</f>
        <v>0.20224719101123595</v>
      </c>
      <c r="AE368" s="31">
        <f>111/406</f>
        <v>0.27339901477832512</v>
      </c>
      <c r="AF368" s="22">
        <f t="shared" si="77"/>
        <v>12</v>
      </c>
      <c r="AG368" s="12">
        <v>0</v>
      </c>
      <c r="AH368" s="12">
        <v>0</v>
      </c>
      <c r="AI368" s="20">
        <v>0</v>
      </c>
      <c r="AJ368" s="23">
        <f t="shared" si="78"/>
        <v>58052</v>
      </c>
      <c r="AK368" s="23">
        <v>164056</v>
      </c>
      <c r="AL368" s="28">
        <f>AK368/detalle!$D$2</f>
        <v>14967.904348325112</v>
      </c>
    </row>
    <row r="369" spans="1:38">
      <c r="A369" s="12">
        <v>368</v>
      </c>
      <c r="B369" s="19">
        <v>44258</v>
      </c>
      <c r="C369" s="12">
        <v>350</v>
      </c>
      <c r="D369" s="23">
        <f t="shared" si="74"/>
        <v>619</v>
      </c>
      <c r="E369" s="12">
        <v>241392</v>
      </c>
      <c r="F369" s="12">
        <v>3139</v>
      </c>
      <c r="G369" s="12">
        <v>194653</v>
      </c>
      <c r="H369" s="23">
        <f t="shared" si="70"/>
        <v>43600</v>
      </c>
      <c r="I369" s="23">
        <f t="shared" si="81"/>
        <v>3806</v>
      </c>
      <c r="J369" s="12">
        <v>1219587</v>
      </c>
      <c r="K369" s="23">
        <f t="shared" si="82"/>
        <v>978195</v>
      </c>
      <c r="L369" s="9">
        <f t="shared" si="75"/>
        <v>1220</v>
      </c>
      <c r="M369" s="14">
        <f t="shared" si="71"/>
        <v>1.3003744945979983E-2</v>
      </c>
      <c r="N369" s="14">
        <f t="shared" si="80"/>
        <v>0.16263794009458749</v>
      </c>
      <c r="O369" s="12"/>
      <c r="P369" s="12"/>
      <c r="Q369" s="12"/>
      <c r="R369" s="23">
        <f t="shared" si="72"/>
        <v>197792</v>
      </c>
      <c r="S369" s="25">
        <f>(((H369+R369)/(H368+R368))-1)+detalle!$D$1</f>
        <v>7.3999457699041954E-2</v>
      </c>
      <c r="T369" s="25">
        <f t="shared" si="76"/>
        <v>1.0359924077865874</v>
      </c>
      <c r="U369" s="10">
        <f t="shared" si="73"/>
        <v>0.80637717902830253</v>
      </c>
      <c r="V369" s="21">
        <f t="shared" si="79"/>
        <v>62.011150047785918</v>
      </c>
      <c r="W369" s="15">
        <f>J369/detalle!$D$2</f>
        <v>111270.91700675854</v>
      </c>
      <c r="X369" s="15">
        <f>E369/detalle!$D$2</f>
        <v>22023.774604104059</v>
      </c>
      <c r="Y369" s="22">
        <f>F369/detalle!$D$2</f>
        <v>286.39154769952046</v>
      </c>
      <c r="AA369" s="14">
        <f>E369/(detalle!$D$2*1000000)</f>
        <v>2.2023774604104058E-2</v>
      </c>
      <c r="AB369" s="14">
        <f>F369/(detalle!$D$2*1000000)</f>
        <v>2.8639154769952044E-4</v>
      </c>
      <c r="AC369" s="31">
        <f>192/541</f>
        <v>0.35489833641404805</v>
      </c>
      <c r="AD369" s="31">
        <f>545/2670</f>
        <v>0.20411985018726592</v>
      </c>
      <c r="AE369" s="31">
        <f>99/406</f>
        <v>0.24384236453201971</v>
      </c>
      <c r="AF369" s="22">
        <f t="shared" si="77"/>
        <v>9</v>
      </c>
      <c r="AG369" s="12">
        <v>0</v>
      </c>
      <c r="AH369" s="12">
        <v>0</v>
      </c>
      <c r="AI369" s="20">
        <v>0</v>
      </c>
      <c r="AJ369" s="23">
        <f t="shared" si="78"/>
        <v>63663</v>
      </c>
      <c r="AK369" s="23">
        <v>227719</v>
      </c>
      <c r="AL369" s="28">
        <f>AK369/detalle!$D$2</f>
        <v>20776.297180817808</v>
      </c>
    </row>
    <row r="370" spans="1:38">
      <c r="A370" s="12">
        <v>369</v>
      </c>
      <c r="B370" s="19">
        <v>44259</v>
      </c>
      <c r="C370" s="12">
        <v>351</v>
      </c>
      <c r="D370" s="23">
        <f t="shared" si="74"/>
        <v>695</v>
      </c>
      <c r="E370" s="12">
        <v>242087</v>
      </c>
      <c r="F370" s="12">
        <v>3150</v>
      </c>
      <c r="G370" s="12">
        <v>195594</v>
      </c>
      <c r="H370" s="23">
        <f t="shared" si="70"/>
        <v>43343</v>
      </c>
      <c r="I370" s="23">
        <f t="shared" si="81"/>
        <v>4221</v>
      </c>
      <c r="J370" s="12">
        <v>1223808</v>
      </c>
      <c r="K370" s="23">
        <f t="shared" si="82"/>
        <v>981721</v>
      </c>
      <c r="L370" s="9">
        <f t="shared" si="75"/>
        <v>941</v>
      </c>
      <c r="M370" s="14">
        <f t="shared" si="71"/>
        <v>1.3011851111377315E-2</v>
      </c>
      <c r="N370" s="14">
        <f t="shared" si="80"/>
        <v>0.16465292584695571</v>
      </c>
      <c r="O370" s="12"/>
      <c r="P370" s="12"/>
      <c r="Q370" s="12"/>
      <c r="R370" s="23">
        <f t="shared" si="72"/>
        <v>198744</v>
      </c>
      <c r="S370" s="25">
        <f>(((H370+R370)/(H369+R369))-1)+detalle!$D$1</f>
        <v>7.430770578265114E-2</v>
      </c>
      <c r="T370" s="25">
        <f t="shared" si="76"/>
        <v>1.040307880957116</v>
      </c>
      <c r="U370" s="10">
        <f t="shared" si="73"/>
        <v>0.80794920834245543</v>
      </c>
      <c r="V370" s="21">
        <f t="shared" si="79"/>
        <v>62.093333333333334</v>
      </c>
      <c r="W370" s="15">
        <f>J370/detalle!$D$2</f>
        <v>111656.02650750389</v>
      </c>
      <c r="X370" s="15">
        <f>E370/detalle!$D$2</f>
        <v>22087.184010173241</v>
      </c>
      <c r="Y370" s="22">
        <f>F370/detalle!$D$2</f>
        <v>287.39514980996796</v>
      </c>
      <c r="AA370" s="14">
        <f>E370/(detalle!$D$2*1000000)</f>
        <v>2.208718401017324E-2</v>
      </c>
      <c r="AB370" s="14">
        <f>F370/(detalle!$D$2*1000000)</f>
        <v>2.8739514980996795E-4</v>
      </c>
      <c r="AC370" s="31">
        <f>186/541</f>
        <v>0.34380776340110908</v>
      </c>
      <c r="AD370" s="31">
        <f>563/2665</f>
        <v>0.21125703564727955</v>
      </c>
      <c r="AE370" s="31">
        <f>98/413</f>
        <v>0.23728813559322035</v>
      </c>
      <c r="AF370" s="22">
        <f t="shared" si="77"/>
        <v>11</v>
      </c>
      <c r="AG370" s="12">
        <v>0</v>
      </c>
      <c r="AH370" s="12">
        <v>0</v>
      </c>
      <c r="AI370" s="20">
        <v>0</v>
      </c>
      <c r="AJ370" s="23">
        <f t="shared" si="78"/>
        <v>75771</v>
      </c>
      <c r="AK370" s="23">
        <v>303490</v>
      </c>
      <c r="AL370" s="28">
        <f>AK370/detalle!$D$2</f>
        <v>27689.382227246722</v>
      </c>
    </row>
    <row r="371" spans="1:38">
      <c r="A371" s="12">
        <v>370</v>
      </c>
      <c r="B371" s="19">
        <v>44260</v>
      </c>
      <c r="C371" s="12">
        <v>352</v>
      </c>
      <c r="D371" s="23">
        <f t="shared" si="74"/>
        <v>573</v>
      </c>
      <c r="E371" s="12">
        <v>242660</v>
      </c>
      <c r="F371" s="12">
        <v>3162</v>
      </c>
      <c r="G371" s="12">
        <v>196484</v>
      </c>
      <c r="H371" s="23">
        <f t="shared" si="70"/>
        <v>43014</v>
      </c>
      <c r="I371" s="23">
        <f t="shared" si="81"/>
        <v>3407</v>
      </c>
      <c r="J371" s="12">
        <v>1227215</v>
      </c>
      <c r="K371" s="23">
        <f t="shared" si="82"/>
        <v>984555</v>
      </c>
      <c r="L371" s="9">
        <f t="shared" si="75"/>
        <v>890</v>
      </c>
      <c r="M371" s="14">
        <f t="shared" si="71"/>
        <v>1.3030577763125361E-2</v>
      </c>
      <c r="N371" s="14">
        <f t="shared" si="80"/>
        <v>0.16818315233343117</v>
      </c>
      <c r="O371" s="12"/>
      <c r="P371" s="12"/>
      <c r="Q371" s="12"/>
      <c r="R371" s="23">
        <f t="shared" si="72"/>
        <v>199646</v>
      </c>
      <c r="S371" s="25">
        <f>(((H371+R371)/(H370+R370))-1)+detalle!$D$1</f>
        <v>7.379548910692682E-2</v>
      </c>
      <c r="T371" s="25">
        <f t="shared" si="76"/>
        <v>1.0331368474969755</v>
      </c>
      <c r="U371" s="10">
        <f t="shared" si="73"/>
        <v>0.80970905794115222</v>
      </c>
      <c r="V371" s="21">
        <f t="shared" si="79"/>
        <v>62.139152435167617</v>
      </c>
      <c r="W371" s="15">
        <f>J371/detalle!$D$2</f>
        <v>111966.86945207613</v>
      </c>
      <c r="X371" s="15">
        <f>E371/detalle!$D$2</f>
        <v>22139.462556472008</v>
      </c>
      <c r="Y371" s="22">
        <f>F371/detalle!$D$2</f>
        <v>288.48998847591071</v>
      </c>
      <c r="AA371" s="14">
        <f>E371/(detalle!$D$2*1000000)</f>
        <v>2.2139462556472006E-2</v>
      </c>
      <c r="AB371" s="14">
        <f>F371/(detalle!$D$2*1000000)</f>
        <v>2.8848998847591067E-4</v>
      </c>
      <c r="AC371" s="31">
        <f>182/542</f>
        <v>0.33579335793357934</v>
      </c>
      <c r="AD371" s="31">
        <f>558/2663</f>
        <v>0.20953811490799851</v>
      </c>
      <c r="AE371" s="31">
        <f>95/413</f>
        <v>0.23002421307506055</v>
      </c>
      <c r="AF371" s="22">
        <f t="shared" si="77"/>
        <v>12</v>
      </c>
      <c r="AG371" s="12">
        <v>0</v>
      </c>
      <c r="AH371" s="12">
        <v>0</v>
      </c>
      <c r="AI371" s="20">
        <v>0</v>
      </c>
      <c r="AJ371" s="23">
        <f t="shared" si="78"/>
        <v>71775</v>
      </c>
      <c r="AK371" s="23">
        <v>375265</v>
      </c>
      <c r="AL371" s="28">
        <f>AK371/detalle!$D$2</f>
        <v>34237.885997916703</v>
      </c>
    </row>
    <row r="372" spans="1:38">
      <c r="A372" s="12">
        <v>371</v>
      </c>
      <c r="B372" s="19">
        <v>44261</v>
      </c>
      <c r="C372" s="12">
        <v>353</v>
      </c>
      <c r="D372" s="23">
        <f t="shared" si="74"/>
        <v>587</v>
      </c>
      <c r="E372" s="12">
        <v>243247</v>
      </c>
      <c r="F372" s="12">
        <v>3172</v>
      </c>
      <c r="G372" s="12">
        <v>197622</v>
      </c>
      <c r="H372" s="23">
        <f t="shared" si="70"/>
        <v>42453</v>
      </c>
      <c r="I372" s="23">
        <f t="shared" si="81"/>
        <v>3657</v>
      </c>
      <c r="J372" s="12">
        <v>1230872</v>
      </c>
      <c r="K372" s="23">
        <f t="shared" si="82"/>
        <v>987625</v>
      </c>
      <c r="L372" s="9">
        <f t="shared" si="75"/>
        <v>1138</v>
      </c>
      <c r="M372" s="14">
        <f t="shared" si="71"/>
        <v>1.3040243045135192E-2</v>
      </c>
      <c r="N372" s="14">
        <f t="shared" si="80"/>
        <v>0.16051408258135083</v>
      </c>
      <c r="O372" s="12"/>
      <c r="P372" s="12"/>
      <c r="Q372" s="12"/>
      <c r="R372" s="23">
        <f t="shared" si="72"/>
        <v>200794</v>
      </c>
      <c r="S372" s="25">
        <f>(((H372+R372)/(H371+R371))-1)+detalle!$D$1</f>
        <v>7.3847593929189631E-2</v>
      </c>
      <c r="T372" s="25">
        <f t="shared" si="76"/>
        <v>1.0338663150086549</v>
      </c>
      <c r="U372" s="10">
        <f t="shared" si="73"/>
        <v>0.8124334524166793</v>
      </c>
      <c r="V372" s="21">
        <f t="shared" si="79"/>
        <v>62.302017654476671</v>
      </c>
      <c r="W372" s="15">
        <f>J372/detalle!$D$2</f>
        <v>112300.52153552217</v>
      </c>
      <c r="X372" s="15">
        <f>E372/detalle!$D$2</f>
        <v>22193.018414547707</v>
      </c>
      <c r="Y372" s="22">
        <f>F372/detalle!$D$2</f>
        <v>289.40235403086297</v>
      </c>
      <c r="AA372" s="14">
        <f>E372/(detalle!$D$2*1000000)</f>
        <v>2.2193018414547704E-2</v>
      </c>
      <c r="AB372" s="14">
        <f>F372/(detalle!$D$2*1000000)</f>
        <v>2.8940235403086297E-4</v>
      </c>
      <c r="AC372" s="31">
        <f>191/542</f>
        <v>0.35239852398523985</v>
      </c>
      <c r="AD372" s="31">
        <f>544/2663</f>
        <v>0.20428088621855051</v>
      </c>
      <c r="AE372" s="31">
        <f>94/413</f>
        <v>0.22760290556900725</v>
      </c>
      <c r="AF372" s="22">
        <f t="shared" si="77"/>
        <v>10</v>
      </c>
      <c r="AG372" s="12">
        <v>0</v>
      </c>
      <c r="AH372" s="12">
        <v>0</v>
      </c>
      <c r="AI372" s="20">
        <v>0</v>
      </c>
      <c r="AJ372" s="23">
        <f t="shared" si="78"/>
        <v>12388</v>
      </c>
      <c r="AK372" s="23">
        <v>387653</v>
      </c>
      <c r="AL372" s="28">
        <f>AK372/detalle!$D$2</f>
        <v>35368.124447391587</v>
      </c>
    </row>
    <row r="373" spans="1:38">
      <c r="A373" s="12">
        <v>372</v>
      </c>
      <c r="B373" s="19">
        <v>44262</v>
      </c>
      <c r="C373" s="12">
        <v>354</v>
      </c>
      <c r="D373" s="23">
        <f t="shared" si="74"/>
        <v>279</v>
      </c>
      <c r="E373" s="12">
        <v>243526</v>
      </c>
      <c r="F373" s="12">
        <v>3179</v>
      </c>
      <c r="G373" s="12">
        <v>198386</v>
      </c>
      <c r="H373" s="23">
        <f t="shared" si="70"/>
        <v>41961</v>
      </c>
      <c r="I373" s="23">
        <f t="shared" si="81"/>
        <v>1827</v>
      </c>
      <c r="J373" s="12">
        <v>1232699</v>
      </c>
      <c r="K373" s="23">
        <f t="shared" si="82"/>
        <v>989173</v>
      </c>
      <c r="L373" s="9">
        <f t="shared" si="75"/>
        <v>764</v>
      </c>
      <c r="M373" s="14">
        <f t="shared" si="71"/>
        <v>1.305404761709222E-2</v>
      </c>
      <c r="N373" s="14">
        <f t="shared" si="80"/>
        <v>0.15270935960591134</v>
      </c>
      <c r="O373" s="12"/>
      <c r="P373" s="12"/>
      <c r="Q373" s="12"/>
      <c r="R373" s="23">
        <f t="shared" si="72"/>
        <v>201565</v>
      </c>
      <c r="S373" s="25">
        <f>(((H373+R373)/(H372+R372))-1)+detalle!$D$1</f>
        <v>7.2575553714067348E-2</v>
      </c>
      <c r="T373" s="25">
        <f t="shared" si="76"/>
        <v>1.0160577519969429</v>
      </c>
      <c r="U373" s="10">
        <f t="shared" si="73"/>
        <v>0.81463991524518942</v>
      </c>
      <c r="V373" s="21">
        <f t="shared" si="79"/>
        <v>62.405158854985842</v>
      </c>
      <c r="W373" s="15">
        <f>J373/detalle!$D$2</f>
        <v>112467.21072241197</v>
      </c>
      <c r="X373" s="15">
        <f>E373/detalle!$D$2</f>
        <v>22218.473413530875</v>
      </c>
      <c r="Y373" s="22">
        <f>F373/detalle!$D$2</f>
        <v>290.04100991932955</v>
      </c>
      <c r="AA373" s="14">
        <f>E373/(detalle!$D$2*1000000)</f>
        <v>2.2218473413530875E-2</v>
      </c>
      <c r="AB373" s="14">
        <f>F373/(detalle!$D$2*1000000)</f>
        <v>2.9004100991932957E-4</v>
      </c>
      <c r="AC373" s="31">
        <f>187/542</f>
        <v>0.34501845018450183</v>
      </c>
      <c r="AD373" s="31">
        <f>530/2764</f>
        <v>0.19175108538350216</v>
      </c>
      <c r="AE373" s="31">
        <f>100/413</f>
        <v>0.24213075060532688</v>
      </c>
      <c r="AF373" s="22">
        <f t="shared" si="77"/>
        <v>7</v>
      </c>
      <c r="AG373" s="12">
        <v>0</v>
      </c>
      <c r="AH373" s="12">
        <v>0</v>
      </c>
      <c r="AI373" s="20">
        <v>0</v>
      </c>
      <c r="AJ373" s="23">
        <f t="shared" si="78"/>
        <v>12388</v>
      </c>
      <c r="AK373" s="23">
        <v>400041</v>
      </c>
      <c r="AL373" s="28">
        <f>AK373/detalle!$D$2</f>
        <v>36498.362896866471</v>
      </c>
    </row>
    <row r="374" spans="1:38">
      <c r="A374" s="12">
        <v>373</v>
      </c>
      <c r="B374" s="19">
        <v>44263</v>
      </c>
      <c r="C374" s="12">
        <v>355</v>
      </c>
      <c r="D374" s="23">
        <f t="shared" si="74"/>
        <v>252</v>
      </c>
      <c r="E374" s="12">
        <v>243778</v>
      </c>
      <c r="F374" s="12">
        <v>3191</v>
      </c>
      <c r="G374" s="12">
        <v>198947</v>
      </c>
      <c r="H374" s="23">
        <f t="shared" si="70"/>
        <v>41640</v>
      </c>
      <c r="I374" s="23">
        <f t="shared" si="81"/>
        <v>1287</v>
      </c>
      <c r="J374" s="12">
        <v>1233986</v>
      </c>
      <c r="K374" s="23">
        <f t="shared" si="82"/>
        <v>990208</v>
      </c>
      <c r="L374" s="9">
        <f t="shared" si="75"/>
        <v>561</v>
      </c>
      <c r="M374" s="14">
        <f t="shared" si="71"/>
        <v>1.3089778404942201E-2</v>
      </c>
      <c r="N374" s="14">
        <f t="shared" si="80"/>
        <v>0.19580419580419581</v>
      </c>
      <c r="O374" s="12"/>
      <c r="P374" s="12"/>
      <c r="Q374" s="12"/>
      <c r="R374" s="23">
        <f t="shared" si="72"/>
        <v>202138</v>
      </c>
      <c r="S374" s="25">
        <f>(((H374+R374)/(H373+R373))-1)+detalle!$D$1</f>
        <v>7.2463368534424505E-2</v>
      </c>
      <c r="T374" s="25">
        <f t="shared" si="76"/>
        <v>1.0144871594819431</v>
      </c>
      <c r="U374" s="10">
        <f t="shared" si="73"/>
        <v>0.81609907374742596</v>
      </c>
      <c r="V374" s="21">
        <f t="shared" si="79"/>
        <v>62.346286430586026</v>
      </c>
      <c r="W374" s="15">
        <f>J374/detalle!$D$2</f>
        <v>112584.63216933432</v>
      </c>
      <c r="X374" s="15">
        <f>E374/detalle!$D$2</f>
        <v>22241.46502551567</v>
      </c>
      <c r="Y374" s="22">
        <f>F374/detalle!$D$2</f>
        <v>291.1358485852723</v>
      </c>
      <c r="AA374" s="14">
        <f>E374/(detalle!$D$2*1000000)</f>
        <v>2.2241465025515671E-2</v>
      </c>
      <c r="AB374" s="14">
        <f>F374/(detalle!$D$2*1000000)</f>
        <v>2.9113584858527229E-4</v>
      </c>
      <c r="AC374" s="31">
        <f>185/549</f>
        <v>0.33697632058287796</v>
      </c>
      <c r="AD374" s="31">
        <f>527/2643</f>
        <v>0.19939462731744231</v>
      </c>
      <c r="AE374" s="31">
        <f>110/412</f>
        <v>0.26699029126213591</v>
      </c>
      <c r="AF374" s="22">
        <f t="shared" si="77"/>
        <v>12</v>
      </c>
      <c r="AG374" s="12">
        <v>0</v>
      </c>
      <c r="AH374" s="12">
        <v>0</v>
      </c>
      <c r="AI374" s="20">
        <v>0</v>
      </c>
      <c r="AJ374" s="23">
        <f t="shared" si="78"/>
        <v>80196</v>
      </c>
      <c r="AK374" s="23">
        <v>480237</v>
      </c>
      <c r="AL374" s="28">
        <f>AK374/detalle!$D$2</f>
        <v>43815.169701361774</v>
      </c>
    </row>
    <row r="375" spans="1:38">
      <c r="A375" s="12">
        <v>374</v>
      </c>
      <c r="B375" s="19">
        <v>44264</v>
      </c>
      <c r="C375" s="12">
        <v>356</v>
      </c>
      <c r="D375" s="23">
        <f t="shared" si="74"/>
        <v>390</v>
      </c>
      <c r="E375" s="12">
        <v>244168</v>
      </c>
      <c r="F375" s="12">
        <v>3198</v>
      </c>
      <c r="G375" s="12">
        <v>199646</v>
      </c>
      <c r="H375" s="23">
        <f t="shared" si="70"/>
        <v>41324</v>
      </c>
      <c r="I375" s="23">
        <f t="shared" si="81"/>
        <v>2177</v>
      </c>
      <c r="J375" s="12">
        <v>1236163</v>
      </c>
      <c r="K375" s="23">
        <f t="shared" si="82"/>
        <v>991995</v>
      </c>
      <c r="L375" s="9">
        <f t="shared" si="75"/>
        <v>699</v>
      </c>
      <c r="M375" s="14">
        <f t="shared" si="71"/>
        <v>1.3097539399102258E-2</v>
      </c>
      <c r="N375" s="14">
        <f t="shared" si="80"/>
        <v>0.17914561322921452</v>
      </c>
      <c r="O375" s="12"/>
      <c r="P375" s="12"/>
      <c r="Q375" s="12"/>
      <c r="R375" s="23">
        <f t="shared" si="72"/>
        <v>202844</v>
      </c>
      <c r="S375" s="25">
        <f>(((H375+R375)/(H374+R374))-1)+detalle!$D$1</f>
        <v>7.3028387654810151E-2</v>
      </c>
      <c r="T375" s="25">
        <f t="shared" si="76"/>
        <v>1.0223974271673422</v>
      </c>
      <c r="U375" s="10">
        <f t="shared" si="73"/>
        <v>0.81765833360636941</v>
      </c>
      <c r="V375" s="21">
        <f t="shared" si="79"/>
        <v>62.428392745465914</v>
      </c>
      <c r="W375" s="15">
        <f>J375/detalle!$D$2</f>
        <v>112783.25415064744</v>
      </c>
      <c r="X375" s="15">
        <f>E375/detalle!$D$2</f>
        <v>22277.047282158812</v>
      </c>
      <c r="Y375" s="22">
        <f>F375/detalle!$D$2</f>
        <v>291.77450447373889</v>
      </c>
      <c r="AA375" s="14">
        <f>E375/(detalle!$D$2*1000000)</f>
        <v>2.2277047282158811E-2</v>
      </c>
      <c r="AB375" s="14">
        <f>F375/(detalle!$D$2*1000000)</f>
        <v>2.9177450447373889E-4</v>
      </c>
      <c r="AC375" s="31">
        <f>176/549</f>
        <v>0.32058287795992713</v>
      </c>
      <c r="AD375" s="31">
        <f>528/2648</f>
        <v>0.19939577039274925</v>
      </c>
      <c r="AE375" s="31">
        <f>106/412</f>
        <v>0.25728155339805825</v>
      </c>
      <c r="AF375" s="22">
        <f t="shared" si="77"/>
        <v>7</v>
      </c>
      <c r="AG375" s="12">
        <v>0</v>
      </c>
      <c r="AH375" s="12">
        <v>0</v>
      </c>
      <c r="AI375" s="20">
        <v>0</v>
      </c>
      <c r="AJ375" s="23">
        <f t="shared" si="78"/>
        <v>66854</v>
      </c>
      <c r="AK375" s="23">
        <v>547091</v>
      </c>
      <c r="AL375" s="28">
        <f>AK375/detalle!$D$2</f>
        <v>49914.698382439739</v>
      </c>
    </row>
    <row r="376" spans="1:38">
      <c r="A376" s="12">
        <v>375</v>
      </c>
      <c r="B376" s="19">
        <v>44265</v>
      </c>
      <c r="C376" s="12">
        <v>357</v>
      </c>
      <c r="D376" s="23">
        <f t="shared" si="74"/>
        <v>755</v>
      </c>
      <c r="E376" s="12">
        <v>244923</v>
      </c>
      <c r="F376" s="12">
        <v>3204</v>
      </c>
      <c r="G376" s="12">
        <v>200284</v>
      </c>
      <c r="H376" s="23">
        <f t="shared" si="70"/>
        <v>41435</v>
      </c>
      <c r="I376" s="23">
        <f t="shared" si="81"/>
        <v>5194</v>
      </c>
      <c r="J376" s="12">
        <v>1241357</v>
      </c>
      <c r="K376" s="23">
        <f t="shared" si="82"/>
        <v>996434</v>
      </c>
      <c r="L376" s="9">
        <f t="shared" si="75"/>
        <v>638</v>
      </c>
      <c r="M376" s="14">
        <f t="shared" si="71"/>
        <v>1.3081662400019598E-2</v>
      </c>
      <c r="N376" s="14">
        <f t="shared" si="80"/>
        <v>0.14536003080477475</v>
      </c>
      <c r="O376" s="12"/>
      <c r="P376" s="12"/>
      <c r="Q376" s="12"/>
      <c r="R376" s="23">
        <f t="shared" si="72"/>
        <v>203488</v>
      </c>
      <c r="S376" s="25">
        <f>(((H376+R376)/(H375+R375))-1)+detalle!$D$1</f>
        <v>7.4520704713850333E-2</v>
      </c>
      <c r="T376" s="25">
        <f t="shared" si="76"/>
        <v>1.0432898659939047</v>
      </c>
      <c r="U376" s="10">
        <f t="shared" si="73"/>
        <v>0.81774271914030128</v>
      </c>
      <c r="V376" s="21">
        <f t="shared" si="79"/>
        <v>62.510611735330833</v>
      </c>
      <c r="W376" s="15">
        <f>J376/detalle!$D$2</f>
        <v>113257.13681988965</v>
      </c>
      <c r="X376" s="15">
        <f>E376/detalle!$D$2</f>
        <v>22345.93088155771</v>
      </c>
      <c r="Y376" s="22">
        <f>F376/detalle!$D$2</f>
        <v>292.32192380671023</v>
      </c>
      <c r="AA376" s="14">
        <f>E376/(detalle!$D$2*1000000)</f>
        <v>2.2345930881557709E-2</v>
      </c>
      <c r="AB376" s="14">
        <f>F376/(detalle!$D$2*1000000)</f>
        <v>2.9232192380671023E-4</v>
      </c>
      <c r="AC376" s="31">
        <f>175/541</f>
        <v>0.32347504621072087</v>
      </c>
      <c r="AD376" s="31">
        <f>518/2642</f>
        <v>0.19606358819076458</v>
      </c>
      <c r="AE376" s="31">
        <f>106/411</f>
        <v>0.25790754257907544</v>
      </c>
      <c r="AF376" s="22">
        <f t="shared" si="77"/>
        <v>6</v>
      </c>
      <c r="AG376" s="12">
        <v>0</v>
      </c>
      <c r="AH376" s="12">
        <v>0</v>
      </c>
      <c r="AI376" s="20">
        <v>0</v>
      </c>
      <c r="AJ376" s="23">
        <f t="shared" si="78"/>
        <v>58915</v>
      </c>
      <c r="AK376" s="23">
        <v>606006</v>
      </c>
      <c r="AL376" s="28">
        <f>AK376/detalle!$D$2</f>
        <v>55289.900049441094</v>
      </c>
    </row>
    <row r="377" spans="1:38">
      <c r="A377" s="12">
        <v>376</v>
      </c>
      <c r="B377" s="19">
        <v>44266</v>
      </c>
      <c r="C377" s="12">
        <v>358</v>
      </c>
      <c r="D377" s="23">
        <f t="shared" si="74"/>
        <v>529</v>
      </c>
      <c r="E377" s="12">
        <v>245452</v>
      </c>
      <c r="F377" s="12">
        <v>3213</v>
      </c>
      <c r="G377" s="12">
        <v>200922</v>
      </c>
      <c r="H377" s="23">
        <f t="shared" si="70"/>
        <v>41317</v>
      </c>
      <c r="I377" s="23">
        <f t="shared" si="81"/>
        <v>3585</v>
      </c>
      <c r="J377" s="12">
        <v>1244942</v>
      </c>
      <c r="K377" s="23">
        <f t="shared" si="82"/>
        <v>999490</v>
      </c>
      <c r="L377" s="9">
        <f t="shared" si="75"/>
        <v>638</v>
      </c>
      <c r="M377" s="14">
        <f t="shared" si="71"/>
        <v>1.3090135749555922E-2</v>
      </c>
      <c r="N377" s="14">
        <f t="shared" si="80"/>
        <v>0.14755927475592748</v>
      </c>
      <c r="O377" s="12"/>
      <c r="P377" s="12"/>
      <c r="Q377" s="12"/>
      <c r="R377" s="23">
        <f t="shared" si="72"/>
        <v>204135</v>
      </c>
      <c r="S377" s="25">
        <f>(((H377+R377)/(H376+R376))-1)+detalle!$D$1</f>
        <v>7.3588433915965396E-2</v>
      </c>
      <c r="T377" s="25">
        <f t="shared" si="76"/>
        <v>1.0302380748235156</v>
      </c>
      <c r="U377" s="10">
        <f t="shared" si="73"/>
        <v>0.81857960008474162</v>
      </c>
      <c r="V377" s="21">
        <f t="shared" si="79"/>
        <v>62.534080298786179</v>
      </c>
      <c r="W377" s="15">
        <f>J377/detalle!$D$2</f>
        <v>113584.21987134004</v>
      </c>
      <c r="X377" s="15">
        <f>E377/detalle!$D$2</f>
        <v>22394.195019414685</v>
      </c>
      <c r="Y377" s="22">
        <f>F377/detalle!$D$2</f>
        <v>293.1430528061673</v>
      </c>
      <c r="AA377" s="14">
        <f>E377/(detalle!$D$2*1000000)</f>
        <v>2.2394195019414684E-2</v>
      </c>
      <c r="AB377" s="14">
        <f>F377/(detalle!$D$2*1000000)</f>
        <v>2.9314305280616731E-4</v>
      </c>
      <c r="AC377" s="31">
        <f>183/541</f>
        <v>0.33826247689463956</v>
      </c>
      <c r="AD377" s="31">
        <f>490/2643</f>
        <v>0.1853953840332955</v>
      </c>
      <c r="AE377" s="31">
        <f>109/411</f>
        <v>0.26520681265206814</v>
      </c>
      <c r="AF377" s="22">
        <f t="shared" si="77"/>
        <v>9</v>
      </c>
      <c r="AG377" s="12">
        <v>0</v>
      </c>
      <c r="AH377" s="12">
        <v>0</v>
      </c>
      <c r="AI377" s="20">
        <v>0</v>
      </c>
      <c r="AJ377" s="23">
        <f t="shared" si="78"/>
        <v>0</v>
      </c>
      <c r="AK377" s="23">
        <v>606006</v>
      </c>
      <c r="AL377" s="28">
        <f>AK377/detalle!$D$2</f>
        <v>55289.900049441094</v>
      </c>
    </row>
    <row r="378" spans="1:38">
      <c r="A378" s="12">
        <v>377</v>
      </c>
      <c r="B378" s="19">
        <v>44267</v>
      </c>
      <c r="C378" s="12">
        <v>359</v>
      </c>
      <c r="D378" s="23">
        <f t="shared" si="74"/>
        <v>164</v>
      </c>
      <c r="E378" s="12">
        <v>245616</v>
      </c>
      <c r="F378" s="12">
        <v>3213</v>
      </c>
      <c r="G378" s="12">
        <v>201379</v>
      </c>
      <c r="H378" s="23">
        <f t="shared" si="70"/>
        <v>41024</v>
      </c>
      <c r="I378" s="23">
        <f t="shared" si="81"/>
        <v>3699</v>
      </c>
      <c r="J378" s="12">
        <v>1248641</v>
      </c>
      <c r="K378" s="23">
        <f t="shared" si="82"/>
        <v>1003025</v>
      </c>
      <c r="L378" s="9">
        <f t="shared" si="75"/>
        <v>457</v>
      </c>
      <c r="M378" s="14">
        <f t="shared" si="71"/>
        <v>1.308139534883721E-2</v>
      </c>
      <c r="N378" s="14">
        <f t="shared" si="80"/>
        <v>4.4336307110029741E-2</v>
      </c>
      <c r="O378" s="12"/>
      <c r="P378" s="12"/>
      <c r="Q378" s="12"/>
      <c r="R378" s="23">
        <f t="shared" si="72"/>
        <v>204592</v>
      </c>
      <c r="S378" s="25">
        <f>(((H378+R378)/(H377+R377))-1)+detalle!$D$1</f>
        <v>7.2096726505735093E-2</v>
      </c>
      <c r="T378" s="25">
        <f t="shared" si="76"/>
        <v>1.0093541710802914</v>
      </c>
      <c r="U378" s="10">
        <f t="shared" si="73"/>
        <v>0.81989365513647317</v>
      </c>
      <c r="V378" s="21">
        <f t="shared" si="79"/>
        <v>62.676314970432621</v>
      </c>
      <c r="W378" s="15">
        <f>J378/detalle!$D$2</f>
        <v>113921.70389011689</v>
      </c>
      <c r="X378" s="15">
        <f>E378/detalle!$D$2</f>
        <v>22409.1578145159</v>
      </c>
      <c r="Y378" s="22">
        <f>F378/detalle!$D$2</f>
        <v>293.1430528061673</v>
      </c>
      <c r="AA378" s="14">
        <f>E378/(detalle!$D$2*1000000)</f>
        <v>2.2409157814515902E-2</v>
      </c>
      <c r="AB378" s="14">
        <f>F378/(detalle!$D$2*1000000)</f>
        <v>2.9314305280616731E-4</v>
      </c>
      <c r="AC378" s="31">
        <f>178/541</f>
        <v>0.32902033271719039</v>
      </c>
      <c r="AD378" s="31">
        <f>512/2643</f>
        <v>0.19371925841846388</v>
      </c>
      <c r="AE378" s="31">
        <f>105/408</f>
        <v>0.25735294117647056</v>
      </c>
      <c r="AF378" s="22">
        <f t="shared" si="77"/>
        <v>0</v>
      </c>
      <c r="AG378" s="12">
        <v>0</v>
      </c>
      <c r="AH378" s="12">
        <v>0</v>
      </c>
      <c r="AI378" s="20">
        <v>0</v>
      </c>
      <c r="AJ378" s="23">
        <f t="shared" si="78"/>
        <v>0</v>
      </c>
      <c r="AK378" s="23">
        <v>606006</v>
      </c>
      <c r="AL378" s="28">
        <f>AK378/detalle!$D$2</f>
        <v>55289.900049441094</v>
      </c>
    </row>
    <row r="379" spans="1:38">
      <c r="A379" s="12">
        <v>378</v>
      </c>
      <c r="B379" s="19">
        <v>44268</v>
      </c>
      <c r="C379" s="12">
        <v>360</v>
      </c>
      <c r="D379" s="23">
        <f t="shared" si="74"/>
        <v>429</v>
      </c>
      <c r="E379" s="12">
        <v>246045</v>
      </c>
      <c r="F379" s="12">
        <v>3222</v>
      </c>
      <c r="G379" s="12">
        <v>202062</v>
      </c>
      <c r="H379" s="23">
        <f t="shared" si="70"/>
        <v>40761</v>
      </c>
      <c r="I379" s="23">
        <f t="shared" si="81"/>
        <v>3837</v>
      </c>
      <c r="J379" s="12">
        <v>1252478</v>
      </c>
      <c r="K379" s="23">
        <f t="shared" si="82"/>
        <v>1006433</v>
      </c>
      <c r="L379" s="9">
        <f t="shared" si="75"/>
        <v>683</v>
      </c>
      <c r="M379" s="14">
        <f t="shared" si="71"/>
        <v>1.3095165518502714E-2</v>
      </c>
      <c r="N379" s="14">
        <f t="shared" si="80"/>
        <v>0.11180609851446442</v>
      </c>
      <c r="O379" s="12"/>
      <c r="P379" s="12"/>
      <c r="Q379" s="12"/>
      <c r="R379" s="23">
        <f t="shared" si="72"/>
        <v>205284</v>
      </c>
      <c r="S379" s="25">
        <f>(((H379+R379)/(H378+R378))-1)+detalle!$D$1</f>
        <v>7.3175200312683125E-2</v>
      </c>
      <c r="T379" s="25">
        <f t="shared" si="76"/>
        <v>1.0244528043775638</v>
      </c>
      <c r="U379" s="10">
        <f t="shared" si="73"/>
        <v>0.82124001707004812</v>
      </c>
      <c r="V379" s="21">
        <f t="shared" si="79"/>
        <v>62.713221601489757</v>
      </c>
      <c r="W379" s="15">
        <f>J379/detalle!$D$2</f>
        <v>114271.77855355208</v>
      </c>
      <c r="X379" s="15">
        <f>E379/detalle!$D$2</f>
        <v>22448.298296823352</v>
      </c>
      <c r="Y379" s="22">
        <f>F379/detalle!$D$2</f>
        <v>293.96418180562438</v>
      </c>
      <c r="AA379" s="14">
        <f>E379/(detalle!$D$2*1000000)</f>
        <v>2.2448298296823353E-2</v>
      </c>
      <c r="AB379" s="14">
        <f>F379/(detalle!$D$2*1000000)</f>
        <v>2.9396418180562434E-4</v>
      </c>
      <c r="AC379" s="31">
        <f>164/541</f>
        <v>0.30314232902033272</v>
      </c>
      <c r="AD379" s="31">
        <f>518/2643</f>
        <v>0.19598940597805525</v>
      </c>
      <c r="AE379" s="31">
        <f>106/411</f>
        <v>0.25790754257907544</v>
      </c>
      <c r="AF379" s="22">
        <f t="shared" si="77"/>
        <v>9</v>
      </c>
      <c r="AG379" s="12">
        <v>0</v>
      </c>
      <c r="AH379" s="12">
        <v>0</v>
      </c>
      <c r="AI379" s="20">
        <v>0</v>
      </c>
      <c r="AJ379" s="23">
        <f t="shared" si="78"/>
        <v>0</v>
      </c>
      <c r="AK379" s="23">
        <v>606006</v>
      </c>
      <c r="AL379" s="28">
        <f>AK379/detalle!$D$2</f>
        <v>55289.900049441094</v>
      </c>
    </row>
    <row r="380" spans="1:38">
      <c r="A380" s="12">
        <v>379</v>
      </c>
      <c r="B380" s="19">
        <v>44269</v>
      </c>
      <c r="C380" s="12">
        <v>361</v>
      </c>
      <c r="D380" s="23">
        <f t="shared" si="74"/>
        <v>254</v>
      </c>
      <c r="E380" s="12">
        <v>246299</v>
      </c>
      <c r="F380" s="12">
        <v>3226</v>
      </c>
      <c r="G380" s="12">
        <v>202547</v>
      </c>
      <c r="H380" s="23">
        <f t="shared" si="70"/>
        <v>40526</v>
      </c>
      <c r="I380" s="23">
        <f t="shared" si="81"/>
        <v>1839</v>
      </c>
      <c r="J380" s="12">
        <v>1254317</v>
      </c>
      <c r="K380" s="23">
        <f t="shared" si="82"/>
        <v>1008018</v>
      </c>
      <c r="L380" s="9">
        <f t="shared" si="75"/>
        <v>485</v>
      </c>
      <c r="M380" s="14">
        <f t="shared" si="71"/>
        <v>1.3097901331308694E-2</v>
      </c>
      <c r="N380" s="14">
        <f t="shared" si="80"/>
        <v>0.13811854268624252</v>
      </c>
      <c r="O380" s="12"/>
      <c r="P380" s="12"/>
      <c r="Q380" s="12"/>
      <c r="R380" s="23">
        <f t="shared" si="72"/>
        <v>205773</v>
      </c>
      <c r="S380" s="25">
        <f>(((H380+R380)/(H379+R379))-1)+detalle!$D$1</f>
        <v>7.2460902912649533E-2</v>
      </c>
      <c r="T380" s="25">
        <f t="shared" si="76"/>
        <v>1.0144526407770935</v>
      </c>
      <c r="U380" s="10">
        <f t="shared" si="73"/>
        <v>0.82236225076025482</v>
      </c>
      <c r="V380" s="21">
        <f t="shared" si="79"/>
        <v>62.78580285182889</v>
      </c>
      <c r="W380" s="15">
        <f>J380/detalle!$D$2</f>
        <v>114439.56257910781</v>
      </c>
      <c r="X380" s="15">
        <f>E380/detalle!$D$2</f>
        <v>22471.472381919142</v>
      </c>
      <c r="Y380" s="22">
        <f>F380/detalle!$D$2</f>
        <v>294.32912802760529</v>
      </c>
      <c r="AA380" s="14">
        <f>E380/(detalle!$D$2*1000000)</f>
        <v>2.2471472381919141E-2</v>
      </c>
      <c r="AB380" s="14">
        <f>F380/(detalle!$D$2*1000000)</f>
        <v>2.9432912802760525E-4</v>
      </c>
      <c r="AC380" s="31">
        <f>166/541</f>
        <v>0.30683918669131238</v>
      </c>
      <c r="AD380" s="31">
        <f>523/2642</f>
        <v>0.19795609386828161</v>
      </c>
      <c r="AE380" s="31">
        <f>113/408</f>
        <v>0.27696078431372551</v>
      </c>
      <c r="AF380" s="22">
        <f t="shared" si="77"/>
        <v>4</v>
      </c>
      <c r="AG380" s="12">
        <v>0</v>
      </c>
      <c r="AH380" s="12">
        <v>0</v>
      </c>
      <c r="AI380" s="20">
        <v>0</v>
      </c>
      <c r="AJ380" s="23">
        <f t="shared" si="78"/>
        <v>68994</v>
      </c>
      <c r="AK380" s="23">
        <v>675000</v>
      </c>
      <c r="AL380" s="28">
        <f>AK380/detalle!$D$2</f>
        <v>61584.674959278847</v>
      </c>
    </row>
    <row r="381" spans="1:38">
      <c r="A381" s="12">
        <v>380</v>
      </c>
      <c r="B381" s="19">
        <v>44270</v>
      </c>
      <c r="C381" s="12">
        <v>362</v>
      </c>
      <c r="D381" s="23">
        <f t="shared" si="74"/>
        <v>495</v>
      </c>
      <c r="E381" s="12">
        <v>246794</v>
      </c>
      <c r="F381" s="12">
        <v>3237</v>
      </c>
      <c r="G381" s="12">
        <v>203070</v>
      </c>
      <c r="H381" s="23">
        <f t="shared" si="70"/>
        <v>40487</v>
      </c>
      <c r="I381" s="23">
        <f t="shared" si="81"/>
        <v>4019</v>
      </c>
      <c r="J381" s="12">
        <v>1258336</v>
      </c>
      <c r="K381" s="23">
        <f t="shared" si="82"/>
        <v>1011542</v>
      </c>
      <c r="L381" s="9">
        <f t="shared" si="75"/>
        <v>523</v>
      </c>
      <c r="M381" s="14">
        <f t="shared" si="71"/>
        <v>1.3116202176714182E-2</v>
      </c>
      <c r="N381" s="14">
        <f t="shared" si="80"/>
        <v>0.12316496640955461</v>
      </c>
      <c r="O381" s="12"/>
      <c r="P381" s="12"/>
      <c r="Q381" s="12"/>
      <c r="R381" s="23">
        <f t="shared" si="72"/>
        <v>206307</v>
      </c>
      <c r="S381" s="25">
        <f>(((H381+R381)/(H380+R380))-1)+detalle!$D$1</f>
        <v>7.3438323802718336E-2</v>
      </c>
      <c r="T381" s="25">
        <f t="shared" si="76"/>
        <v>1.0281365332380568</v>
      </c>
      <c r="U381" s="10">
        <f t="shared" si="73"/>
        <v>0.8228319975364069</v>
      </c>
      <c r="V381" s="21">
        <f t="shared" si="79"/>
        <v>62.734012974976828</v>
      </c>
      <c r="W381" s="15">
        <f>J381/detalle!$D$2</f>
        <v>114806.24229564313</v>
      </c>
      <c r="X381" s="15">
        <f>E381/detalle!$D$2</f>
        <v>22516.634476889278</v>
      </c>
      <c r="Y381" s="22">
        <f>F381/detalle!$D$2</f>
        <v>295.3327301380528</v>
      </c>
      <c r="AA381" s="14">
        <f>E381/(detalle!$D$2*1000000)</f>
        <v>2.2516634476889279E-2</v>
      </c>
      <c r="AB381" s="14">
        <f>F381/(detalle!$D$2*1000000)</f>
        <v>2.9533273013805276E-4</v>
      </c>
      <c r="AC381" s="31">
        <f>168/541</f>
        <v>0.31053604436229204</v>
      </c>
      <c r="AD381" s="31">
        <f>470/2624</f>
        <v>0.17911585365853658</v>
      </c>
      <c r="AE381" s="31">
        <f>110/411</f>
        <v>0.26763990267639903</v>
      </c>
      <c r="AF381" s="22">
        <f t="shared" si="77"/>
        <v>11</v>
      </c>
      <c r="AG381" s="12">
        <v>0</v>
      </c>
      <c r="AH381" s="12">
        <v>0</v>
      </c>
      <c r="AI381" s="20">
        <v>0</v>
      </c>
      <c r="AJ381" s="23">
        <f t="shared" si="78"/>
        <v>0</v>
      </c>
      <c r="AK381" s="23">
        <v>675000</v>
      </c>
      <c r="AL381" s="28">
        <f>AK381/detalle!$D$2</f>
        <v>61584.674959278847</v>
      </c>
    </row>
    <row r="382" spans="1:38">
      <c r="A382" s="12">
        <v>381</v>
      </c>
      <c r="B382" s="19">
        <v>44271</v>
      </c>
      <c r="C382" s="12">
        <v>363</v>
      </c>
      <c r="D382" s="23">
        <f t="shared" si="74"/>
        <v>570</v>
      </c>
      <c r="E382" s="12">
        <v>247364</v>
      </c>
      <c r="F382" s="12">
        <v>3248</v>
      </c>
      <c r="G382" s="12">
        <v>203656</v>
      </c>
      <c r="H382" s="23">
        <f t="shared" si="70"/>
        <v>40460</v>
      </c>
      <c r="I382" s="23">
        <f t="shared" si="81"/>
        <v>4799</v>
      </c>
      <c r="J382" s="12">
        <v>1263135</v>
      </c>
      <c r="K382" s="23">
        <f t="shared" si="82"/>
        <v>1015771</v>
      </c>
      <c r="L382" s="9">
        <f t="shared" si="75"/>
        <v>586</v>
      </c>
      <c r="M382" s="14">
        <f t="shared" si="71"/>
        <v>1.3130447437783995E-2</v>
      </c>
      <c r="N382" s="14">
        <f t="shared" si="80"/>
        <v>0.11877474473848719</v>
      </c>
      <c r="O382" s="12"/>
      <c r="P382" s="12"/>
      <c r="Q382" s="12"/>
      <c r="R382" s="23">
        <f t="shared" si="72"/>
        <v>206904</v>
      </c>
      <c r="S382" s="25">
        <f>(((H382+R382)/(H381+R381))-1)+detalle!$D$1</f>
        <v>7.3738189976834373E-2</v>
      </c>
      <c r="T382" s="25">
        <f t="shared" si="76"/>
        <v>1.0323346596756813</v>
      </c>
      <c r="U382" s="10">
        <f t="shared" si="73"/>
        <v>0.82330492715188952</v>
      </c>
      <c r="V382" s="21">
        <f t="shared" si="79"/>
        <v>62.701970443349751</v>
      </c>
      <c r="W382" s="15">
        <f>J382/detalle!$D$2</f>
        <v>115244.08652546472</v>
      </c>
      <c r="X382" s="15">
        <f>E382/detalle!$D$2</f>
        <v>22568.639313521559</v>
      </c>
      <c r="Y382" s="22">
        <f>F382/detalle!$D$2</f>
        <v>296.3363322485003</v>
      </c>
      <c r="AA382" s="14">
        <f>E382/(detalle!$D$2*1000000)</f>
        <v>2.2568639313521557E-2</v>
      </c>
      <c r="AB382" s="14">
        <f>F382/(detalle!$D$2*1000000)</f>
        <v>2.9633633224850027E-4</v>
      </c>
      <c r="AC382" s="31">
        <f>164/541</f>
        <v>0.30314232902033272</v>
      </c>
      <c r="AD382" s="31">
        <f>453/2624</f>
        <v>0.17263719512195122</v>
      </c>
      <c r="AE382" s="31">
        <f>106/411</f>
        <v>0.25790754257907544</v>
      </c>
      <c r="AF382" s="22">
        <f t="shared" si="77"/>
        <v>11</v>
      </c>
      <c r="AG382" s="12">
        <v>0</v>
      </c>
      <c r="AH382" s="12">
        <v>0</v>
      </c>
      <c r="AI382" s="20">
        <v>0</v>
      </c>
      <c r="AJ382" s="23">
        <f t="shared" si="78"/>
        <v>0</v>
      </c>
      <c r="AK382" s="23">
        <v>675000</v>
      </c>
      <c r="AL382" s="28">
        <f>AK382/detalle!$D$2</f>
        <v>61584.674959278847</v>
      </c>
    </row>
    <row r="383" spans="1:38">
      <c r="A383" s="12">
        <v>382</v>
      </c>
      <c r="B383" s="19">
        <v>44272</v>
      </c>
      <c r="C383" s="12">
        <v>364</v>
      </c>
      <c r="D383" s="23">
        <f t="shared" si="74"/>
        <v>615</v>
      </c>
      <c r="E383" s="12">
        <v>247979</v>
      </c>
      <c r="F383" s="12">
        <v>3257</v>
      </c>
      <c r="G383" s="12">
        <v>204188</v>
      </c>
      <c r="H383" s="23">
        <f t="shared" si="70"/>
        <v>40534</v>
      </c>
      <c r="I383" s="23">
        <f t="shared" si="81"/>
        <v>4052</v>
      </c>
      <c r="J383" s="12">
        <v>1267187</v>
      </c>
      <c r="K383" s="23">
        <f t="shared" si="82"/>
        <v>1019208</v>
      </c>
      <c r="L383" s="9">
        <f t="shared" si="75"/>
        <v>532</v>
      </c>
      <c r="M383" s="14">
        <f t="shared" si="71"/>
        <v>1.3134176684316011E-2</v>
      </c>
      <c r="N383" s="14">
        <f t="shared" si="80"/>
        <v>0.15177690029615004</v>
      </c>
      <c r="O383" s="12"/>
      <c r="P383" s="12"/>
      <c r="Q383" s="12"/>
      <c r="R383" s="23">
        <f t="shared" si="72"/>
        <v>207445</v>
      </c>
      <c r="S383" s="25">
        <f>(((H383+R383)/(H382+R382))-1)+detalle!$D$1</f>
        <v>7.3914786075811839E-2</v>
      </c>
      <c r="T383" s="25">
        <f t="shared" si="76"/>
        <v>1.0348070050613658</v>
      </c>
      <c r="U383" s="10">
        <f t="shared" si="73"/>
        <v>0.82340843377866679</v>
      </c>
      <c r="V383" s="21">
        <f t="shared" si="79"/>
        <v>62.692047896837579</v>
      </c>
      <c r="W383" s="15">
        <f>J383/detalle!$D$2</f>
        <v>115613.77704833138</v>
      </c>
      <c r="X383" s="15">
        <f>E383/detalle!$D$2</f>
        <v>22624.749795151125</v>
      </c>
      <c r="Y383" s="22">
        <f>F383/detalle!$D$2</f>
        <v>297.15746124795731</v>
      </c>
      <c r="AA383" s="14">
        <f>E383/(detalle!$D$2*1000000)</f>
        <v>2.2624749795151125E-2</v>
      </c>
      <c r="AB383" s="14">
        <f>F383/(detalle!$D$2*1000000)</f>
        <v>2.9715746124795735E-4</v>
      </c>
      <c r="AC383" s="31">
        <f>171/537</f>
        <v>0.31843575418994413</v>
      </c>
      <c r="AD383" s="31">
        <f>450/2586</f>
        <v>0.1740139211136891</v>
      </c>
      <c r="AE383" s="31">
        <f>104/407</f>
        <v>0.25552825552825553</v>
      </c>
      <c r="AF383" s="22">
        <f t="shared" si="77"/>
        <v>9</v>
      </c>
      <c r="AG383" s="12">
        <v>0</v>
      </c>
      <c r="AH383" s="12">
        <v>0</v>
      </c>
      <c r="AI383" s="20">
        <v>0</v>
      </c>
      <c r="AJ383" s="23">
        <f t="shared" si="78"/>
        <v>0</v>
      </c>
      <c r="AK383" s="23">
        <v>675000</v>
      </c>
      <c r="AL383" s="28">
        <f>AK383/detalle!$D$2</f>
        <v>61584.674959278847</v>
      </c>
    </row>
    <row r="384" spans="1:38">
      <c r="A384" s="12">
        <v>383</v>
      </c>
      <c r="B384" s="19">
        <v>44273</v>
      </c>
      <c r="C384" s="12">
        <v>365</v>
      </c>
      <c r="D384" s="23">
        <f t="shared" si="74"/>
        <v>523</v>
      </c>
      <c r="E384" s="12">
        <v>248502</v>
      </c>
      <c r="F384" s="12">
        <v>3262</v>
      </c>
      <c r="G384" s="12">
        <v>204735</v>
      </c>
      <c r="H384" s="23">
        <f t="shared" si="70"/>
        <v>40505</v>
      </c>
      <c r="I384" s="23">
        <f t="shared" si="81"/>
        <v>3884</v>
      </c>
      <c r="J384" s="12">
        <v>1271071</v>
      </c>
      <c r="K384" s="23">
        <f t="shared" si="82"/>
        <v>1022569</v>
      </c>
      <c r="L384" s="9">
        <f t="shared" si="75"/>
        <v>547</v>
      </c>
      <c r="M384" s="14">
        <f t="shared" si="71"/>
        <v>1.312665491625822E-2</v>
      </c>
      <c r="N384" s="14">
        <f t="shared" si="80"/>
        <v>0.13465499485066942</v>
      </c>
      <c r="O384" s="12"/>
      <c r="P384" s="12"/>
      <c r="Q384" s="12"/>
      <c r="R384" s="23">
        <f t="shared" si="72"/>
        <v>207997</v>
      </c>
      <c r="S384" s="25">
        <f>(((H384+R384)/(H383+R383))-1)+detalle!$D$1</f>
        <v>7.3537620985187041E-2</v>
      </c>
      <c r="T384" s="25">
        <f t="shared" si="76"/>
        <v>1.0295266937926186</v>
      </c>
      <c r="U384" s="10">
        <f t="shared" si="73"/>
        <v>0.82387666900065193</v>
      </c>
      <c r="V384" s="21">
        <f t="shared" si="79"/>
        <v>62.763641937461678</v>
      </c>
      <c r="W384" s="15">
        <f>J384/detalle!$D$2</f>
        <v>115968.13982987485</v>
      </c>
      <c r="X384" s="15">
        <f>E384/detalle!$D$2</f>
        <v>22672.466513675128</v>
      </c>
      <c r="Y384" s="22">
        <f>F384/detalle!$D$2</f>
        <v>297.61364402543347</v>
      </c>
      <c r="AA384" s="14">
        <f>E384/(detalle!$D$2*1000000)</f>
        <v>2.2672466513675129E-2</v>
      </c>
      <c r="AB384" s="14">
        <f>F384/(detalle!$D$2*1000000)</f>
        <v>2.9761364402543347E-4</v>
      </c>
      <c r="AC384" s="31">
        <f>171/536</f>
        <v>0.31902985074626866</v>
      </c>
      <c r="AD384" s="31">
        <f>454/2584</f>
        <v>0.17569659442724458</v>
      </c>
      <c r="AE384" s="31">
        <f>100/406</f>
        <v>0.24630541871921183</v>
      </c>
      <c r="AF384" s="22">
        <f t="shared" si="77"/>
        <v>5</v>
      </c>
      <c r="AG384" s="12">
        <v>0</v>
      </c>
      <c r="AH384" s="12">
        <v>0</v>
      </c>
      <c r="AI384" s="20">
        <v>0</v>
      </c>
      <c r="AJ384" s="23">
        <f t="shared" si="78"/>
        <v>0</v>
      </c>
      <c r="AK384" s="23">
        <v>675000</v>
      </c>
      <c r="AL384" s="28">
        <f>AK384/detalle!$D$2</f>
        <v>61584.674959278847</v>
      </c>
    </row>
    <row r="385" spans="1:38">
      <c r="A385" s="12">
        <v>384</v>
      </c>
      <c r="B385" s="19">
        <v>44274</v>
      </c>
      <c r="C385" s="12">
        <v>366</v>
      </c>
      <c r="D385" s="23">
        <f t="shared" si="74"/>
        <v>487</v>
      </c>
      <c r="E385" s="12">
        <f>248989</f>
        <v>248989</v>
      </c>
      <c r="F385" s="12">
        <v>3269</v>
      </c>
      <c r="G385" s="12">
        <v>205172</v>
      </c>
      <c r="H385" s="23">
        <f t="shared" si="70"/>
        <v>40548</v>
      </c>
      <c r="I385" s="23">
        <f t="shared" si="81"/>
        <v>4685</v>
      </c>
      <c r="J385" s="12">
        <v>1275756</v>
      </c>
      <c r="K385" s="23">
        <f t="shared" si="82"/>
        <v>1026767</v>
      </c>
      <c r="L385" s="9">
        <f t="shared" si="75"/>
        <v>437</v>
      </c>
      <c r="M385" s="14">
        <f t="shared" si="71"/>
        <v>1.3129094056363935E-2</v>
      </c>
      <c r="N385" s="14">
        <f t="shared" si="80"/>
        <v>0.103948772678762</v>
      </c>
      <c r="O385" s="12"/>
      <c r="P385" s="12"/>
      <c r="Q385" s="12"/>
      <c r="R385" s="23">
        <f t="shared" si="72"/>
        <v>208441</v>
      </c>
      <c r="S385" s="25">
        <f>(((H385+R385)/(H384+R384))-1)+detalle!$D$1</f>
        <v>7.3388314207301547E-2</v>
      </c>
      <c r="T385" s="25">
        <f t="shared" si="76"/>
        <v>1.0274363989022217</v>
      </c>
      <c r="U385" s="10">
        <f t="shared" si="73"/>
        <v>0.82402033824787435</v>
      </c>
      <c r="V385" s="21">
        <f t="shared" si="79"/>
        <v>62.762924441725296</v>
      </c>
      <c r="W385" s="15">
        <f>J385/detalle!$D$2</f>
        <v>116395.58309237</v>
      </c>
      <c r="X385" s="15">
        <f>E385/detalle!$D$2</f>
        <v>22716.898716201304</v>
      </c>
      <c r="Y385" s="22">
        <f>F385/detalle!$D$2</f>
        <v>298.25229991390006</v>
      </c>
      <c r="AA385" s="14">
        <f>E385/(detalle!$D$2*1000000)</f>
        <v>2.2716898716201302E-2</v>
      </c>
      <c r="AB385" s="14">
        <f>F385/(detalle!$D$2*1000000)</f>
        <v>2.9825229991390007E-4</v>
      </c>
      <c r="AC385" s="31">
        <f>166/537</f>
        <v>0.30912476722532589</v>
      </c>
      <c r="AD385" s="31">
        <f>455/2587</f>
        <v>0.17587939698492464</v>
      </c>
      <c r="AE385" s="31">
        <f>98/407</f>
        <v>0.24078624078624078</v>
      </c>
      <c r="AF385" s="22">
        <f t="shared" si="77"/>
        <v>7</v>
      </c>
      <c r="AG385" s="12">
        <v>0</v>
      </c>
      <c r="AH385" s="12">
        <v>0</v>
      </c>
      <c r="AI385" s="20">
        <v>0</v>
      </c>
      <c r="AJ385" s="23">
        <f t="shared" si="78"/>
        <v>0</v>
      </c>
      <c r="AK385" s="23">
        <v>675000</v>
      </c>
      <c r="AL385" s="28">
        <f>AK385/detalle!$D$2</f>
        <v>61584.674959278847</v>
      </c>
    </row>
    <row r="386" spans="1:38">
      <c r="A386" s="12">
        <v>385</v>
      </c>
      <c r="B386" s="19">
        <v>44275</v>
      </c>
      <c r="C386" s="12">
        <v>367</v>
      </c>
      <c r="D386" s="23">
        <f t="shared" si="74"/>
        <v>474</v>
      </c>
      <c r="E386" s="12">
        <v>249463</v>
      </c>
      <c r="F386" s="12">
        <v>3272</v>
      </c>
      <c r="G386" s="12">
        <v>205697</v>
      </c>
      <c r="H386" s="23">
        <f t="shared" ref="H386:H449" si="83">E386-F386-G386</f>
        <v>40494</v>
      </c>
      <c r="I386" s="23">
        <f t="shared" si="81"/>
        <v>3647</v>
      </c>
      <c r="J386" s="12">
        <v>1279403</v>
      </c>
      <c r="K386" s="23">
        <f t="shared" si="82"/>
        <v>1029940</v>
      </c>
      <c r="L386" s="9">
        <f t="shared" si="75"/>
        <v>525</v>
      </c>
      <c r="M386" s="14">
        <f t="shared" ref="M386:M449" si="84">F386/E386</f>
        <v>1.3116173540765564E-2</v>
      </c>
      <c r="N386" s="14">
        <f t="shared" si="80"/>
        <v>0.12996983822319716</v>
      </c>
      <c r="O386" s="12"/>
      <c r="P386" s="12"/>
      <c r="Q386" s="12"/>
      <c r="R386" s="23">
        <f t="shared" ref="R386:R449" si="85">F386+G386</f>
        <v>208969</v>
      </c>
      <c r="S386" s="25">
        <f>(((H386+R386)/(H385+R385))-1)+detalle!$D$1</f>
        <v>7.3332269985535686E-2</v>
      </c>
      <c r="T386" s="25">
        <f t="shared" si="76"/>
        <v>1.0266517797974997</v>
      </c>
      <c r="U386" s="10">
        <f t="shared" ref="U386:U449" si="86">G386/E386</f>
        <v>0.82455915306077454</v>
      </c>
      <c r="V386" s="21">
        <f t="shared" si="79"/>
        <v>62.86583129584352</v>
      </c>
      <c r="W386" s="15">
        <f>J386/detalle!$D$2</f>
        <v>116728.32281026109</v>
      </c>
      <c r="X386" s="15">
        <f>E386/detalle!$D$2</f>
        <v>22760.144843506041</v>
      </c>
      <c r="Y386" s="22">
        <f>F386/detalle!$D$2</f>
        <v>298.52600958038573</v>
      </c>
      <c r="AA386" s="14">
        <f>E386/(detalle!$D$2*1000000)</f>
        <v>2.2760144843506042E-2</v>
      </c>
      <c r="AB386" s="14">
        <f>F386/(detalle!$D$2*1000000)</f>
        <v>2.9852600958038577E-4</v>
      </c>
      <c r="AC386" s="31">
        <f>160/537</f>
        <v>0.297951582867784</v>
      </c>
      <c r="AD386" s="31">
        <f>473/2587</f>
        <v>0.1828372632392733</v>
      </c>
      <c r="AE386" s="31">
        <f>96/407</f>
        <v>0.23587223587223588</v>
      </c>
      <c r="AF386" s="22">
        <f t="shared" si="77"/>
        <v>3</v>
      </c>
      <c r="AG386" s="12">
        <v>0</v>
      </c>
      <c r="AH386" s="12">
        <v>0</v>
      </c>
      <c r="AI386" s="20">
        <v>0</v>
      </c>
      <c r="AJ386" s="23">
        <f t="shared" si="78"/>
        <v>0</v>
      </c>
      <c r="AK386" s="23">
        <v>675000</v>
      </c>
      <c r="AL386" s="28">
        <f>AK386/detalle!$D$2</f>
        <v>61584.674959278847</v>
      </c>
    </row>
    <row r="387" spans="1:38">
      <c r="A387" s="12">
        <v>386</v>
      </c>
      <c r="B387" s="19">
        <v>44276</v>
      </c>
      <c r="C387" s="12">
        <v>368</v>
      </c>
      <c r="D387" s="23">
        <f t="shared" ref="D387:D450" si="87">E387-E386</f>
        <v>313</v>
      </c>
      <c r="E387" s="12">
        <v>249776</v>
      </c>
      <c r="F387" s="12">
        <v>3275</v>
      </c>
      <c r="G387" s="12">
        <v>206293</v>
      </c>
      <c r="H387" s="23">
        <f t="shared" si="83"/>
        <v>40208</v>
      </c>
      <c r="I387" s="23">
        <f t="shared" si="81"/>
        <v>1973</v>
      </c>
      <c r="J387" s="12">
        <v>1281376</v>
      </c>
      <c r="K387" s="23">
        <f t="shared" si="82"/>
        <v>1031600</v>
      </c>
      <c r="L387" s="9">
        <f t="shared" ref="L387:L450" si="88">G387-G386</f>
        <v>596</v>
      </c>
      <c r="M387" s="14">
        <f t="shared" si="84"/>
        <v>1.3111748126321184E-2</v>
      </c>
      <c r="N387" s="14">
        <f t="shared" si="80"/>
        <v>0.15864166244298022</v>
      </c>
      <c r="O387" s="12"/>
      <c r="P387" s="12"/>
      <c r="Q387" s="12"/>
      <c r="R387" s="23">
        <f t="shared" si="85"/>
        <v>209568</v>
      </c>
      <c r="S387" s="25">
        <f>(((H387+R387)/(H386+R386))-1)+detalle!$D$1</f>
        <v>7.2683266513614148E-2</v>
      </c>
      <c r="T387" s="25">
        <f t="shared" ref="T387:T450" si="89">S387*14</f>
        <v>1.0175657311905981</v>
      </c>
      <c r="U387" s="10">
        <f t="shared" si="86"/>
        <v>0.82591201716738194</v>
      </c>
      <c r="V387" s="21">
        <f t="shared" si="79"/>
        <v>62.990229007633587</v>
      </c>
      <c r="W387" s="15">
        <f>J387/detalle!$D$2</f>
        <v>116908.33253425318</v>
      </c>
      <c r="X387" s="15">
        <f>E387/detalle!$D$2</f>
        <v>22788.701885376049</v>
      </c>
      <c r="Y387" s="22">
        <f>F387/detalle!$D$2</f>
        <v>298.79971924687146</v>
      </c>
      <c r="AA387" s="14">
        <f>E387/(detalle!$D$2*1000000)</f>
        <v>2.2788701885376048E-2</v>
      </c>
      <c r="AB387" s="14">
        <f>F387/(detalle!$D$2*1000000)</f>
        <v>2.9879971924687141E-4</v>
      </c>
      <c r="AC387" s="31">
        <f>169/535</f>
        <v>0.31588785046728973</v>
      </c>
      <c r="AD387" s="31">
        <f>472/2588</f>
        <v>0.18238021638330756</v>
      </c>
      <c r="AE387" s="31">
        <f>97/406</f>
        <v>0.23891625615763548</v>
      </c>
      <c r="AF387" s="22">
        <f t="shared" ref="AF387:AF450" si="90">F387-F386</f>
        <v>3</v>
      </c>
      <c r="AG387" s="12">
        <v>0</v>
      </c>
      <c r="AH387" s="12">
        <v>0</v>
      </c>
      <c r="AI387" s="20">
        <v>0</v>
      </c>
      <c r="AJ387" s="23">
        <f t="shared" ref="AJ387:AJ450" si="91">AK387-AK386</f>
        <v>55000</v>
      </c>
      <c r="AK387" s="23">
        <v>730000</v>
      </c>
      <c r="AL387" s="28">
        <f>AK387/detalle!$D$2</f>
        <v>66602.685511516378</v>
      </c>
    </row>
    <row r="388" spans="1:38">
      <c r="A388" s="12">
        <v>387</v>
      </c>
      <c r="B388" s="19">
        <v>44277</v>
      </c>
      <c r="C388" s="12">
        <v>369</v>
      </c>
      <c r="D388" s="23">
        <f t="shared" si="87"/>
        <v>401</v>
      </c>
      <c r="E388" s="12">
        <v>250177</v>
      </c>
      <c r="F388" s="12">
        <v>3283</v>
      </c>
      <c r="G388" s="12">
        <v>206736</v>
      </c>
      <c r="H388" s="23">
        <f t="shared" si="83"/>
        <v>40158</v>
      </c>
      <c r="I388" s="23">
        <f t="shared" si="81"/>
        <v>3459</v>
      </c>
      <c r="J388" s="12">
        <v>1284835</v>
      </c>
      <c r="K388" s="23">
        <f t="shared" si="82"/>
        <v>1034658</v>
      </c>
      <c r="L388" s="9">
        <f t="shared" si="88"/>
        <v>443</v>
      </c>
      <c r="M388" s="14">
        <f t="shared" si="84"/>
        <v>1.3122709121941665E-2</v>
      </c>
      <c r="N388" s="14">
        <f t="shared" si="80"/>
        <v>0.11592945938132408</v>
      </c>
      <c r="O388" s="12"/>
      <c r="P388" s="12"/>
      <c r="Q388" s="12"/>
      <c r="R388" s="23">
        <f t="shared" si="85"/>
        <v>210019</v>
      </c>
      <c r="S388" s="25">
        <f>(((H388+R388)/(H387+R387))-1)+detalle!$D$1</f>
        <v>7.303400990144307E-2</v>
      </c>
      <c r="T388" s="25">
        <f t="shared" si="89"/>
        <v>1.022476138620203</v>
      </c>
      <c r="U388" s="10">
        <f t="shared" si="86"/>
        <v>0.82635893787198667</v>
      </c>
      <c r="V388" s="21">
        <f t="shared" si="79"/>
        <v>62.971672250989947</v>
      </c>
      <c r="W388" s="15">
        <f>J388/detalle!$D$2</f>
        <v>117223.91977971117</v>
      </c>
      <c r="X388" s="15">
        <f>E388/detalle!$D$2</f>
        <v>22825.287744129637</v>
      </c>
      <c r="Y388" s="22">
        <f>F388/detalle!$D$2</f>
        <v>299.52961169083324</v>
      </c>
      <c r="AA388" s="14">
        <f>E388/(detalle!$D$2*1000000)</f>
        <v>2.2825287744129636E-2</v>
      </c>
      <c r="AB388" s="14">
        <f>F388/(detalle!$D$2*1000000)</f>
        <v>2.9952961169083328E-4</v>
      </c>
      <c r="AC388" s="31">
        <f>157/521</f>
        <v>0.30134357005758156</v>
      </c>
      <c r="AD388" s="31">
        <f>449/2587</f>
        <v>0.17356010823347506</v>
      </c>
      <c r="AE388" s="31">
        <f>97/408</f>
        <v>0.23774509803921567</v>
      </c>
      <c r="AF388" s="22">
        <f t="shared" si="90"/>
        <v>8</v>
      </c>
      <c r="AG388" s="12">
        <v>0</v>
      </c>
      <c r="AH388" s="12">
        <v>0</v>
      </c>
      <c r="AI388" s="20">
        <v>0</v>
      </c>
      <c r="AJ388" s="23">
        <f t="shared" si="91"/>
        <v>0</v>
      </c>
      <c r="AK388" s="23">
        <v>730000</v>
      </c>
      <c r="AL388" s="28">
        <f>AK388/detalle!$D$2</f>
        <v>66602.685511516378</v>
      </c>
    </row>
    <row r="389" spans="1:38">
      <c r="A389" s="12">
        <v>388</v>
      </c>
      <c r="B389" s="19">
        <v>44278</v>
      </c>
      <c r="C389" s="12">
        <v>370</v>
      </c>
      <c r="D389" s="23">
        <f t="shared" si="87"/>
        <v>402</v>
      </c>
      <c r="E389" s="12">
        <v>250579</v>
      </c>
      <c r="F389" s="12">
        <v>3289</v>
      </c>
      <c r="G389" s="12">
        <v>209586</v>
      </c>
      <c r="H389" s="23">
        <f t="shared" si="83"/>
        <v>37704</v>
      </c>
      <c r="I389" s="23">
        <f t="shared" si="81"/>
        <v>2749</v>
      </c>
      <c r="J389" s="12">
        <v>1287584</v>
      </c>
      <c r="K389" s="23">
        <f t="shared" si="82"/>
        <v>1037005</v>
      </c>
      <c r="L389" s="9">
        <f t="shared" si="88"/>
        <v>2850</v>
      </c>
      <c r="M389" s="14">
        <f t="shared" si="84"/>
        <v>1.3125601107834256E-2</v>
      </c>
      <c r="N389" s="14">
        <f t="shared" si="80"/>
        <v>0.14623499454347036</v>
      </c>
      <c r="O389" s="12"/>
      <c r="P389" s="12"/>
      <c r="Q389" s="12"/>
      <c r="R389" s="23">
        <f t="shared" si="85"/>
        <v>212875</v>
      </c>
      <c r="S389" s="25">
        <f>(((H389+R389)/(H388+R388))-1)+detalle!$D$1</f>
        <v>7.3035433770033659E-2</v>
      </c>
      <c r="T389" s="25">
        <f t="shared" si="89"/>
        <v>1.0224960727804713</v>
      </c>
      <c r="U389" s="10">
        <f t="shared" si="86"/>
        <v>0.83640688166207067</v>
      </c>
      <c r="V389" s="21">
        <f t="shared" si="79"/>
        <v>63.723320158102766</v>
      </c>
      <c r="W389" s="15">
        <f>J389/detalle!$D$2</f>
        <v>117474.72907076754</v>
      </c>
      <c r="X389" s="15">
        <f>E389/detalle!$D$2</f>
        <v>22861.964839438719</v>
      </c>
      <c r="Y389" s="22">
        <f>F389/detalle!$D$2</f>
        <v>300.07703102380464</v>
      </c>
      <c r="AA389" s="14">
        <f>E389/(detalle!$D$2*1000000)</f>
        <v>2.2861964839438715E-2</v>
      </c>
      <c r="AB389" s="14">
        <f>F389/(detalle!$D$2*1000000)</f>
        <v>3.0007703102380461E-4</v>
      </c>
      <c r="AC389" s="31">
        <f>154/522</f>
        <v>0.2950191570881226</v>
      </c>
      <c r="AD389" s="31">
        <f>446/2579</f>
        <v>0.17293524621946491</v>
      </c>
      <c r="AE389" s="31">
        <f>93/408</f>
        <v>0.22794117647058823</v>
      </c>
      <c r="AF389" s="22">
        <f t="shared" si="90"/>
        <v>6</v>
      </c>
      <c r="AG389" s="12">
        <v>0</v>
      </c>
      <c r="AH389" s="12">
        <v>0</v>
      </c>
      <c r="AI389" s="20">
        <v>0</v>
      </c>
      <c r="AJ389" s="23">
        <f t="shared" si="91"/>
        <v>70000</v>
      </c>
      <c r="AK389" s="23">
        <v>800000</v>
      </c>
      <c r="AL389" s="28">
        <f>AK389/detalle!$D$2</f>
        <v>72989.24439618233</v>
      </c>
    </row>
    <row r="390" spans="1:38">
      <c r="A390" s="12">
        <v>389</v>
      </c>
      <c r="B390" s="19">
        <v>44279</v>
      </c>
      <c r="C390" s="12">
        <v>371</v>
      </c>
      <c r="D390" s="23">
        <f t="shared" si="87"/>
        <v>389</v>
      </c>
      <c r="E390" s="12">
        <v>250968</v>
      </c>
      <c r="F390" s="12">
        <v>3295</v>
      </c>
      <c r="G390" s="12">
        <v>210042</v>
      </c>
      <c r="H390" s="23">
        <f t="shared" si="83"/>
        <v>37631</v>
      </c>
      <c r="I390" s="23">
        <f t="shared" si="81"/>
        <v>3235</v>
      </c>
      <c r="J390" s="12">
        <v>1290819</v>
      </c>
      <c r="K390" s="23">
        <f t="shared" si="82"/>
        <v>1039851</v>
      </c>
      <c r="L390" s="9">
        <f t="shared" si="88"/>
        <v>456</v>
      </c>
      <c r="M390" s="14">
        <f t="shared" si="84"/>
        <v>1.3129163877466449E-2</v>
      </c>
      <c r="N390" s="14">
        <f t="shared" si="80"/>
        <v>0.12024729520865533</v>
      </c>
      <c r="O390" s="12"/>
      <c r="P390" s="12"/>
      <c r="Q390" s="12"/>
      <c r="R390" s="23">
        <f t="shared" si="85"/>
        <v>213337</v>
      </c>
      <c r="S390" s="25">
        <f>(((H390+R390)/(H389+R389))-1)+detalle!$D$1</f>
        <v>7.2980976059446229E-2</v>
      </c>
      <c r="T390" s="25">
        <f t="shared" si="89"/>
        <v>1.0217336648322473</v>
      </c>
      <c r="U390" s="10">
        <f t="shared" si="86"/>
        <v>0.83692741704121643</v>
      </c>
      <c r="V390" s="21">
        <f t="shared" si="79"/>
        <v>63.745675265553871</v>
      </c>
      <c r="W390" s="15">
        <f>J390/detalle!$D$2</f>
        <v>117769.87932779461</v>
      </c>
      <c r="X390" s="15">
        <f>E390/detalle!$D$2</f>
        <v>22897.455859526362</v>
      </c>
      <c r="Y390" s="22">
        <f>F390/detalle!$D$2</f>
        <v>300.62445035677598</v>
      </c>
      <c r="AA390" s="14">
        <f>E390/(detalle!$D$2*1000000)</f>
        <v>2.289745585952636E-2</v>
      </c>
      <c r="AB390" s="14">
        <f>F390/(detalle!$D$2*1000000)</f>
        <v>3.00624450356776E-4</v>
      </c>
      <c r="AC390" s="31">
        <f>145/523</f>
        <v>0.27724665391969405</v>
      </c>
      <c r="AD390" s="31">
        <f>454/2569</f>
        <v>0.17672246010120671</v>
      </c>
      <c r="AE390" s="31">
        <f>89/406</f>
        <v>0.21921182266009853</v>
      </c>
      <c r="AF390" s="22">
        <f t="shared" si="90"/>
        <v>6</v>
      </c>
      <c r="AG390" s="12">
        <v>0</v>
      </c>
      <c r="AH390" s="12">
        <v>0</v>
      </c>
      <c r="AI390" s="20">
        <v>0</v>
      </c>
      <c r="AJ390" s="23">
        <f t="shared" si="91"/>
        <v>0</v>
      </c>
      <c r="AK390" s="23">
        <v>800000</v>
      </c>
      <c r="AL390" s="28">
        <f>AK390/detalle!$D$2</f>
        <v>72989.24439618233</v>
      </c>
    </row>
    <row r="391" spans="1:38">
      <c r="A391" s="12">
        <v>390</v>
      </c>
      <c r="B391" s="19">
        <v>44280</v>
      </c>
      <c r="C391" s="12">
        <v>372</v>
      </c>
      <c r="D391" s="23">
        <f t="shared" si="87"/>
        <v>364</v>
      </c>
      <c r="E391" s="12">
        <v>251332</v>
      </c>
      <c r="F391" s="12">
        <v>3298</v>
      </c>
      <c r="G391" s="12">
        <v>210396</v>
      </c>
      <c r="H391" s="23">
        <f t="shared" si="83"/>
        <v>37638</v>
      </c>
      <c r="I391" s="23">
        <f t="shared" si="81"/>
        <v>3756</v>
      </c>
      <c r="J391" s="12">
        <v>1294575</v>
      </c>
      <c r="K391" s="23">
        <f t="shared" si="82"/>
        <v>1043243</v>
      </c>
      <c r="L391" s="9">
        <f t="shared" si="88"/>
        <v>354</v>
      </c>
      <c r="M391" s="14">
        <f t="shared" si="84"/>
        <v>1.312208552830519E-2</v>
      </c>
      <c r="N391" s="14">
        <f t="shared" si="80"/>
        <v>9.6911608093716725E-2</v>
      </c>
      <c r="O391" s="12"/>
      <c r="P391" s="12"/>
      <c r="Q391" s="12"/>
      <c r="R391" s="23">
        <f t="shared" si="85"/>
        <v>213694</v>
      </c>
      <c r="S391" s="25">
        <f>(((H391+R391)/(H390+R390))-1)+detalle!$D$1</f>
        <v>7.287895554128701E-2</v>
      </c>
      <c r="T391" s="25">
        <f t="shared" si="89"/>
        <v>1.0203053775780182</v>
      </c>
      <c r="U391" s="10">
        <f t="shared" si="86"/>
        <v>0.83712380437031497</v>
      </c>
      <c r="V391" s="21">
        <f t="shared" si="79"/>
        <v>63.795027289266223</v>
      </c>
      <c r="W391" s="15">
        <f>J391/detalle!$D$2</f>
        <v>118112.56383023468</v>
      </c>
      <c r="X391" s="15">
        <f>E391/detalle!$D$2</f>
        <v>22930.665965726625</v>
      </c>
      <c r="Y391" s="22">
        <f>F391/detalle!$D$2</f>
        <v>300.89816002326165</v>
      </c>
      <c r="AA391" s="14">
        <f>E391/(detalle!$D$2*1000000)</f>
        <v>2.2930665965726623E-2</v>
      </c>
      <c r="AB391" s="14">
        <f>F391/(detalle!$D$2*1000000)</f>
        <v>3.008981600232617E-4</v>
      </c>
      <c r="AC391" s="31">
        <f>142/523</f>
        <v>0.27151051625239003</v>
      </c>
      <c r="AD391" s="31">
        <f>443/2572</f>
        <v>0.17223950233281493</v>
      </c>
      <c r="AE391" s="31">
        <f>88/394</f>
        <v>0.2233502538071066</v>
      </c>
      <c r="AF391" s="22">
        <f t="shared" si="90"/>
        <v>3</v>
      </c>
      <c r="AG391" s="12">
        <v>0</v>
      </c>
      <c r="AH391" s="12">
        <v>0</v>
      </c>
      <c r="AI391" s="20">
        <v>0</v>
      </c>
      <c r="AJ391" s="23">
        <f t="shared" si="91"/>
        <v>0</v>
      </c>
      <c r="AK391" s="23">
        <v>800000</v>
      </c>
      <c r="AL391" s="28">
        <f>AK391/detalle!$D$2</f>
        <v>72989.24439618233</v>
      </c>
    </row>
    <row r="392" spans="1:38">
      <c r="A392" s="12">
        <v>391</v>
      </c>
      <c r="B392" s="19">
        <v>44281</v>
      </c>
      <c r="C392" s="12">
        <v>373</v>
      </c>
      <c r="D392" s="23">
        <f t="shared" si="87"/>
        <v>250</v>
      </c>
      <c r="E392" s="12">
        <v>251582</v>
      </c>
      <c r="F392" s="12">
        <v>3302</v>
      </c>
      <c r="G392" s="12">
        <v>210551</v>
      </c>
      <c r="H392" s="23">
        <f t="shared" si="83"/>
        <v>37729</v>
      </c>
      <c r="I392" s="23">
        <f t="shared" si="81"/>
        <v>3645</v>
      </c>
      <c r="J392" s="12">
        <v>1298220</v>
      </c>
      <c r="K392" s="23">
        <f t="shared" si="82"/>
        <v>1046638</v>
      </c>
      <c r="L392" s="9">
        <f t="shared" si="88"/>
        <v>155</v>
      </c>
      <c r="M392" s="14">
        <f t="shared" si="84"/>
        <v>1.3124945345851452E-2</v>
      </c>
      <c r="N392" s="14">
        <f t="shared" si="80"/>
        <v>6.8587105624142664E-2</v>
      </c>
      <c r="O392" s="12"/>
      <c r="P392" s="12"/>
      <c r="Q392" s="12"/>
      <c r="R392" s="23">
        <f t="shared" si="85"/>
        <v>213853</v>
      </c>
      <c r="S392" s="25">
        <f>(((H392+R392)/(H391+R391))-1)+detalle!$D$1</f>
        <v>7.2423271665707861E-2</v>
      </c>
      <c r="T392" s="25">
        <f t="shared" si="89"/>
        <v>1.0139258033199101</v>
      </c>
      <c r="U392" s="10">
        <f t="shared" si="86"/>
        <v>0.83690804588563572</v>
      </c>
      <c r="V392" s="21">
        <f t="shared" si="79"/>
        <v>63.764688067837675</v>
      </c>
      <c r="W392" s="15">
        <f>J392/detalle!$D$2</f>
        <v>118445.12107501479</v>
      </c>
      <c r="X392" s="15">
        <f>E392/detalle!$D$2</f>
        <v>22953.475104600431</v>
      </c>
      <c r="Y392" s="22">
        <f>F392/detalle!$D$2</f>
        <v>301.26310624524257</v>
      </c>
      <c r="AA392" s="14">
        <f>E392/(detalle!$D$2*1000000)</f>
        <v>2.295347510460043E-2</v>
      </c>
      <c r="AB392" s="14">
        <f>F392/(detalle!$D$2*1000000)</f>
        <v>3.012631062452426E-4</v>
      </c>
      <c r="AC392" s="31">
        <f>139/518</f>
        <v>0.26833976833976836</v>
      </c>
      <c r="AD392" s="31">
        <f>463/2557</f>
        <v>0.18107156824403597</v>
      </c>
      <c r="AE392" s="31">
        <f>90/389</f>
        <v>0.23136246786632392</v>
      </c>
      <c r="AF392" s="22">
        <f t="shared" si="90"/>
        <v>4</v>
      </c>
      <c r="AG392" s="12">
        <v>0</v>
      </c>
      <c r="AH392" s="12">
        <v>0</v>
      </c>
      <c r="AI392" s="20">
        <v>0</v>
      </c>
      <c r="AJ392" s="23">
        <f t="shared" si="91"/>
        <v>0</v>
      </c>
      <c r="AK392" s="23">
        <v>800000</v>
      </c>
      <c r="AL392" s="28">
        <f>AK392/detalle!$D$2</f>
        <v>72989.24439618233</v>
      </c>
    </row>
    <row r="393" spans="1:38">
      <c r="A393" s="12">
        <v>392</v>
      </c>
      <c r="B393" s="19">
        <v>44282</v>
      </c>
      <c r="C393" s="12">
        <v>374</v>
      </c>
      <c r="D393" s="23">
        <f t="shared" si="87"/>
        <v>401</v>
      </c>
      <c r="E393" s="12">
        <v>251983</v>
      </c>
      <c r="F393" s="12">
        <v>3304</v>
      </c>
      <c r="G393" s="12">
        <v>211044</v>
      </c>
      <c r="H393" s="23">
        <f t="shared" si="83"/>
        <v>37635</v>
      </c>
      <c r="I393" s="23">
        <f t="shared" si="81"/>
        <v>3552</v>
      </c>
      <c r="J393" s="12">
        <v>1301772</v>
      </c>
      <c r="K393" s="23">
        <f t="shared" si="82"/>
        <v>1049789</v>
      </c>
      <c r="L393" s="9">
        <f t="shared" si="88"/>
        <v>493</v>
      </c>
      <c r="M393" s="14">
        <f t="shared" si="84"/>
        <v>1.3111995650500231E-2</v>
      </c>
      <c r="N393" s="14">
        <f t="shared" si="80"/>
        <v>0.11289414414414414</v>
      </c>
      <c r="O393" s="12"/>
      <c r="P393" s="12"/>
      <c r="Q393" s="12"/>
      <c r="R393" s="23">
        <f t="shared" si="85"/>
        <v>214348</v>
      </c>
      <c r="S393" s="25">
        <f>(((H393+R393)/(H392+R392))-1)+detalle!$D$1</f>
        <v>7.3022485142589161E-2</v>
      </c>
      <c r="T393" s="25">
        <f t="shared" si="89"/>
        <v>1.0223147919962483</v>
      </c>
      <c r="U393" s="10">
        <f t="shared" si="86"/>
        <v>0.83753269069738834</v>
      </c>
      <c r="V393" s="21">
        <f t="shared" si="79"/>
        <v>63.875302663438255</v>
      </c>
      <c r="W393" s="15">
        <f>J393/detalle!$D$2</f>
        <v>118769.19332013384</v>
      </c>
      <c r="X393" s="15">
        <f>E393/detalle!$D$2</f>
        <v>22990.060963354015</v>
      </c>
      <c r="Y393" s="22">
        <f>F393/detalle!$D$2</f>
        <v>301.44557935623305</v>
      </c>
      <c r="AA393" s="14">
        <f>E393/(detalle!$D$2*1000000)</f>
        <v>2.2990060963354018E-2</v>
      </c>
      <c r="AB393" s="14">
        <f>F393/(detalle!$D$2*1000000)</f>
        <v>3.0144557935623303E-4</v>
      </c>
      <c r="AC393" s="31">
        <f>151/518</f>
        <v>0.29150579150579148</v>
      </c>
      <c r="AD393" s="31">
        <f>463/2557</f>
        <v>0.18107156824403597</v>
      </c>
      <c r="AE393" s="31">
        <f>101/401</f>
        <v>0.25187032418952621</v>
      </c>
      <c r="AF393" s="22">
        <f t="shared" si="90"/>
        <v>2</v>
      </c>
      <c r="AG393" s="12">
        <v>0</v>
      </c>
      <c r="AH393" s="12">
        <v>0</v>
      </c>
      <c r="AI393" s="20">
        <v>0</v>
      </c>
      <c r="AJ393" s="23">
        <f t="shared" si="91"/>
        <v>0</v>
      </c>
      <c r="AK393" s="23">
        <v>800000</v>
      </c>
      <c r="AL393" s="28">
        <f>AK393/detalle!$D$2</f>
        <v>72989.24439618233</v>
      </c>
    </row>
    <row r="394" spans="1:38">
      <c r="A394" s="12">
        <v>393</v>
      </c>
      <c r="B394" s="19">
        <v>44283</v>
      </c>
      <c r="C394" s="12">
        <v>375</v>
      </c>
      <c r="D394" s="23">
        <f t="shared" si="87"/>
        <v>199</v>
      </c>
      <c r="E394" s="12">
        <v>252182</v>
      </c>
      <c r="F394" s="12">
        <v>3307</v>
      </c>
      <c r="G394" s="12">
        <v>211409</v>
      </c>
      <c r="H394" s="23">
        <f t="shared" si="83"/>
        <v>37466</v>
      </c>
      <c r="I394" s="23">
        <f t="shared" si="81"/>
        <v>1732</v>
      </c>
      <c r="J394" s="12">
        <v>1303504</v>
      </c>
      <c r="K394" s="23">
        <f t="shared" si="82"/>
        <v>1051322</v>
      </c>
      <c r="L394" s="9">
        <f t="shared" si="88"/>
        <v>365</v>
      </c>
      <c r="M394" s="14">
        <f t="shared" si="84"/>
        <v>1.3113544979419625E-2</v>
      </c>
      <c r="N394" s="14">
        <f t="shared" si="80"/>
        <v>0.11489607390300231</v>
      </c>
      <c r="O394" s="12"/>
      <c r="P394" s="12"/>
      <c r="Q394" s="12"/>
      <c r="R394" s="23">
        <f t="shared" si="85"/>
        <v>214716</v>
      </c>
      <c r="S394" s="25">
        <f>(((H394+R394)/(H393+R393))-1)+detalle!$D$1</f>
        <v>7.2218307244082763E-2</v>
      </c>
      <c r="T394" s="25">
        <f t="shared" si="89"/>
        <v>1.0110563014171587</v>
      </c>
      <c r="U394" s="10">
        <f t="shared" si="86"/>
        <v>0.83831915045483019</v>
      </c>
      <c r="V394" s="21">
        <f t="shared" si="79"/>
        <v>63.927729059570609</v>
      </c>
      <c r="W394" s="15">
        <f>J394/detalle!$D$2</f>
        <v>118927.21503425158</v>
      </c>
      <c r="X394" s="15">
        <f>E394/detalle!$D$2</f>
        <v>23008.217037897568</v>
      </c>
      <c r="Y394" s="22">
        <f>F394/detalle!$D$2</f>
        <v>301.71928902271873</v>
      </c>
      <c r="AA394" s="14">
        <f>E394/(detalle!$D$2*1000000)</f>
        <v>2.3008217037897568E-2</v>
      </c>
      <c r="AB394" s="14">
        <f>F394/(detalle!$D$2*1000000)</f>
        <v>3.0171928902271872E-4</v>
      </c>
      <c r="AC394" s="31">
        <f>160/514</f>
        <v>0.31128404669260701</v>
      </c>
      <c r="AD394" s="31">
        <f>474/2557</f>
        <v>0.18537348455220962</v>
      </c>
      <c r="AE394" s="31">
        <f>102/401</f>
        <v>0.25436408977556108</v>
      </c>
      <c r="AF394" s="22">
        <f t="shared" si="90"/>
        <v>3</v>
      </c>
      <c r="AG394" s="12">
        <v>0</v>
      </c>
      <c r="AH394" s="12">
        <v>0</v>
      </c>
      <c r="AI394" s="20">
        <v>0</v>
      </c>
      <c r="AJ394" s="23">
        <f t="shared" si="91"/>
        <v>70134</v>
      </c>
      <c r="AK394" s="23">
        <v>870134</v>
      </c>
      <c r="AL394" s="28">
        <f>AK394/detalle!$D$2</f>
        <v>79388.028979284645</v>
      </c>
    </row>
    <row r="395" spans="1:38">
      <c r="A395" s="12">
        <v>394</v>
      </c>
      <c r="B395" s="19">
        <v>44284</v>
      </c>
      <c r="C395" s="12">
        <v>376</v>
      </c>
      <c r="D395" s="23">
        <f t="shared" si="87"/>
        <v>202</v>
      </c>
      <c r="E395" s="12">
        <v>252384</v>
      </c>
      <c r="F395" s="12">
        <v>3317</v>
      </c>
      <c r="G395" s="12">
        <v>211744</v>
      </c>
      <c r="H395" s="23">
        <f t="shared" si="83"/>
        <v>37323</v>
      </c>
      <c r="I395" s="23">
        <f t="shared" si="81"/>
        <v>2299</v>
      </c>
      <c r="J395" s="12">
        <v>1305803</v>
      </c>
      <c r="K395" s="23">
        <f t="shared" si="82"/>
        <v>1053419</v>
      </c>
      <c r="L395" s="9">
        <f t="shared" si="88"/>
        <v>335</v>
      </c>
      <c r="M395" s="14">
        <f t="shared" si="84"/>
        <v>1.3142671484721693E-2</v>
      </c>
      <c r="N395" s="14">
        <f t="shared" si="80"/>
        <v>8.7864288821226627E-2</v>
      </c>
      <c r="O395" s="12"/>
      <c r="P395" s="12"/>
      <c r="Q395" s="12"/>
      <c r="R395" s="23">
        <f t="shared" si="85"/>
        <v>215061</v>
      </c>
      <c r="S395" s="25">
        <f>(((H395+R395)/(H394+R394))-1)+detalle!$D$1</f>
        <v>7.2229580223806683E-2</v>
      </c>
      <c r="T395" s="25">
        <f t="shared" si="89"/>
        <v>1.0112141231332936</v>
      </c>
      <c r="U395" s="10">
        <f t="shared" si="86"/>
        <v>0.8389755293520984</v>
      </c>
      <c r="V395" s="21">
        <f t="shared" si="79"/>
        <v>63.835996382273137</v>
      </c>
      <c r="W395" s="15">
        <f>J395/detalle!$D$2</f>
        <v>119136.9678753351</v>
      </c>
      <c r="X395" s="15">
        <f>E395/detalle!$D$2</f>
        <v>23026.646822107603</v>
      </c>
      <c r="Y395" s="22">
        <f>F395/detalle!$D$2</f>
        <v>302.63165457767099</v>
      </c>
      <c r="AA395" s="14">
        <f>E395/(detalle!$D$2*1000000)</f>
        <v>2.3026646822107602E-2</v>
      </c>
      <c r="AB395" s="14">
        <f>F395/(detalle!$D$2*1000000)</f>
        <v>3.0263165457767102E-4</v>
      </c>
      <c r="AC395" s="31">
        <f>149/505</f>
        <v>0.29504950495049503</v>
      </c>
      <c r="AD395" s="31">
        <f>450/2509</f>
        <v>0.17935432443204463</v>
      </c>
      <c r="AE395" s="31">
        <f>99/396</f>
        <v>0.25</v>
      </c>
      <c r="AF395" s="22">
        <f t="shared" si="90"/>
        <v>10</v>
      </c>
      <c r="AG395" s="12">
        <v>0</v>
      </c>
      <c r="AH395" s="12">
        <v>0</v>
      </c>
      <c r="AI395" s="20">
        <v>0</v>
      </c>
      <c r="AJ395" s="23">
        <f t="shared" si="91"/>
        <v>40735</v>
      </c>
      <c r="AK395" s="23">
        <v>910869</v>
      </c>
      <c r="AL395" s="28">
        <f>AK395/detalle!$D$2</f>
        <v>83104.550067382763</v>
      </c>
    </row>
    <row r="396" spans="1:38">
      <c r="A396" s="12">
        <v>395</v>
      </c>
      <c r="B396" s="19">
        <v>44285</v>
      </c>
      <c r="C396" s="12">
        <v>377</v>
      </c>
      <c r="D396" s="23">
        <f t="shared" si="87"/>
        <v>343</v>
      </c>
      <c r="E396" s="12">
        <v>252727</v>
      </c>
      <c r="F396" s="12">
        <v>3325</v>
      </c>
      <c r="G396" s="12">
        <v>212156</v>
      </c>
      <c r="H396" s="23">
        <f t="shared" si="83"/>
        <v>37246</v>
      </c>
      <c r="I396" s="23">
        <f t="shared" si="81"/>
        <v>2813</v>
      </c>
      <c r="J396" s="12">
        <v>1308616</v>
      </c>
      <c r="K396" s="23">
        <f t="shared" si="82"/>
        <v>1055889</v>
      </c>
      <c r="L396" s="9">
        <f t="shared" si="88"/>
        <v>412</v>
      </c>
      <c r="M396" s="14">
        <f t="shared" si="84"/>
        <v>1.3156489017793904E-2</v>
      </c>
      <c r="N396" s="14">
        <f t="shared" si="80"/>
        <v>0.12193387842161393</v>
      </c>
      <c r="O396" s="12"/>
      <c r="P396" s="12"/>
      <c r="Q396" s="12"/>
      <c r="R396" s="23">
        <f t="shared" si="85"/>
        <v>215481</v>
      </c>
      <c r="S396" s="25">
        <f>(((H396+R396)/(H395+R395))-1)+detalle!$D$1</f>
        <v>7.2787611621293574E-2</v>
      </c>
      <c r="T396" s="25">
        <f t="shared" si="89"/>
        <v>1.0190265626981101</v>
      </c>
      <c r="U396" s="10">
        <f t="shared" si="86"/>
        <v>0.83946709295010036</v>
      </c>
      <c r="V396" s="21">
        <f t="shared" si="79"/>
        <v>63.806315789473686</v>
      </c>
      <c r="W396" s="15">
        <f>J396/detalle!$D$2</f>
        <v>119393.61630594319</v>
      </c>
      <c r="X396" s="15">
        <f>E396/detalle!$D$2</f>
        <v>23057.940960642467</v>
      </c>
      <c r="Y396" s="22">
        <f>F396/detalle!$D$2</f>
        <v>303.36154702163282</v>
      </c>
      <c r="AA396" s="14">
        <f>E396/(detalle!$D$2*1000000)</f>
        <v>2.3057940960642467E-2</v>
      </c>
      <c r="AB396" s="14">
        <f>F396/(detalle!$D$2*1000000)</f>
        <v>3.0336154702163284E-4</v>
      </c>
      <c r="AC396" s="31">
        <f>149/509</f>
        <v>0.29273084479371314</v>
      </c>
      <c r="AD396" s="31">
        <f>430/2512</f>
        <v>0.17117834394904458</v>
      </c>
      <c r="AE396" s="31">
        <f>99/401</f>
        <v>0.24688279301745636</v>
      </c>
      <c r="AF396" s="22">
        <f t="shared" si="90"/>
        <v>8</v>
      </c>
      <c r="AG396" s="12">
        <v>0</v>
      </c>
      <c r="AH396" s="12">
        <v>0</v>
      </c>
      <c r="AI396" s="20">
        <v>0</v>
      </c>
      <c r="AJ396" s="23">
        <f t="shared" si="91"/>
        <v>0</v>
      </c>
      <c r="AK396" s="23">
        <v>910869</v>
      </c>
      <c r="AL396" s="28">
        <f>AK396/detalle!$D$2</f>
        <v>83104.550067382763</v>
      </c>
    </row>
    <row r="397" spans="1:38">
      <c r="A397" s="12">
        <v>396</v>
      </c>
      <c r="B397" s="19">
        <v>44286</v>
      </c>
      <c r="C397" s="12">
        <v>378</v>
      </c>
      <c r="D397" s="23">
        <f t="shared" si="87"/>
        <v>469</v>
      </c>
      <c r="E397" s="12">
        <v>253196</v>
      </c>
      <c r="F397" s="12">
        <v>3330</v>
      </c>
      <c r="G397" s="12">
        <v>212818</v>
      </c>
      <c r="H397" s="23">
        <f t="shared" si="83"/>
        <v>37048</v>
      </c>
      <c r="I397" s="23">
        <f t="shared" si="81"/>
        <v>3172</v>
      </c>
      <c r="J397" s="12">
        <v>1311788</v>
      </c>
      <c r="K397" s="23">
        <f t="shared" si="82"/>
        <v>1058592</v>
      </c>
      <c r="L397" s="9">
        <f t="shared" si="88"/>
        <v>662</v>
      </c>
      <c r="M397" s="14">
        <f t="shared" si="84"/>
        <v>1.3151866538175959E-2</v>
      </c>
      <c r="N397" s="14">
        <f t="shared" si="80"/>
        <v>0.14785624211853721</v>
      </c>
      <c r="O397" s="12"/>
      <c r="P397" s="12"/>
      <c r="Q397" s="12"/>
      <c r="R397" s="23">
        <f t="shared" si="85"/>
        <v>216148</v>
      </c>
      <c r="S397" s="25">
        <f>(((H397+R397)/(H396+R396))-1)+detalle!$D$1</f>
        <v>7.3284328826870776E-2</v>
      </c>
      <c r="T397" s="25">
        <f t="shared" si="89"/>
        <v>1.0259806035761909</v>
      </c>
      <c r="U397" s="10">
        <f t="shared" si="86"/>
        <v>0.8405267065830424</v>
      </c>
      <c r="V397" s="21">
        <f t="shared" si="79"/>
        <v>63.909309309309307</v>
      </c>
      <c r="W397" s="15">
        <f>J397/detalle!$D$2</f>
        <v>119683.01865997404</v>
      </c>
      <c r="X397" s="15">
        <f>E397/detalle!$D$2</f>
        <v>23100.73090516973</v>
      </c>
      <c r="Y397" s="22">
        <f>F397/detalle!$D$2</f>
        <v>303.81772979910897</v>
      </c>
      <c r="AA397" s="14">
        <f>E397/(detalle!$D$2*1000000)</f>
        <v>2.3100730905169727E-2</v>
      </c>
      <c r="AB397" s="14">
        <f>F397/(detalle!$D$2*1000000)</f>
        <v>3.0381772979910896E-4</v>
      </c>
      <c r="AC397" s="31">
        <f>154/507</f>
        <v>0.30374753451676528</v>
      </c>
      <c r="AD397" s="31">
        <f>422/2512</f>
        <v>0.1679936305732484</v>
      </c>
      <c r="AE397" s="31">
        <f>99/401</f>
        <v>0.24688279301745636</v>
      </c>
      <c r="AF397" s="22">
        <f t="shared" si="90"/>
        <v>5</v>
      </c>
      <c r="AG397" s="12">
        <v>0</v>
      </c>
      <c r="AH397" s="12">
        <v>0</v>
      </c>
      <c r="AI397" s="20">
        <v>0</v>
      </c>
      <c r="AJ397" s="23">
        <f t="shared" si="91"/>
        <v>89131</v>
      </c>
      <c r="AK397" s="23">
        <v>1000000</v>
      </c>
      <c r="AL397" s="28">
        <f>AK397/detalle!$D$2</f>
        <v>91236.55549522792</v>
      </c>
    </row>
    <row r="398" spans="1:38">
      <c r="A398" s="12">
        <v>397</v>
      </c>
      <c r="B398" s="19">
        <v>44287</v>
      </c>
      <c r="C398" s="12">
        <v>379</v>
      </c>
      <c r="D398" s="23">
        <f t="shared" si="87"/>
        <v>585</v>
      </c>
      <c r="E398" s="12">
        <v>253781</v>
      </c>
      <c r="F398" s="12">
        <v>3334</v>
      </c>
      <c r="G398" s="12">
        <v>213339</v>
      </c>
      <c r="H398" s="23">
        <f t="shared" si="83"/>
        <v>37108</v>
      </c>
      <c r="I398" s="23">
        <f t="shared" si="81"/>
        <v>4624</v>
      </c>
      <c r="J398" s="12">
        <v>1316412</v>
      </c>
      <c r="K398" s="23">
        <f t="shared" si="82"/>
        <v>1062631</v>
      </c>
      <c r="L398" s="9">
        <f t="shared" si="88"/>
        <v>521</v>
      </c>
      <c r="M398" s="14">
        <f t="shared" si="84"/>
        <v>1.3137311303840713E-2</v>
      </c>
      <c r="N398" s="14">
        <f t="shared" si="80"/>
        <v>0.12651384083044984</v>
      </c>
      <c r="O398" s="12"/>
      <c r="P398" s="12"/>
      <c r="Q398" s="12"/>
      <c r="R398" s="23">
        <f t="shared" si="85"/>
        <v>216673</v>
      </c>
      <c r="S398" s="25">
        <f>(((H398+R398)/(H397+R397))-1)+detalle!$D$1</f>
        <v>7.3739034469061854E-2</v>
      </c>
      <c r="T398" s="25">
        <f t="shared" si="89"/>
        <v>1.032346482566866</v>
      </c>
      <c r="U398" s="10">
        <f t="shared" si="86"/>
        <v>0.84064212844933228</v>
      </c>
      <c r="V398" s="21">
        <f t="shared" si="79"/>
        <v>63.988902219556088</v>
      </c>
      <c r="W398" s="15">
        <f>J398/detalle!$D$2</f>
        <v>120104.89649258398</v>
      </c>
      <c r="X398" s="15">
        <f>E398/detalle!$D$2</f>
        <v>23154.104290134437</v>
      </c>
      <c r="Y398" s="22">
        <f>F398/detalle!$D$2</f>
        <v>304.18267602108989</v>
      </c>
      <c r="AA398" s="14">
        <f>E398/(detalle!$D$2*1000000)</f>
        <v>2.3154104290134436E-2</v>
      </c>
      <c r="AB398" s="14">
        <f>F398/(detalle!$D$2*1000000)</f>
        <v>3.0418267602108987E-4</v>
      </c>
      <c r="AC398" s="31">
        <f>158/507</f>
        <v>0.31163708086785008</v>
      </c>
      <c r="AD398" s="31">
        <f>426/2510</f>
        <v>0.1697211155378486</v>
      </c>
      <c r="AE398" s="31">
        <f>98/401</f>
        <v>0.24438902743142144</v>
      </c>
      <c r="AF398" s="22">
        <f t="shared" si="90"/>
        <v>4</v>
      </c>
      <c r="AG398" s="12">
        <v>0</v>
      </c>
      <c r="AH398" s="12">
        <v>0</v>
      </c>
      <c r="AI398" s="20">
        <v>0</v>
      </c>
      <c r="AJ398" s="23">
        <f t="shared" si="91"/>
        <v>0</v>
      </c>
      <c r="AK398" s="23">
        <v>1000000</v>
      </c>
      <c r="AL398" s="28">
        <f>AK398/detalle!$D$2</f>
        <v>91236.55549522792</v>
      </c>
    </row>
    <row r="399" spans="1:38">
      <c r="A399" s="12">
        <v>398</v>
      </c>
      <c r="B399" s="19">
        <v>44288</v>
      </c>
      <c r="C399" s="12">
        <v>380</v>
      </c>
      <c r="D399" s="23">
        <f t="shared" si="87"/>
        <v>355</v>
      </c>
      <c r="E399" s="12">
        <v>254136</v>
      </c>
      <c r="F399" s="12">
        <v>3341</v>
      </c>
      <c r="G399" s="12">
        <v>213725</v>
      </c>
      <c r="H399" s="23">
        <f t="shared" si="83"/>
        <v>37070</v>
      </c>
      <c r="I399" s="23">
        <f t="shared" si="81"/>
        <v>2671</v>
      </c>
      <c r="J399" s="12">
        <v>1319083</v>
      </c>
      <c r="K399" s="23">
        <f t="shared" si="82"/>
        <v>1064947</v>
      </c>
      <c r="L399" s="9">
        <f t="shared" si="88"/>
        <v>386</v>
      </c>
      <c r="M399" s="14">
        <f t="shared" si="84"/>
        <v>1.3146504233953474E-2</v>
      </c>
      <c r="N399" s="14">
        <f t="shared" si="80"/>
        <v>0.13290902283788844</v>
      </c>
      <c r="O399" s="12"/>
      <c r="P399" s="12"/>
      <c r="Q399" s="12"/>
      <c r="R399" s="23">
        <f t="shared" si="85"/>
        <v>217066</v>
      </c>
      <c r="S399" s="25">
        <f>(((H399+R399)/(H398+R398))-1)+detalle!$D$1</f>
        <v>7.2827415313653471E-2</v>
      </c>
      <c r="T399" s="25">
        <f t="shared" si="89"/>
        <v>1.0195838143911486</v>
      </c>
      <c r="U399" s="10">
        <f t="shared" si="86"/>
        <v>0.84098671577423112</v>
      </c>
      <c r="V399" s="21">
        <f t="shared" si="79"/>
        <v>63.970368153247527</v>
      </c>
      <c r="W399" s="15">
        <f>J399/detalle!$D$2</f>
        <v>120348.58933231173</v>
      </c>
      <c r="X399" s="15">
        <f>E399/detalle!$D$2</f>
        <v>23186.493267335241</v>
      </c>
      <c r="Y399" s="22">
        <f>F399/detalle!$D$2</f>
        <v>304.82133190955648</v>
      </c>
      <c r="AA399" s="14">
        <f>E399/(detalle!$D$2*1000000)</f>
        <v>2.3186493267335243E-2</v>
      </c>
      <c r="AB399" s="14">
        <f>F399/(detalle!$D$2*1000000)</f>
        <v>3.0482133190955647E-4</v>
      </c>
      <c r="AC399" s="31">
        <f>162/507</f>
        <v>0.31952662721893493</v>
      </c>
      <c r="AD399" s="31">
        <f>445/2513</f>
        <v>0.17707918822124949</v>
      </c>
      <c r="AE399" s="31">
        <f>98/401</f>
        <v>0.24438902743142144</v>
      </c>
      <c r="AF399" s="22">
        <f t="shared" si="90"/>
        <v>7</v>
      </c>
      <c r="AG399" s="12">
        <v>0</v>
      </c>
      <c r="AH399" s="12">
        <v>0</v>
      </c>
      <c r="AI399" s="20">
        <v>0</v>
      </c>
      <c r="AJ399" s="23">
        <f t="shared" si="91"/>
        <v>0</v>
      </c>
      <c r="AK399" s="23">
        <v>1000000</v>
      </c>
      <c r="AL399" s="28">
        <f>AK399/detalle!$D$2</f>
        <v>91236.55549522792</v>
      </c>
    </row>
    <row r="400" spans="1:38">
      <c r="A400" s="12">
        <v>399</v>
      </c>
      <c r="B400" s="19">
        <v>44289</v>
      </c>
      <c r="C400" s="12">
        <v>381</v>
      </c>
      <c r="D400" s="23">
        <f t="shared" si="87"/>
        <v>159</v>
      </c>
      <c r="E400" s="12">
        <v>254295</v>
      </c>
      <c r="F400" s="12">
        <v>3346</v>
      </c>
      <c r="G400" s="12">
        <v>214177</v>
      </c>
      <c r="H400" s="23">
        <f t="shared" si="83"/>
        <v>36772</v>
      </c>
      <c r="I400" s="23">
        <f t="shared" si="81"/>
        <v>1080</v>
      </c>
      <c r="J400" s="12">
        <v>1320163</v>
      </c>
      <c r="K400" s="23">
        <f t="shared" si="82"/>
        <v>1065868</v>
      </c>
      <c r="L400" s="9">
        <f t="shared" si="88"/>
        <v>452</v>
      </c>
      <c r="M400" s="14">
        <f t="shared" si="84"/>
        <v>1.315794647948249E-2</v>
      </c>
      <c r="N400" s="14">
        <f t="shared" si="80"/>
        <v>0.14722222222222223</v>
      </c>
      <c r="O400" s="12"/>
      <c r="P400" s="12"/>
      <c r="Q400" s="12"/>
      <c r="R400" s="23">
        <f t="shared" si="85"/>
        <v>217523</v>
      </c>
      <c r="S400" s="25">
        <f>(((H400+R400)/(H399+R399))-1)+detalle!$D$1</f>
        <v>7.2054220687236131E-2</v>
      </c>
      <c r="T400" s="25">
        <f t="shared" si="89"/>
        <v>1.0087590896213059</v>
      </c>
      <c r="U400" s="10">
        <f t="shared" si="86"/>
        <v>0.84223834522896635</v>
      </c>
      <c r="V400" s="21">
        <f t="shared" si="79"/>
        <v>64.009862522414821</v>
      </c>
      <c r="W400" s="15">
        <f>J400/detalle!$D$2</f>
        <v>120447.12481224658</v>
      </c>
      <c r="X400" s="15">
        <f>E400/detalle!$D$2</f>
        <v>23200.999879658983</v>
      </c>
      <c r="Y400" s="22">
        <f>F400/detalle!$D$2</f>
        <v>305.27751468703264</v>
      </c>
      <c r="AA400" s="14">
        <f>E400/(detalle!$D$2*1000000)</f>
        <v>2.3200999879658984E-2</v>
      </c>
      <c r="AB400" s="14">
        <f>F400/(detalle!$D$2*1000000)</f>
        <v>3.0527751468703259E-4</v>
      </c>
      <c r="AC400" s="31">
        <f>163/507</f>
        <v>0.32149901380670609</v>
      </c>
      <c r="AD400" s="31">
        <f>453/2513</f>
        <v>0.1802626343016315</v>
      </c>
      <c r="AE400" s="31">
        <f>96/401</f>
        <v>0.23940149625935161</v>
      </c>
      <c r="AF400" s="22">
        <f t="shared" si="90"/>
        <v>5</v>
      </c>
      <c r="AG400" s="12">
        <v>0</v>
      </c>
      <c r="AH400" s="12">
        <v>0</v>
      </c>
      <c r="AI400" s="20">
        <v>0</v>
      </c>
      <c r="AJ400" s="23">
        <f t="shared" si="91"/>
        <v>0</v>
      </c>
      <c r="AK400" s="23">
        <v>1000000</v>
      </c>
      <c r="AL400" s="28">
        <f>AK400/detalle!$D$2</f>
        <v>91236.55549522792</v>
      </c>
    </row>
    <row r="401" spans="1:38">
      <c r="A401" s="12">
        <v>400</v>
      </c>
      <c r="B401" s="19">
        <v>44290</v>
      </c>
      <c r="C401" s="12">
        <v>382</v>
      </c>
      <c r="D401" s="23">
        <f t="shared" si="87"/>
        <v>140</v>
      </c>
      <c r="E401" s="12">
        <v>254435</v>
      </c>
      <c r="F401" s="12">
        <v>3351</v>
      </c>
      <c r="G401" s="12">
        <v>214512</v>
      </c>
      <c r="H401" s="23">
        <f t="shared" si="83"/>
        <v>36572</v>
      </c>
      <c r="I401" s="23">
        <f t="shared" si="81"/>
        <v>1612</v>
      </c>
      <c r="J401" s="12">
        <v>1321775</v>
      </c>
      <c r="K401" s="23">
        <f t="shared" si="82"/>
        <v>1067340</v>
      </c>
      <c r="L401" s="9">
        <f t="shared" si="88"/>
        <v>335</v>
      </c>
      <c r="M401" s="14">
        <f t="shared" si="84"/>
        <v>1.3170357851710652E-2</v>
      </c>
      <c r="N401" s="14">
        <f t="shared" si="80"/>
        <v>8.6848635235732011E-2</v>
      </c>
      <c r="O401" s="12"/>
      <c r="P401" s="12"/>
      <c r="Q401" s="12"/>
      <c r="R401" s="23">
        <f t="shared" si="85"/>
        <v>217863</v>
      </c>
      <c r="S401" s="25">
        <f>(((H401+R401)/(H400+R400))-1)+detalle!$D$1</f>
        <v>7.1979113122273591E-2</v>
      </c>
      <c r="T401" s="25">
        <f t="shared" si="89"/>
        <v>1.0077075837118303</v>
      </c>
      <c r="U401" s="10">
        <f t="shared" si="86"/>
        <v>0.84309155580010608</v>
      </c>
      <c r="V401" s="21">
        <f t="shared" ref="V401:V464" si="92">G401/F401</f>
        <v>64.014324082363473</v>
      </c>
      <c r="W401" s="15">
        <f>J401/detalle!$D$2</f>
        <v>120594.19813970488</v>
      </c>
      <c r="X401" s="15">
        <f>E401/detalle!$D$2</f>
        <v>23213.772997428317</v>
      </c>
      <c r="Y401" s="22">
        <f>F401/detalle!$D$2</f>
        <v>305.73369746450874</v>
      </c>
      <c r="AA401" s="14">
        <f>E401/(detalle!$D$2*1000000)</f>
        <v>2.3213772997428314E-2</v>
      </c>
      <c r="AB401" s="14">
        <f>F401/(detalle!$D$2*1000000)</f>
        <v>3.0573369746450876E-4</v>
      </c>
      <c r="AC401" s="31">
        <f>162/497</f>
        <v>0.32595573440643866</v>
      </c>
      <c r="AD401" s="31">
        <f>456/2391</f>
        <v>0.19071518193224593</v>
      </c>
      <c r="AE401" s="31">
        <f>96/391</f>
        <v>0.24552429667519182</v>
      </c>
      <c r="AF401" s="22">
        <f t="shared" si="90"/>
        <v>5</v>
      </c>
      <c r="AG401" s="12">
        <v>0</v>
      </c>
      <c r="AH401" s="12">
        <v>0</v>
      </c>
      <c r="AI401" s="20">
        <v>0</v>
      </c>
      <c r="AJ401" s="23">
        <f t="shared" si="91"/>
        <v>0</v>
      </c>
      <c r="AK401" s="23">
        <v>1000000</v>
      </c>
      <c r="AL401" s="28">
        <f>AK401/detalle!$D$2</f>
        <v>91236.55549522792</v>
      </c>
    </row>
    <row r="402" spans="1:38">
      <c r="A402" s="12">
        <v>401</v>
      </c>
      <c r="B402" s="19">
        <v>44291</v>
      </c>
      <c r="C402" s="12">
        <v>383</v>
      </c>
      <c r="D402" s="23">
        <f t="shared" si="87"/>
        <v>168</v>
      </c>
      <c r="E402" s="12">
        <v>254603</v>
      </c>
      <c r="F402" s="12">
        <v>3355</v>
      </c>
      <c r="G402" s="12">
        <v>214704</v>
      </c>
      <c r="H402" s="23">
        <f t="shared" si="83"/>
        <v>36544</v>
      </c>
      <c r="I402" s="23">
        <f t="shared" si="81"/>
        <v>1132</v>
      </c>
      <c r="J402" s="12">
        <v>1322907</v>
      </c>
      <c r="K402" s="23">
        <f t="shared" si="82"/>
        <v>1068304</v>
      </c>
      <c r="L402" s="9">
        <f t="shared" si="88"/>
        <v>192</v>
      </c>
      <c r="M402" s="14">
        <f t="shared" si="84"/>
        <v>1.3177378114162048E-2</v>
      </c>
      <c r="N402" s="14">
        <f t="shared" si="80"/>
        <v>0.14840989399293286</v>
      </c>
      <c r="O402" s="12"/>
      <c r="P402" s="12"/>
      <c r="Q402" s="12"/>
      <c r="R402" s="23">
        <f t="shared" si="85"/>
        <v>218059</v>
      </c>
      <c r="S402" s="25">
        <f>(((H402+R402)/(H401+R401))-1)+detalle!$D$1</f>
        <v>7.2088857945756618E-2</v>
      </c>
      <c r="T402" s="25">
        <f t="shared" si="89"/>
        <v>1.0092440112405927</v>
      </c>
      <c r="U402" s="10">
        <f t="shared" si="86"/>
        <v>0.84328935637050628</v>
      </c>
      <c r="V402" s="21">
        <f t="shared" si="92"/>
        <v>63.99523099850969</v>
      </c>
      <c r="W402" s="15">
        <f>J402/detalle!$D$2</f>
        <v>120697.47792052549</v>
      </c>
      <c r="X402" s="15">
        <f>E402/detalle!$D$2</f>
        <v>23229.100738751513</v>
      </c>
      <c r="Y402" s="22">
        <f>F402/detalle!$D$2</f>
        <v>306.09864368648965</v>
      </c>
      <c r="AA402" s="14">
        <f>E402/(detalle!$D$2*1000000)</f>
        <v>2.3229100738751514E-2</v>
      </c>
      <c r="AB402" s="14">
        <f>F402/(detalle!$D$2*1000000)</f>
        <v>3.0609864368648967E-4</v>
      </c>
      <c r="AC402" s="31">
        <f>155/494</f>
        <v>0.31376518218623484</v>
      </c>
      <c r="AD402" s="31">
        <f>476/2384</f>
        <v>0.19966442953020133</v>
      </c>
      <c r="AE402" s="31">
        <f>90/391</f>
        <v>0.23017902813299232</v>
      </c>
      <c r="AF402" s="22">
        <f t="shared" si="90"/>
        <v>4</v>
      </c>
      <c r="AG402" s="12">
        <v>0</v>
      </c>
      <c r="AH402" s="12">
        <v>0</v>
      </c>
      <c r="AI402" s="20">
        <v>0</v>
      </c>
      <c r="AJ402" s="23">
        <f t="shared" si="91"/>
        <v>0</v>
      </c>
      <c r="AK402" s="23">
        <v>1000000</v>
      </c>
      <c r="AL402" s="28">
        <f>AK402/detalle!$D$2</f>
        <v>91236.55549522792</v>
      </c>
    </row>
    <row r="403" spans="1:38">
      <c r="A403" s="12">
        <v>402</v>
      </c>
      <c r="B403" s="19">
        <v>44292</v>
      </c>
      <c r="C403" s="12">
        <v>384</v>
      </c>
      <c r="D403" s="23">
        <f t="shared" si="87"/>
        <v>334</v>
      </c>
      <c r="E403" s="12">
        <v>254937</v>
      </c>
      <c r="F403" s="12">
        <v>3369</v>
      </c>
      <c r="G403" s="12">
        <v>214943</v>
      </c>
      <c r="H403" s="23">
        <f t="shared" si="83"/>
        <v>36625</v>
      </c>
      <c r="I403" s="23">
        <f t="shared" si="81"/>
        <v>2238</v>
      </c>
      <c r="J403" s="12">
        <v>1325145</v>
      </c>
      <c r="K403" s="23">
        <f t="shared" si="82"/>
        <v>1070208</v>
      </c>
      <c r="L403" s="9">
        <f t="shared" si="88"/>
        <v>239</v>
      </c>
      <c r="M403" s="14">
        <f t="shared" si="84"/>
        <v>1.3215029595547136E-2</v>
      </c>
      <c r="N403" s="14">
        <f t="shared" si="80"/>
        <v>0.14924039320822163</v>
      </c>
      <c r="O403" s="12"/>
      <c r="P403" s="12"/>
      <c r="Q403" s="12"/>
      <c r="R403" s="23">
        <f t="shared" si="85"/>
        <v>218312</v>
      </c>
      <c r="S403" s="25">
        <f>(((H403+R403)/(H402+R402))-1)+detalle!$D$1</f>
        <v>7.2740417714750399E-2</v>
      </c>
      <c r="T403" s="25">
        <f t="shared" si="89"/>
        <v>1.0183658480065056</v>
      </c>
      <c r="U403" s="10">
        <f t="shared" si="86"/>
        <v>0.84312202622608723</v>
      </c>
      <c r="V403" s="21">
        <f t="shared" si="92"/>
        <v>63.800237459186704</v>
      </c>
      <c r="W403" s="15">
        <f>J403/detalle!$D$2</f>
        <v>120901.66533172381</v>
      </c>
      <c r="X403" s="15">
        <f>E403/detalle!$D$2</f>
        <v>23259.573748286919</v>
      </c>
      <c r="Y403" s="22">
        <f>F403/detalle!$D$2</f>
        <v>307.37595546342288</v>
      </c>
      <c r="AA403" s="14">
        <f>E403/(detalle!$D$2*1000000)</f>
        <v>2.3259573748286921E-2</v>
      </c>
      <c r="AB403" s="14">
        <f>F403/(detalle!$D$2*1000000)</f>
        <v>3.0737595546342288E-4</v>
      </c>
      <c r="AC403" s="31">
        <f>157/487</f>
        <v>0.32238193018480493</v>
      </c>
      <c r="AD403" s="31">
        <f>483/2389</f>
        <v>0.20217664294683968</v>
      </c>
      <c r="AE403" s="31">
        <f>93/391</f>
        <v>0.23785166240409208</v>
      </c>
      <c r="AF403" s="22">
        <f t="shared" si="90"/>
        <v>14</v>
      </c>
      <c r="AG403" s="12">
        <v>0</v>
      </c>
      <c r="AH403" s="12">
        <v>0</v>
      </c>
      <c r="AI403" s="20">
        <v>0</v>
      </c>
      <c r="AJ403" s="23">
        <f t="shared" si="91"/>
        <v>0</v>
      </c>
      <c r="AK403" s="23">
        <v>1000000</v>
      </c>
      <c r="AL403" s="28">
        <f>AK403/detalle!$D$2</f>
        <v>91236.55549522792</v>
      </c>
    </row>
    <row r="404" spans="1:38">
      <c r="A404" s="12">
        <v>403</v>
      </c>
      <c r="B404" s="19">
        <v>44293</v>
      </c>
      <c r="C404" s="12">
        <v>385</v>
      </c>
      <c r="D404" s="23">
        <f t="shared" si="87"/>
        <v>1094</v>
      </c>
      <c r="E404" s="12">
        <v>256031</v>
      </c>
      <c r="F404" s="12">
        <v>3378</v>
      </c>
      <c r="G404" s="12">
        <v>215405</v>
      </c>
      <c r="H404" s="23">
        <f t="shared" si="83"/>
        <v>37248</v>
      </c>
      <c r="I404" s="23">
        <f t="shared" si="81"/>
        <v>11116</v>
      </c>
      <c r="J404" s="12">
        <v>1336261</v>
      </c>
      <c r="K404" s="23">
        <f t="shared" si="82"/>
        <v>1080230</v>
      </c>
      <c r="L404" s="9">
        <f t="shared" si="88"/>
        <v>462</v>
      </c>
      <c r="M404" s="14">
        <f t="shared" si="84"/>
        <v>1.3193714823595579E-2</v>
      </c>
      <c r="N404" s="14">
        <f t="shared" ref="N404:N467" si="93">D404/I404</f>
        <v>9.8416696653472469E-2</v>
      </c>
      <c r="O404" s="12"/>
      <c r="P404" s="12"/>
      <c r="Q404" s="12"/>
      <c r="R404" s="23">
        <f t="shared" si="85"/>
        <v>218783</v>
      </c>
      <c r="S404" s="25">
        <f>(((H404+R404)/(H403+R403))-1)+detalle!$D$1</f>
        <v>7.5719827699728653E-2</v>
      </c>
      <c r="T404" s="25">
        <f t="shared" si="89"/>
        <v>1.0600775877962012</v>
      </c>
      <c r="U404" s="10">
        <f t="shared" si="86"/>
        <v>0.84132390218371988</v>
      </c>
      <c r="V404" s="21">
        <f t="shared" si="92"/>
        <v>63.767021906453522</v>
      </c>
      <c r="W404" s="15">
        <f>J404/detalle!$D$2</f>
        <v>121915.85088260875</v>
      </c>
      <c r="X404" s="15">
        <f>E404/detalle!$D$2</f>
        <v>23359.386539998701</v>
      </c>
      <c r="Y404" s="22">
        <f>F404/detalle!$D$2</f>
        <v>308.1970844628799</v>
      </c>
      <c r="AA404" s="14">
        <f>E404/(detalle!$D$2*1000000)</f>
        <v>2.3359386539998698E-2</v>
      </c>
      <c r="AB404" s="14">
        <f>F404/(detalle!$D$2*1000000)</f>
        <v>3.081970844628799E-4</v>
      </c>
      <c r="AC404" s="31">
        <f>162/487</f>
        <v>0.3326488706365503</v>
      </c>
      <c r="AD404" s="31">
        <f>481/2389</f>
        <v>0.20133947258267057</v>
      </c>
      <c r="AE404" s="31">
        <f>101/391</f>
        <v>0.25831202046035806</v>
      </c>
      <c r="AF404" s="22">
        <f t="shared" si="90"/>
        <v>9</v>
      </c>
      <c r="AG404" s="12">
        <v>0</v>
      </c>
      <c r="AH404" s="12">
        <v>0</v>
      </c>
      <c r="AI404" s="20">
        <v>0</v>
      </c>
      <c r="AJ404" s="23">
        <f t="shared" si="91"/>
        <v>0</v>
      </c>
      <c r="AK404" s="23">
        <v>1000000</v>
      </c>
      <c r="AL404" s="28">
        <f>AK404/detalle!$D$2</f>
        <v>91236.55549522792</v>
      </c>
    </row>
    <row r="405" spans="1:38">
      <c r="A405" s="12">
        <v>404</v>
      </c>
      <c r="B405" s="19">
        <v>44294</v>
      </c>
      <c r="C405" s="12">
        <v>386</v>
      </c>
      <c r="D405" s="23">
        <f t="shared" si="87"/>
        <v>532</v>
      </c>
      <c r="E405" s="12">
        <v>256563</v>
      </c>
      <c r="F405" s="12">
        <v>3382</v>
      </c>
      <c r="G405" s="12">
        <v>215726</v>
      </c>
      <c r="H405" s="23">
        <f t="shared" si="83"/>
        <v>37455</v>
      </c>
      <c r="I405" s="23">
        <f t="shared" si="81"/>
        <v>3614</v>
      </c>
      <c r="J405" s="12">
        <v>1339875</v>
      </c>
      <c r="K405" s="23">
        <f t="shared" si="82"/>
        <v>1083312</v>
      </c>
      <c r="L405" s="9">
        <f t="shared" si="88"/>
        <v>321</v>
      </c>
      <c r="M405" s="14">
        <f t="shared" si="84"/>
        <v>1.3181947513865991E-2</v>
      </c>
      <c r="N405" s="14">
        <f t="shared" si="93"/>
        <v>0.14720531267293857</v>
      </c>
      <c r="O405" s="12"/>
      <c r="P405" s="12"/>
      <c r="Q405" s="12"/>
      <c r="R405" s="23">
        <f t="shared" si="85"/>
        <v>219108</v>
      </c>
      <c r="S405" s="25">
        <f>(((H405+R405)/(H404+R404))-1)+detalle!$D$1</f>
        <v>7.3506444811091615E-2</v>
      </c>
      <c r="T405" s="25">
        <f t="shared" si="89"/>
        <v>1.0290902273552827</v>
      </c>
      <c r="U405" s="10">
        <f t="shared" si="86"/>
        <v>0.84083051726086766</v>
      </c>
      <c r="V405" s="21">
        <f t="shared" si="92"/>
        <v>63.786516853932582</v>
      </c>
      <c r="W405" s="15">
        <f>J405/detalle!$D$2</f>
        <v>122245.57979416852</v>
      </c>
      <c r="X405" s="15">
        <f>E405/detalle!$D$2</f>
        <v>23407.924387522162</v>
      </c>
      <c r="Y405" s="22">
        <f>F405/detalle!$D$2</f>
        <v>308.56203068486082</v>
      </c>
      <c r="AA405" s="14">
        <f>E405/(detalle!$D$2*1000000)</f>
        <v>2.340792438752216E-2</v>
      </c>
      <c r="AB405" s="14">
        <f>F405/(detalle!$D$2*1000000)</f>
        <v>3.0856203068486081E-4</v>
      </c>
      <c r="AC405" s="31">
        <f>155/486</f>
        <v>0.31893004115226337</v>
      </c>
      <c r="AD405" s="31">
        <f>486/2445</f>
        <v>0.19877300613496932</v>
      </c>
      <c r="AE405" s="31">
        <f>97/387</f>
        <v>0.25064599483204136</v>
      </c>
      <c r="AF405" s="22">
        <f t="shared" si="90"/>
        <v>4</v>
      </c>
      <c r="AG405" s="12">
        <v>0</v>
      </c>
      <c r="AH405" s="12">
        <v>0</v>
      </c>
      <c r="AI405" s="20">
        <v>0</v>
      </c>
      <c r="AJ405" s="23">
        <f t="shared" si="91"/>
        <v>0</v>
      </c>
      <c r="AK405" s="23">
        <v>1000000</v>
      </c>
      <c r="AL405" s="28">
        <f>AK405/detalle!$D$2</f>
        <v>91236.55549522792</v>
      </c>
    </row>
    <row r="406" spans="1:38">
      <c r="A406" s="12">
        <v>405</v>
      </c>
      <c r="B406" s="19">
        <v>44295</v>
      </c>
      <c r="C406" s="12">
        <v>387</v>
      </c>
      <c r="D406" s="23">
        <f t="shared" si="87"/>
        <v>623</v>
      </c>
      <c r="E406" s="12">
        <v>257186</v>
      </c>
      <c r="F406" s="12">
        <v>3385</v>
      </c>
      <c r="G406" s="12">
        <v>216020</v>
      </c>
      <c r="H406" s="23">
        <f t="shared" si="83"/>
        <v>37781</v>
      </c>
      <c r="I406" s="23">
        <f t="shared" si="81"/>
        <v>3516</v>
      </c>
      <c r="J406" s="12">
        <v>1343391</v>
      </c>
      <c r="K406" s="23">
        <f t="shared" si="82"/>
        <v>1086205</v>
      </c>
      <c r="L406" s="9">
        <f t="shared" si="88"/>
        <v>294</v>
      </c>
      <c r="M406" s="14">
        <f t="shared" si="84"/>
        <v>1.3161680651357383E-2</v>
      </c>
      <c r="N406" s="14">
        <f t="shared" si="93"/>
        <v>0.17718998862343571</v>
      </c>
      <c r="O406" s="12"/>
      <c r="P406" s="12"/>
      <c r="Q406" s="12"/>
      <c r="R406" s="23">
        <f t="shared" si="85"/>
        <v>219405</v>
      </c>
      <c r="S406" s="25">
        <f>(((H406+R406)/(H405+R405))-1)+detalle!$D$1</f>
        <v>7.3856824917967884E-2</v>
      </c>
      <c r="T406" s="25">
        <f t="shared" si="89"/>
        <v>1.0339955488515504</v>
      </c>
      <c r="U406" s="10">
        <f t="shared" si="86"/>
        <v>0.8399368550387657</v>
      </c>
      <c r="V406" s="21">
        <f t="shared" si="92"/>
        <v>63.816838995568688</v>
      </c>
      <c r="W406" s="15">
        <f>J406/detalle!$D$2</f>
        <v>122566.36752328974</v>
      </c>
      <c r="X406" s="15">
        <f>E406/detalle!$D$2</f>
        <v>23464.764761595688</v>
      </c>
      <c r="Y406" s="22">
        <f>F406/detalle!$D$2</f>
        <v>308.83574035134649</v>
      </c>
      <c r="AA406" s="14">
        <f>E406/(detalle!$D$2*1000000)</f>
        <v>2.3464764761595688E-2</v>
      </c>
      <c r="AB406" s="14">
        <f>F406/(detalle!$D$2*1000000)</f>
        <v>3.0883574035134651E-4</v>
      </c>
      <c r="AC406" s="31">
        <f>154/486</f>
        <v>0.3168724279835391</v>
      </c>
      <c r="AD406" s="31">
        <f>498/2435</f>
        <v>0.20451745379876796</v>
      </c>
      <c r="AE406" s="31">
        <f>101/387</f>
        <v>0.26098191214470284</v>
      </c>
      <c r="AF406" s="22">
        <f t="shared" si="90"/>
        <v>3</v>
      </c>
      <c r="AG406" s="12">
        <v>0</v>
      </c>
      <c r="AH406" s="12">
        <v>0</v>
      </c>
      <c r="AI406" s="20">
        <v>0</v>
      </c>
      <c r="AJ406" s="23">
        <f t="shared" si="91"/>
        <v>0</v>
      </c>
      <c r="AK406" s="23">
        <v>1000000</v>
      </c>
      <c r="AL406" s="28">
        <f>AK406/detalle!$D$2</f>
        <v>91236.55549522792</v>
      </c>
    </row>
    <row r="407" spans="1:38">
      <c r="A407" s="12">
        <v>406</v>
      </c>
      <c r="B407" s="19">
        <v>44296</v>
      </c>
      <c r="C407" s="12">
        <v>388</v>
      </c>
      <c r="D407" s="23">
        <f t="shared" si="87"/>
        <v>512</v>
      </c>
      <c r="E407" s="12">
        <v>257698</v>
      </c>
      <c r="F407" s="12">
        <v>3388</v>
      </c>
      <c r="G407" s="12">
        <v>216452</v>
      </c>
      <c r="H407" s="23">
        <f t="shared" si="83"/>
        <v>37858</v>
      </c>
      <c r="I407" s="23">
        <f t="shared" si="81"/>
        <v>3613</v>
      </c>
      <c r="J407" s="12">
        <v>1347004</v>
      </c>
      <c r="K407" s="23">
        <f t="shared" si="82"/>
        <v>1089306</v>
      </c>
      <c r="L407" s="9">
        <f t="shared" si="88"/>
        <v>432</v>
      </c>
      <c r="M407" s="14">
        <f t="shared" si="84"/>
        <v>1.3147172271418482E-2</v>
      </c>
      <c r="N407" s="14">
        <f t="shared" si="93"/>
        <v>0.14171048989759202</v>
      </c>
      <c r="O407" s="12"/>
      <c r="P407" s="12"/>
      <c r="Q407" s="12"/>
      <c r="R407" s="23">
        <f t="shared" si="85"/>
        <v>219840</v>
      </c>
      <c r="S407" s="25">
        <f>(((H407+R407)/(H406+R406))-1)+detalle!$D$1</f>
        <v>7.3419348531524237E-2</v>
      </c>
      <c r="T407" s="25">
        <f t="shared" si="89"/>
        <v>1.0278708794413394</v>
      </c>
      <c r="U407" s="10">
        <f t="shared" si="86"/>
        <v>0.83994443107823891</v>
      </c>
      <c r="V407" s="21">
        <f t="shared" si="92"/>
        <v>63.887839433293976</v>
      </c>
      <c r="W407" s="15">
        <f>J407/detalle!$D$2</f>
        <v>122896.00519829399</v>
      </c>
      <c r="X407" s="15">
        <f>E407/detalle!$D$2</f>
        <v>23511.477878009246</v>
      </c>
      <c r="Y407" s="22">
        <f>F407/detalle!$D$2</f>
        <v>309.10945001783222</v>
      </c>
      <c r="AA407" s="14">
        <f>E407/(detalle!$D$2*1000000)</f>
        <v>2.3511477878009245E-2</v>
      </c>
      <c r="AB407" s="14">
        <f>F407/(detalle!$D$2*1000000)</f>
        <v>3.091094500178322E-4</v>
      </c>
      <c r="AC407" s="31">
        <f>151/486</f>
        <v>0.31069958847736623</v>
      </c>
      <c r="AD407" s="31">
        <f>490/2435</f>
        <v>0.20123203285420946</v>
      </c>
      <c r="AE407" s="31">
        <f>104/387</f>
        <v>0.26873385012919898</v>
      </c>
      <c r="AF407" s="22">
        <f t="shared" si="90"/>
        <v>3</v>
      </c>
      <c r="AG407" s="12">
        <v>0</v>
      </c>
      <c r="AH407" s="12">
        <v>0</v>
      </c>
      <c r="AI407" s="20">
        <v>0</v>
      </c>
      <c r="AJ407" s="23">
        <f t="shared" si="91"/>
        <v>0</v>
      </c>
      <c r="AK407" s="23">
        <v>1000000</v>
      </c>
      <c r="AL407" s="28">
        <f>AK407/detalle!$D$2</f>
        <v>91236.55549522792</v>
      </c>
    </row>
    <row r="408" spans="1:38">
      <c r="A408" s="12">
        <v>407</v>
      </c>
      <c r="B408" s="19">
        <v>44297</v>
      </c>
      <c r="C408" s="12">
        <v>389</v>
      </c>
      <c r="D408" s="23">
        <f t="shared" si="87"/>
        <v>341</v>
      </c>
      <c r="E408" s="12">
        <v>258039</v>
      </c>
      <c r="F408" s="12">
        <v>3392</v>
      </c>
      <c r="G408" s="12">
        <v>216780</v>
      </c>
      <c r="H408" s="23">
        <f t="shared" si="83"/>
        <v>37867</v>
      </c>
      <c r="I408" s="23">
        <f t="shared" si="81"/>
        <v>1750</v>
      </c>
      <c r="J408" s="12">
        <v>1348754</v>
      </c>
      <c r="K408" s="23">
        <f t="shared" si="82"/>
        <v>1090715</v>
      </c>
      <c r="L408" s="9">
        <f t="shared" si="88"/>
        <v>328</v>
      </c>
      <c r="M408" s="14">
        <f t="shared" si="84"/>
        <v>1.3145299741511941E-2</v>
      </c>
      <c r="N408" s="14">
        <f t="shared" si="93"/>
        <v>0.19485714285714287</v>
      </c>
      <c r="O408" s="12"/>
      <c r="P408" s="12"/>
      <c r="Q408" s="12"/>
      <c r="R408" s="23">
        <f t="shared" si="85"/>
        <v>220172</v>
      </c>
      <c r="S408" s="25">
        <f>(((H408+R408)/(H407+R407))-1)+detalle!$D$1</f>
        <v>7.2751825780564855E-2</v>
      </c>
      <c r="T408" s="25">
        <f t="shared" si="89"/>
        <v>1.018525560927908</v>
      </c>
      <c r="U408" s="10">
        <f t="shared" si="86"/>
        <v>0.8401055654377827</v>
      </c>
      <c r="V408" s="21">
        <f t="shared" si="92"/>
        <v>63.909198113207545</v>
      </c>
      <c r="W408" s="15">
        <f>J408/detalle!$D$2</f>
        <v>123055.66917041063</v>
      </c>
      <c r="X408" s="15">
        <f>E408/detalle!$D$2</f>
        <v>23542.589543433118</v>
      </c>
      <c r="Y408" s="22">
        <f>F408/detalle!$D$2</f>
        <v>309.47439623981313</v>
      </c>
      <c r="AA408" s="14">
        <f>E408/(detalle!$D$2*1000000)</f>
        <v>2.3542589543433117E-2</v>
      </c>
      <c r="AB408" s="14">
        <f>F408/(detalle!$D$2*1000000)</f>
        <v>3.0947439623981311E-4</v>
      </c>
      <c r="AC408" s="31">
        <f>155/486</f>
        <v>0.31893004115226337</v>
      </c>
      <c r="AD408" s="31">
        <f>498/2435</f>
        <v>0.20451745379876796</v>
      </c>
      <c r="AE408" s="31">
        <f>105/387</f>
        <v>0.27131782945736432</v>
      </c>
      <c r="AF408" s="22">
        <f t="shared" si="90"/>
        <v>4</v>
      </c>
      <c r="AG408" s="12">
        <v>0</v>
      </c>
      <c r="AH408" s="12">
        <v>0</v>
      </c>
      <c r="AI408" s="20">
        <v>0</v>
      </c>
      <c r="AJ408" s="23">
        <f t="shared" si="91"/>
        <v>0</v>
      </c>
      <c r="AK408" s="23">
        <v>1000000</v>
      </c>
      <c r="AL408" s="28">
        <f>AK408/detalle!$D$2</f>
        <v>91236.55549522792</v>
      </c>
    </row>
    <row r="409" spans="1:38">
      <c r="A409" s="12">
        <v>408</v>
      </c>
      <c r="B409" s="19">
        <v>44298</v>
      </c>
      <c r="C409" s="12">
        <v>390</v>
      </c>
      <c r="D409" s="23">
        <f t="shared" si="87"/>
        <v>598</v>
      </c>
      <c r="E409" s="12">
        <v>258637</v>
      </c>
      <c r="F409" s="12">
        <v>3397</v>
      </c>
      <c r="G409" s="12">
        <v>217008</v>
      </c>
      <c r="H409" s="23">
        <f t="shared" si="83"/>
        <v>38232</v>
      </c>
      <c r="I409" s="23">
        <f t="shared" si="81"/>
        <v>3949</v>
      </c>
      <c r="J409" s="12">
        <v>1352703</v>
      </c>
      <c r="K409" s="23">
        <f t="shared" si="82"/>
        <v>1094066</v>
      </c>
      <c r="L409" s="9">
        <f t="shared" si="88"/>
        <v>228</v>
      </c>
      <c r="M409" s="14">
        <f t="shared" si="84"/>
        <v>1.3134238334035734E-2</v>
      </c>
      <c r="N409" s="14">
        <f t="shared" si="93"/>
        <v>0.15143074195998987</v>
      </c>
      <c r="O409" s="12"/>
      <c r="P409" s="12"/>
      <c r="Q409" s="12"/>
      <c r="R409" s="23">
        <f t="shared" si="85"/>
        <v>220405</v>
      </c>
      <c r="S409" s="25">
        <f>(((H409+R409)/(H408+R408))-1)+detalle!$D$1</f>
        <v>7.3746050569321514E-2</v>
      </c>
      <c r="T409" s="25">
        <f t="shared" si="89"/>
        <v>1.0324447079705013</v>
      </c>
      <c r="U409" s="10">
        <f t="shared" si="86"/>
        <v>0.83904468424858003</v>
      </c>
      <c r="V409" s="21">
        <f t="shared" si="92"/>
        <v>63.882249043273475</v>
      </c>
      <c r="W409" s="15">
        <f>J409/detalle!$D$2</f>
        <v>123415.96232806129</v>
      </c>
      <c r="X409" s="15">
        <f>E409/detalle!$D$2</f>
        <v>23597.149003619263</v>
      </c>
      <c r="Y409" s="22">
        <f>F409/detalle!$D$2</f>
        <v>309.93057901728923</v>
      </c>
      <c r="AA409" s="14">
        <f>E409/(detalle!$D$2*1000000)</f>
        <v>2.3597149003619262E-2</v>
      </c>
      <c r="AB409" s="14">
        <f>F409/(detalle!$D$2*1000000)</f>
        <v>3.0993057901728923E-4</v>
      </c>
      <c r="AC409" s="31">
        <f>148/486</f>
        <v>0.30452674897119342</v>
      </c>
      <c r="AD409" s="31">
        <f>504/2435</f>
        <v>0.20698151950718685</v>
      </c>
      <c r="AE409" s="31">
        <f>98/387</f>
        <v>0.25322997416020671</v>
      </c>
      <c r="AF409" s="22">
        <f t="shared" si="90"/>
        <v>5</v>
      </c>
      <c r="AG409" s="12">
        <v>0</v>
      </c>
      <c r="AH409" s="12">
        <v>0</v>
      </c>
      <c r="AI409" s="20">
        <v>0</v>
      </c>
      <c r="AJ409" s="23">
        <f t="shared" si="91"/>
        <v>0</v>
      </c>
      <c r="AK409" s="23">
        <v>1000000</v>
      </c>
      <c r="AL409" s="28">
        <f>AK409/detalle!$D$2</f>
        <v>91236.55549522792</v>
      </c>
    </row>
    <row r="410" spans="1:38">
      <c r="A410" s="12">
        <v>409</v>
      </c>
      <c r="B410" s="19">
        <v>44299</v>
      </c>
      <c r="C410" s="12">
        <v>391</v>
      </c>
      <c r="D410" s="23">
        <f t="shared" si="87"/>
        <v>623</v>
      </c>
      <c r="E410" s="12">
        <v>259260</v>
      </c>
      <c r="F410" s="12">
        <v>3402</v>
      </c>
      <c r="G410" s="12">
        <v>217286</v>
      </c>
      <c r="H410" s="23">
        <f t="shared" si="83"/>
        <v>38572</v>
      </c>
      <c r="I410" s="23">
        <f t="shared" si="81"/>
        <v>4954</v>
      </c>
      <c r="J410" s="12">
        <v>1357657</v>
      </c>
      <c r="K410" s="23">
        <f t="shared" si="82"/>
        <v>1098397</v>
      </c>
      <c r="L410" s="9">
        <f t="shared" si="88"/>
        <v>278</v>
      </c>
      <c r="M410" s="14">
        <f t="shared" si="84"/>
        <v>1.3121962508678546E-2</v>
      </c>
      <c r="N410" s="14">
        <f t="shared" si="93"/>
        <v>0.12575696406943884</v>
      </c>
      <c r="O410" s="12"/>
      <c r="P410" s="12"/>
      <c r="Q410" s="12"/>
      <c r="R410" s="23">
        <f t="shared" si="85"/>
        <v>220688</v>
      </c>
      <c r="S410" s="25">
        <f>(((H410+R410)/(H409+R409))-1)+detalle!$D$1</f>
        <v>7.3837352848089816E-2</v>
      </c>
      <c r="T410" s="25">
        <f t="shared" si="89"/>
        <v>1.0337229398732575</v>
      </c>
      <c r="U410" s="10">
        <f t="shared" si="86"/>
        <v>0.83810074828357628</v>
      </c>
      <c r="V410" s="21">
        <f t="shared" si="92"/>
        <v>63.870076425631979</v>
      </c>
      <c r="W410" s="15">
        <f>J410/detalle!$D$2</f>
        <v>123867.94822398465</v>
      </c>
      <c r="X410" s="15">
        <f>E410/detalle!$D$2</f>
        <v>23653.989377692789</v>
      </c>
      <c r="Y410" s="22">
        <f>F410/detalle!$D$2</f>
        <v>310.38676179476539</v>
      </c>
      <c r="AA410" s="14">
        <f>E410/(detalle!$D$2*1000000)</f>
        <v>2.3653989377692791E-2</v>
      </c>
      <c r="AB410" s="14">
        <f>F410/(detalle!$D$2*1000000)</f>
        <v>3.1038676179476535E-4</v>
      </c>
      <c r="AC410" s="31">
        <f>156/489</f>
        <v>0.31901840490797545</v>
      </c>
      <c r="AD410" s="31">
        <f>534/2433</f>
        <v>0.21948212083847102</v>
      </c>
      <c r="AE410" s="31">
        <f>94/387</f>
        <v>0.24289405684754523</v>
      </c>
      <c r="AF410" s="22">
        <f t="shared" si="90"/>
        <v>5</v>
      </c>
      <c r="AG410" s="12">
        <v>0</v>
      </c>
      <c r="AH410" s="12">
        <v>0</v>
      </c>
      <c r="AI410" s="20">
        <v>0</v>
      </c>
      <c r="AJ410" s="23">
        <f t="shared" si="91"/>
        <v>0</v>
      </c>
      <c r="AK410" s="23">
        <v>1000000</v>
      </c>
      <c r="AL410" s="28">
        <f>AK410/detalle!$D$2</f>
        <v>91236.55549522792</v>
      </c>
    </row>
    <row r="411" spans="1:38">
      <c r="A411" s="12">
        <v>410</v>
      </c>
      <c r="B411" s="19">
        <v>44300</v>
      </c>
      <c r="C411" s="12">
        <v>392</v>
      </c>
      <c r="D411" s="23">
        <f t="shared" si="87"/>
        <v>379</v>
      </c>
      <c r="E411" s="12">
        <v>259639</v>
      </c>
      <c r="F411" s="12">
        <v>3405</v>
      </c>
      <c r="G411" s="12">
        <v>217613</v>
      </c>
      <c r="H411" s="23">
        <f t="shared" si="83"/>
        <v>38621</v>
      </c>
      <c r="I411" s="23">
        <f t="shared" si="81"/>
        <v>2551</v>
      </c>
      <c r="J411" s="12">
        <v>1360208</v>
      </c>
      <c r="K411" s="23">
        <f t="shared" si="82"/>
        <v>1100569</v>
      </c>
      <c r="L411" s="9">
        <f t="shared" si="88"/>
        <v>327</v>
      </c>
      <c r="M411" s="14">
        <f t="shared" si="84"/>
        <v>1.3114362634272972E-2</v>
      </c>
      <c r="N411" s="14">
        <f t="shared" si="93"/>
        <v>0.14856918855350842</v>
      </c>
      <c r="O411" s="12"/>
      <c r="P411" s="12"/>
      <c r="Q411" s="12"/>
      <c r="R411" s="23">
        <f t="shared" si="85"/>
        <v>221018</v>
      </c>
      <c r="S411" s="25">
        <f>(((H411+R411)/(H410+R410))-1)+detalle!$D$1</f>
        <v>7.289042439470575E-2</v>
      </c>
      <c r="T411" s="25">
        <f t="shared" si="89"/>
        <v>1.0204659415258805</v>
      </c>
      <c r="U411" s="10">
        <f t="shared" si="86"/>
        <v>0.83813679763055626</v>
      </c>
      <c r="V411" s="21">
        <f t="shared" si="92"/>
        <v>63.909838472834068</v>
      </c>
      <c r="W411" s="15">
        <f>J411/detalle!$D$2</f>
        <v>124100.69267705298</v>
      </c>
      <c r="X411" s="15">
        <f>E411/detalle!$D$2</f>
        <v>23688.568032225481</v>
      </c>
      <c r="Y411" s="22">
        <f>F411/detalle!$D$2</f>
        <v>310.66047146125106</v>
      </c>
      <c r="AA411" s="14">
        <f>E411/(detalle!$D$2*1000000)</f>
        <v>2.3688568032225483E-2</v>
      </c>
      <c r="AB411" s="14">
        <f>F411/(detalle!$D$2*1000000)</f>
        <v>3.1066047146125104E-4</v>
      </c>
      <c r="AC411" s="31">
        <f>156/492</f>
        <v>0.31707317073170732</v>
      </c>
      <c r="AD411" s="31">
        <f>531/2420</f>
        <v>0.21942148760330579</v>
      </c>
      <c r="AE411" s="31">
        <f>94/387</f>
        <v>0.24289405684754523</v>
      </c>
      <c r="AF411" s="22">
        <f t="shared" si="90"/>
        <v>3</v>
      </c>
      <c r="AG411" s="12">
        <v>0</v>
      </c>
      <c r="AH411" s="12">
        <v>0</v>
      </c>
      <c r="AI411" s="20">
        <v>0</v>
      </c>
      <c r="AJ411" s="23">
        <f t="shared" si="91"/>
        <v>0</v>
      </c>
      <c r="AK411" s="23">
        <v>1000000</v>
      </c>
      <c r="AL411" s="28">
        <f>AK411/detalle!$D$2</f>
        <v>91236.55549522792</v>
      </c>
    </row>
    <row r="412" spans="1:38">
      <c r="A412" s="12">
        <v>411</v>
      </c>
      <c r="B412" s="19">
        <v>44301</v>
      </c>
      <c r="C412" s="12">
        <v>393</v>
      </c>
      <c r="D412" s="23">
        <f t="shared" si="87"/>
        <v>494</v>
      </c>
      <c r="E412" s="12">
        <v>260133</v>
      </c>
      <c r="F412" s="12">
        <v>3410</v>
      </c>
      <c r="G412" s="12">
        <v>218010</v>
      </c>
      <c r="H412" s="23">
        <f t="shared" si="83"/>
        <v>38713</v>
      </c>
      <c r="I412" s="23">
        <f t="shared" si="81"/>
        <v>3596</v>
      </c>
      <c r="J412" s="12">
        <v>1363804</v>
      </c>
      <c r="K412" s="23">
        <f t="shared" si="82"/>
        <v>1103671</v>
      </c>
      <c r="L412" s="9">
        <f t="shared" si="88"/>
        <v>397</v>
      </c>
      <c r="M412" s="14">
        <f t="shared" si="84"/>
        <v>1.3108679021884959E-2</v>
      </c>
      <c r="N412" s="14">
        <f t="shared" si="93"/>
        <v>0.13737486095661847</v>
      </c>
      <c r="O412" s="12"/>
      <c r="P412" s="12"/>
      <c r="Q412" s="12"/>
      <c r="R412" s="23">
        <f t="shared" si="85"/>
        <v>221420</v>
      </c>
      <c r="S412" s="25">
        <f>(((H412+R412)/(H411+R411))-1)+detalle!$D$1</f>
        <v>7.3331213173455617E-2</v>
      </c>
      <c r="T412" s="25">
        <f t="shared" si="89"/>
        <v>1.0266369844283787</v>
      </c>
      <c r="U412" s="10">
        <f t="shared" si="86"/>
        <v>0.83807129429945448</v>
      </c>
      <c r="V412" s="21">
        <f t="shared" si="92"/>
        <v>63.932551319648091</v>
      </c>
      <c r="W412" s="15">
        <f>J412/detalle!$D$2</f>
        <v>124428.77933061382</v>
      </c>
      <c r="X412" s="15">
        <f>E412/detalle!$D$2</f>
        <v>23733.638890640126</v>
      </c>
      <c r="Y412" s="22">
        <f>F412/detalle!$D$2</f>
        <v>311.11665423872722</v>
      </c>
      <c r="AA412" s="14">
        <f>E412/(detalle!$D$2*1000000)</f>
        <v>2.3733638890640125E-2</v>
      </c>
      <c r="AB412" s="14">
        <f>F412/(detalle!$D$2*1000000)</f>
        <v>3.1111665423872722E-4</v>
      </c>
      <c r="AC412" s="31">
        <f>152/493</f>
        <v>0.30831643002028397</v>
      </c>
      <c r="AD412" s="31">
        <f>523/2447</f>
        <v>0.21373109930527176</v>
      </c>
      <c r="AE412" s="31">
        <f>88/386</f>
        <v>0.22797927461139897</v>
      </c>
      <c r="AF412" s="22">
        <f t="shared" si="90"/>
        <v>5</v>
      </c>
      <c r="AG412" s="12">
        <v>0</v>
      </c>
      <c r="AH412" s="12">
        <v>0</v>
      </c>
      <c r="AI412" s="20">
        <v>0</v>
      </c>
      <c r="AJ412" s="23">
        <f t="shared" si="91"/>
        <v>0</v>
      </c>
      <c r="AK412" s="23">
        <v>1000000</v>
      </c>
      <c r="AL412" s="28">
        <f>AK412/detalle!$D$2</f>
        <v>91236.55549522792</v>
      </c>
    </row>
    <row r="413" spans="1:38">
      <c r="A413" s="12">
        <v>412</v>
      </c>
      <c r="B413" s="19">
        <v>44302</v>
      </c>
      <c r="C413" s="12">
        <v>394</v>
      </c>
      <c r="D413" s="23">
        <f t="shared" si="87"/>
        <v>494</v>
      </c>
      <c r="E413" s="12">
        <v>260627</v>
      </c>
      <c r="F413" s="12">
        <v>3414</v>
      </c>
      <c r="G413" s="12">
        <v>218306</v>
      </c>
      <c r="H413" s="23">
        <f t="shared" si="83"/>
        <v>38907</v>
      </c>
      <c r="I413" s="23">
        <f t="shared" si="81"/>
        <v>3334</v>
      </c>
      <c r="J413" s="12">
        <v>1367138</v>
      </c>
      <c r="K413" s="23">
        <f t="shared" si="82"/>
        <v>1106511</v>
      </c>
      <c r="L413" s="9">
        <f t="shared" si="88"/>
        <v>296</v>
      </c>
      <c r="M413" s="14">
        <f t="shared" si="84"/>
        <v>1.309918005425378E-2</v>
      </c>
      <c r="N413" s="14">
        <f t="shared" si="93"/>
        <v>0.14817036592681462</v>
      </c>
      <c r="O413" s="12"/>
      <c r="P413" s="12"/>
      <c r="Q413" s="12"/>
      <c r="R413" s="23">
        <f t="shared" si="85"/>
        <v>221720</v>
      </c>
      <c r="S413" s="25">
        <f>(((H413+R413)/(H412+R412))-1)+detalle!$D$1</f>
        <v>7.3327600002416365E-2</v>
      </c>
      <c r="T413" s="25">
        <f t="shared" si="89"/>
        <v>1.0265864000338292</v>
      </c>
      <c r="U413" s="10">
        <f t="shared" si="86"/>
        <v>0.83761851228000173</v>
      </c>
      <c r="V413" s="21">
        <f t="shared" si="92"/>
        <v>63.944346807264203</v>
      </c>
      <c r="W413" s="15">
        <f>J413/detalle!$D$2</f>
        <v>124732.9620066349</v>
      </c>
      <c r="X413" s="15">
        <f>E413/detalle!$D$2</f>
        <v>23778.709749054768</v>
      </c>
      <c r="Y413" s="22">
        <f>F413/detalle!$D$2</f>
        <v>311.48160046070814</v>
      </c>
      <c r="AA413" s="14">
        <f>E413/(detalle!$D$2*1000000)</f>
        <v>2.3778709749054768E-2</v>
      </c>
      <c r="AB413" s="14">
        <f>F413/(detalle!$D$2*1000000)</f>
        <v>3.1148160046070813E-4</v>
      </c>
      <c r="AC413" s="31">
        <f>154/495</f>
        <v>0.31111111111111112</v>
      </c>
      <c r="AD413" s="31">
        <f>558/2403</f>
        <v>0.23220973782771537</v>
      </c>
      <c r="AE413" s="31">
        <f>88/386</f>
        <v>0.22797927461139897</v>
      </c>
      <c r="AF413" s="22">
        <f t="shared" si="90"/>
        <v>4</v>
      </c>
      <c r="AG413" s="12">
        <v>0</v>
      </c>
      <c r="AH413" s="12">
        <v>0</v>
      </c>
      <c r="AI413" s="20">
        <v>0</v>
      </c>
      <c r="AJ413" s="23">
        <f t="shared" si="91"/>
        <v>0</v>
      </c>
      <c r="AK413" s="23">
        <v>1000000</v>
      </c>
      <c r="AL413" s="28">
        <f>AK413/detalle!$D$2</f>
        <v>91236.55549522792</v>
      </c>
    </row>
    <row r="414" spans="1:38">
      <c r="A414" s="12">
        <v>413</v>
      </c>
      <c r="B414" s="19">
        <v>44303</v>
      </c>
      <c r="C414" s="12">
        <v>395</v>
      </c>
      <c r="D414" s="23">
        <f t="shared" si="87"/>
        <v>502</v>
      </c>
      <c r="E414" s="12">
        <v>261129</v>
      </c>
      <c r="F414" s="12">
        <v>3418</v>
      </c>
      <c r="G414" s="12">
        <v>218724</v>
      </c>
      <c r="H414" s="23">
        <f t="shared" si="83"/>
        <v>38987</v>
      </c>
      <c r="I414" s="23">
        <f t="shared" si="81"/>
        <v>3361</v>
      </c>
      <c r="J414" s="12">
        <v>1370499</v>
      </c>
      <c r="K414" s="23">
        <f t="shared" si="82"/>
        <v>1109370</v>
      </c>
      <c r="L414" s="9">
        <f t="shared" si="88"/>
        <v>418</v>
      </c>
      <c r="M414" s="14">
        <f t="shared" si="84"/>
        <v>1.3089316008562817E-2</v>
      </c>
      <c r="N414" s="14">
        <f t="shared" si="93"/>
        <v>0.14936030943171674</v>
      </c>
      <c r="O414" s="12"/>
      <c r="P414" s="12"/>
      <c r="Q414" s="12"/>
      <c r="R414" s="23">
        <f t="shared" si="85"/>
        <v>222142</v>
      </c>
      <c r="S414" s="25">
        <f>(((H414+R414)/(H413+R413))-1)+detalle!$D$1</f>
        <v>7.3354695736490366E-2</v>
      </c>
      <c r="T414" s="25">
        <f t="shared" si="89"/>
        <v>1.0269657403108652</v>
      </c>
      <c r="U414" s="10">
        <f t="shared" si="86"/>
        <v>0.83760899785163656</v>
      </c>
      <c r="V414" s="21">
        <f t="shared" si="92"/>
        <v>63.991808074897598</v>
      </c>
      <c r="W414" s="15">
        <f>J414/detalle!$D$2</f>
        <v>125039.60806965436</v>
      </c>
      <c r="X414" s="15">
        <f>E414/detalle!$D$2</f>
        <v>23824.510499913373</v>
      </c>
      <c r="Y414" s="22">
        <f>F414/detalle!$D$2</f>
        <v>311.84654668268905</v>
      </c>
      <c r="AA414" s="14">
        <f>E414/(detalle!$D$2*1000000)</f>
        <v>2.3824510499913371E-2</v>
      </c>
      <c r="AB414" s="14">
        <f>F414/(detalle!$D$2*1000000)</f>
        <v>3.1184654668268904E-4</v>
      </c>
      <c r="AC414" s="31">
        <f>157/495</f>
        <v>0.31717171717171716</v>
      </c>
      <c r="AD414" s="31">
        <f>552/2403</f>
        <v>0.22971285892634208</v>
      </c>
      <c r="AE414" s="31">
        <f>89/386</f>
        <v>0.23056994818652848</v>
      </c>
      <c r="AF414" s="22">
        <f t="shared" si="90"/>
        <v>4</v>
      </c>
      <c r="AG414" s="12">
        <v>0</v>
      </c>
      <c r="AH414" s="12">
        <v>0</v>
      </c>
      <c r="AI414" s="20">
        <v>0</v>
      </c>
      <c r="AJ414" s="23">
        <f t="shared" si="91"/>
        <v>0</v>
      </c>
      <c r="AK414" s="23">
        <v>1000000</v>
      </c>
      <c r="AL414" s="28">
        <f>AK414/detalle!$D$2</f>
        <v>91236.55549522792</v>
      </c>
    </row>
    <row r="415" spans="1:38">
      <c r="A415" s="12">
        <v>414</v>
      </c>
      <c r="B415" s="19">
        <v>44304</v>
      </c>
      <c r="C415" s="12">
        <v>396</v>
      </c>
      <c r="D415" s="23">
        <f t="shared" si="87"/>
        <v>402</v>
      </c>
      <c r="E415" s="12">
        <v>261531</v>
      </c>
      <c r="F415" s="12">
        <v>3422</v>
      </c>
      <c r="G415" s="12">
        <v>218988</v>
      </c>
      <c r="H415" s="23">
        <f t="shared" si="83"/>
        <v>39121</v>
      </c>
      <c r="I415" s="23">
        <f t="shared" si="81"/>
        <v>2644</v>
      </c>
      <c r="J415" s="12">
        <v>1373143</v>
      </c>
      <c r="K415" s="23">
        <f t="shared" si="82"/>
        <v>1111612</v>
      </c>
      <c r="L415" s="9">
        <f t="shared" si="88"/>
        <v>264</v>
      </c>
      <c r="M415" s="14">
        <f t="shared" si="84"/>
        <v>1.3084490939888579E-2</v>
      </c>
      <c r="N415" s="14">
        <f t="shared" si="93"/>
        <v>0.15204236006051436</v>
      </c>
      <c r="O415" s="12"/>
      <c r="P415" s="12"/>
      <c r="Q415" s="12"/>
      <c r="R415" s="23">
        <f t="shared" si="85"/>
        <v>222410</v>
      </c>
      <c r="S415" s="25">
        <f>(((H415+R415)/(H414+R414))-1)+detalle!$D$1</f>
        <v>7.2968040426652864E-2</v>
      </c>
      <c r="T415" s="25">
        <f t="shared" si="89"/>
        <v>1.0215525659731401</v>
      </c>
      <c r="U415" s="10">
        <f t="shared" si="86"/>
        <v>0.83733094738291058</v>
      </c>
      <c r="V415" s="21">
        <f t="shared" si="92"/>
        <v>63.994155464640563</v>
      </c>
      <c r="W415" s="15">
        <f>J415/detalle!$D$2</f>
        <v>125280.83752238375</v>
      </c>
      <c r="X415" s="15">
        <f>E415/detalle!$D$2</f>
        <v>23861.187595222455</v>
      </c>
      <c r="Y415" s="22">
        <f>F415/detalle!$D$2</f>
        <v>312.21149290466997</v>
      </c>
      <c r="AA415" s="14">
        <f>E415/(detalle!$D$2*1000000)</f>
        <v>2.3861187595222454E-2</v>
      </c>
      <c r="AB415" s="14">
        <f>F415/(detalle!$D$2*1000000)</f>
        <v>3.1221149290466994E-4</v>
      </c>
      <c r="AC415" s="31">
        <f>159/495</f>
        <v>0.32121212121212123</v>
      </c>
      <c r="AD415" s="31">
        <f>562/2403</f>
        <v>0.23387432376196421</v>
      </c>
      <c r="AE415" s="31">
        <f>91/386</f>
        <v>0.23575129533678757</v>
      </c>
      <c r="AF415" s="22">
        <f t="shared" si="90"/>
        <v>4</v>
      </c>
      <c r="AG415" s="12">
        <v>0</v>
      </c>
      <c r="AH415" s="12">
        <v>0</v>
      </c>
      <c r="AI415" s="20">
        <v>0</v>
      </c>
      <c r="AJ415" s="23">
        <f t="shared" si="91"/>
        <v>0</v>
      </c>
      <c r="AK415" s="23">
        <v>1000000</v>
      </c>
      <c r="AL415" s="28">
        <f>AK415/detalle!$D$2</f>
        <v>91236.55549522792</v>
      </c>
    </row>
    <row r="416" spans="1:38">
      <c r="A416" s="12">
        <v>415</v>
      </c>
      <c r="B416" s="19">
        <v>44305</v>
      </c>
      <c r="C416" s="12">
        <v>397</v>
      </c>
      <c r="D416" s="23">
        <f t="shared" si="87"/>
        <v>317</v>
      </c>
      <c r="E416" s="12">
        <v>261848</v>
      </c>
      <c r="F416" s="12">
        <v>3426</v>
      </c>
      <c r="G416" s="12">
        <v>219262</v>
      </c>
      <c r="H416" s="23">
        <f t="shared" si="83"/>
        <v>39160</v>
      </c>
      <c r="I416" s="23">
        <f t="shared" si="81"/>
        <v>1714</v>
      </c>
      <c r="J416" s="12">
        <v>1374857</v>
      </c>
      <c r="K416" s="23">
        <f t="shared" si="82"/>
        <v>1113009</v>
      </c>
      <c r="L416" s="9">
        <f t="shared" si="88"/>
        <v>274</v>
      </c>
      <c r="M416" s="14">
        <f t="shared" si="84"/>
        <v>1.3083926552809263E-2</v>
      </c>
      <c r="N416" s="14">
        <f t="shared" si="93"/>
        <v>0.18494749124854143</v>
      </c>
      <c r="O416" s="12"/>
      <c r="P416" s="12"/>
      <c r="Q416" s="12"/>
      <c r="R416" s="23">
        <f t="shared" si="85"/>
        <v>222688</v>
      </c>
      <c r="S416" s="25">
        <f>(((H416+R416)/(H415+R415))-1)+detalle!$D$1</f>
        <v>7.2640664832412744E-2</v>
      </c>
      <c r="T416" s="25">
        <f t="shared" si="89"/>
        <v>1.0169693076537785</v>
      </c>
      <c r="U416" s="10">
        <f t="shared" si="86"/>
        <v>0.83736366136078944</v>
      </c>
      <c r="V416" s="21">
        <f t="shared" si="92"/>
        <v>63.999416228838292</v>
      </c>
      <c r="W416" s="15">
        <f>J416/detalle!$D$2</f>
        <v>125437.21697850258</v>
      </c>
      <c r="X416" s="15">
        <f>E416/detalle!$D$2</f>
        <v>23890.109583314439</v>
      </c>
      <c r="Y416" s="22">
        <f>F416/detalle!$D$2</f>
        <v>312.57643912665088</v>
      </c>
      <c r="AA416" s="14">
        <f>E416/(detalle!$D$2*1000000)</f>
        <v>2.3890109583314438E-2</v>
      </c>
      <c r="AB416" s="14">
        <f>F416/(detalle!$D$2*1000000)</f>
        <v>3.1257643912665085E-4</v>
      </c>
      <c r="AC416" s="31">
        <f>177/500</f>
        <v>0.35399999999999998</v>
      </c>
      <c r="AD416" s="31">
        <f>578/2402</f>
        <v>0.24063280599500417</v>
      </c>
      <c r="AE416" s="31">
        <f>97/386</f>
        <v>0.25129533678756477</v>
      </c>
      <c r="AF416" s="22">
        <f t="shared" si="90"/>
        <v>4</v>
      </c>
      <c r="AG416" s="12">
        <v>0</v>
      </c>
      <c r="AH416" s="12">
        <v>0</v>
      </c>
      <c r="AI416" s="20">
        <v>0</v>
      </c>
      <c r="AJ416" s="23">
        <f t="shared" si="91"/>
        <v>0</v>
      </c>
      <c r="AK416" s="23">
        <v>1000000</v>
      </c>
      <c r="AL416" s="28">
        <f>AK416/detalle!$D$2</f>
        <v>91236.55549522792</v>
      </c>
    </row>
    <row r="417" spans="1:38">
      <c r="A417" s="12">
        <v>416</v>
      </c>
      <c r="B417" s="19">
        <v>44306</v>
      </c>
      <c r="C417" s="12">
        <v>398</v>
      </c>
      <c r="D417" s="23">
        <f t="shared" si="87"/>
        <v>556</v>
      </c>
      <c r="E417" s="12">
        <v>262404</v>
      </c>
      <c r="F417" s="12">
        <v>3435</v>
      </c>
      <c r="G417" s="12">
        <v>219645</v>
      </c>
      <c r="H417" s="23">
        <f t="shared" si="83"/>
        <v>39324</v>
      </c>
      <c r="I417" s="23">
        <f t="shared" si="81"/>
        <v>3812</v>
      </c>
      <c r="J417" s="12">
        <v>1378669</v>
      </c>
      <c r="K417" s="23">
        <f t="shared" si="82"/>
        <v>1116265</v>
      </c>
      <c r="L417" s="9">
        <f t="shared" si="88"/>
        <v>383</v>
      </c>
      <c r="M417" s="14">
        <f t="shared" si="84"/>
        <v>1.3090501669181872E-2</v>
      </c>
      <c r="N417" s="14">
        <f t="shared" si="93"/>
        <v>0.1458551941238195</v>
      </c>
      <c r="O417" s="12"/>
      <c r="P417" s="12"/>
      <c r="Q417" s="12"/>
      <c r="R417" s="23">
        <f t="shared" si="85"/>
        <v>223080</v>
      </c>
      <c r="S417" s="25">
        <f>(((H417+R417)/(H416+R416))-1)+detalle!$D$1</f>
        <v>7.3551940711514191E-2</v>
      </c>
      <c r="T417" s="25">
        <f t="shared" si="89"/>
        <v>1.0297271699611987</v>
      </c>
      <c r="U417" s="10">
        <f t="shared" si="86"/>
        <v>0.83704897791192212</v>
      </c>
      <c r="V417" s="21">
        <f t="shared" si="92"/>
        <v>63.943231441048034</v>
      </c>
      <c r="W417" s="15">
        <f>J417/detalle!$D$2</f>
        <v>125785.01072805039</v>
      </c>
      <c r="X417" s="15">
        <f>E417/detalle!$D$2</f>
        <v>23940.837108169788</v>
      </c>
      <c r="Y417" s="22">
        <f>F417/detalle!$D$2</f>
        <v>313.3975681261079</v>
      </c>
      <c r="AA417" s="14">
        <f>E417/(detalle!$D$2*1000000)</f>
        <v>2.3940837108169785E-2</v>
      </c>
      <c r="AB417" s="14">
        <f>F417/(detalle!$D$2*1000000)</f>
        <v>3.1339756812610788E-4</v>
      </c>
      <c r="AC417" s="31">
        <f>188/500</f>
        <v>0.376</v>
      </c>
      <c r="AD417" s="31">
        <f>576/2403</f>
        <v>0.23970037453183521</v>
      </c>
      <c r="AE417" s="31">
        <f>106/386</f>
        <v>0.27461139896373055</v>
      </c>
      <c r="AF417" s="22">
        <f t="shared" si="90"/>
        <v>9</v>
      </c>
      <c r="AG417" s="12">
        <v>0</v>
      </c>
      <c r="AH417" s="12">
        <v>0</v>
      </c>
      <c r="AI417" s="20">
        <v>0</v>
      </c>
      <c r="AJ417" s="23">
        <f t="shared" si="91"/>
        <v>0</v>
      </c>
      <c r="AK417" s="23">
        <v>1000000</v>
      </c>
      <c r="AL417" s="28">
        <f>AK417/detalle!$D$2</f>
        <v>91236.55549522792</v>
      </c>
    </row>
    <row r="418" spans="1:38">
      <c r="A418" s="12">
        <v>417</v>
      </c>
      <c r="B418" s="19">
        <v>44307</v>
      </c>
      <c r="C418" s="12">
        <v>399</v>
      </c>
      <c r="D418" s="23">
        <f t="shared" si="87"/>
        <v>531</v>
      </c>
      <c r="E418" s="12">
        <v>262935</v>
      </c>
      <c r="F418" s="12">
        <v>3441</v>
      </c>
      <c r="G418" s="12">
        <v>220159</v>
      </c>
      <c r="H418" s="23">
        <f t="shared" si="83"/>
        <v>39335</v>
      </c>
      <c r="I418" s="23">
        <f t="shared" si="81"/>
        <v>3321</v>
      </c>
      <c r="J418" s="12">
        <v>1381990</v>
      </c>
      <c r="K418" s="23">
        <f t="shared" si="82"/>
        <v>1119055</v>
      </c>
      <c r="L418" s="9">
        <f t="shared" si="88"/>
        <v>514</v>
      </c>
      <c r="M418" s="14">
        <f t="shared" si="84"/>
        <v>1.3086884591248788E-2</v>
      </c>
      <c r="N418" s="14">
        <f t="shared" si="93"/>
        <v>0.15989159891598917</v>
      </c>
      <c r="O418" s="12"/>
      <c r="P418" s="12"/>
      <c r="Q418" s="12"/>
      <c r="R418" s="23">
        <f t="shared" si="85"/>
        <v>223600</v>
      </c>
      <c r="S418" s="25">
        <f>(((H418+R418)/(H417+R417))-1)+detalle!$D$1</f>
        <v>7.3452168629833531E-2</v>
      </c>
      <c r="T418" s="25">
        <f t="shared" si="89"/>
        <v>1.0283303608176695</v>
      </c>
      <c r="U418" s="10">
        <f t="shared" si="86"/>
        <v>0.83731340445357216</v>
      </c>
      <c r="V418" s="21">
        <f t="shared" si="92"/>
        <v>63.981110142400468</v>
      </c>
      <c r="W418" s="15">
        <f>J418/detalle!$D$2</f>
        <v>126088.00732885003</v>
      </c>
      <c r="X418" s="15">
        <f>E418/detalle!$D$2</f>
        <v>23989.283719137755</v>
      </c>
      <c r="Y418" s="22">
        <f>F418/detalle!$D$2</f>
        <v>313.9449874590793</v>
      </c>
      <c r="AA418" s="14">
        <f>E418/(detalle!$D$2*1000000)</f>
        <v>2.3989283719137753E-2</v>
      </c>
      <c r="AB418" s="14">
        <f>F418/(detalle!$D$2*1000000)</f>
        <v>3.1394498745907927E-4</v>
      </c>
      <c r="AC418" s="31">
        <f>183/496</f>
        <v>0.36895161290322581</v>
      </c>
      <c r="AD418" s="31">
        <f>559/2408</f>
        <v>0.23214285714285715</v>
      </c>
      <c r="AE418" s="31">
        <f>104/385</f>
        <v>0.27012987012987011</v>
      </c>
      <c r="AF418" s="22">
        <f t="shared" si="90"/>
        <v>6</v>
      </c>
      <c r="AG418" s="12">
        <v>0</v>
      </c>
      <c r="AH418" s="12">
        <v>0</v>
      </c>
      <c r="AI418" s="20">
        <v>0</v>
      </c>
      <c r="AJ418" s="23">
        <f t="shared" si="91"/>
        <v>0</v>
      </c>
      <c r="AK418" s="23">
        <v>1000000</v>
      </c>
      <c r="AL418" s="28">
        <f>AK418/detalle!$D$2</f>
        <v>91236.55549522792</v>
      </c>
    </row>
    <row r="419" spans="1:38">
      <c r="A419" s="12">
        <v>418</v>
      </c>
      <c r="B419" s="19">
        <v>44308</v>
      </c>
      <c r="C419" s="12">
        <v>400</v>
      </c>
      <c r="D419" s="23">
        <f t="shared" si="87"/>
        <v>535</v>
      </c>
      <c r="E419" s="12">
        <v>263470</v>
      </c>
      <c r="F419" s="12">
        <v>3448</v>
      </c>
      <c r="G419" s="12">
        <v>220678</v>
      </c>
      <c r="H419" s="23">
        <f t="shared" si="83"/>
        <v>39344</v>
      </c>
      <c r="I419" s="23">
        <f t="shared" si="81"/>
        <v>3278</v>
      </c>
      <c r="J419" s="12">
        <v>1385268</v>
      </c>
      <c r="K419" s="23">
        <f t="shared" si="82"/>
        <v>1121798</v>
      </c>
      <c r="L419" s="9">
        <f t="shared" si="88"/>
        <v>519</v>
      </c>
      <c r="M419" s="14">
        <f t="shared" si="84"/>
        <v>1.30868789615516E-2</v>
      </c>
      <c r="N419" s="14">
        <f t="shared" si="93"/>
        <v>0.16320927394752899</v>
      </c>
      <c r="O419" s="12"/>
      <c r="P419" s="12"/>
      <c r="Q419" s="12"/>
      <c r="R419" s="23">
        <f t="shared" si="85"/>
        <v>224126</v>
      </c>
      <c r="S419" s="25">
        <f>(((H419+R419)/(H418+R418))-1)+detalle!$D$1</f>
        <v>7.3463294839300392E-2</v>
      </c>
      <c r="T419" s="25">
        <f t="shared" si="89"/>
        <v>1.0284861277502055</v>
      </c>
      <c r="U419" s="10">
        <f t="shared" si="86"/>
        <v>0.83758302653053474</v>
      </c>
      <c r="V419" s="21">
        <f t="shared" si="92"/>
        <v>64.001740139211137</v>
      </c>
      <c r="W419" s="15">
        <f>J419/detalle!$D$2</f>
        <v>126387.0807577634</v>
      </c>
      <c r="X419" s="15">
        <f>E419/detalle!$D$2</f>
        <v>24038.095276327702</v>
      </c>
      <c r="Y419" s="22">
        <f>F419/detalle!$D$2</f>
        <v>314.58364334754589</v>
      </c>
      <c r="AA419" s="14">
        <f>E419/(detalle!$D$2*1000000)</f>
        <v>2.4038095276327699E-2</v>
      </c>
      <c r="AB419" s="14">
        <f>F419/(detalle!$D$2*1000000)</f>
        <v>3.1458364334754587E-4</v>
      </c>
      <c r="AC419" s="31">
        <f>182/504</f>
        <v>0.3611111111111111</v>
      </c>
      <c r="AD419" s="31">
        <f>567/2425</f>
        <v>0.23381443298969073</v>
      </c>
      <c r="AE419" s="31">
        <f>109/385</f>
        <v>0.2831168831168831</v>
      </c>
      <c r="AF419" s="22">
        <f t="shared" si="90"/>
        <v>7</v>
      </c>
      <c r="AG419" s="12">
        <v>0</v>
      </c>
      <c r="AH419" s="12">
        <v>0</v>
      </c>
      <c r="AI419" s="20">
        <v>0</v>
      </c>
      <c r="AJ419" s="23">
        <f t="shared" si="91"/>
        <v>0</v>
      </c>
      <c r="AK419" s="23">
        <v>1000000</v>
      </c>
      <c r="AL419" s="28">
        <f>AK419/detalle!$D$2</f>
        <v>91236.55549522792</v>
      </c>
    </row>
    <row r="420" spans="1:38">
      <c r="A420" s="12">
        <v>419</v>
      </c>
      <c r="B420" s="19">
        <v>44309</v>
      </c>
      <c r="C420" s="12">
        <v>401</v>
      </c>
      <c r="D420" s="23">
        <f t="shared" si="87"/>
        <v>474</v>
      </c>
      <c r="E420" s="12">
        <v>263944</v>
      </c>
      <c r="F420" s="12">
        <v>3451</v>
      </c>
      <c r="G420" s="12">
        <v>221294</v>
      </c>
      <c r="H420" s="23">
        <f t="shared" si="83"/>
        <v>39199</v>
      </c>
      <c r="I420" s="23">
        <f t="shared" si="81"/>
        <v>2432</v>
      </c>
      <c r="J420" s="12">
        <v>1387700</v>
      </c>
      <c r="K420" s="23">
        <f t="shared" si="82"/>
        <v>1123756</v>
      </c>
      <c r="L420" s="9">
        <f t="shared" si="88"/>
        <v>616</v>
      </c>
      <c r="M420" s="14">
        <f t="shared" si="84"/>
        <v>1.307474312733004E-2</v>
      </c>
      <c r="N420" s="14">
        <f t="shared" si="93"/>
        <v>0.19490131578947367</v>
      </c>
      <c r="O420" s="12"/>
      <c r="P420" s="12"/>
      <c r="Q420" s="12"/>
      <c r="R420" s="23">
        <f t="shared" si="85"/>
        <v>224745</v>
      </c>
      <c r="S420" s="25">
        <f>(((H420+R420)/(H419+R419))-1)+detalle!$D$1</f>
        <v>7.3227637735930912E-2</v>
      </c>
      <c r="T420" s="25">
        <f t="shared" si="89"/>
        <v>1.0251869283030328</v>
      </c>
      <c r="U420" s="10">
        <f t="shared" si="86"/>
        <v>0.83841269360167303</v>
      </c>
      <c r="V420" s="21">
        <f t="shared" si="92"/>
        <v>64.124601564763836</v>
      </c>
      <c r="W420" s="15">
        <f>J420/detalle!$D$2</f>
        <v>126608.96806072778</v>
      </c>
      <c r="X420" s="15">
        <f>E420/detalle!$D$2</f>
        <v>24081.341403632439</v>
      </c>
      <c r="Y420" s="22">
        <f>F420/detalle!$D$2</f>
        <v>314.85735301403156</v>
      </c>
      <c r="AA420" s="14">
        <f>E420/(detalle!$D$2*1000000)</f>
        <v>2.4081341403632439E-2</v>
      </c>
      <c r="AB420" s="14">
        <f>F420/(detalle!$D$2*1000000)</f>
        <v>3.1485735301403156E-4</v>
      </c>
      <c r="AC420" s="31">
        <f>174/502</f>
        <v>0.34661354581673309</v>
      </c>
      <c r="AD420" s="31">
        <f>573/2414</f>
        <v>0.23736536868268435</v>
      </c>
      <c r="AE420" s="31">
        <f>109/384</f>
        <v>0.28385416666666669</v>
      </c>
      <c r="AF420" s="22">
        <f t="shared" si="90"/>
        <v>3</v>
      </c>
      <c r="AG420" s="12">
        <v>0</v>
      </c>
      <c r="AH420" s="12">
        <v>0</v>
      </c>
      <c r="AI420" s="20">
        <v>0</v>
      </c>
      <c r="AJ420" s="23">
        <f t="shared" si="91"/>
        <v>0</v>
      </c>
      <c r="AK420" s="23">
        <v>1000000</v>
      </c>
      <c r="AL420" s="28">
        <f>AK420/detalle!$D$2</f>
        <v>91236.55549522792</v>
      </c>
    </row>
    <row r="421" spans="1:38">
      <c r="A421" s="12">
        <v>420</v>
      </c>
      <c r="B421" s="19">
        <v>44310</v>
      </c>
      <c r="C421" s="12">
        <v>402</v>
      </c>
      <c r="D421" s="23">
        <f t="shared" si="87"/>
        <v>919</v>
      </c>
      <c r="E421" s="12">
        <v>264863</v>
      </c>
      <c r="F421" s="12">
        <v>3454</v>
      </c>
      <c r="G421" s="12">
        <v>221825</v>
      </c>
      <c r="H421" s="23">
        <f t="shared" si="83"/>
        <v>39584</v>
      </c>
      <c r="I421" s="23">
        <f t="shared" si="81"/>
        <v>5732</v>
      </c>
      <c r="J421" s="12">
        <v>1393432</v>
      </c>
      <c r="K421" s="23">
        <f t="shared" si="82"/>
        <v>1128569</v>
      </c>
      <c r="L421" s="9">
        <f t="shared" si="88"/>
        <v>531</v>
      </c>
      <c r="M421" s="14">
        <f t="shared" si="84"/>
        <v>1.3040704062100028E-2</v>
      </c>
      <c r="N421" s="14">
        <f t="shared" si="93"/>
        <v>0.16032798325191905</v>
      </c>
      <c r="O421" s="12"/>
      <c r="P421" s="12"/>
      <c r="Q421" s="12"/>
      <c r="R421" s="23">
        <f t="shared" si="85"/>
        <v>225279</v>
      </c>
      <c r="S421" s="25">
        <f>(((H421+R421)/(H420+R420))-1)+detalle!$D$1</f>
        <v>7.4910370598092274E-2</v>
      </c>
      <c r="T421" s="25">
        <f t="shared" si="89"/>
        <v>1.0487451883732919</v>
      </c>
      <c r="U421" s="10">
        <f t="shared" si="86"/>
        <v>0.83750844776356081</v>
      </c>
      <c r="V421" s="21">
        <f t="shared" si="92"/>
        <v>64.222640416907936</v>
      </c>
      <c r="W421" s="15">
        <f>J421/detalle!$D$2</f>
        <v>127131.93599682643</v>
      </c>
      <c r="X421" s="15">
        <f>E421/detalle!$D$2</f>
        <v>24165.187798132552</v>
      </c>
      <c r="Y421" s="22">
        <f>F421/detalle!$D$2</f>
        <v>315.13106268051723</v>
      </c>
      <c r="AA421" s="14">
        <f>E421/(detalle!$D$2*1000000)</f>
        <v>2.4165187798132551E-2</v>
      </c>
      <c r="AB421" s="14">
        <f>F421/(detalle!$D$2*1000000)</f>
        <v>3.1513106268051721E-4</v>
      </c>
      <c r="AC421" s="31">
        <f>177/502</f>
        <v>0.35258964143426297</v>
      </c>
      <c r="AD421" s="31">
        <f>580/2400</f>
        <v>0.24166666666666667</v>
      </c>
      <c r="AE421" s="31">
        <f>109/384</f>
        <v>0.28385416666666669</v>
      </c>
      <c r="AF421" s="22">
        <f t="shared" si="90"/>
        <v>3</v>
      </c>
      <c r="AG421" s="12">
        <v>0</v>
      </c>
      <c r="AH421" s="12">
        <v>0</v>
      </c>
      <c r="AI421" s="20">
        <v>0</v>
      </c>
      <c r="AJ421" s="23">
        <f t="shared" si="91"/>
        <v>0</v>
      </c>
      <c r="AK421" s="23">
        <v>1000000</v>
      </c>
      <c r="AL421" s="28">
        <f>AK421/detalle!$D$2</f>
        <v>91236.55549522792</v>
      </c>
    </row>
    <row r="422" spans="1:38">
      <c r="A422" s="12">
        <v>421</v>
      </c>
      <c r="B422" s="19">
        <v>44311</v>
      </c>
      <c r="C422" s="12">
        <v>403</v>
      </c>
      <c r="D422" s="23">
        <f t="shared" si="87"/>
        <v>540</v>
      </c>
      <c r="E422" s="12">
        <v>265403</v>
      </c>
      <c r="F422" s="12">
        <v>3459</v>
      </c>
      <c r="G422" s="12">
        <v>222174</v>
      </c>
      <c r="H422" s="23">
        <f t="shared" si="83"/>
        <v>39770</v>
      </c>
      <c r="I422" s="23">
        <f t="shared" si="81"/>
        <v>2967</v>
      </c>
      <c r="J422" s="12">
        <v>1396399</v>
      </c>
      <c r="K422" s="23">
        <f t="shared" si="82"/>
        <v>1130996</v>
      </c>
      <c r="L422" s="9">
        <f t="shared" si="88"/>
        <v>349</v>
      </c>
      <c r="M422" s="14">
        <f t="shared" si="84"/>
        <v>1.3033010176976145E-2</v>
      </c>
      <c r="N422" s="14">
        <f t="shared" si="93"/>
        <v>0.18200202224469161</v>
      </c>
      <c r="O422" s="12"/>
      <c r="P422" s="12"/>
      <c r="Q422" s="12"/>
      <c r="R422" s="23">
        <f t="shared" si="85"/>
        <v>225633</v>
      </c>
      <c r="S422" s="25">
        <f>(((H422+R422)/(H421+R421))-1)+detalle!$D$1</f>
        <v>7.3467361293520411E-2</v>
      </c>
      <c r="T422" s="25">
        <f t="shared" si="89"/>
        <v>1.0285430581092858</v>
      </c>
      <c r="U422" s="10">
        <f t="shared" si="86"/>
        <v>0.83711939955463954</v>
      </c>
      <c r="V422" s="21">
        <f t="shared" si="92"/>
        <v>64.230702515177796</v>
      </c>
      <c r="W422" s="15">
        <f>J422/detalle!$D$2</f>
        <v>127402.63485698077</v>
      </c>
      <c r="X422" s="15">
        <f>E422/detalle!$D$2</f>
        <v>24214.455538099977</v>
      </c>
      <c r="Y422" s="22">
        <f>F422/detalle!$D$2</f>
        <v>315.58724545799339</v>
      </c>
      <c r="AA422" s="14">
        <f>E422/(detalle!$D$2*1000000)</f>
        <v>2.4214455538099974E-2</v>
      </c>
      <c r="AB422" s="14">
        <f>F422/(detalle!$D$2*1000000)</f>
        <v>3.1558724545799338E-4</v>
      </c>
      <c r="AC422" s="31">
        <f>183/502</f>
        <v>0.36454183266932272</v>
      </c>
      <c r="AD422" s="31">
        <f>586/2400</f>
        <v>0.24416666666666667</v>
      </c>
      <c r="AE422" s="31">
        <f>113/384</f>
        <v>0.29427083333333331</v>
      </c>
      <c r="AF422" s="22">
        <f t="shared" si="90"/>
        <v>5</v>
      </c>
      <c r="AG422" s="12">
        <v>993804</v>
      </c>
      <c r="AH422" s="12">
        <v>754074</v>
      </c>
      <c r="AI422" s="20">
        <v>0</v>
      </c>
      <c r="AJ422" s="23">
        <f t="shared" si="91"/>
        <v>747878</v>
      </c>
      <c r="AK422" s="23">
        <f t="shared" ref="AK422:AK453" si="94">AG422+AH422</f>
        <v>1747878</v>
      </c>
      <c r="AL422" s="28">
        <f>AK422/detalle!$D$2</f>
        <v>159470.36814588797</v>
      </c>
    </row>
    <row r="423" spans="1:38">
      <c r="A423" s="12">
        <v>422</v>
      </c>
      <c r="B423" s="19">
        <v>44312</v>
      </c>
      <c r="C423" s="12">
        <v>404</v>
      </c>
      <c r="D423" s="23">
        <f t="shared" si="87"/>
        <v>78</v>
      </c>
      <c r="E423" s="12">
        <v>265481</v>
      </c>
      <c r="F423" s="12">
        <v>3462</v>
      </c>
      <c r="G423" s="12">
        <v>222466</v>
      </c>
      <c r="H423" s="23">
        <f t="shared" si="83"/>
        <v>39553</v>
      </c>
      <c r="I423" s="23">
        <f t="shared" si="81"/>
        <v>824</v>
      </c>
      <c r="J423" s="12">
        <v>1397223</v>
      </c>
      <c r="K423" s="23">
        <f t="shared" si="82"/>
        <v>1131742</v>
      </c>
      <c r="L423" s="9">
        <f t="shared" si="88"/>
        <v>292</v>
      </c>
      <c r="M423" s="14">
        <f t="shared" si="84"/>
        <v>1.3040481239712069E-2</v>
      </c>
      <c r="N423" s="14">
        <f t="shared" si="93"/>
        <v>9.4660194174757281E-2</v>
      </c>
      <c r="O423" s="12"/>
      <c r="P423" s="12"/>
      <c r="Q423" s="12"/>
      <c r="R423" s="23">
        <f t="shared" si="85"/>
        <v>225928</v>
      </c>
      <c r="S423" s="25">
        <f>(((H423+R423)/(H422+R422))-1)+detalle!$D$1</f>
        <v>7.1722464112527612E-2</v>
      </c>
      <c r="T423" s="25">
        <f t="shared" si="89"/>
        <v>1.0041144975753866</v>
      </c>
      <c r="U423" s="10">
        <f t="shared" si="86"/>
        <v>0.83797333895834358</v>
      </c>
      <c r="V423" s="21">
        <f t="shared" si="92"/>
        <v>64.259387637203929</v>
      </c>
      <c r="W423" s="15">
        <f>J423/detalle!$D$2</f>
        <v>127477.81377870883</v>
      </c>
      <c r="X423" s="15">
        <f>E423/detalle!$D$2</f>
        <v>24221.571989428605</v>
      </c>
      <c r="Y423" s="22">
        <f>F423/detalle!$D$2</f>
        <v>315.86095512447906</v>
      </c>
      <c r="AA423" s="14">
        <f>E423/(detalle!$D$2*1000000)</f>
        <v>2.4221571989428602E-2</v>
      </c>
      <c r="AB423" s="14">
        <f>F423/(detalle!$D$2*1000000)</f>
        <v>3.1586095512447907E-4</v>
      </c>
      <c r="AC423" s="31">
        <f>185/497</f>
        <v>0.37223340040241448</v>
      </c>
      <c r="AD423" s="31">
        <f>613/2386</f>
        <v>0.25691533948030176</v>
      </c>
      <c r="AE423" s="31">
        <f>103/382</f>
        <v>0.26963350785340312</v>
      </c>
      <c r="AF423" s="22">
        <f t="shared" si="90"/>
        <v>3</v>
      </c>
      <c r="AG423" s="12">
        <v>1029281</v>
      </c>
      <c r="AH423" s="12">
        <v>768065</v>
      </c>
      <c r="AI423" s="20">
        <v>0</v>
      </c>
      <c r="AJ423" s="23">
        <f t="shared" si="91"/>
        <v>49468</v>
      </c>
      <c r="AK423" s="23">
        <f t="shared" si="94"/>
        <v>1797346</v>
      </c>
      <c r="AL423" s="28">
        <f>AK423/detalle!$D$2</f>
        <v>163983.65807312593</v>
      </c>
    </row>
    <row r="424" spans="1:38">
      <c r="A424" s="12">
        <v>423</v>
      </c>
      <c r="B424" s="19">
        <v>44313</v>
      </c>
      <c r="C424" s="12">
        <v>405</v>
      </c>
      <c r="D424" s="23">
        <f t="shared" si="87"/>
        <v>338</v>
      </c>
      <c r="E424" s="12">
        <v>265819</v>
      </c>
      <c r="F424" s="12">
        <v>3467</v>
      </c>
      <c r="G424" s="12">
        <v>223472</v>
      </c>
      <c r="H424" s="23">
        <f t="shared" si="83"/>
        <v>38880</v>
      </c>
      <c r="I424" s="23">
        <f t="shared" si="81"/>
        <v>2419</v>
      </c>
      <c r="J424" s="12">
        <v>1399642</v>
      </c>
      <c r="K424" s="23">
        <f t="shared" si="82"/>
        <v>1133823</v>
      </c>
      <c r="L424" s="9">
        <f t="shared" si="88"/>
        <v>1006</v>
      </c>
      <c r="M424" s="14">
        <f t="shared" si="84"/>
        <v>1.3042709512864016E-2</v>
      </c>
      <c r="N424" s="14">
        <f t="shared" si="93"/>
        <v>0.13972715998346424</v>
      </c>
      <c r="O424" s="12"/>
      <c r="P424" s="12"/>
      <c r="Q424" s="12"/>
      <c r="R424" s="23">
        <f t="shared" si="85"/>
        <v>226939</v>
      </c>
      <c r="S424" s="25">
        <f>(((H424+R424)/(H423+R423))-1)+detalle!$D$1</f>
        <v>7.2701732219739218E-2</v>
      </c>
      <c r="T424" s="25">
        <f t="shared" si="89"/>
        <v>1.0178242510763491</v>
      </c>
      <c r="U424" s="10">
        <f t="shared" si="86"/>
        <v>0.84069235081013771</v>
      </c>
      <c r="V424" s="21">
        <f t="shared" si="92"/>
        <v>64.456879146235934</v>
      </c>
      <c r="W424" s="15">
        <f>J424/detalle!$D$2</f>
        <v>127698.51500645179</v>
      </c>
      <c r="X424" s="15">
        <f>E424/detalle!$D$2</f>
        <v>24252.409945185991</v>
      </c>
      <c r="Y424" s="22">
        <f>F424/detalle!$D$2</f>
        <v>316.31713790195522</v>
      </c>
      <c r="AA424" s="14">
        <f>E424/(detalle!$D$2*1000000)</f>
        <v>2.4252409945185991E-2</v>
      </c>
      <c r="AB424" s="14">
        <f>F424/(detalle!$D$2*1000000)</f>
        <v>3.163171379019552E-4</v>
      </c>
      <c r="AC424" s="31">
        <f>191/497</f>
        <v>0.38430583501006038</v>
      </c>
      <c r="AD424" s="31">
        <f>608/2378</f>
        <v>0.25567703952901599</v>
      </c>
      <c r="AE424" s="31">
        <f>114/382</f>
        <v>0.29842931937172773</v>
      </c>
      <c r="AF424" s="22">
        <f t="shared" si="90"/>
        <v>5</v>
      </c>
      <c r="AG424" s="12">
        <v>1067830</v>
      </c>
      <c r="AH424" s="12">
        <v>779431</v>
      </c>
      <c r="AI424" s="20">
        <v>0</v>
      </c>
      <c r="AJ424" s="23">
        <f t="shared" si="91"/>
        <v>49915</v>
      </c>
      <c r="AK424" s="23">
        <f t="shared" si="94"/>
        <v>1847261</v>
      </c>
      <c r="AL424" s="28">
        <f>AK424/detalle!$D$2</f>
        <v>168537.73074067023</v>
      </c>
    </row>
    <row r="425" spans="1:38">
      <c r="A425" s="12">
        <v>424</v>
      </c>
      <c r="B425" s="19">
        <v>44314</v>
      </c>
      <c r="C425" s="12">
        <v>406</v>
      </c>
      <c r="D425" s="23">
        <f t="shared" si="87"/>
        <v>395</v>
      </c>
      <c r="E425" s="12">
        <v>266214</v>
      </c>
      <c r="F425" s="12">
        <v>3471</v>
      </c>
      <c r="G425" s="12">
        <v>224746</v>
      </c>
      <c r="H425" s="23">
        <f t="shared" si="83"/>
        <v>37997</v>
      </c>
      <c r="I425" s="23">
        <f t="shared" si="81"/>
        <v>2749</v>
      </c>
      <c r="J425" s="12">
        <v>1402391</v>
      </c>
      <c r="K425" s="23">
        <f t="shared" si="82"/>
        <v>1136177</v>
      </c>
      <c r="L425" s="9">
        <f t="shared" si="88"/>
        <v>1274</v>
      </c>
      <c r="M425" s="14">
        <f t="shared" si="84"/>
        <v>1.3038382654556108E-2</v>
      </c>
      <c r="N425" s="14">
        <f t="shared" si="93"/>
        <v>0.14368861404146963</v>
      </c>
      <c r="O425" s="12"/>
      <c r="P425" s="12"/>
      <c r="Q425" s="12"/>
      <c r="R425" s="23">
        <f t="shared" si="85"/>
        <v>228217</v>
      </c>
      <c r="S425" s="25">
        <f>(((H425+R425)/(H424+R424))-1)+detalle!$D$1</f>
        <v>7.2914544966956624E-2</v>
      </c>
      <c r="T425" s="25">
        <f t="shared" si="89"/>
        <v>1.0208036295373928</v>
      </c>
      <c r="U425" s="10">
        <f t="shared" si="86"/>
        <v>0.84423058141194673</v>
      </c>
      <c r="V425" s="21">
        <f t="shared" si="92"/>
        <v>64.749639873235381</v>
      </c>
      <c r="W425" s="15">
        <f>J425/detalle!$D$2</f>
        <v>127949.32429750818</v>
      </c>
      <c r="X425" s="15">
        <f>E425/detalle!$D$2</f>
        <v>24288.448384606607</v>
      </c>
      <c r="Y425" s="22">
        <f>F425/detalle!$D$2</f>
        <v>316.68208412393614</v>
      </c>
      <c r="AA425" s="14">
        <f>E425/(detalle!$D$2*1000000)</f>
        <v>2.4288448384606604E-2</v>
      </c>
      <c r="AB425" s="14">
        <f>F425/(detalle!$D$2*1000000)</f>
        <v>3.166820841239361E-4</v>
      </c>
      <c r="AC425" s="31">
        <f>198/496</f>
        <v>0.39919354838709675</v>
      </c>
      <c r="AD425" s="31">
        <f>582/2366</f>
        <v>0.24598478444632291</v>
      </c>
      <c r="AE425" s="31">
        <f>122/378</f>
        <v>0.32275132275132273</v>
      </c>
      <c r="AF425" s="22">
        <f t="shared" si="90"/>
        <v>4</v>
      </c>
      <c r="AG425" s="12">
        <v>1106733</v>
      </c>
      <c r="AH425" s="12">
        <v>787103</v>
      </c>
      <c r="AI425" s="20">
        <v>0</v>
      </c>
      <c r="AJ425" s="23">
        <f t="shared" si="91"/>
        <v>46575</v>
      </c>
      <c r="AK425" s="23">
        <f t="shared" si="94"/>
        <v>1893836</v>
      </c>
      <c r="AL425" s="28">
        <f>AK425/detalle!$D$2</f>
        <v>172787.07331286048</v>
      </c>
    </row>
    <row r="426" spans="1:38">
      <c r="A426" s="12">
        <v>425</v>
      </c>
      <c r="B426" s="19">
        <v>44315</v>
      </c>
      <c r="C426" s="12">
        <v>407</v>
      </c>
      <c r="D426" s="23">
        <f t="shared" si="87"/>
        <v>347</v>
      </c>
      <c r="E426" s="12">
        <v>266561</v>
      </c>
      <c r="F426" s="12">
        <v>3480</v>
      </c>
      <c r="G426" s="12">
        <v>226392</v>
      </c>
      <c r="H426" s="23">
        <f t="shared" si="83"/>
        <v>36689</v>
      </c>
      <c r="I426" s="23">
        <f t="shared" si="81"/>
        <v>2179</v>
      </c>
      <c r="J426" s="12">
        <v>1404570</v>
      </c>
      <c r="K426" s="23">
        <f t="shared" si="82"/>
        <v>1138009</v>
      </c>
      <c r="L426" s="9">
        <f t="shared" si="88"/>
        <v>1646</v>
      </c>
      <c r="M426" s="14">
        <f t="shared" si="84"/>
        <v>1.3055173112345766E-2</v>
      </c>
      <c r="N426" s="14">
        <f t="shared" si="93"/>
        <v>0.15924736117485086</v>
      </c>
      <c r="O426" s="12"/>
      <c r="P426" s="12"/>
      <c r="Q426" s="12"/>
      <c r="R426" s="23">
        <f t="shared" si="85"/>
        <v>229872</v>
      </c>
      <c r="S426" s="25">
        <f>(((H426+R426)/(H425+R425))-1)+detalle!$D$1</f>
        <v>7.2732034056382205E-2</v>
      </c>
      <c r="T426" s="25">
        <f t="shared" si="89"/>
        <v>1.0182484767893509</v>
      </c>
      <c r="U426" s="10">
        <f t="shared" si="86"/>
        <v>0.84930653771556974</v>
      </c>
      <c r="V426" s="21">
        <f t="shared" si="92"/>
        <v>65.055172413793102</v>
      </c>
      <c r="W426" s="15">
        <f>J426/detalle!$D$2</f>
        <v>128148.12875193228</v>
      </c>
      <c r="X426" s="15">
        <f>E426/detalle!$D$2</f>
        <v>24320.107469363451</v>
      </c>
      <c r="Y426" s="22">
        <f>F426/detalle!$D$2</f>
        <v>317.50321312339315</v>
      </c>
      <c r="AA426" s="14">
        <f>E426/(detalle!$D$2*1000000)</f>
        <v>2.4320107469363448E-2</v>
      </c>
      <c r="AB426" s="14">
        <f>F426/(detalle!$D$2*1000000)</f>
        <v>3.1750321312339313E-4</v>
      </c>
      <c r="AC426" s="31">
        <f>200/496</f>
        <v>0.40322580645161288</v>
      </c>
      <c r="AD426" s="31">
        <f>592/2366</f>
        <v>0.25021132713440408</v>
      </c>
      <c r="AE426" s="31">
        <f>124/379</f>
        <v>0.32717678100263853</v>
      </c>
      <c r="AF426" s="22">
        <f t="shared" si="90"/>
        <v>9</v>
      </c>
      <c r="AG426" s="12">
        <v>1143669</v>
      </c>
      <c r="AH426" s="12">
        <v>791831</v>
      </c>
      <c r="AI426" s="20">
        <v>0</v>
      </c>
      <c r="AJ426" s="23">
        <f t="shared" si="91"/>
        <v>41664</v>
      </c>
      <c r="AK426" s="23">
        <f t="shared" si="94"/>
        <v>1935500</v>
      </c>
      <c r="AL426" s="28">
        <f>AK426/detalle!$D$2</f>
        <v>176588.35316101363</v>
      </c>
    </row>
    <row r="427" spans="1:38">
      <c r="A427" s="12">
        <v>426</v>
      </c>
      <c r="B427" s="19">
        <v>44316</v>
      </c>
      <c r="C427" s="12">
        <v>408</v>
      </c>
      <c r="D427" s="23">
        <f t="shared" si="87"/>
        <v>300</v>
      </c>
      <c r="E427" s="12">
        <v>266861</v>
      </c>
      <c r="F427" s="12">
        <v>3487</v>
      </c>
      <c r="G427" s="12">
        <v>227267</v>
      </c>
      <c r="H427" s="23">
        <f t="shared" si="83"/>
        <v>36107</v>
      </c>
      <c r="I427" s="23">
        <f t="shared" ref="I427:I490" si="95">J427-J426</f>
        <v>1850</v>
      </c>
      <c r="J427" s="12">
        <v>1406420</v>
      </c>
      <c r="K427" s="23">
        <f t="shared" si="82"/>
        <v>1139559</v>
      </c>
      <c r="L427" s="9">
        <f t="shared" si="88"/>
        <v>875</v>
      </c>
      <c r="M427" s="14">
        <f t="shared" si="84"/>
        <v>1.3066727622245288E-2</v>
      </c>
      <c r="N427" s="14">
        <f t="shared" si="93"/>
        <v>0.16216216216216217</v>
      </c>
      <c r="O427" s="12"/>
      <c r="P427" s="12"/>
      <c r="Q427" s="12"/>
      <c r="R427" s="23">
        <f t="shared" si="85"/>
        <v>230754</v>
      </c>
      <c r="S427" s="25">
        <f>(((H427+R427)/(H426+R426))-1)+detalle!$D$1</f>
        <v>7.2554017386532249E-2</v>
      </c>
      <c r="T427" s="25">
        <f t="shared" si="89"/>
        <v>1.0157562434114515</v>
      </c>
      <c r="U427" s="10">
        <f t="shared" si="86"/>
        <v>0.85163062418262692</v>
      </c>
      <c r="V427" s="21">
        <f t="shared" si="92"/>
        <v>65.175509033553197</v>
      </c>
      <c r="W427" s="15">
        <f>J427/detalle!$D$2</f>
        <v>128316.91637959845</v>
      </c>
      <c r="X427" s="15">
        <f>E427/detalle!$D$2</f>
        <v>24347.478436012017</v>
      </c>
      <c r="Y427" s="22">
        <f>F427/detalle!$D$2</f>
        <v>318.14186901185974</v>
      </c>
      <c r="AA427" s="14">
        <f>E427/(detalle!$D$2*1000000)</f>
        <v>2.4347478436012017E-2</v>
      </c>
      <c r="AB427" s="14">
        <f>F427/(detalle!$D$2*1000000)</f>
        <v>3.1814186901185973E-4</v>
      </c>
      <c r="AC427" s="31">
        <f>196/495</f>
        <v>0.39595959595959596</v>
      </c>
      <c r="AD427" s="31">
        <f>590/2358</f>
        <v>0.25021204410517389</v>
      </c>
      <c r="AE427" s="31">
        <f>126/379</f>
        <v>0.33245382585751981</v>
      </c>
      <c r="AF427" s="22">
        <f t="shared" si="90"/>
        <v>7</v>
      </c>
      <c r="AG427" s="12">
        <v>1174227</v>
      </c>
      <c r="AH427" s="12">
        <v>795791</v>
      </c>
      <c r="AI427" s="20">
        <v>0</v>
      </c>
      <c r="AJ427" s="23">
        <f t="shared" si="91"/>
        <v>34518</v>
      </c>
      <c r="AK427" s="23">
        <f t="shared" si="94"/>
        <v>1970018</v>
      </c>
      <c r="AL427" s="28">
        <f>AK427/detalle!$D$2</f>
        <v>179737.65658359791</v>
      </c>
    </row>
    <row r="428" spans="1:38">
      <c r="A428" s="12">
        <v>427</v>
      </c>
      <c r="B428" s="19">
        <v>44317</v>
      </c>
      <c r="C428" s="12">
        <v>409</v>
      </c>
      <c r="D428" s="23">
        <f t="shared" si="87"/>
        <v>594</v>
      </c>
      <c r="E428" s="12">
        <v>267455</v>
      </c>
      <c r="F428" s="12">
        <v>3493</v>
      </c>
      <c r="G428" s="12">
        <v>227924</v>
      </c>
      <c r="H428" s="23">
        <f t="shared" si="83"/>
        <v>36038</v>
      </c>
      <c r="I428" s="23">
        <f t="shared" si="95"/>
        <v>4311</v>
      </c>
      <c r="J428" s="12">
        <v>1410731</v>
      </c>
      <c r="K428" s="23">
        <f t="shared" si="82"/>
        <v>1143276</v>
      </c>
      <c r="L428" s="9">
        <f t="shared" si="88"/>
        <v>657</v>
      </c>
      <c r="M428" s="14">
        <f t="shared" si="84"/>
        <v>1.3060140958292049E-2</v>
      </c>
      <c r="N428" s="14">
        <f t="shared" si="93"/>
        <v>0.13778705636743216</v>
      </c>
      <c r="O428" s="12"/>
      <c r="P428" s="12"/>
      <c r="Q428" s="12"/>
      <c r="R428" s="23">
        <f t="shared" si="85"/>
        <v>231417</v>
      </c>
      <c r="S428" s="25">
        <f>(((H428+R428)/(H427+R427))-1)+detalle!$D$1</f>
        <v>7.3654449320057963E-2</v>
      </c>
      <c r="T428" s="25">
        <f t="shared" si="89"/>
        <v>1.0311622904808115</v>
      </c>
      <c r="U428" s="10">
        <f t="shared" si="86"/>
        <v>0.85219569647230375</v>
      </c>
      <c r="V428" s="21">
        <f t="shared" si="92"/>
        <v>65.25164614944174</v>
      </c>
      <c r="W428" s="15">
        <f>J428/detalle!$D$2</f>
        <v>128710.23717033838</v>
      </c>
      <c r="X428" s="15">
        <f>E428/detalle!$D$2</f>
        <v>24401.672949976182</v>
      </c>
      <c r="Y428" s="22">
        <f>F428/detalle!$D$2</f>
        <v>318.68928834483114</v>
      </c>
      <c r="AA428" s="14">
        <f>E428/(detalle!$D$2*1000000)</f>
        <v>2.4401672949976184E-2</v>
      </c>
      <c r="AB428" s="14">
        <f>F428/(detalle!$D$2*1000000)</f>
        <v>3.1868928834483112E-4</v>
      </c>
      <c r="AC428" s="31">
        <f>189/495</f>
        <v>0.38181818181818183</v>
      </c>
      <c r="AD428" s="31">
        <f>585/2359</f>
        <v>0.24798643493005512</v>
      </c>
      <c r="AE428" s="31">
        <f>125/379</f>
        <v>0.32981530343007914</v>
      </c>
      <c r="AF428" s="22">
        <f t="shared" si="90"/>
        <v>6</v>
      </c>
      <c r="AG428" s="12">
        <v>1185502</v>
      </c>
      <c r="AH428" s="12">
        <v>796683</v>
      </c>
      <c r="AI428" s="20">
        <v>0</v>
      </c>
      <c r="AJ428" s="23">
        <f t="shared" si="91"/>
        <v>12167</v>
      </c>
      <c r="AK428" s="23">
        <f t="shared" si="94"/>
        <v>1982185</v>
      </c>
      <c r="AL428" s="28">
        <f>AK428/detalle!$D$2</f>
        <v>180847.73175430836</v>
      </c>
    </row>
    <row r="429" spans="1:38">
      <c r="A429" s="12">
        <v>428</v>
      </c>
      <c r="B429" s="19">
        <v>44318</v>
      </c>
      <c r="C429" s="12">
        <v>410</v>
      </c>
      <c r="D429" s="23">
        <f t="shared" si="87"/>
        <v>226</v>
      </c>
      <c r="E429" s="12">
        <v>267681</v>
      </c>
      <c r="F429" s="12">
        <v>3499</v>
      </c>
      <c r="G429" s="12">
        <v>228460</v>
      </c>
      <c r="H429" s="23">
        <f t="shared" si="83"/>
        <v>35722</v>
      </c>
      <c r="I429" s="23">
        <f t="shared" si="95"/>
        <v>1434</v>
      </c>
      <c r="J429" s="12">
        <v>1412165</v>
      </c>
      <c r="K429" s="23">
        <f t="shared" si="82"/>
        <v>1144484</v>
      </c>
      <c r="L429" s="9">
        <f t="shared" si="88"/>
        <v>536</v>
      </c>
      <c r="M429" s="14">
        <f t="shared" si="84"/>
        <v>1.3071529170916129E-2</v>
      </c>
      <c r="N429" s="14">
        <f t="shared" si="93"/>
        <v>0.15760111576011157</v>
      </c>
      <c r="O429" s="12"/>
      <c r="P429" s="12"/>
      <c r="Q429" s="12"/>
      <c r="R429" s="23">
        <f t="shared" si="85"/>
        <v>231959</v>
      </c>
      <c r="S429" s="25">
        <f>(((H429+R429)/(H428+R428))-1)+detalle!$D$1</f>
        <v>7.2273573391518547E-2</v>
      </c>
      <c r="T429" s="25">
        <f t="shared" si="89"/>
        <v>1.0118300274812597</v>
      </c>
      <c r="U429" s="10">
        <f t="shared" si="86"/>
        <v>0.85347858084809902</v>
      </c>
      <c r="V429" s="21">
        <f t="shared" si="92"/>
        <v>65.292940840240064</v>
      </c>
      <c r="W429" s="15">
        <f>J429/detalle!$D$2</f>
        <v>128841.07039091854</v>
      </c>
      <c r="X429" s="15">
        <f>E429/detalle!$D$2</f>
        <v>24422.292411518105</v>
      </c>
      <c r="Y429" s="22">
        <f>F429/detalle!$D$2</f>
        <v>319.23670767780249</v>
      </c>
      <c r="AA429" s="14">
        <f>E429/(detalle!$D$2*1000000)</f>
        <v>2.4422292411518103E-2</v>
      </c>
      <c r="AB429" s="14">
        <f>F429/(detalle!$D$2*1000000)</f>
        <v>3.1923670767780246E-4</v>
      </c>
      <c r="AC429" s="31">
        <f>186/495</f>
        <v>0.37575757575757573</v>
      </c>
      <c r="AD429" s="31">
        <f>575/2359</f>
        <v>0.24374735057227639</v>
      </c>
      <c r="AE429" s="31">
        <f>127/379</f>
        <v>0.33509234828496043</v>
      </c>
      <c r="AF429" s="22">
        <f t="shared" si="90"/>
        <v>6</v>
      </c>
      <c r="AG429" s="12">
        <v>1192415</v>
      </c>
      <c r="AH429" s="12">
        <v>796969</v>
      </c>
      <c r="AI429" s="20">
        <v>0</v>
      </c>
      <c r="AJ429" s="23">
        <f t="shared" si="91"/>
        <v>7199</v>
      </c>
      <c r="AK429" s="23">
        <f t="shared" si="94"/>
        <v>1989384</v>
      </c>
      <c r="AL429" s="28">
        <f>AK429/detalle!$D$2</f>
        <v>181504.54371731851</v>
      </c>
    </row>
    <row r="430" spans="1:38">
      <c r="A430" s="12">
        <v>429</v>
      </c>
      <c r="B430" s="19">
        <v>44319</v>
      </c>
      <c r="C430" s="12">
        <v>411</v>
      </c>
      <c r="D430" s="23">
        <f t="shared" si="87"/>
        <v>389</v>
      </c>
      <c r="E430" s="12">
        <v>268070</v>
      </c>
      <c r="F430" s="12">
        <v>3504</v>
      </c>
      <c r="G430" s="12">
        <v>229368</v>
      </c>
      <c r="H430" s="23">
        <f t="shared" si="83"/>
        <v>35198</v>
      </c>
      <c r="I430" s="23">
        <f t="shared" si="95"/>
        <v>1581</v>
      </c>
      <c r="J430" s="12">
        <v>1413746</v>
      </c>
      <c r="K430" s="23">
        <f t="shared" si="82"/>
        <v>1145676</v>
      </c>
      <c r="L430" s="9">
        <f t="shared" si="88"/>
        <v>908</v>
      </c>
      <c r="M430" s="14">
        <f t="shared" si="84"/>
        <v>1.3071212742940277E-2</v>
      </c>
      <c r="N430" s="14">
        <f t="shared" si="93"/>
        <v>0.24604680581910182</v>
      </c>
      <c r="O430" s="12"/>
      <c r="P430" s="12"/>
      <c r="Q430" s="12"/>
      <c r="R430" s="23">
        <f t="shared" si="85"/>
        <v>232872</v>
      </c>
      <c r="S430" s="25">
        <f>(((H430+R430)/(H429+R429))-1)+detalle!$D$1</f>
        <v>7.2881793734226347E-2</v>
      </c>
      <c r="T430" s="25">
        <f t="shared" si="89"/>
        <v>1.0203451122791689</v>
      </c>
      <c r="U430" s="10">
        <f t="shared" si="86"/>
        <v>0.85562726153616597</v>
      </c>
      <c r="V430" s="21">
        <f t="shared" si="92"/>
        <v>65.458904109589042</v>
      </c>
      <c r="W430" s="15">
        <f>J430/detalle!$D$2</f>
        <v>128985.31538515649</v>
      </c>
      <c r="X430" s="15">
        <f>E430/detalle!$D$2</f>
        <v>24457.783431605749</v>
      </c>
      <c r="Y430" s="22">
        <f>F430/detalle!$D$2</f>
        <v>319.69289045527864</v>
      </c>
      <c r="AA430" s="14">
        <f>E430/(detalle!$D$2*1000000)</f>
        <v>2.4457783431605748E-2</v>
      </c>
      <c r="AB430" s="14">
        <f>F430/(detalle!$D$2*1000000)</f>
        <v>3.1969289045527863E-4</v>
      </c>
      <c r="AC430" s="31">
        <f>204/497</f>
        <v>0.41046277665995978</v>
      </c>
      <c r="AD430" s="31">
        <f>594/2364</f>
        <v>0.2512690355329949</v>
      </c>
      <c r="AE430" s="31">
        <f>124/379</f>
        <v>0.32717678100263853</v>
      </c>
      <c r="AF430" s="22">
        <f t="shared" si="90"/>
        <v>5</v>
      </c>
      <c r="AG430" s="12">
        <v>1251674</v>
      </c>
      <c r="AH430" s="12">
        <v>800988</v>
      </c>
      <c r="AI430" s="20">
        <v>0</v>
      </c>
      <c r="AJ430" s="23">
        <f t="shared" si="91"/>
        <v>63278</v>
      </c>
      <c r="AK430" s="23">
        <f t="shared" si="94"/>
        <v>2052662</v>
      </c>
      <c r="AL430" s="28">
        <f>AK430/detalle!$D$2</f>
        <v>187277.81047594553</v>
      </c>
    </row>
    <row r="431" spans="1:38">
      <c r="A431" s="12">
        <v>430</v>
      </c>
      <c r="B431" s="19">
        <v>44320</v>
      </c>
      <c r="C431" s="12">
        <v>412</v>
      </c>
      <c r="D431" s="23">
        <f t="shared" si="87"/>
        <v>491</v>
      </c>
      <c r="E431" s="12">
        <v>268561</v>
      </c>
      <c r="F431" s="12">
        <v>3509</v>
      </c>
      <c r="G431" s="12">
        <v>229453</v>
      </c>
      <c r="H431" s="23">
        <f t="shared" si="83"/>
        <v>35599</v>
      </c>
      <c r="I431" s="23">
        <f t="shared" si="95"/>
        <v>3726</v>
      </c>
      <c r="J431" s="12">
        <v>1417472</v>
      </c>
      <c r="K431" s="23">
        <f t="shared" si="82"/>
        <v>1148911</v>
      </c>
      <c r="L431" s="9">
        <f t="shared" si="88"/>
        <v>85</v>
      </c>
      <c r="M431" s="14">
        <f t="shared" si="84"/>
        <v>1.3065932879308611E-2</v>
      </c>
      <c r="N431" s="14">
        <f t="shared" si="93"/>
        <v>0.13177670424047236</v>
      </c>
      <c r="O431" s="12"/>
      <c r="P431" s="12"/>
      <c r="Q431" s="12"/>
      <c r="R431" s="23">
        <f t="shared" si="85"/>
        <v>232962</v>
      </c>
      <c r="S431" s="25">
        <f>(((H431+R431)/(H430+R430))-1)+detalle!$D$1</f>
        <v>7.3260182574913763E-2</v>
      </c>
      <c r="T431" s="25">
        <f t="shared" si="89"/>
        <v>1.0256425560487927</v>
      </c>
      <c r="U431" s="10">
        <f t="shared" si="86"/>
        <v>0.85437945196808174</v>
      </c>
      <c r="V431" s="21">
        <f t="shared" si="92"/>
        <v>65.389854659447138</v>
      </c>
      <c r="W431" s="15">
        <f>J431/detalle!$D$2</f>
        <v>129325.26279093171</v>
      </c>
      <c r="X431" s="15">
        <f>E431/detalle!$D$2</f>
        <v>24502.580580353904</v>
      </c>
      <c r="Y431" s="22">
        <f>F431/detalle!$D$2</f>
        <v>320.14907323275474</v>
      </c>
      <c r="AA431" s="14">
        <f>E431/(detalle!$D$2*1000000)</f>
        <v>2.4502580580353903E-2</v>
      </c>
      <c r="AB431" s="14">
        <f>F431/(detalle!$D$2*1000000)</f>
        <v>3.2014907323275475E-4</v>
      </c>
      <c r="AC431" s="31">
        <f>210/496</f>
        <v>0.42338709677419356</v>
      </c>
      <c r="AD431" s="31">
        <f>624/2356</f>
        <v>0.26485568760611206</v>
      </c>
      <c r="AE431" s="31">
        <f>127/379</f>
        <v>0.33509234828496043</v>
      </c>
      <c r="AF431" s="22">
        <f t="shared" si="90"/>
        <v>5</v>
      </c>
      <c r="AG431" s="12">
        <v>1319445</v>
      </c>
      <c r="AH431" s="12">
        <v>804258</v>
      </c>
      <c r="AI431" s="20">
        <v>0</v>
      </c>
      <c r="AJ431" s="23">
        <f t="shared" si="91"/>
        <v>71041</v>
      </c>
      <c r="AK431" s="23">
        <f t="shared" si="94"/>
        <v>2123703</v>
      </c>
      <c r="AL431" s="28">
        <f>AK431/detalle!$D$2</f>
        <v>193759.34661488203</v>
      </c>
    </row>
    <row r="432" spans="1:38">
      <c r="A432" s="12">
        <v>431</v>
      </c>
      <c r="B432" s="19">
        <v>44321</v>
      </c>
      <c r="C432" s="12">
        <v>413</v>
      </c>
      <c r="D432" s="23">
        <f t="shared" si="87"/>
        <v>623</v>
      </c>
      <c r="E432" s="12">
        <v>269184</v>
      </c>
      <c r="F432" s="12">
        <v>3514</v>
      </c>
      <c r="G432" s="12">
        <v>230033</v>
      </c>
      <c r="H432" s="23">
        <f t="shared" si="83"/>
        <v>35637</v>
      </c>
      <c r="I432" s="23">
        <f t="shared" si="95"/>
        <v>6062</v>
      </c>
      <c r="J432" s="12">
        <v>1423534</v>
      </c>
      <c r="K432" s="23">
        <f t="shared" ref="K432:K495" si="96">J432-E432</f>
        <v>1154350</v>
      </c>
      <c r="L432" s="9">
        <f t="shared" si="88"/>
        <v>580</v>
      </c>
      <c r="M432" s="14">
        <f t="shared" si="84"/>
        <v>1.3054267712791251E-2</v>
      </c>
      <c r="N432" s="14">
        <f t="shared" si="93"/>
        <v>0.10277136258660508</v>
      </c>
      <c r="O432" s="12"/>
      <c r="P432" s="12"/>
      <c r="Q432" s="12"/>
      <c r="R432" s="23">
        <f t="shared" si="85"/>
        <v>233547</v>
      </c>
      <c r="S432" s="25">
        <f>(((H432+R432)/(H431+R431))-1)+detalle!$D$1</f>
        <v>7.3748342355846735E-2</v>
      </c>
      <c r="T432" s="25">
        <f t="shared" si="89"/>
        <v>1.0324767929818544</v>
      </c>
      <c r="U432" s="10">
        <f t="shared" si="86"/>
        <v>0.85455673442700908</v>
      </c>
      <c r="V432" s="21">
        <f t="shared" si="92"/>
        <v>65.461866818440527</v>
      </c>
      <c r="W432" s="15">
        <f>J432/detalle!$D$2</f>
        <v>129878.33879034378</v>
      </c>
      <c r="X432" s="15">
        <f>E432/detalle!$D$2</f>
        <v>24559.420954427431</v>
      </c>
      <c r="Y432" s="22">
        <f>F432/detalle!$D$2</f>
        <v>320.6052560102309</v>
      </c>
      <c r="AA432" s="14">
        <f>E432/(detalle!$D$2*1000000)</f>
        <v>2.4559420954427431E-2</v>
      </c>
      <c r="AB432" s="14">
        <f>F432/(detalle!$D$2*1000000)</f>
        <v>3.2060525601023093E-4</v>
      </c>
      <c r="AC432" s="31">
        <f>215/496</f>
        <v>0.43346774193548387</v>
      </c>
      <c r="AD432" s="31">
        <f>624/2355</f>
        <v>0.26496815286624203</v>
      </c>
      <c r="AE432" s="31">
        <f>132/379</f>
        <v>0.34828496042216361</v>
      </c>
      <c r="AF432" s="22">
        <f t="shared" si="90"/>
        <v>5</v>
      </c>
      <c r="AG432" s="12">
        <v>1389890</v>
      </c>
      <c r="AH432" s="12">
        <v>807263</v>
      </c>
      <c r="AI432" s="20">
        <v>0</v>
      </c>
      <c r="AJ432" s="23">
        <f t="shared" si="91"/>
        <v>73450</v>
      </c>
      <c r="AK432" s="23">
        <f t="shared" si="94"/>
        <v>2197153</v>
      </c>
      <c r="AL432" s="28">
        <f>AK432/detalle!$D$2</f>
        <v>200460.6716160065</v>
      </c>
    </row>
    <row r="433" spans="1:38">
      <c r="A433" s="12">
        <v>432</v>
      </c>
      <c r="B433" s="19">
        <v>44322</v>
      </c>
      <c r="C433" s="12">
        <v>414</v>
      </c>
      <c r="D433" s="23">
        <f t="shared" si="87"/>
        <v>774</v>
      </c>
      <c r="E433" s="12">
        <v>269958</v>
      </c>
      <c r="F433" s="12">
        <v>3517</v>
      </c>
      <c r="G433" s="12">
        <v>230945</v>
      </c>
      <c r="H433" s="23">
        <f t="shared" si="83"/>
        <v>35496</v>
      </c>
      <c r="I433" s="23">
        <f t="shared" si="95"/>
        <v>5441</v>
      </c>
      <c r="J433" s="12">
        <v>1428975</v>
      </c>
      <c r="K433" s="23">
        <f t="shared" si="96"/>
        <v>1159017</v>
      </c>
      <c r="L433" s="9">
        <f t="shared" si="88"/>
        <v>912</v>
      </c>
      <c r="M433" s="14">
        <f t="shared" si="84"/>
        <v>1.3027952496314242E-2</v>
      </c>
      <c r="N433" s="14">
        <f t="shared" si="93"/>
        <v>0.14225326226796545</v>
      </c>
      <c r="O433" s="12"/>
      <c r="P433" s="12"/>
      <c r="Q433" s="12"/>
      <c r="R433" s="23">
        <f t="shared" si="85"/>
        <v>234462</v>
      </c>
      <c r="S433" s="25">
        <f>(((H433+R433)/(H432+R432))-1)+detalle!$D$1</f>
        <v>7.4303928061952212E-2</v>
      </c>
      <c r="T433" s="25">
        <f t="shared" si="89"/>
        <v>1.040254992867331</v>
      </c>
      <c r="U433" s="10">
        <f t="shared" si="86"/>
        <v>0.85548492728498504</v>
      </c>
      <c r="V433" s="21">
        <f t="shared" si="92"/>
        <v>65.665339778220073</v>
      </c>
      <c r="W433" s="15">
        <f>J433/detalle!$D$2</f>
        <v>130374.75688879332</v>
      </c>
      <c r="X433" s="15">
        <f>E433/detalle!$D$2</f>
        <v>24630.038048380738</v>
      </c>
      <c r="Y433" s="22">
        <f>F433/detalle!$D$2</f>
        <v>320.87896567671658</v>
      </c>
      <c r="AA433" s="14">
        <f>E433/(detalle!$D$2*1000000)</f>
        <v>2.4630038048380737E-2</v>
      </c>
      <c r="AB433" s="14">
        <f>F433/(detalle!$D$2*1000000)</f>
        <v>3.2087896567671657E-4</v>
      </c>
      <c r="AC433" s="31">
        <f>229/495</f>
        <v>0.46262626262626261</v>
      </c>
      <c r="AD433" s="31">
        <f>635/2355</f>
        <v>0.26963906581740976</v>
      </c>
      <c r="AE433" s="31">
        <f>137/377</f>
        <v>0.36339522546419101</v>
      </c>
      <c r="AF433" s="22">
        <f t="shared" si="90"/>
        <v>3</v>
      </c>
      <c r="AG433" s="12">
        <v>1456488</v>
      </c>
      <c r="AH433" s="12">
        <v>807894</v>
      </c>
      <c r="AI433" s="20">
        <v>0</v>
      </c>
      <c r="AJ433" s="23">
        <f t="shared" si="91"/>
        <v>67229</v>
      </c>
      <c r="AK433" s="23">
        <f t="shared" si="94"/>
        <v>2264382</v>
      </c>
      <c r="AL433" s="28">
        <f>AK433/detalle!$D$2</f>
        <v>206594.4140053952</v>
      </c>
    </row>
    <row r="434" spans="1:38">
      <c r="A434" s="12">
        <v>433</v>
      </c>
      <c r="B434" s="19">
        <v>44323</v>
      </c>
      <c r="C434" s="12">
        <v>415</v>
      </c>
      <c r="D434" s="23">
        <f t="shared" si="87"/>
        <v>642</v>
      </c>
      <c r="E434" s="12">
        <v>270600</v>
      </c>
      <c r="F434" s="12">
        <v>3523</v>
      </c>
      <c r="G434" s="12">
        <v>231081</v>
      </c>
      <c r="H434" s="23">
        <f t="shared" si="83"/>
        <v>35996</v>
      </c>
      <c r="I434" s="23">
        <f t="shared" si="95"/>
        <v>5528</v>
      </c>
      <c r="J434" s="12">
        <v>1434503</v>
      </c>
      <c r="K434" s="23">
        <f t="shared" si="96"/>
        <v>1163903</v>
      </c>
      <c r="L434" s="9">
        <f t="shared" si="88"/>
        <v>136</v>
      </c>
      <c r="M434" s="14">
        <f t="shared" si="84"/>
        <v>1.3019216555801922E-2</v>
      </c>
      <c r="N434" s="14">
        <f t="shared" si="93"/>
        <v>0.11613603473227208</v>
      </c>
      <c r="O434" s="12"/>
      <c r="P434" s="12"/>
      <c r="Q434" s="12"/>
      <c r="R434" s="23">
        <f t="shared" si="85"/>
        <v>234604</v>
      </c>
      <c r="S434" s="25">
        <f>(((H434+R434)/(H433+R433))-1)+detalle!$D$1</f>
        <v>7.380671914043771E-2</v>
      </c>
      <c r="T434" s="25">
        <f t="shared" si="89"/>
        <v>1.033294067966128</v>
      </c>
      <c r="U434" s="10">
        <f t="shared" si="86"/>
        <v>0.85395787139689583</v>
      </c>
      <c r="V434" s="21">
        <f t="shared" si="92"/>
        <v>65.59210899801306</v>
      </c>
      <c r="W434" s="15">
        <f>J434/detalle!$D$2</f>
        <v>130879.11256757093</v>
      </c>
      <c r="X434" s="15">
        <f>E434/detalle!$D$2</f>
        <v>24688.611917008675</v>
      </c>
      <c r="Y434" s="22">
        <f>F434/detalle!$D$2</f>
        <v>321.42638500968798</v>
      </c>
      <c r="AA434" s="14">
        <f>E434/(detalle!$D$2*1000000)</f>
        <v>2.4688611917008673E-2</v>
      </c>
      <c r="AB434" s="14">
        <f>F434/(detalle!$D$2*1000000)</f>
        <v>3.2142638500968796E-4</v>
      </c>
      <c r="AC434" s="31">
        <f>231/496</f>
        <v>0.46572580645161288</v>
      </c>
      <c r="AD434" s="31">
        <f>633/2354</f>
        <v>0.26890399320305863</v>
      </c>
      <c r="AE434" s="31">
        <f>137/373</f>
        <v>0.36729222520107241</v>
      </c>
      <c r="AF434" s="22">
        <f t="shared" si="90"/>
        <v>6</v>
      </c>
      <c r="AG434" s="12">
        <v>1515063</v>
      </c>
      <c r="AH434" s="12">
        <v>810045</v>
      </c>
      <c r="AI434" s="20">
        <v>0</v>
      </c>
      <c r="AJ434" s="23">
        <f t="shared" si="91"/>
        <v>60726</v>
      </c>
      <c r="AK434" s="23">
        <f t="shared" si="94"/>
        <v>2325108</v>
      </c>
      <c r="AL434" s="28">
        <f>AK434/detalle!$D$2</f>
        <v>212134.84507439838</v>
      </c>
    </row>
    <row r="435" spans="1:38">
      <c r="A435" s="12">
        <v>434</v>
      </c>
      <c r="B435" s="19">
        <v>44324</v>
      </c>
      <c r="C435" s="12">
        <v>416</v>
      </c>
      <c r="D435" s="23">
        <f t="shared" si="87"/>
        <v>948</v>
      </c>
      <c r="E435" s="12">
        <v>271548</v>
      </c>
      <c r="F435" s="12">
        <v>3532</v>
      </c>
      <c r="G435" s="12">
        <v>231645</v>
      </c>
      <c r="H435" s="23">
        <f t="shared" si="83"/>
        <v>36371</v>
      </c>
      <c r="I435" s="23">
        <f t="shared" si="95"/>
        <v>6736</v>
      </c>
      <c r="J435" s="12">
        <v>1441239</v>
      </c>
      <c r="K435" s="23">
        <f t="shared" si="96"/>
        <v>1169691</v>
      </c>
      <c r="L435" s="9">
        <f t="shared" si="88"/>
        <v>564</v>
      </c>
      <c r="M435" s="14">
        <f t="shared" si="84"/>
        <v>1.3006908539190124E-2</v>
      </c>
      <c r="N435" s="14">
        <f t="shared" si="93"/>
        <v>0.14073634204275534</v>
      </c>
      <c r="O435" s="12"/>
      <c r="P435" s="12"/>
      <c r="Q435" s="12"/>
      <c r="R435" s="23">
        <f t="shared" si="85"/>
        <v>235177</v>
      </c>
      <c r="S435" s="25">
        <f>(((H435+R435)/(H434+R434))-1)+detalle!$D$1</f>
        <v>7.493189737092168E-2</v>
      </c>
      <c r="T435" s="25">
        <f t="shared" si="89"/>
        <v>1.0490465631929036</v>
      </c>
      <c r="U435" s="10">
        <f t="shared" si="86"/>
        <v>0.85305360378275663</v>
      </c>
      <c r="V435" s="21">
        <f t="shared" si="92"/>
        <v>65.584654586636461</v>
      </c>
      <c r="W435" s="15">
        <f>J435/detalle!$D$2</f>
        <v>131493.6820053868</v>
      </c>
      <c r="X435" s="15">
        <f>E435/detalle!$D$2</f>
        <v>24775.10417161815</v>
      </c>
      <c r="Y435" s="22">
        <f>F435/detalle!$D$2</f>
        <v>322.24751400914499</v>
      </c>
      <c r="AA435" s="14">
        <f>E435/(detalle!$D$2*1000000)</f>
        <v>2.4775104171618149E-2</v>
      </c>
      <c r="AB435" s="14">
        <f>F435/(detalle!$D$2*1000000)</f>
        <v>3.2224751400914499E-4</v>
      </c>
      <c r="AC435" s="31">
        <f>228/496</f>
        <v>0.45967741935483869</v>
      </c>
      <c r="AD435" s="31">
        <f>629/2354</f>
        <v>0.26720475785896347</v>
      </c>
      <c r="AE435" s="31">
        <f>133/373</f>
        <v>0.35656836461126007</v>
      </c>
      <c r="AF435" s="22">
        <f t="shared" si="90"/>
        <v>9</v>
      </c>
      <c r="AG435" s="12">
        <v>1535083</v>
      </c>
      <c r="AH435" s="12">
        <v>810445</v>
      </c>
      <c r="AI435" s="20">
        <v>0</v>
      </c>
      <c r="AJ435" s="23">
        <f t="shared" si="91"/>
        <v>20420</v>
      </c>
      <c r="AK435" s="23">
        <f t="shared" si="94"/>
        <v>2345528</v>
      </c>
      <c r="AL435" s="28">
        <f>AK435/detalle!$D$2</f>
        <v>213997.89553761095</v>
      </c>
    </row>
    <row r="436" spans="1:38">
      <c r="A436" s="12">
        <v>435</v>
      </c>
      <c r="B436" s="19">
        <v>44325</v>
      </c>
      <c r="C436" s="12">
        <v>417</v>
      </c>
      <c r="D436" s="23">
        <f t="shared" si="87"/>
        <v>560</v>
      </c>
      <c r="E436" s="12">
        <v>272108</v>
      </c>
      <c r="F436" s="12">
        <v>3540</v>
      </c>
      <c r="G436" s="12">
        <v>231963</v>
      </c>
      <c r="H436" s="23">
        <f t="shared" si="83"/>
        <v>36605</v>
      </c>
      <c r="I436" s="23">
        <f t="shared" si="95"/>
        <v>6514</v>
      </c>
      <c r="J436" s="12">
        <v>1447753</v>
      </c>
      <c r="K436" s="23">
        <f t="shared" si="96"/>
        <v>1175645</v>
      </c>
      <c r="L436" s="23">
        <f t="shared" si="88"/>
        <v>318</v>
      </c>
      <c r="M436" s="14">
        <f t="shared" si="84"/>
        <v>1.3009540329575022E-2</v>
      </c>
      <c r="N436" s="14">
        <f t="shared" si="93"/>
        <v>8.5968682836966528E-2</v>
      </c>
      <c r="O436" s="12"/>
      <c r="P436" s="12"/>
      <c r="Q436" s="12"/>
      <c r="R436" s="23">
        <f t="shared" si="85"/>
        <v>235503</v>
      </c>
      <c r="S436" s="25">
        <f>(((H436+R436)/(H435+R435))-1)+detalle!$D$1</f>
        <v>7.3490821933086342E-2</v>
      </c>
      <c r="T436" s="25">
        <f t="shared" si="89"/>
        <v>1.0288715070632088</v>
      </c>
      <c r="U436" s="10">
        <f t="shared" si="86"/>
        <v>0.85246666764666967</v>
      </c>
      <c r="V436" s="21">
        <f t="shared" si="92"/>
        <v>65.526271186440681</v>
      </c>
      <c r="W436" s="15">
        <f>J436/detalle!$D$2</f>
        <v>132087.99692788272</v>
      </c>
      <c r="X436" s="15">
        <f>E436/detalle!$D$2</f>
        <v>24826.196642695479</v>
      </c>
      <c r="Y436" s="22">
        <f>F436/detalle!$D$2</f>
        <v>322.97740645310682</v>
      </c>
      <c r="AA436" s="14">
        <f>E436/(detalle!$D$2*1000000)</f>
        <v>2.4826196642695478E-2</v>
      </c>
      <c r="AB436" s="14">
        <f>F436/(detalle!$D$2*1000000)</f>
        <v>3.229774064531068E-4</v>
      </c>
      <c r="AC436" s="31">
        <f>229/496</f>
        <v>0.46169354838709675</v>
      </c>
      <c r="AD436" s="31">
        <f>636/2354</f>
        <v>0.27017841971112999</v>
      </c>
      <c r="AE436" s="31">
        <f>134/373</f>
        <v>0.35924932975871315</v>
      </c>
      <c r="AF436" s="22">
        <f t="shared" si="90"/>
        <v>8</v>
      </c>
      <c r="AG436" s="12">
        <v>1543725</v>
      </c>
      <c r="AH436" s="12">
        <v>810556</v>
      </c>
      <c r="AI436" s="20">
        <v>0</v>
      </c>
      <c r="AJ436" s="23">
        <f t="shared" si="91"/>
        <v>8753</v>
      </c>
      <c r="AK436" s="23">
        <f t="shared" si="94"/>
        <v>2354281</v>
      </c>
      <c r="AL436" s="28">
        <f>AK436/detalle!$D$2</f>
        <v>214796.48910786069</v>
      </c>
    </row>
    <row r="437" spans="1:38">
      <c r="A437" s="12">
        <v>436</v>
      </c>
      <c r="B437" s="19">
        <v>44326</v>
      </c>
      <c r="C437" s="12">
        <v>418</v>
      </c>
      <c r="D437" s="23">
        <f t="shared" si="87"/>
        <v>701</v>
      </c>
      <c r="E437" s="12">
        <v>272809</v>
      </c>
      <c r="F437" s="12">
        <v>3550</v>
      </c>
      <c r="G437" s="12">
        <v>232325</v>
      </c>
      <c r="H437" s="23">
        <f t="shared" si="83"/>
        <v>36934</v>
      </c>
      <c r="I437" s="23">
        <f t="shared" si="95"/>
        <v>4912</v>
      </c>
      <c r="J437" s="12">
        <v>1452665</v>
      </c>
      <c r="K437" s="23">
        <f t="shared" si="96"/>
        <v>1179856</v>
      </c>
      <c r="L437" s="23">
        <f t="shared" si="88"/>
        <v>362</v>
      </c>
      <c r="M437" s="14">
        <f t="shared" si="84"/>
        <v>1.3012767174103494E-2</v>
      </c>
      <c r="N437" s="14">
        <f t="shared" si="93"/>
        <v>0.14271172638436483</v>
      </c>
      <c r="O437" s="12"/>
      <c r="P437" s="12"/>
      <c r="Q437" s="12"/>
      <c r="R437" s="23">
        <f t="shared" si="85"/>
        <v>235875</v>
      </c>
      <c r="S437" s="25">
        <f>(((H437+R437)/(H436+R436))-1)+detalle!$D$1</f>
        <v>7.4004754414738666E-2</v>
      </c>
      <c r="T437" s="25">
        <f t="shared" si="89"/>
        <v>1.0360665618063414</v>
      </c>
      <c r="U437" s="10">
        <f t="shared" si="86"/>
        <v>0.85160313626016737</v>
      </c>
      <c r="V437" s="21">
        <f t="shared" si="92"/>
        <v>65.443661971830991</v>
      </c>
      <c r="W437" s="15">
        <f>J437/detalle!$D$2</f>
        <v>132536.15088847527</v>
      </c>
      <c r="X437" s="15">
        <f>E437/detalle!$D$2</f>
        <v>24890.153468097633</v>
      </c>
      <c r="Y437" s="22">
        <f>F437/detalle!$D$2</f>
        <v>323.88977200805914</v>
      </c>
      <c r="AA437" s="14">
        <f>E437/(detalle!$D$2*1000000)</f>
        <v>2.4890153468097632E-2</v>
      </c>
      <c r="AB437" s="14">
        <f>F437/(detalle!$D$2*1000000)</f>
        <v>3.238897720080591E-4</v>
      </c>
      <c r="AC437" s="31">
        <f>237/505</f>
        <v>0.46930693069306928</v>
      </c>
      <c r="AD437" s="31">
        <f>625/2373</f>
        <v>0.2633796881584492</v>
      </c>
      <c r="AE437" s="31">
        <f>146/391</f>
        <v>0.37340153452685421</v>
      </c>
      <c r="AF437" s="22">
        <f t="shared" si="90"/>
        <v>10</v>
      </c>
      <c r="AG437" s="12">
        <v>1671046</v>
      </c>
      <c r="AH437" s="12">
        <v>812583</v>
      </c>
      <c r="AI437" s="20">
        <v>0</v>
      </c>
      <c r="AJ437" s="23">
        <f t="shared" si="91"/>
        <v>129348</v>
      </c>
      <c r="AK437" s="23">
        <f t="shared" si="94"/>
        <v>2483629</v>
      </c>
      <c r="AL437" s="28">
        <f>AK437/detalle!$D$2</f>
        <v>226597.75508805743</v>
      </c>
    </row>
    <row r="438" spans="1:38">
      <c r="A438" s="12">
        <v>437</v>
      </c>
      <c r="B438" s="19">
        <v>44327</v>
      </c>
      <c r="C438" s="12">
        <v>419</v>
      </c>
      <c r="D438" s="23">
        <f t="shared" si="87"/>
        <v>688</v>
      </c>
      <c r="E438" s="12">
        <v>273497</v>
      </c>
      <c r="F438" s="12">
        <v>3554</v>
      </c>
      <c r="G438" s="12">
        <f>232381</f>
        <v>232381</v>
      </c>
      <c r="H438" s="23">
        <f t="shared" si="83"/>
        <v>37562</v>
      </c>
      <c r="I438" s="23">
        <f t="shared" si="95"/>
        <v>4194</v>
      </c>
      <c r="J438" s="12">
        <v>1456859</v>
      </c>
      <c r="K438" s="23">
        <f t="shared" si="96"/>
        <v>1183362</v>
      </c>
      <c r="L438" s="23">
        <f t="shared" si="88"/>
        <v>56</v>
      </c>
      <c r="M438" s="14">
        <f t="shared" si="84"/>
        <v>1.2994658076688226E-2</v>
      </c>
      <c r="N438" s="14">
        <f t="shared" si="93"/>
        <v>0.16404387219837863</v>
      </c>
      <c r="O438" s="12"/>
      <c r="P438" s="12"/>
      <c r="Q438" s="12"/>
      <c r="R438" s="23">
        <f t="shared" si="85"/>
        <v>235935</v>
      </c>
      <c r="S438" s="25">
        <f>(((H438+R438)/(H437+R437))-1)+detalle!$D$1</f>
        <v>7.3950482362594966E-2</v>
      </c>
      <c r="T438" s="25">
        <f t="shared" si="89"/>
        <v>1.0353067530763296</v>
      </c>
      <c r="U438" s="10">
        <f t="shared" si="86"/>
        <v>0.84966562704526927</v>
      </c>
      <c r="V438" s="21">
        <f t="shared" si="92"/>
        <v>65.385762521102976</v>
      </c>
      <c r="W438" s="15">
        <f>J438/detalle!$D$2</f>
        <v>132918.79700222224</v>
      </c>
      <c r="X438" s="15">
        <f>E438/detalle!$D$2</f>
        <v>24952.924218278349</v>
      </c>
      <c r="Y438" s="22">
        <f>F438/detalle!$D$2</f>
        <v>324.25471823004006</v>
      </c>
      <c r="AA438" s="14">
        <f>E438/(detalle!$D$2*1000000)</f>
        <v>2.4952924218278348E-2</v>
      </c>
      <c r="AB438" s="14">
        <f>F438/(detalle!$D$2*1000000)</f>
        <v>3.2425471823004001E-4</v>
      </c>
      <c r="AC438" s="31">
        <f>242/508</f>
        <v>0.4763779527559055</v>
      </c>
      <c r="AD438" s="31">
        <f>629/2414</f>
        <v>0.26056338028169013</v>
      </c>
      <c r="AE438" s="31">
        <f>154/405</f>
        <v>0.38024691358024693</v>
      </c>
      <c r="AF438" s="22">
        <f t="shared" si="90"/>
        <v>4</v>
      </c>
      <c r="AG438" s="12">
        <v>1825500</v>
      </c>
      <c r="AH438" s="12">
        <v>814909</v>
      </c>
      <c r="AI438" s="20">
        <v>0</v>
      </c>
      <c r="AJ438" s="23">
        <f t="shared" si="91"/>
        <v>156780</v>
      </c>
      <c r="AK438" s="23">
        <f t="shared" si="94"/>
        <v>2640409</v>
      </c>
      <c r="AL438" s="28">
        <f>AK438/detalle!$D$2</f>
        <v>240901.82225859925</v>
      </c>
    </row>
    <row r="439" spans="1:38">
      <c r="A439" s="12">
        <v>438</v>
      </c>
      <c r="B439" s="19">
        <v>44328</v>
      </c>
      <c r="C439" s="12">
        <v>420</v>
      </c>
      <c r="D439" s="23">
        <f t="shared" si="87"/>
        <v>822</v>
      </c>
      <c r="E439" s="12">
        <v>274319</v>
      </c>
      <c r="F439" s="12">
        <v>3560</v>
      </c>
      <c r="G439" s="12">
        <v>232625</v>
      </c>
      <c r="H439" s="23">
        <f t="shared" si="83"/>
        <v>38134</v>
      </c>
      <c r="I439" s="23">
        <f t="shared" si="95"/>
        <v>4818</v>
      </c>
      <c r="J439" s="12">
        <v>1461677</v>
      </c>
      <c r="K439" s="23">
        <f t="shared" si="96"/>
        <v>1187358</v>
      </c>
      <c r="L439" s="23">
        <f t="shared" si="88"/>
        <v>244</v>
      </c>
      <c r="M439" s="14">
        <f t="shared" si="84"/>
        <v>1.2977591781830642E-2</v>
      </c>
      <c r="N439" s="14">
        <f t="shared" si="93"/>
        <v>0.17061021170610211</v>
      </c>
      <c r="O439" s="12"/>
      <c r="P439" s="12"/>
      <c r="Q439" s="12"/>
      <c r="R439" s="23">
        <f t="shared" si="85"/>
        <v>236185</v>
      </c>
      <c r="S439" s="25">
        <f>(((H439+R439)/(H438+R438))-1)+detalle!$D$1</f>
        <v>7.4434088856550479E-2</v>
      </c>
      <c r="T439" s="25">
        <f t="shared" si="89"/>
        <v>1.0420772439917068</v>
      </c>
      <c r="U439" s="10">
        <f t="shared" si="86"/>
        <v>0.84800906973268353</v>
      </c>
      <c r="V439" s="21">
        <f t="shared" si="92"/>
        <v>65.344101123595507</v>
      </c>
      <c r="W439" s="15">
        <f>J439/detalle!$D$2</f>
        <v>133358.37472659827</v>
      </c>
      <c r="X439" s="15">
        <f>E439/detalle!$D$2</f>
        <v>25027.920666895428</v>
      </c>
      <c r="Y439" s="22">
        <f>F439/detalle!$D$2</f>
        <v>324.8021375630114</v>
      </c>
      <c r="AA439" s="14">
        <f>E439/(detalle!$D$2*1000000)</f>
        <v>2.5027920666895426E-2</v>
      </c>
      <c r="AB439" s="14">
        <f>F439/(detalle!$D$2*1000000)</f>
        <v>3.248021375630114E-4</v>
      </c>
      <c r="AC439" s="31">
        <f>263/508</f>
        <v>0.51771653543307083</v>
      </c>
      <c r="AD439" s="31">
        <f>688/2416</f>
        <v>0.28476821192052981</v>
      </c>
      <c r="AE439" s="31">
        <f>165/396</f>
        <v>0.41666666666666669</v>
      </c>
      <c r="AF439" s="22">
        <f t="shared" si="90"/>
        <v>6</v>
      </c>
      <c r="AG439" s="12">
        <v>1984662</v>
      </c>
      <c r="AH439" s="12">
        <v>816694</v>
      </c>
      <c r="AI439" s="20">
        <v>0</v>
      </c>
      <c r="AJ439" s="23">
        <f t="shared" si="91"/>
        <v>160947</v>
      </c>
      <c r="AK439" s="23">
        <f t="shared" si="94"/>
        <v>2801356</v>
      </c>
      <c r="AL439" s="28">
        <f>AK439/detalle!$D$2</f>
        <v>255586.07215588971</v>
      </c>
    </row>
    <row r="440" spans="1:38">
      <c r="A440" s="12">
        <v>439</v>
      </c>
      <c r="B440" s="19">
        <v>44329</v>
      </c>
      <c r="C440" s="12">
        <v>421</v>
      </c>
      <c r="D440" s="23">
        <f t="shared" si="87"/>
        <v>1059</v>
      </c>
      <c r="E440" s="12">
        <v>275378</v>
      </c>
      <c r="F440" s="12">
        <v>3565</v>
      </c>
      <c r="G440" s="12">
        <v>232925</v>
      </c>
      <c r="H440" s="23">
        <f t="shared" si="83"/>
        <v>38888</v>
      </c>
      <c r="I440" s="23">
        <f t="shared" si="95"/>
        <v>6551</v>
      </c>
      <c r="J440" s="12">
        <v>1468228</v>
      </c>
      <c r="K440" s="23">
        <f t="shared" si="96"/>
        <v>1192850</v>
      </c>
      <c r="L440" s="23">
        <f t="shared" si="88"/>
        <v>300</v>
      </c>
      <c r="M440" s="14">
        <f t="shared" si="84"/>
        <v>1.2945841715750714E-2</v>
      </c>
      <c r="N440" s="14">
        <f t="shared" si="93"/>
        <v>0.16165470920470157</v>
      </c>
      <c r="O440" s="12"/>
      <c r="P440" s="12"/>
      <c r="Q440" s="12"/>
      <c r="R440" s="23">
        <f t="shared" si="85"/>
        <v>236490</v>
      </c>
      <c r="S440" s="25">
        <f>(((H440+R440)/(H439+R439))-1)+detalle!$D$1</f>
        <v>7.5289040444570993E-2</v>
      </c>
      <c r="T440" s="25">
        <f t="shared" si="89"/>
        <v>1.054046566223994</v>
      </c>
      <c r="U440" s="10">
        <f t="shared" si="86"/>
        <v>0.84583735810413319</v>
      </c>
      <c r="V440" s="21">
        <f t="shared" si="92"/>
        <v>65.336605890603082</v>
      </c>
      <c r="W440" s="15">
        <f>J440/detalle!$D$2</f>
        <v>133956.0654016475</v>
      </c>
      <c r="X440" s="15">
        <f>E440/detalle!$D$2</f>
        <v>25124.540179164873</v>
      </c>
      <c r="Y440" s="22">
        <f>F440/detalle!$D$2</f>
        <v>325.25832034048756</v>
      </c>
      <c r="AA440" s="14">
        <f>E440/(detalle!$D$2*1000000)</f>
        <v>2.5124540179164875E-2</v>
      </c>
      <c r="AB440" s="14">
        <f>F440/(detalle!$D$2*1000000)</f>
        <v>3.2525832034048752E-4</v>
      </c>
      <c r="AC440" s="31">
        <f>275/518</f>
        <v>0.53088803088803094</v>
      </c>
      <c r="AD440" s="31">
        <f>721/2429</f>
        <v>0.29682997118155618</v>
      </c>
      <c r="AE440" s="31">
        <f>174/403</f>
        <v>0.4317617866004963</v>
      </c>
      <c r="AF440" s="22">
        <f t="shared" si="90"/>
        <v>5</v>
      </c>
      <c r="AG440" s="12">
        <v>2122713</v>
      </c>
      <c r="AH440" s="12">
        <v>818317</v>
      </c>
      <c r="AI440" s="20">
        <v>0</v>
      </c>
      <c r="AJ440" s="23">
        <f t="shared" si="91"/>
        <v>139674</v>
      </c>
      <c r="AK440" s="23">
        <f t="shared" si="94"/>
        <v>2941030</v>
      </c>
      <c r="AL440" s="28">
        <f>AK440/detalle!$D$2</f>
        <v>268329.44680813019</v>
      </c>
    </row>
    <row r="441" spans="1:38">
      <c r="A441" s="12">
        <v>440</v>
      </c>
      <c r="B441" s="19">
        <v>44330</v>
      </c>
      <c r="C441" s="12">
        <v>422</v>
      </c>
      <c r="D441" s="23">
        <f t="shared" si="87"/>
        <v>894</v>
      </c>
      <c r="E441" s="12">
        <v>276272</v>
      </c>
      <c r="F441" s="12">
        <v>3569</v>
      </c>
      <c r="G441" s="12">
        <v>233431</v>
      </c>
      <c r="H441" s="23">
        <f t="shared" si="83"/>
        <v>39272</v>
      </c>
      <c r="I441" s="23">
        <f t="shared" si="95"/>
        <v>5131</v>
      </c>
      <c r="J441" s="12">
        <v>1473359</v>
      </c>
      <c r="K441" s="23">
        <f t="shared" si="96"/>
        <v>1197087</v>
      </c>
      <c r="L441" s="23">
        <f t="shared" si="88"/>
        <v>506</v>
      </c>
      <c r="M441" s="14">
        <f t="shared" si="84"/>
        <v>1.2918428215671513E-2</v>
      </c>
      <c r="N441" s="14">
        <f t="shared" si="93"/>
        <v>0.17423504190216332</v>
      </c>
      <c r="O441" s="12"/>
      <c r="P441" s="12"/>
      <c r="Q441" s="12"/>
      <c r="R441" s="23">
        <f t="shared" si="85"/>
        <v>237000</v>
      </c>
      <c r="S441" s="25">
        <f>(((H441+R441)/(H440+R440))-1)+detalle!$D$1</f>
        <v>7.4675018130922394E-2</v>
      </c>
      <c r="T441" s="25">
        <f t="shared" si="89"/>
        <v>1.0454502538329136</v>
      </c>
      <c r="U441" s="10">
        <f t="shared" si="86"/>
        <v>0.84493180633578502</v>
      </c>
      <c r="V441" s="21">
        <f t="shared" si="92"/>
        <v>65.405155505743906</v>
      </c>
      <c r="W441" s="15">
        <f>J441/detalle!$D$2</f>
        <v>134424.20016789352</v>
      </c>
      <c r="X441" s="15">
        <f>E441/detalle!$D$2</f>
        <v>25206.105659777608</v>
      </c>
      <c r="Y441" s="22">
        <f>F441/detalle!$D$2</f>
        <v>325.62326656246847</v>
      </c>
      <c r="AA441" s="14">
        <f>E441/(detalle!$D$2*1000000)</f>
        <v>2.5206105659777607E-2</v>
      </c>
      <c r="AB441" s="14">
        <f>F441/(detalle!$D$2*1000000)</f>
        <v>3.2562326656246842E-4</v>
      </c>
      <c r="AC441" s="31">
        <f>283/512</f>
        <v>0.552734375</v>
      </c>
      <c r="AD441" s="31">
        <f>759/2397</f>
        <v>0.31664580725907382</v>
      </c>
      <c r="AE441" s="31">
        <f>188/403</f>
        <v>0.4665012406947891</v>
      </c>
      <c r="AF441" s="22">
        <f t="shared" si="90"/>
        <v>4</v>
      </c>
      <c r="AG441" s="12">
        <v>2251255</v>
      </c>
      <c r="AH441" s="12">
        <v>820232</v>
      </c>
      <c r="AI441" s="20">
        <v>0</v>
      </c>
      <c r="AJ441" s="23">
        <f t="shared" si="91"/>
        <v>130457</v>
      </c>
      <c r="AK441" s="23">
        <f t="shared" si="94"/>
        <v>3071487</v>
      </c>
      <c r="AL441" s="28">
        <f>AK441/detalle!$D$2</f>
        <v>280231.89412837115</v>
      </c>
    </row>
    <row r="442" spans="1:38">
      <c r="A442" s="12">
        <v>441</v>
      </c>
      <c r="B442" s="19">
        <v>44331</v>
      </c>
      <c r="C442" s="12">
        <v>423</v>
      </c>
      <c r="D442" s="23">
        <f t="shared" si="87"/>
        <v>916</v>
      </c>
      <c r="E442" s="12">
        <v>277188</v>
      </c>
      <c r="F442" s="12">
        <v>3582</v>
      </c>
      <c r="G442" s="12">
        <v>233830</v>
      </c>
      <c r="H442" s="23">
        <f t="shared" si="83"/>
        <v>39776</v>
      </c>
      <c r="I442" s="23">
        <f t="shared" si="95"/>
        <v>4999</v>
      </c>
      <c r="J442" s="12">
        <v>1478358</v>
      </c>
      <c r="K442" s="23">
        <f t="shared" si="96"/>
        <v>1201170</v>
      </c>
      <c r="L442" s="23">
        <f t="shared" si="88"/>
        <v>399</v>
      </c>
      <c r="M442" s="14">
        <f t="shared" si="84"/>
        <v>1.2922637343607948E-2</v>
      </c>
      <c r="N442" s="14">
        <f t="shared" si="93"/>
        <v>0.1832366473294659</v>
      </c>
      <c r="O442" s="12"/>
      <c r="P442" s="12"/>
      <c r="Q442" s="12"/>
      <c r="R442" s="23">
        <f t="shared" si="85"/>
        <v>237412</v>
      </c>
      <c r="S442" s="25">
        <f>(((H442+R442)/(H441+R441))-1)+detalle!$D$1</f>
        <v>7.4744144487006531E-2</v>
      </c>
      <c r="T442" s="25">
        <f t="shared" si="89"/>
        <v>1.0464180228180915</v>
      </c>
      <c r="U442" s="10">
        <f t="shared" si="86"/>
        <v>0.84357908711776841</v>
      </c>
      <c r="V442" s="21">
        <f t="shared" si="92"/>
        <v>65.27917364600782</v>
      </c>
      <c r="W442" s="15">
        <f>J442/detalle!$D$2</f>
        <v>134880.29170881415</v>
      </c>
      <c r="X442" s="15">
        <f>E442/detalle!$D$2</f>
        <v>25289.678344611239</v>
      </c>
      <c r="Y442" s="22">
        <f>F442/detalle!$D$2</f>
        <v>326.8093417839064</v>
      </c>
      <c r="AA442" s="14">
        <f>E442/(detalle!$D$2*1000000)</f>
        <v>2.5289678344611235E-2</v>
      </c>
      <c r="AB442" s="14">
        <f>F442/(detalle!$D$2*1000000)</f>
        <v>3.2680934178390641E-4</v>
      </c>
      <c r="AC442" s="31">
        <f>289/512</f>
        <v>0.564453125</v>
      </c>
      <c r="AD442" s="31">
        <f>751/2397</f>
        <v>0.31330830204422194</v>
      </c>
      <c r="AE442" s="31">
        <f>192/403</f>
        <v>0.47642679900744417</v>
      </c>
      <c r="AF442" s="22">
        <f t="shared" si="90"/>
        <v>13</v>
      </c>
      <c r="AG442" s="12">
        <v>2284580</v>
      </c>
      <c r="AH442" s="12">
        <v>820525</v>
      </c>
      <c r="AI442" s="20">
        <v>0</v>
      </c>
      <c r="AJ442" s="23">
        <f t="shared" si="91"/>
        <v>33618</v>
      </c>
      <c r="AK442" s="23">
        <f t="shared" si="94"/>
        <v>3105105</v>
      </c>
      <c r="AL442" s="28">
        <f>AK442/detalle!$D$2</f>
        <v>283299.0846510097</v>
      </c>
    </row>
    <row r="443" spans="1:38">
      <c r="A443" s="12">
        <v>442</v>
      </c>
      <c r="B443" s="19">
        <v>44332</v>
      </c>
      <c r="C443" s="12">
        <v>424</v>
      </c>
      <c r="D443" s="23">
        <f t="shared" si="87"/>
        <v>731</v>
      </c>
      <c r="E443" s="12">
        <v>277919</v>
      </c>
      <c r="F443" s="12">
        <v>3589</v>
      </c>
      <c r="G443" s="12">
        <v>234098</v>
      </c>
      <c r="H443" s="23">
        <f t="shared" si="83"/>
        <v>40232</v>
      </c>
      <c r="I443" s="23">
        <f t="shared" si="95"/>
        <v>5028</v>
      </c>
      <c r="J443" s="12">
        <v>1483386</v>
      </c>
      <c r="K443" s="23">
        <f t="shared" si="96"/>
        <v>1205467</v>
      </c>
      <c r="L443" s="23">
        <f t="shared" si="88"/>
        <v>268</v>
      </c>
      <c r="M443" s="14">
        <f t="shared" si="84"/>
        <v>1.2913834606486062E-2</v>
      </c>
      <c r="N443" s="14">
        <f t="shared" si="93"/>
        <v>0.14538583929992044</v>
      </c>
      <c r="O443" s="12"/>
      <c r="P443" s="12"/>
      <c r="Q443" s="12"/>
      <c r="R443" s="23">
        <f t="shared" si="85"/>
        <v>237687</v>
      </c>
      <c r="S443" s="25">
        <f>(((H443+R443)/(H442+R442))-1)+detalle!$D$1</f>
        <v>7.4065770730128461E-2</v>
      </c>
      <c r="T443" s="25">
        <f t="shared" si="89"/>
        <v>1.0369207902217985</v>
      </c>
      <c r="U443" s="10">
        <f t="shared" si="86"/>
        <v>0.84232456219258134</v>
      </c>
      <c r="V443" s="21">
        <f t="shared" si="92"/>
        <v>65.226525494566729</v>
      </c>
      <c r="W443" s="15">
        <f>J443/detalle!$D$2</f>
        <v>135339.02910984415</v>
      </c>
      <c r="X443" s="15">
        <f>E443/detalle!$D$2</f>
        <v>25356.372266678249</v>
      </c>
      <c r="Y443" s="22">
        <f>F443/detalle!$D$2</f>
        <v>327.44799767237299</v>
      </c>
      <c r="AA443" s="14">
        <f>E443/(detalle!$D$2*1000000)</f>
        <v>2.5356372266678247E-2</v>
      </c>
      <c r="AB443" s="14">
        <f>F443/(detalle!$D$2*1000000)</f>
        <v>3.2744799767237302E-4</v>
      </c>
      <c r="AC443" s="31">
        <f>294/512</f>
        <v>0.57421875</v>
      </c>
      <c r="AD443" s="31">
        <f>758/2399</f>
        <v>0.31596498541058776</v>
      </c>
      <c r="AE443" s="31">
        <f>194/401</f>
        <v>0.48379052369077308</v>
      </c>
      <c r="AF443" s="22">
        <f t="shared" si="90"/>
        <v>7</v>
      </c>
      <c r="AG443" s="12">
        <v>2299179</v>
      </c>
      <c r="AH443" s="12">
        <v>820641</v>
      </c>
      <c r="AI443" s="20">
        <v>0</v>
      </c>
      <c r="AJ443" s="23">
        <f t="shared" si="91"/>
        <v>14715</v>
      </c>
      <c r="AK443" s="23">
        <f t="shared" si="94"/>
        <v>3119820</v>
      </c>
      <c r="AL443" s="28">
        <f>AK443/detalle!$D$2</f>
        <v>284641.63056512194</v>
      </c>
    </row>
    <row r="444" spans="1:38">
      <c r="A444" s="12">
        <v>443</v>
      </c>
      <c r="B444" s="19">
        <v>44333</v>
      </c>
      <c r="C444" s="12">
        <v>425</v>
      </c>
      <c r="D444" s="23">
        <f t="shared" si="87"/>
        <v>630</v>
      </c>
      <c r="E444" s="12">
        <v>278549</v>
      </c>
      <c r="F444" s="12">
        <v>3597</v>
      </c>
      <c r="G444" s="12">
        <v>234370</v>
      </c>
      <c r="H444" s="23">
        <f t="shared" si="83"/>
        <v>40582</v>
      </c>
      <c r="I444" s="23">
        <f t="shared" si="95"/>
        <v>3750</v>
      </c>
      <c r="J444" s="12">
        <v>1487136</v>
      </c>
      <c r="K444" s="23">
        <f t="shared" si="96"/>
        <v>1208587</v>
      </c>
      <c r="L444" s="23">
        <f t="shared" si="88"/>
        <v>272</v>
      </c>
      <c r="M444" s="14">
        <f t="shared" si="84"/>
        <v>1.2913347382327705E-2</v>
      </c>
      <c r="N444" s="14">
        <f t="shared" si="93"/>
        <v>0.16800000000000001</v>
      </c>
      <c r="O444" s="12"/>
      <c r="P444" s="12"/>
      <c r="Q444" s="12"/>
      <c r="R444" s="23">
        <f t="shared" si="85"/>
        <v>237967</v>
      </c>
      <c r="S444" s="25">
        <f>(((H444+R444)/(H443+R443))-1)+detalle!$D$1</f>
        <v>7.3695418963284826E-2</v>
      </c>
      <c r="T444" s="25">
        <f t="shared" si="89"/>
        <v>1.0317358654859876</v>
      </c>
      <c r="U444" s="10">
        <f t="shared" si="86"/>
        <v>0.84139594828916997</v>
      </c>
      <c r="V444" s="21">
        <f t="shared" si="92"/>
        <v>65.157075340561576</v>
      </c>
      <c r="W444" s="15">
        <f>J444/detalle!$D$2</f>
        <v>135681.16619295126</v>
      </c>
      <c r="X444" s="15">
        <f>E444/detalle!$D$2</f>
        <v>25413.851296640241</v>
      </c>
      <c r="Y444" s="22">
        <f>F444/detalle!$D$2</f>
        <v>328.17789011633482</v>
      </c>
      <c r="AA444" s="14">
        <f>E444/(detalle!$D$2*1000000)</f>
        <v>2.5413851296640241E-2</v>
      </c>
      <c r="AB444" s="14">
        <f>F444/(detalle!$D$2*1000000)</f>
        <v>3.2817789011633483E-4</v>
      </c>
      <c r="AC444" s="31">
        <f>302/526</f>
        <v>0.57414448669201523</v>
      </c>
      <c r="AD444" s="31">
        <f>798/2413</f>
        <v>0.33070866141732286</v>
      </c>
      <c r="AE444" s="31">
        <f>191/399</f>
        <v>0.47869674185463656</v>
      </c>
      <c r="AF444" s="22">
        <f t="shared" si="90"/>
        <v>8</v>
      </c>
      <c r="AG444" s="12">
        <v>2422276</v>
      </c>
      <c r="AH444" s="12">
        <v>822929</v>
      </c>
      <c r="AI444" s="20">
        <v>0</v>
      </c>
      <c r="AJ444" s="23">
        <f t="shared" si="91"/>
        <v>125385</v>
      </c>
      <c r="AK444" s="23">
        <f t="shared" si="94"/>
        <v>3245205</v>
      </c>
      <c r="AL444" s="28">
        <f>AK444/detalle!$D$2</f>
        <v>296081.32607589115</v>
      </c>
    </row>
    <row r="445" spans="1:38">
      <c r="A445" s="12">
        <v>444</v>
      </c>
      <c r="B445" s="19">
        <v>44334</v>
      </c>
      <c r="C445" s="12">
        <v>426</v>
      </c>
      <c r="D445" s="23">
        <f t="shared" si="87"/>
        <v>1016</v>
      </c>
      <c r="E445" s="12">
        <v>279565</v>
      </c>
      <c r="F445" s="12">
        <v>3597</v>
      </c>
      <c r="G445" s="12">
        <v>234785</v>
      </c>
      <c r="H445" s="23">
        <f t="shared" si="83"/>
        <v>41183</v>
      </c>
      <c r="I445" s="23">
        <f t="shared" si="95"/>
        <v>4476</v>
      </c>
      <c r="J445" s="12">
        <v>1491612</v>
      </c>
      <c r="K445" s="23">
        <f t="shared" si="96"/>
        <v>1212047</v>
      </c>
      <c r="L445" s="23">
        <f t="shared" si="88"/>
        <v>415</v>
      </c>
      <c r="M445" s="14">
        <f t="shared" si="84"/>
        <v>1.2866417469998033E-2</v>
      </c>
      <c r="N445" s="14">
        <f t="shared" si="93"/>
        <v>0.22698838248436104</v>
      </c>
      <c r="O445" s="12"/>
      <c r="P445" s="12"/>
      <c r="Q445" s="12"/>
      <c r="R445" s="23">
        <f t="shared" si="85"/>
        <v>238382</v>
      </c>
      <c r="S445" s="25">
        <f>(((H445+R445)/(H444+R444))-1)+detalle!$D$1</f>
        <v>7.5076044584102358E-2</v>
      </c>
      <c r="T445" s="25">
        <f t="shared" si="89"/>
        <v>1.0510646241774331</v>
      </c>
      <c r="U445" s="10">
        <f t="shared" si="86"/>
        <v>0.83982258151056099</v>
      </c>
      <c r="V445" s="21">
        <f t="shared" si="92"/>
        <v>65.27244926327495</v>
      </c>
      <c r="W445" s="15">
        <f>J445/detalle!$D$2</f>
        <v>136089.5410153479</v>
      </c>
      <c r="X445" s="15">
        <f>E445/detalle!$D$2</f>
        <v>25506.547637023392</v>
      </c>
      <c r="Y445" s="22">
        <f>F445/detalle!$D$2</f>
        <v>328.17789011633482</v>
      </c>
      <c r="AA445" s="14">
        <f>E445/(detalle!$D$2*1000000)</f>
        <v>2.5506547637023393E-2</v>
      </c>
      <c r="AB445" s="14">
        <f>F445/(detalle!$D$2*1000000)</f>
        <v>3.2817789011633483E-4</v>
      </c>
      <c r="AC445" s="31">
        <f>306/532</f>
        <v>0.57518796992481203</v>
      </c>
      <c r="AD445" s="31">
        <f>794/2435</f>
        <v>0.32607802874743325</v>
      </c>
      <c r="AE445" s="31">
        <f>194/407</f>
        <v>0.47665847665847666</v>
      </c>
      <c r="AF445" s="22">
        <f t="shared" si="90"/>
        <v>0</v>
      </c>
      <c r="AG445" s="12">
        <v>2545132</v>
      </c>
      <c r="AH445" s="12">
        <v>825594</v>
      </c>
      <c r="AI445" s="20">
        <v>0</v>
      </c>
      <c r="AJ445" s="23">
        <f t="shared" si="91"/>
        <v>125521</v>
      </c>
      <c r="AK445" s="23">
        <f t="shared" si="94"/>
        <v>3370726</v>
      </c>
      <c r="AL445" s="28">
        <f>AK445/detalle!$D$2</f>
        <v>307533.42975820764</v>
      </c>
    </row>
    <row r="446" spans="1:38">
      <c r="A446" s="12">
        <v>445</v>
      </c>
      <c r="B446" s="19">
        <v>44335</v>
      </c>
      <c r="C446" s="12">
        <v>427</v>
      </c>
      <c r="D446" s="23">
        <f t="shared" si="87"/>
        <v>1429</v>
      </c>
      <c r="E446" s="12">
        <v>280994</v>
      </c>
      <c r="F446" s="12">
        <v>3600</v>
      </c>
      <c r="G446" s="12">
        <v>235284</v>
      </c>
      <c r="H446" s="23">
        <f t="shared" si="83"/>
        <v>42110</v>
      </c>
      <c r="I446" s="23">
        <f t="shared" si="95"/>
        <v>5996</v>
      </c>
      <c r="J446" s="12">
        <v>1497608</v>
      </c>
      <c r="K446" s="23">
        <f t="shared" si="96"/>
        <v>1216614</v>
      </c>
      <c r="L446" s="23">
        <f t="shared" si="88"/>
        <v>499</v>
      </c>
      <c r="M446" s="14">
        <f t="shared" si="84"/>
        <v>1.2811661458963536E-2</v>
      </c>
      <c r="N446" s="14">
        <f t="shared" si="93"/>
        <v>0.23832555036691128</v>
      </c>
      <c r="O446" s="12"/>
      <c r="P446" s="12"/>
      <c r="Q446" s="12"/>
      <c r="R446" s="23">
        <f t="shared" si="85"/>
        <v>238884</v>
      </c>
      <c r="S446" s="25">
        <f>(((H446+R446)/(H445+R445))-1)+detalle!$D$1</f>
        <v>7.6540083956963684E-2</v>
      </c>
      <c r="T446" s="25">
        <f t="shared" si="89"/>
        <v>1.0715611753974916</v>
      </c>
      <c r="U446" s="10">
        <f t="shared" si="86"/>
        <v>0.83732748741966023</v>
      </c>
      <c r="V446" s="21">
        <f t="shared" si="92"/>
        <v>65.356666666666669</v>
      </c>
      <c r="W446" s="15">
        <f>J446/detalle!$D$2</f>
        <v>136636.5954020973</v>
      </c>
      <c r="X446" s="15">
        <f>E446/detalle!$D$2</f>
        <v>25636.924674826074</v>
      </c>
      <c r="Y446" s="22">
        <f>F446/detalle!$D$2</f>
        <v>328.45159978282049</v>
      </c>
      <c r="AA446" s="14">
        <f>E446/(detalle!$D$2*1000000)</f>
        <v>2.5636924674826072E-2</v>
      </c>
      <c r="AB446" s="14">
        <f>F446/(detalle!$D$2*1000000)</f>
        <v>3.2845159978282053E-4</v>
      </c>
      <c r="AC446" s="31">
        <f>306/539</f>
        <v>0.56771799628942488</v>
      </c>
      <c r="AD446" s="31">
        <f>867/2426</f>
        <v>0.35737840065952187</v>
      </c>
      <c r="AE446" s="31">
        <f>197/403</f>
        <v>0.48883374689826303</v>
      </c>
      <c r="AF446" s="22">
        <f t="shared" si="90"/>
        <v>3</v>
      </c>
      <c r="AG446" s="12">
        <v>2658818</v>
      </c>
      <c r="AH446" s="12">
        <v>829313</v>
      </c>
      <c r="AI446" s="20">
        <v>0</v>
      </c>
      <c r="AJ446" s="23">
        <f t="shared" si="91"/>
        <v>117405</v>
      </c>
      <c r="AK446" s="23">
        <f t="shared" si="94"/>
        <v>3488131</v>
      </c>
      <c r="AL446" s="28">
        <f>AK446/detalle!$D$2</f>
        <v>318245.05755612487</v>
      </c>
    </row>
    <row r="447" spans="1:38">
      <c r="A447" s="12">
        <v>446</v>
      </c>
      <c r="B447" s="19">
        <v>44336</v>
      </c>
      <c r="C447" s="12">
        <v>428</v>
      </c>
      <c r="D447" s="23">
        <f t="shared" si="87"/>
        <v>636</v>
      </c>
      <c r="E447" s="12">
        <v>281630</v>
      </c>
      <c r="F447" s="12">
        <v>3603</v>
      </c>
      <c r="G447" s="12">
        <v>235608</v>
      </c>
      <c r="H447" s="23">
        <f t="shared" si="83"/>
        <v>42419</v>
      </c>
      <c r="I447" s="23">
        <f t="shared" si="95"/>
        <v>3932</v>
      </c>
      <c r="J447" s="12">
        <v>1501540</v>
      </c>
      <c r="K447" s="23">
        <f t="shared" si="96"/>
        <v>1219910</v>
      </c>
      <c r="L447" s="23">
        <f t="shared" si="88"/>
        <v>324</v>
      </c>
      <c r="M447" s="14">
        <f t="shared" si="84"/>
        <v>1.2793381386926109E-2</v>
      </c>
      <c r="N447" s="14">
        <f t="shared" si="93"/>
        <v>0.16174974567650049</v>
      </c>
      <c r="O447" s="12"/>
      <c r="P447" s="12"/>
      <c r="Q447" s="12"/>
      <c r="R447" s="23">
        <f t="shared" si="85"/>
        <v>239211</v>
      </c>
      <c r="S447" s="25">
        <f>(((H447+R447)/(H446+R446))-1)+detalle!$D$1</f>
        <v>7.3691964952988381E-2</v>
      </c>
      <c r="T447" s="25">
        <f t="shared" si="89"/>
        <v>1.0316875093418374</v>
      </c>
      <c r="U447" s="10">
        <f t="shared" si="86"/>
        <v>0.83658701132691826</v>
      </c>
      <c r="V447" s="21">
        <f t="shared" si="92"/>
        <v>65.392173189009156</v>
      </c>
      <c r="W447" s="15">
        <f>J447/detalle!$D$2</f>
        <v>136995.33753830453</v>
      </c>
      <c r="X447" s="15">
        <f>E447/detalle!$D$2</f>
        <v>25694.951124121038</v>
      </c>
      <c r="Y447" s="22">
        <f>F447/detalle!$D$2</f>
        <v>328.72530944930622</v>
      </c>
      <c r="AA447" s="14">
        <f>E447/(detalle!$D$2*1000000)</f>
        <v>2.5694951124121037E-2</v>
      </c>
      <c r="AB447" s="14">
        <f>F447/(detalle!$D$2*1000000)</f>
        <v>3.2872530944930617E-4</v>
      </c>
      <c r="AC447" s="31">
        <f>305/533</f>
        <v>0.57223264540337715</v>
      </c>
      <c r="AD447" s="31">
        <f>942/2454</f>
        <v>0.38386308068459657</v>
      </c>
      <c r="AE447" s="31">
        <f>193/403</f>
        <v>0.47890818858560796</v>
      </c>
      <c r="AF447" s="22">
        <f t="shared" si="90"/>
        <v>3</v>
      </c>
      <c r="AG447" s="12">
        <v>2748532</v>
      </c>
      <c r="AH447" s="12">
        <v>845114</v>
      </c>
      <c r="AI447" s="20">
        <v>0</v>
      </c>
      <c r="AJ447" s="23">
        <f t="shared" si="91"/>
        <v>105515</v>
      </c>
      <c r="AK447" s="23">
        <f t="shared" si="94"/>
        <v>3593646</v>
      </c>
      <c r="AL447" s="28">
        <f>AK447/detalle!$D$2</f>
        <v>327871.88270920381</v>
      </c>
    </row>
    <row r="448" spans="1:38">
      <c r="A448" s="12">
        <v>447</v>
      </c>
      <c r="B448" s="19">
        <v>44337</v>
      </c>
      <c r="C448" s="12">
        <v>429</v>
      </c>
      <c r="D448" s="23">
        <f t="shared" si="87"/>
        <v>1055</v>
      </c>
      <c r="E448" s="12">
        <v>282685</v>
      </c>
      <c r="F448" s="12">
        <v>3606</v>
      </c>
      <c r="G448" s="12">
        <v>235636</v>
      </c>
      <c r="H448" s="23">
        <f t="shared" si="83"/>
        <v>43443</v>
      </c>
      <c r="I448" s="23">
        <f t="shared" si="95"/>
        <v>5330</v>
      </c>
      <c r="J448" s="12">
        <v>1506870</v>
      </c>
      <c r="K448" s="23">
        <f t="shared" si="96"/>
        <v>1224185</v>
      </c>
      <c r="L448" s="23">
        <f t="shared" si="88"/>
        <v>28</v>
      </c>
      <c r="M448" s="14">
        <f t="shared" si="84"/>
        <v>1.2756248120699719E-2</v>
      </c>
      <c r="N448" s="14">
        <f t="shared" si="93"/>
        <v>0.19793621013133209</v>
      </c>
      <c r="O448" s="12"/>
      <c r="P448" s="12"/>
      <c r="Q448" s="12"/>
      <c r="R448" s="23">
        <f t="shared" si="85"/>
        <v>239242</v>
      </c>
      <c r="S448" s="25">
        <f>(((H448+R448)/(H447+R447))-1)+detalle!$D$1</f>
        <v>7.5174621210199827E-2</v>
      </c>
      <c r="T448" s="25">
        <f t="shared" si="89"/>
        <v>1.0524446969427976</v>
      </c>
      <c r="U448" s="10">
        <f t="shared" si="86"/>
        <v>0.83356386083449774</v>
      </c>
      <c r="V448" s="21">
        <f t="shared" si="92"/>
        <v>65.345535219079309</v>
      </c>
      <c r="W448" s="15">
        <f>J448/detalle!$D$2</f>
        <v>137481.62837909409</v>
      </c>
      <c r="X448" s="15">
        <f>E448/detalle!$D$2</f>
        <v>25791.205690168506</v>
      </c>
      <c r="Y448" s="22">
        <f>F448/detalle!$D$2</f>
        <v>328.9990191157919</v>
      </c>
      <c r="AA448" s="14">
        <f>E448/(detalle!$D$2*1000000)</f>
        <v>2.5791205690168503E-2</v>
      </c>
      <c r="AB448" s="14">
        <f>F448/(detalle!$D$2*1000000)</f>
        <v>3.2899901911579186E-4</v>
      </c>
      <c r="AC448" s="31">
        <f>322/538</f>
        <v>0.5985130111524164</v>
      </c>
      <c r="AD448" s="31">
        <f>1013/2524</f>
        <v>0.40134706814580029</v>
      </c>
      <c r="AE448" s="31">
        <f>191/419</f>
        <v>0.45584725536992843</v>
      </c>
      <c r="AF448" s="22">
        <f t="shared" si="90"/>
        <v>3</v>
      </c>
      <c r="AG448" s="12">
        <v>2822348</v>
      </c>
      <c r="AH448" s="12">
        <v>871981</v>
      </c>
      <c r="AI448" s="20">
        <v>0</v>
      </c>
      <c r="AJ448" s="23">
        <f t="shared" si="91"/>
        <v>100683</v>
      </c>
      <c r="AK448" s="23">
        <f t="shared" si="94"/>
        <v>3694329</v>
      </c>
      <c r="AL448" s="28">
        <f>AK448/detalle!$D$2</f>
        <v>337057.85282612988</v>
      </c>
    </row>
    <row r="449" spans="1:38">
      <c r="A449" s="12">
        <v>448</v>
      </c>
      <c r="B449" s="19">
        <v>44338</v>
      </c>
      <c r="C449" s="12">
        <v>430</v>
      </c>
      <c r="D449" s="23">
        <f t="shared" si="87"/>
        <v>1044</v>
      </c>
      <c r="E449" s="12">
        <v>283729</v>
      </c>
      <c r="F449" s="12">
        <v>3606</v>
      </c>
      <c r="G449" s="12">
        <v>235814</v>
      </c>
      <c r="H449" s="23">
        <f t="shared" si="83"/>
        <v>44309</v>
      </c>
      <c r="I449" s="23">
        <f t="shared" si="95"/>
        <v>5197</v>
      </c>
      <c r="J449" s="12">
        <v>1512067</v>
      </c>
      <c r="K449" s="23">
        <f t="shared" si="96"/>
        <v>1228338</v>
      </c>
      <c r="L449" s="23">
        <f t="shared" si="88"/>
        <v>178</v>
      </c>
      <c r="M449" s="14">
        <f t="shared" si="84"/>
        <v>1.2709310645016901E-2</v>
      </c>
      <c r="N449" s="14">
        <f t="shared" si="93"/>
        <v>0.20088512603425052</v>
      </c>
      <c r="O449" s="12"/>
      <c r="P449" s="12"/>
      <c r="Q449" s="12"/>
      <c r="R449" s="23">
        <f t="shared" si="85"/>
        <v>239420</v>
      </c>
      <c r="S449" s="25">
        <f>(((H449+R449)/(H448+R448))-1)+detalle!$D$1</f>
        <v>7.5121728122417936E-2</v>
      </c>
      <c r="T449" s="25">
        <f t="shared" si="89"/>
        <v>1.0517041937138512</v>
      </c>
      <c r="U449" s="10">
        <f t="shared" si="86"/>
        <v>0.83112406556961049</v>
      </c>
      <c r="V449" s="21">
        <f t="shared" si="92"/>
        <v>65.394897393233506</v>
      </c>
      <c r="W449" s="15">
        <f>J449/detalle!$D$2</f>
        <v>137955.78475800279</v>
      </c>
      <c r="X449" s="15">
        <f>E449/detalle!$D$2</f>
        <v>25886.456654105521</v>
      </c>
      <c r="Y449" s="22">
        <f>F449/detalle!$D$2</f>
        <v>328.9990191157919</v>
      </c>
      <c r="AA449" s="14">
        <f>E449/(detalle!$D$2*1000000)</f>
        <v>2.5886456654105522E-2</v>
      </c>
      <c r="AB449" s="14">
        <f>F449/(detalle!$D$2*1000000)</f>
        <v>3.2899901911579186E-4</v>
      </c>
      <c r="AC449" s="31">
        <f>324/538</f>
        <v>0.60223048327137552</v>
      </c>
      <c r="AD449" s="31">
        <f>998/2511</f>
        <v>0.39745121465551575</v>
      </c>
      <c r="AE449" s="31">
        <f>196/419</f>
        <v>0.46778042959427207</v>
      </c>
      <c r="AF449" s="22">
        <f t="shared" si="90"/>
        <v>0</v>
      </c>
      <c r="AG449" s="12">
        <v>2845928</v>
      </c>
      <c r="AH449" s="12">
        <v>879449</v>
      </c>
      <c r="AI449" s="20">
        <v>0</v>
      </c>
      <c r="AJ449" s="23">
        <f t="shared" si="91"/>
        <v>31048</v>
      </c>
      <c r="AK449" s="23">
        <f t="shared" si="94"/>
        <v>3725377</v>
      </c>
      <c r="AL449" s="28">
        <f>AK449/detalle!$D$2</f>
        <v>339890.56540114572</v>
      </c>
    </row>
    <row r="450" spans="1:38">
      <c r="A450" s="12">
        <v>449</v>
      </c>
      <c r="B450" s="19">
        <v>44339</v>
      </c>
      <c r="C450" s="12">
        <v>431</v>
      </c>
      <c r="D450" s="23">
        <f t="shared" si="87"/>
        <v>838</v>
      </c>
      <c r="E450" s="12">
        <v>284567</v>
      </c>
      <c r="F450" s="12">
        <v>3610</v>
      </c>
      <c r="G450" s="12">
        <v>236771</v>
      </c>
      <c r="H450" s="23">
        <f t="shared" ref="H450:H513" si="97">E450-F450-G450</f>
        <v>44186</v>
      </c>
      <c r="I450" s="23">
        <f t="shared" si="95"/>
        <v>5096</v>
      </c>
      <c r="J450" s="12">
        <v>1517163</v>
      </c>
      <c r="K450" s="23">
        <f t="shared" si="96"/>
        <v>1232596</v>
      </c>
      <c r="L450" s="23">
        <f t="shared" si="88"/>
        <v>957</v>
      </c>
      <c r="M450" s="14">
        <f t="shared" ref="M450:M513" si="98">F450/E450</f>
        <v>1.2685940393650704E-2</v>
      </c>
      <c r="N450" s="14">
        <f t="shared" si="93"/>
        <v>0.16444270015698587</v>
      </c>
      <c r="O450" s="12"/>
      <c r="P450" s="12"/>
      <c r="Q450" s="12"/>
      <c r="R450" s="23">
        <f t="shared" ref="R450:R513" si="99">F450+G450</f>
        <v>240381</v>
      </c>
      <c r="S450" s="25">
        <f>(((H450+R450)/(H449+R449))-1)+detalle!$D$1</f>
        <v>7.4382093980020186E-2</v>
      </c>
      <c r="T450" s="25">
        <f t="shared" si="89"/>
        <v>1.0413493157202827</v>
      </c>
      <c r="U450" s="10">
        <f t="shared" ref="U450:U513" si="100">G450/E450</f>
        <v>0.83203955483242964</v>
      </c>
      <c r="V450" s="21">
        <f t="shared" si="92"/>
        <v>65.587534626038774</v>
      </c>
      <c r="W450" s="15">
        <f>J450/detalle!$D$2</f>
        <v>138420.72624480649</v>
      </c>
      <c r="X450" s="15">
        <f>E450/detalle!$D$2</f>
        <v>25962.912887610524</v>
      </c>
      <c r="Y450" s="22">
        <f>F450/detalle!$D$2</f>
        <v>329.36396533777281</v>
      </c>
      <c r="AA450" s="14">
        <f>E450/(detalle!$D$2*1000000)</f>
        <v>2.5962912887610524E-2</v>
      </c>
      <c r="AB450" s="14">
        <f>F450/(detalle!$D$2*1000000)</f>
        <v>3.2936396533777277E-4</v>
      </c>
      <c r="AC450" s="31">
        <f>323/565</f>
        <v>0.57168141592920352</v>
      </c>
      <c r="AD450" s="31">
        <f>1026/2519</f>
        <v>0.407304485907106</v>
      </c>
      <c r="AE450" s="31">
        <f>201/444</f>
        <v>0.45270270270270269</v>
      </c>
      <c r="AF450" s="22">
        <f t="shared" si="90"/>
        <v>4</v>
      </c>
      <c r="AG450" s="12">
        <v>2855808</v>
      </c>
      <c r="AH450" s="12">
        <v>883202</v>
      </c>
      <c r="AI450" s="20">
        <v>0</v>
      </c>
      <c r="AJ450" s="23">
        <f t="shared" si="91"/>
        <v>13633</v>
      </c>
      <c r="AK450" s="23">
        <f t="shared" si="94"/>
        <v>3739010</v>
      </c>
      <c r="AL450" s="28">
        <f>AK450/detalle!$D$2</f>
        <v>341134.39336221217</v>
      </c>
    </row>
    <row r="451" spans="1:38">
      <c r="A451" s="12">
        <v>450</v>
      </c>
      <c r="B451" s="19">
        <v>44340</v>
      </c>
      <c r="C451" s="12">
        <v>432</v>
      </c>
      <c r="D451" s="23">
        <f t="shared" ref="D451:D514" si="101">E451-E450</f>
        <v>644</v>
      </c>
      <c r="E451" s="12">
        <v>285211</v>
      </c>
      <c r="F451" s="12">
        <v>3610</v>
      </c>
      <c r="G451" s="12">
        <v>237553</v>
      </c>
      <c r="H451" s="23">
        <f t="shared" si="97"/>
        <v>44048</v>
      </c>
      <c r="I451" s="23">
        <f t="shared" si="95"/>
        <v>3159</v>
      </c>
      <c r="J451" s="12">
        <v>1520322</v>
      </c>
      <c r="K451" s="23">
        <f t="shared" si="96"/>
        <v>1235111</v>
      </c>
      <c r="L451" s="23">
        <f t="shared" ref="L451:L514" si="102">G451-G450</f>
        <v>782</v>
      </c>
      <c r="M451" s="14">
        <f t="shared" si="98"/>
        <v>1.2657295826598554E-2</v>
      </c>
      <c r="N451" s="14">
        <f t="shared" si="93"/>
        <v>0.20386198163975941</v>
      </c>
      <c r="O451" s="12"/>
      <c r="P451" s="12"/>
      <c r="Q451" s="12"/>
      <c r="R451" s="23">
        <f t="shared" si="99"/>
        <v>241163</v>
      </c>
      <c r="S451" s="25">
        <f>(((H451+R451)/(H450+R450))-1)+detalle!$D$1</f>
        <v>7.3691658856136738E-2</v>
      </c>
      <c r="T451" s="25">
        <f t="shared" ref="T451:T514" si="103">S451*14</f>
        <v>1.0316832239859144</v>
      </c>
      <c r="U451" s="10">
        <f t="shared" si="100"/>
        <v>0.8329026580321236</v>
      </c>
      <c r="V451" s="21">
        <f t="shared" si="92"/>
        <v>65.804155124653747</v>
      </c>
      <c r="W451" s="15">
        <f>J451/detalle!$D$2</f>
        <v>138708.9425236159</v>
      </c>
      <c r="X451" s="15">
        <f>E451/detalle!$D$2</f>
        <v>26021.669229349449</v>
      </c>
      <c r="Y451" s="22">
        <f>F451/detalle!$D$2</f>
        <v>329.36396533777281</v>
      </c>
      <c r="AA451" s="14">
        <f>E451/(detalle!$D$2*1000000)</f>
        <v>2.602166922934945E-2</v>
      </c>
      <c r="AB451" s="14">
        <f>F451/(detalle!$D$2*1000000)</f>
        <v>3.2936396533777277E-4</v>
      </c>
      <c r="AC451" s="31">
        <f>357/572</f>
        <v>0.62412587412587417</v>
      </c>
      <c r="AD451" s="31">
        <f>1069/2532</f>
        <v>0.42219589257503948</v>
      </c>
      <c r="AE451" s="31">
        <f>243/478</f>
        <v>0.50836820083682011</v>
      </c>
      <c r="AF451" s="22">
        <f t="shared" ref="AF451:AF514" si="104">F451-F450</f>
        <v>0</v>
      </c>
      <c r="AG451" s="12">
        <v>2932987</v>
      </c>
      <c r="AH451" s="12">
        <v>912779</v>
      </c>
      <c r="AI451" s="20">
        <v>0</v>
      </c>
      <c r="AJ451" s="23">
        <f t="shared" ref="AJ451:AJ514" si="105">AK451-AK450</f>
        <v>106756</v>
      </c>
      <c r="AK451" s="23">
        <f t="shared" si="94"/>
        <v>3845766</v>
      </c>
      <c r="AL451" s="28">
        <f>AK451/detalle!$D$2</f>
        <v>350874.44308066071</v>
      </c>
    </row>
    <row r="452" spans="1:38">
      <c r="A452" s="12">
        <v>451</v>
      </c>
      <c r="B452" s="19">
        <v>44341</v>
      </c>
      <c r="C452" s="12">
        <v>433</v>
      </c>
      <c r="D452" s="23">
        <f t="shared" si="101"/>
        <v>1058</v>
      </c>
      <c r="E452" s="12">
        <v>286269</v>
      </c>
      <c r="F452" s="12">
        <v>3618</v>
      </c>
      <c r="G452" s="12">
        <v>237440</v>
      </c>
      <c r="H452" s="23">
        <f t="shared" si="97"/>
        <v>45211</v>
      </c>
      <c r="I452" s="23">
        <f t="shared" si="95"/>
        <v>4064</v>
      </c>
      <c r="J452" s="12">
        <v>1524386</v>
      </c>
      <c r="K452" s="23">
        <f t="shared" si="96"/>
        <v>1238117</v>
      </c>
      <c r="L452" s="23">
        <f t="shared" si="102"/>
        <v>-113</v>
      </c>
      <c r="M452" s="14">
        <f t="shared" si="98"/>
        <v>1.2638462425201471E-2</v>
      </c>
      <c r="N452" s="14">
        <f t="shared" si="93"/>
        <v>0.26033464566929132</v>
      </c>
      <c r="O452" s="12"/>
      <c r="P452" s="12"/>
      <c r="Q452" s="12"/>
      <c r="R452" s="23">
        <f t="shared" si="99"/>
        <v>241058</v>
      </c>
      <c r="S452" s="25">
        <f>(((H452+R452)/(H451+R451))-1)+detalle!$D$1</f>
        <v>7.5138105773319613E-2</v>
      </c>
      <c r="T452" s="25">
        <f t="shared" si="103"/>
        <v>1.0519334808264746</v>
      </c>
      <c r="U452" s="10">
        <f t="shared" si="100"/>
        <v>0.82942966231062387</v>
      </c>
      <c r="V452" s="21">
        <f t="shared" si="92"/>
        <v>65.627418463239366</v>
      </c>
      <c r="W452" s="15">
        <f>J452/detalle!$D$2</f>
        <v>139079.72788514852</v>
      </c>
      <c r="X452" s="15">
        <f>E452/detalle!$D$2</f>
        <v>26118.197505063403</v>
      </c>
      <c r="Y452" s="22">
        <f>F452/detalle!$D$2</f>
        <v>330.09385778173464</v>
      </c>
      <c r="AA452" s="14">
        <f>E452/(detalle!$D$2*1000000)</f>
        <v>2.61181975050634E-2</v>
      </c>
      <c r="AB452" s="14">
        <f>F452/(detalle!$D$2*1000000)</f>
        <v>3.3009385778173458E-4</v>
      </c>
      <c r="AC452" s="31">
        <f>363/572</f>
        <v>0.63461538461538458</v>
      </c>
      <c r="AD452" s="31">
        <f>1070/2551</f>
        <v>0.41944335554684437</v>
      </c>
      <c r="AE452" s="31">
        <f>242/478</f>
        <v>0.50627615062761511</v>
      </c>
      <c r="AF452" s="22">
        <f t="shared" si="104"/>
        <v>8</v>
      </c>
      <c r="AG452" s="12">
        <v>3003678</v>
      </c>
      <c r="AH452" s="12">
        <v>944337</v>
      </c>
      <c r="AI452" s="20">
        <v>0</v>
      </c>
      <c r="AJ452" s="23">
        <f t="shared" si="105"/>
        <v>102249</v>
      </c>
      <c r="AK452" s="23">
        <f t="shared" si="94"/>
        <v>3948015</v>
      </c>
      <c r="AL452" s="28">
        <f>AK452/detalle!$D$2</f>
        <v>360203.28964349226</v>
      </c>
    </row>
    <row r="453" spans="1:38">
      <c r="A453" s="12">
        <v>452</v>
      </c>
      <c r="B453" s="19">
        <v>44342</v>
      </c>
      <c r="C453" s="12">
        <v>434</v>
      </c>
      <c r="D453" s="23">
        <f t="shared" si="101"/>
        <v>1765</v>
      </c>
      <c r="E453" s="12">
        <v>288034</v>
      </c>
      <c r="F453" s="12">
        <v>3620</v>
      </c>
      <c r="G453" s="12">
        <v>238499</v>
      </c>
      <c r="H453" s="23">
        <f t="shared" si="97"/>
        <v>45915</v>
      </c>
      <c r="I453" s="23">
        <f t="shared" si="95"/>
        <v>6711</v>
      </c>
      <c r="J453" s="12">
        <v>1531097</v>
      </c>
      <c r="K453" s="23">
        <f t="shared" si="96"/>
        <v>1243063</v>
      </c>
      <c r="L453" s="23">
        <f t="shared" si="102"/>
        <v>1059</v>
      </c>
      <c r="M453" s="14">
        <f t="shared" si="98"/>
        <v>1.2567960726858635E-2</v>
      </c>
      <c r="N453" s="14">
        <f t="shared" si="93"/>
        <v>0.26300104306362687</v>
      </c>
      <c r="O453" s="12"/>
      <c r="P453" s="12"/>
      <c r="Q453" s="12"/>
      <c r="R453" s="23">
        <f t="shared" si="99"/>
        <v>242119</v>
      </c>
      <c r="S453" s="25">
        <f>(((H453+R453)/(H452+R452))-1)+detalle!$D$1</f>
        <v>7.7594101052805869E-2</v>
      </c>
      <c r="T453" s="25">
        <f t="shared" si="103"/>
        <v>1.0863174147392822</v>
      </c>
      <c r="U453" s="10">
        <f t="shared" si="100"/>
        <v>0.82802377497101032</v>
      </c>
      <c r="V453" s="21">
        <f t="shared" si="92"/>
        <v>65.883701657458559</v>
      </c>
      <c r="W453" s="15">
        <f>J453/detalle!$D$2</f>
        <v>139692.01640907698</v>
      </c>
      <c r="X453" s="15">
        <f>E453/detalle!$D$2</f>
        <v>26279.230025512479</v>
      </c>
      <c r="Y453" s="22">
        <f>F453/detalle!$D$2</f>
        <v>330.27633089272507</v>
      </c>
      <c r="AA453" s="14">
        <f>E453/(detalle!$D$2*1000000)</f>
        <v>2.6279230025512478E-2</v>
      </c>
      <c r="AB453" s="14">
        <f>F453/(detalle!$D$2*1000000)</f>
        <v>3.3027633089272507E-4</v>
      </c>
      <c r="AC453" s="31">
        <f>373/569</f>
        <v>0.65553602811950795</v>
      </c>
      <c r="AD453" s="31">
        <f>1137/2536</f>
        <v>0.44834384858044163</v>
      </c>
      <c r="AE453" s="31">
        <f>255/457</f>
        <v>0.55798687089715537</v>
      </c>
      <c r="AF453" s="22">
        <f t="shared" si="104"/>
        <v>2</v>
      </c>
      <c r="AG453" s="12">
        <v>3064800</v>
      </c>
      <c r="AH453" s="12">
        <v>976512</v>
      </c>
      <c r="AI453" s="20">
        <v>0</v>
      </c>
      <c r="AJ453" s="23">
        <f t="shared" si="105"/>
        <v>93297</v>
      </c>
      <c r="AK453" s="23">
        <f t="shared" si="94"/>
        <v>4041312</v>
      </c>
      <c r="AL453" s="28">
        <f>AK453/detalle!$D$2</f>
        <v>368715.38656153053</v>
      </c>
    </row>
    <row r="454" spans="1:38">
      <c r="A454" s="12">
        <v>453</v>
      </c>
      <c r="B454" s="19">
        <v>44343</v>
      </c>
      <c r="C454" s="12">
        <v>435</v>
      </c>
      <c r="D454" s="23">
        <f t="shared" si="101"/>
        <v>1254</v>
      </c>
      <c r="E454" s="12">
        <v>289288</v>
      </c>
      <c r="F454" s="12">
        <v>3623</v>
      </c>
      <c r="G454" s="12">
        <v>238615</v>
      </c>
      <c r="H454" s="23">
        <f t="shared" si="97"/>
        <v>47050</v>
      </c>
      <c r="I454" s="23">
        <f t="shared" si="95"/>
        <v>4627</v>
      </c>
      <c r="J454" s="12">
        <v>1535724</v>
      </c>
      <c r="K454" s="23">
        <f t="shared" si="96"/>
        <v>1246436</v>
      </c>
      <c r="L454" s="23">
        <f t="shared" si="102"/>
        <v>116</v>
      </c>
      <c r="M454" s="14">
        <f t="shared" si="98"/>
        <v>1.2523851663394264E-2</v>
      </c>
      <c r="N454" s="14">
        <f t="shared" si="93"/>
        <v>0.27101793818889131</v>
      </c>
      <c r="O454" s="12"/>
      <c r="P454" s="12"/>
      <c r="Q454" s="12"/>
      <c r="R454" s="23">
        <f t="shared" si="99"/>
        <v>242238</v>
      </c>
      <c r="S454" s="25">
        <f>(((H454+R454)/(H453+R453))-1)+detalle!$D$1</f>
        <v>7.5782224122350722E-2</v>
      </c>
      <c r="T454" s="25">
        <f t="shared" si="103"/>
        <v>1.0609511377129102</v>
      </c>
      <c r="U454" s="10">
        <f t="shared" si="100"/>
        <v>0.82483545809020764</v>
      </c>
      <c r="V454" s="21">
        <f t="shared" si="92"/>
        <v>65.861164780568586</v>
      </c>
      <c r="W454" s="15">
        <f>J454/detalle!$D$2</f>
        <v>140114.16795135339</v>
      </c>
      <c r="X454" s="15">
        <f>E454/detalle!$D$2</f>
        <v>26393.640666103496</v>
      </c>
      <c r="Y454" s="22">
        <f>F454/detalle!$D$2</f>
        <v>330.55004055921074</v>
      </c>
      <c r="AA454" s="14">
        <f>E454/(detalle!$D$2*1000000)</f>
        <v>2.6393640666103495E-2</v>
      </c>
      <c r="AB454" s="14">
        <f>F454/(detalle!$D$2*1000000)</f>
        <v>3.3055004055921076E-4</v>
      </c>
      <c r="AC454" s="31">
        <f>376/559</f>
        <v>0.6726296958855098</v>
      </c>
      <c r="AD454" s="31">
        <f>1170/2531</f>
        <v>0.46226787830896876</v>
      </c>
      <c r="AE454" s="31">
        <f>247/457</f>
        <v>0.54048140043763682</v>
      </c>
      <c r="AF454" s="22">
        <f t="shared" si="104"/>
        <v>3</v>
      </c>
      <c r="AG454" s="12">
        <v>3115252</v>
      </c>
      <c r="AH454" s="12">
        <v>1006332</v>
      </c>
      <c r="AI454" s="20">
        <v>0</v>
      </c>
      <c r="AJ454" s="23">
        <f t="shared" si="105"/>
        <v>80272</v>
      </c>
      <c r="AK454" s="23">
        <f t="shared" ref="AK454:AK485" si="106">AG454+AH454</f>
        <v>4121584</v>
      </c>
      <c r="AL454" s="28">
        <f>AK454/detalle!$D$2</f>
        <v>376039.12734424346</v>
      </c>
    </row>
    <row r="455" spans="1:38">
      <c r="A455" s="12">
        <v>454</v>
      </c>
      <c r="B455" s="19">
        <v>44344</v>
      </c>
      <c r="C455" s="12">
        <v>436</v>
      </c>
      <c r="D455" s="23">
        <f t="shared" si="101"/>
        <v>1238</v>
      </c>
      <c r="E455" s="12">
        <v>290526</v>
      </c>
      <c r="F455" s="12">
        <v>3628</v>
      </c>
      <c r="G455" s="12">
        <v>238810</v>
      </c>
      <c r="H455" s="23">
        <f t="shared" si="97"/>
        <v>48088</v>
      </c>
      <c r="I455" s="23">
        <f t="shared" si="95"/>
        <v>5681</v>
      </c>
      <c r="J455" s="12">
        <v>1541405</v>
      </c>
      <c r="K455" s="23">
        <f t="shared" si="96"/>
        <v>1250879</v>
      </c>
      <c r="L455" s="23">
        <f t="shared" si="102"/>
        <v>195</v>
      </c>
      <c r="M455" s="14">
        <f t="shared" si="98"/>
        <v>1.2487694733001521E-2</v>
      </c>
      <c r="N455" s="14">
        <f t="shared" si="93"/>
        <v>0.21791938039077627</v>
      </c>
      <c r="O455" s="12"/>
      <c r="P455" s="12"/>
      <c r="Q455" s="12"/>
      <c r="R455" s="23">
        <f t="shared" si="99"/>
        <v>242438</v>
      </c>
      <c r="S455" s="25">
        <f>(((H455+R455)/(H454+R454))-1)+detalle!$D$1</f>
        <v>7.5708043788296014E-2</v>
      </c>
      <c r="T455" s="25">
        <f t="shared" si="103"/>
        <v>1.0599126130361443</v>
      </c>
      <c r="U455" s="10">
        <f t="shared" si="100"/>
        <v>0.82199183549837196</v>
      </c>
      <c r="V455" s="21">
        <f t="shared" si="92"/>
        <v>65.82414553472988</v>
      </c>
      <c r="W455" s="15">
        <f>J455/detalle!$D$2</f>
        <v>140632.4828231218</v>
      </c>
      <c r="X455" s="15">
        <f>E455/detalle!$D$2</f>
        <v>26506.591521806586</v>
      </c>
      <c r="Y455" s="22">
        <f>F455/detalle!$D$2</f>
        <v>331.0062233366869</v>
      </c>
      <c r="AA455" s="14">
        <f>E455/(detalle!$D$2*1000000)</f>
        <v>2.6506591521806587E-2</v>
      </c>
      <c r="AB455" s="14">
        <f>F455/(detalle!$D$2*1000000)</f>
        <v>3.3100622333668688E-4</v>
      </c>
      <c r="AC455" s="31">
        <f>393/563</f>
        <v>0.69804618117229134</v>
      </c>
      <c r="AD455" s="31">
        <f>1180/2538</f>
        <v>0.46493301812450749</v>
      </c>
      <c r="AE455" s="31">
        <f>264/478</f>
        <v>0.55230125523012552</v>
      </c>
      <c r="AF455" s="22">
        <f t="shared" si="104"/>
        <v>5</v>
      </c>
      <c r="AG455" s="12">
        <v>3155232</v>
      </c>
      <c r="AH455" s="12">
        <v>1033751</v>
      </c>
      <c r="AI455" s="20">
        <v>0</v>
      </c>
      <c r="AJ455" s="23">
        <f t="shared" si="105"/>
        <v>67399</v>
      </c>
      <c r="AK455" s="23">
        <f t="shared" si="106"/>
        <v>4188983</v>
      </c>
      <c r="AL455" s="28">
        <f>AK455/detalle!$D$2</f>
        <v>382188.37994806631</v>
      </c>
    </row>
    <row r="456" spans="1:38">
      <c r="A456" s="12">
        <v>455</v>
      </c>
      <c r="B456" s="19">
        <v>44345</v>
      </c>
      <c r="C456" s="12">
        <v>437</v>
      </c>
      <c r="D456" s="23">
        <f t="shared" si="101"/>
        <v>1384</v>
      </c>
      <c r="E456" s="12">
        <v>291910</v>
      </c>
      <c r="F456" s="12">
        <v>3628</v>
      </c>
      <c r="G456" s="12">
        <v>240993</v>
      </c>
      <c r="H456" s="23">
        <f t="shared" si="97"/>
        <v>47289</v>
      </c>
      <c r="I456" s="23">
        <f t="shared" si="95"/>
        <v>5933</v>
      </c>
      <c r="J456" s="12">
        <v>1547338</v>
      </c>
      <c r="K456" s="23">
        <f t="shared" si="96"/>
        <v>1255428</v>
      </c>
      <c r="L456" s="23">
        <f t="shared" si="102"/>
        <v>2183</v>
      </c>
      <c r="M456" s="14">
        <f t="shared" si="98"/>
        <v>1.2428488232674454E-2</v>
      </c>
      <c r="N456" s="14">
        <f t="shared" si="93"/>
        <v>0.23327153210854543</v>
      </c>
      <c r="O456" s="12"/>
      <c r="P456" s="12"/>
      <c r="Q456" s="12"/>
      <c r="R456" s="23">
        <f t="shared" si="99"/>
        <v>244621</v>
      </c>
      <c r="S456" s="25">
        <f>(((H456+R456)/(H455+R455))-1)+detalle!$D$1</f>
        <v>7.6192344722527922E-2</v>
      </c>
      <c r="T456" s="25">
        <f t="shared" si="103"/>
        <v>1.066692826115391</v>
      </c>
      <c r="U456" s="10">
        <f t="shared" si="100"/>
        <v>0.82557295056695557</v>
      </c>
      <c r="V456" s="21">
        <f t="shared" si="92"/>
        <v>66.42585446527012</v>
      </c>
      <c r="W456" s="15">
        <f>J456/detalle!$D$2</f>
        <v>141173.78930687497</v>
      </c>
      <c r="X456" s="15">
        <f>E456/detalle!$D$2</f>
        <v>26632.862914611982</v>
      </c>
      <c r="Y456" s="22">
        <f>F456/detalle!$D$2</f>
        <v>331.0062233366869</v>
      </c>
      <c r="AA456" s="14">
        <f>E456/(detalle!$D$2*1000000)</f>
        <v>2.663286291461198E-2</v>
      </c>
      <c r="AB456" s="14">
        <f>F456/(detalle!$D$2*1000000)</f>
        <v>3.3100622333668688E-4</v>
      </c>
      <c r="AC456" s="31">
        <f>401/563</f>
        <v>0.71225577264653639</v>
      </c>
      <c r="AD456" s="31">
        <f>1194/2552</f>
        <v>0.46786833855799376</v>
      </c>
      <c r="AE456" s="31">
        <f>266/478</f>
        <v>0.55648535564853552</v>
      </c>
      <c r="AF456" s="22">
        <f t="shared" si="104"/>
        <v>0</v>
      </c>
      <c r="AG456" s="12">
        <v>3169176</v>
      </c>
      <c r="AH456" s="12">
        <v>1041039</v>
      </c>
      <c r="AI456" s="20">
        <v>0</v>
      </c>
      <c r="AJ456" s="23">
        <f t="shared" si="105"/>
        <v>21232</v>
      </c>
      <c r="AK456" s="23">
        <f t="shared" si="106"/>
        <v>4210215</v>
      </c>
      <c r="AL456" s="28">
        <f>AK456/detalle!$D$2</f>
        <v>384125.51449434104</v>
      </c>
    </row>
    <row r="457" spans="1:38">
      <c r="A457" s="12">
        <v>456</v>
      </c>
      <c r="B457" s="19">
        <v>44346</v>
      </c>
      <c r="C457" s="12">
        <v>438</v>
      </c>
      <c r="D457" s="23">
        <f t="shared" si="101"/>
        <v>876</v>
      </c>
      <c r="E457" s="12">
        <v>292786</v>
      </c>
      <c r="F457" s="12">
        <v>3628</v>
      </c>
      <c r="G457" s="12">
        <v>241596</v>
      </c>
      <c r="H457" s="23">
        <f t="shared" si="97"/>
        <v>47562</v>
      </c>
      <c r="I457" s="23">
        <f t="shared" si="95"/>
        <v>4211</v>
      </c>
      <c r="J457" s="12">
        <v>1551549</v>
      </c>
      <c r="K457" s="23">
        <f t="shared" si="96"/>
        <v>1258763</v>
      </c>
      <c r="L457" s="23">
        <f t="shared" si="102"/>
        <v>603</v>
      </c>
      <c r="M457" s="14">
        <f t="shared" si="98"/>
        <v>1.2391302862841803E-2</v>
      </c>
      <c r="N457" s="14">
        <f t="shared" si="93"/>
        <v>0.20802659700783663</v>
      </c>
      <c r="O457" s="12"/>
      <c r="P457" s="12"/>
      <c r="Q457" s="12"/>
      <c r="R457" s="23">
        <f t="shared" si="99"/>
        <v>245224</v>
      </c>
      <c r="S457" s="25">
        <f>(((H457+R457)/(H456+R456))-1)+detalle!$D$1</f>
        <v>7.4429496371190701E-2</v>
      </c>
      <c r="T457" s="25">
        <f t="shared" si="103"/>
        <v>1.0420129491966699</v>
      </c>
      <c r="U457" s="10">
        <f t="shared" si="100"/>
        <v>0.82516240530626461</v>
      </c>
      <c r="V457" s="21">
        <f t="shared" si="92"/>
        <v>66.592061742006621</v>
      </c>
      <c r="W457" s="15">
        <f>J457/detalle!$D$2</f>
        <v>141557.98644206539</v>
      </c>
      <c r="X457" s="15">
        <f>E457/detalle!$D$2</f>
        <v>26712.786137225801</v>
      </c>
      <c r="Y457" s="22">
        <f>F457/detalle!$D$2</f>
        <v>331.0062233366869</v>
      </c>
      <c r="AA457" s="14">
        <f>E457/(detalle!$D$2*1000000)</f>
        <v>2.6712786137225802E-2</v>
      </c>
      <c r="AB457" s="14">
        <f>F457/(detalle!$D$2*1000000)</f>
        <v>3.3100622333668688E-4</v>
      </c>
      <c r="AC457" s="31">
        <f>399/602</f>
        <v>0.66279069767441856</v>
      </c>
      <c r="AD457" s="31">
        <f>1207/2671</f>
        <v>0.45189067764882068</v>
      </c>
      <c r="AE457" s="31">
        <f>263/478</f>
        <v>0.55020920502092052</v>
      </c>
      <c r="AF457" s="22">
        <f t="shared" si="104"/>
        <v>0</v>
      </c>
      <c r="AG457" s="12">
        <v>3171332</v>
      </c>
      <c r="AH457" s="12">
        <v>1042831</v>
      </c>
      <c r="AI457" s="20">
        <v>0</v>
      </c>
      <c r="AJ457" s="23">
        <f t="shared" si="105"/>
        <v>3948</v>
      </c>
      <c r="AK457" s="23">
        <f t="shared" si="106"/>
        <v>4214163</v>
      </c>
      <c r="AL457" s="28">
        <f>AK457/detalle!$D$2</f>
        <v>384485.71641543618</v>
      </c>
    </row>
    <row r="458" spans="1:38">
      <c r="A458" s="12">
        <v>457</v>
      </c>
      <c r="B458" s="19">
        <v>44347</v>
      </c>
      <c r="C458" s="12">
        <v>439</v>
      </c>
      <c r="D458" s="23">
        <f t="shared" si="101"/>
        <v>1235</v>
      </c>
      <c r="E458" s="12">
        <v>294021</v>
      </c>
      <c r="F458" s="12">
        <v>3634</v>
      </c>
      <c r="G458" s="12">
        <v>241806</v>
      </c>
      <c r="H458" s="23">
        <f t="shared" si="97"/>
        <v>48581</v>
      </c>
      <c r="I458" s="23">
        <f t="shared" si="95"/>
        <v>5422</v>
      </c>
      <c r="J458" s="12">
        <v>1556971</v>
      </c>
      <c r="K458" s="23">
        <f t="shared" si="96"/>
        <v>1262950</v>
      </c>
      <c r="L458" s="23">
        <f t="shared" si="102"/>
        <v>210</v>
      </c>
      <c r="M458" s="14">
        <f t="shared" si="98"/>
        <v>1.2359661384731022E-2</v>
      </c>
      <c r="N458" s="14">
        <f t="shared" si="93"/>
        <v>0.22777572851346367</v>
      </c>
      <c r="O458" s="12"/>
      <c r="P458" s="12"/>
      <c r="Q458" s="12"/>
      <c r="R458" s="23">
        <f t="shared" si="99"/>
        <v>245440</v>
      </c>
      <c r="S458" s="25">
        <f>(((H458+R458)/(H457+R457))-1)+detalle!$D$1</f>
        <v>7.5646669288441687E-2</v>
      </c>
      <c r="T458" s="25">
        <f t="shared" si="103"/>
        <v>1.0590533700381837</v>
      </c>
      <c r="U458" s="10">
        <f t="shared" si="100"/>
        <v>0.82241064413766363</v>
      </c>
      <c r="V458" s="21">
        <f t="shared" si="92"/>
        <v>66.539900935608145</v>
      </c>
      <c r="W458" s="15">
        <f>J458/detalle!$D$2</f>
        <v>142052.67104596051</v>
      </c>
      <c r="X458" s="15">
        <f>E458/detalle!$D$2</f>
        <v>26825.463283262408</v>
      </c>
      <c r="Y458" s="22">
        <f>F458/detalle!$D$2</f>
        <v>331.55364266965825</v>
      </c>
      <c r="AA458" s="14">
        <f>E458/(detalle!$D$2*1000000)</f>
        <v>2.6825463283262407E-2</v>
      </c>
      <c r="AB458" s="14">
        <f>F458/(detalle!$D$2*1000000)</f>
        <v>3.3155364266965827E-4</v>
      </c>
      <c r="AC458" s="31">
        <f>410/602</f>
        <v>0.68106312292358806</v>
      </c>
      <c r="AD458" s="31">
        <f>1195/2671</f>
        <v>0.44739797828528644</v>
      </c>
      <c r="AE458" s="31">
        <f>270/468</f>
        <v>0.57692307692307687</v>
      </c>
      <c r="AF458" s="22">
        <f t="shared" si="104"/>
        <v>6</v>
      </c>
      <c r="AG458" s="12">
        <v>3223950</v>
      </c>
      <c r="AH458" s="12">
        <v>1087424</v>
      </c>
      <c r="AI458" s="20">
        <v>0</v>
      </c>
      <c r="AJ458" s="23">
        <f t="shared" si="105"/>
        <v>97211</v>
      </c>
      <c r="AK458" s="23">
        <f t="shared" si="106"/>
        <v>4311374</v>
      </c>
      <c r="AL458" s="28">
        <f>AK458/detalle!$D$2</f>
        <v>393354.91321168275</v>
      </c>
    </row>
    <row r="459" spans="1:38">
      <c r="A459" s="12">
        <v>458</v>
      </c>
      <c r="B459" s="19">
        <v>44348</v>
      </c>
      <c r="C459" s="12">
        <v>440</v>
      </c>
      <c r="D459" s="23">
        <f t="shared" si="101"/>
        <v>1659</v>
      </c>
      <c r="E459" s="12">
        <v>295680</v>
      </c>
      <c r="F459" s="12">
        <v>3637</v>
      </c>
      <c r="G459" s="12">
        <v>242634</v>
      </c>
      <c r="H459" s="23">
        <f t="shared" si="97"/>
        <v>49409</v>
      </c>
      <c r="I459" s="23">
        <f t="shared" si="95"/>
        <v>6206</v>
      </c>
      <c r="J459" s="12">
        <v>1563177</v>
      </c>
      <c r="K459" s="23">
        <f t="shared" si="96"/>
        <v>1267497</v>
      </c>
      <c r="L459" s="23">
        <f t="shared" si="102"/>
        <v>828</v>
      </c>
      <c r="M459" s="14">
        <f t="shared" si="98"/>
        <v>1.2300459956709957E-2</v>
      </c>
      <c r="N459" s="14">
        <f t="shared" si="93"/>
        <v>0.26732194650338381</v>
      </c>
      <c r="O459" s="12"/>
      <c r="P459" s="12"/>
      <c r="Q459" s="12"/>
      <c r="R459" s="23">
        <f t="shared" si="99"/>
        <v>246271</v>
      </c>
      <c r="S459" s="25">
        <f>(((H459+R459)/(H458+R458))-1)+detalle!$D$1</f>
        <v>7.7071025538992172E-2</v>
      </c>
      <c r="T459" s="25">
        <f t="shared" si="103"/>
        <v>1.0789943575458905</v>
      </c>
      <c r="U459" s="10">
        <f t="shared" si="100"/>
        <v>0.82059659090909087</v>
      </c>
      <c r="V459" s="21">
        <f t="shared" si="92"/>
        <v>66.712675281825682</v>
      </c>
      <c r="W459" s="15">
        <f>J459/detalle!$D$2</f>
        <v>142618.88510936388</v>
      </c>
      <c r="X459" s="15">
        <f>E459/detalle!$D$2</f>
        <v>26976.824728828993</v>
      </c>
      <c r="Y459" s="22">
        <f>F459/detalle!$D$2</f>
        <v>331.82735233614397</v>
      </c>
      <c r="AA459" s="14">
        <f>E459/(detalle!$D$2*1000000)</f>
        <v>2.697682472882899E-2</v>
      </c>
      <c r="AB459" s="14">
        <f>F459/(detalle!$D$2*1000000)</f>
        <v>3.3182735233614391E-4</v>
      </c>
      <c r="AC459" s="31">
        <f>434/607</f>
        <v>0.71499176276771004</v>
      </c>
      <c r="AD459" s="31">
        <f>1273/2671</f>
        <v>0.4766005241482591</v>
      </c>
      <c r="AE459" s="31">
        <f>285/482</f>
        <v>0.59128630705394192</v>
      </c>
      <c r="AF459" s="22">
        <f t="shared" si="104"/>
        <v>3</v>
      </c>
      <c r="AG459" s="12">
        <v>3313861</v>
      </c>
      <c r="AH459" s="12">
        <v>1142655</v>
      </c>
      <c r="AI459" s="20">
        <v>0</v>
      </c>
      <c r="AJ459" s="23">
        <f t="shared" si="105"/>
        <v>145142</v>
      </c>
      <c r="AK459" s="23">
        <f t="shared" si="106"/>
        <v>4456516</v>
      </c>
      <c r="AL459" s="28">
        <f>AK459/detalle!$D$2</f>
        <v>406597.16934937116</v>
      </c>
    </row>
    <row r="460" spans="1:38">
      <c r="A460" s="12">
        <v>459</v>
      </c>
      <c r="B460" s="19">
        <v>44349</v>
      </c>
      <c r="C460" s="12">
        <v>441</v>
      </c>
      <c r="D460" s="23">
        <f t="shared" si="101"/>
        <v>1439</v>
      </c>
      <c r="E460" s="12">
        <v>297119</v>
      </c>
      <c r="F460" s="12">
        <v>3642</v>
      </c>
      <c r="G460" s="12">
        <v>243235</v>
      </c>
      <c r="H460" s="23">
        <f t="shared" si="97"/>
        <v>50242</v>
      </c>
      <c r="I460" s="23">
        <f t="shared" si="95"/>
        <v>5488</v>
      </c>
      <c r="J460" s="12">
        <v>1568665</v>
      </c>
      <c r="K460" s="23">
        <f t="shared" si="96"/>
        <v>1271546</v>
      </c>
      <c r="L460" s="23">
        <f t="shared" si="102"/>
        <v>601</v>
      </c>
      <c r="M460" s="14">
        <f t="shared" si="98"/>
        <v>1.2257714922303858E-2</v>
      </c>
      <c r="N460" s="14">
        <f t="shared" si="93"/>
        <v>0.26220845481049565</v>
      </c>
      <c r="O460" s="12"/>
      <c r="P460" s="12"/>
      <c r="Q460" s="12"/>
      <c r="R460" s="23">
        <f t="shared" si="99"/>
        <v>246877</v>
      </c>
      <c r="S460" s="25">
        <f>(((H460+R460)/(H459+R459))-1)+detalle!$D$1</f>
        <v>7.6295319264069211E-2</v>
      </c>
      <c r="T460" s="25">
        <f t="shared" si="103"/>
        <v>1.068134469696969</v>
      </c>
      <c r="U460" s="10">
        <f t="shared" si="100"/>
        <v>0.81864505467506288</v>
      </c>
      <c r="V460" s="21">
        <f t="shared" si="92"/>
        <v>66.786106534870953</v>
      </c>
      <c r="W460" s="15">
        <f>J460/detalle!$D$2</f>
        <v>143119.5913259217</v>
      </c>
      <c r="X460" s="15">
        <f>E460/detalle!$D$2</f>
        <v>27108.114132186623</v>
      </c>
      <c r="Y460" s="22">
        <f>F460/detalle!$D$2</f>
        <v>332.28353511362008</v>
      </c>
      <c r="AA460" s="14">
        <f>E460/(detalle!$D$2*1000000)</f>
        <v>2.7108114132186625E-2</v>
      </c>
      <c r="AB460" s="14">
        <f>F460/(detalle!$D$2*1000000)</f>
        <v>3.3228353511362008E-4</v>
      </c>
      <c r="AC460" s="31">
        <f>424/614</f>
        <v>0.69055374592833874</v>
      </c>
      <c r="AD460" s="31">
        <f>1303/2613</f>
        <v>0.49866054343666283</v>
      </c>
      <c r="AE460" s="31">
        <f>284/487</f>
        <v>0.58316221765913756</v>
      </c>
      <c r="AF460" s="22">
        <f t="shared" si="104"/>
        <v>5</v>
      </c>
      <c r="AG460" s="12">
        <v>3424187</v>
      </c>
      <c r="AH460" s="12">
        <v>1201200</v>
      </c>
      <c r="AI460" s="20">
        <v>0</v>
      </c>
      <c r="AJ460" s="23">
        <f t="shared" si="105"/>
        <v>168871</v>
      </c>
      <c r="AK460" s="23">
        <f t="shared" si="106"/>
        <v>4625387</v>
      </c>
      <c r="AL460" s="28">
        <f>AK460/detalle!$D$2</f>
        <v>422004.37771240581</v>
      </c>
    </row>
    <row r="461" spans="1:38">
      <c r="A461" s="12">
        <v>460</v>
      </c>
      <c r="B461" s="19">
        <v>44350</v>
      </c>
      <c r="C461" s="12">
        <v>442</v>
      </c>
      <c r="D461" s="23">
        <f t="shared" si="101"/>
        <v>1295</v>
      </c>
      <c r="E461" s="12">
        <v>298414</v>
      </c>
      <c r="F461" s="12">
        <v>3646</v>
      </c>
      <c r="G461" s="12">
        <v>243692</v>
      </c>
      <c r="H461" s="23">
        <f t="shared" si="97"/>
        <v>51076</v>
      </c>
      <c r="I461" s="23">
        <f t="shared" si="95"/>
        <v>4783</v>
      </c>
      <c r="J461" s="12">
        <v>1573448</v>
      </c>
      <c r="K461" s="23">
        <f t="shared" si="96"/>
        <v>1275034</v>
      </c>
      <c r="L461" s="23">
        <f t="shared" si="102"/>
        <v>457</v>
      </c>
      <c r="M461" s="14">
        <f t="shared" si="98"/>
        <v>1.2217925432452901E-2</v>
      </c>
      <c r="N461" s="14">
        <f t="shared" si="93"/>
        <v>0.2707505749529584</v>
      </c>
      <c r="O461" s="12"/>
      <c r="P461" s="12"/>
      <c r="Q461" s="12"/>
      <c r="R461" s="23">
        <f t="shared" si="99"/>
        <v>247338</v>
      </c>
      <c r="S461" s="25">
        <f>(((H461+R461)/(H460+R460))-1)+detalle!$D$1</f>
        <v>7.5787094444601993E-2</v>
      </c>
      <c r="T461" s="25">
        <f t="shared" si="103"/>
        <v>1.061019322224428</v>
      </c>
      <c r="U461" s="10">
        <f t="shared" si="100"/>
        <v>0.81662388493837423</v>
      </c>
      <c r="V461" s="21">
        <f t="shared" si="92"/>
        <v>66.838178826110806</v>
      </c>
      <c r="W461" s="15">
        <f>J461/detalle!$D$2</f>
        <v>143555.97577085538</v>
      </c>
      <c r="X461" s="15">
        <f>E461/detalle!$D$2</f>
        <v>27226.265471552946</v>
      </c>
      <c r="Y461" s="22">
        <f>F461/detalle!$D$2</f>
        <v>332.64848133560099</v>
      </c>
      <c r="AA461" s="14">
        <f>E461/(detalle!$D$2*1000000)</f>
        <v>2.7226265471552945E-2</v>
      </c>
      <c r="AB461" s="14">
        <f>F461/(detalle!$D$2*1000000)</f>
        <v>3.3264848133560099E-4</v>
      </c>
      <c r="AC461" s="31">
        <f>428/605</f>
        <v>0.70743801652892557</v>
      </c>
      <c r="AD461" s="31">
        <f>1329/2602</f>
        <v>0.51076095311298997</v>
      </c>
      <c r="AE461" s="31">
        <f>292/479</f>
        <v>0.60960334029227559</v>
      </c>
      <c r="AF461" s="22">
        <f t="shared" si="104"/>
        <v>4</v>
      </c>
      <c r="AG461" s="12">
        <v>3530338</v>
      </c>
      <c r="AH461" s="12">
        <v>1231191</v>
      </c>
      <c r="AI461" s="20">
        <v>0</v>
      </c>
      <c r="AJ461" s="23">
        <f t="shared" si="105"/>
        <v>136142</v>
      </c>
      <c r="AK461" s="23">
        <f t="shared" si="106"/>
        <v>4761529</v>
      </c>
      <c r="AL461" s="28">
        <f>AK461/detalle!$D$2</f>
        <v>434425.50485063711</v>
      </c>
    </row>
    <row r="462" spans="1:38">
      <c r="A462" s="12">
        <v>461</v>
      </c>
      <c r="B462" s="19">
        <v>44351</v>
      </c>
      <c r="C462" s="12">
        <v>443</v>
      </c>
      <c r="D462" s="23">
        <f t="shared" si="101"/>
        <v>1267</v>
      </c>
      <c r="E462" s="12">
        <v>299681</v>
      </c>
      <c r="F462" s="12">
        <v>3652</v>
      </c>
      <c r="G462" s="12">
        <v>244244</v>
      </c>
      <c r="H462" s="23">
        <f t="shared" si="97"/>
        <v>51785</v>
      </c>
      <c r="I462" s="23">
        <f t="shared" si="95"/>
        <v>5499</v>
      </c>
      <c r="J462" s="12">
        <v>1578947</v>
      </c>
      <c r="K462" s="23">
        <f t="shared" si="96"/>
        <v>1279266</v>
      </c>
      <c r="L462" s="23">
        <f t="shared" si="102"/>
        <v>552</v>
      </c>
      <c r="M462" s="14">
        <f t="shared" si="98"/>
        <v>1.218629142321335E-2</v>
      </c>
      <c r="N462" s="14">
        <f t="shared" si="93"/>
        <v>0.2304055282778687</v>
      </c>
      <c r="O462" s="12"/>
      <c r="P462" s="12"/>
      <c r="Q462" s="12"/>
      <c r="R462" s="23">
        <f t="shared" si="99"/>
        <v>247896</v>
      </c>
      <c r="S462" s="25">
        <f>(((H462+R462)/(H461+R461))-1)+detalle!$D$1</f>
        <v>7.567435078208698E-2</v>
      </c>
      <c r="T462" s="25">
        <f t="shared" si="103"/>
        <v>1.0594409109492178</v>
      </c>
      <c r="U462" s="10">
        <f t="shared" si="100"/>
        <v>0.81501329747297957</v>
      </c>
      <c r="V462" s="21">
        <f t="shared" si="92"/>
        <v>66.879518072289159</v>
      </c>
      <c r="W462" s="15">
        <f>J462/detalle!$D$2</f>
        <v>144057.68558952364</v>
      </c>
      <c r="X462" s="15">
        <f>E462/detalle!$D$2</f>
        <v>27341.862187365397</v>
      </c>
      <c r="Y462" s="22">
        <f>F462/detalle!$D$2</f>
        <v>333.19590066857239</v>
      </c>
      <c r="AA462" s="14">
        <f>E462/(detalle!$D$2*1000000)</f>
        <v>2.7341862187365399E-2</v>
      </c>
      <c r="AB462" s="14">
        <f>F462/(detalle!$D$2*1000000)</f>
        <v>3.3319590066857238E-4</v>
      </c>
      <c r="AC462" s="31">
        <f>432/600</f>
        <v>0.72</v>
      </c>
      <c r="AD462" s="31">
        <f>1329/2614</f>
        <v>0.508416220351951</v>
      </c>
      <c r="AE462" s="31">
        <f>305/486</f>
        <v>0.62757201646090532</v>
      </c>
      <c r="AF462" s="22">
        <f t="shared" si="104"/>
        <v>6</v>
      </c>
      <c r="AG462" s="12">
        <v>3687044</v>
      </c>
      <c r="AH462" s="12">
        <v>1302763</v>
      </c>
      <c r="AI462" s="20">
        <v>0</v>
      </c>
      <c r="AJ462" s="23">
        <f t="shared" si="105"/>
        <v>228278</v>
      </c>
      <c r="AK462" s="23">
        <f t="shared" si="106"/>
        <v>4989807</v>
      </c>
      <c r="AL462" s="28">
        <f>AK462/detalle!$D$2</f>
        <v>455252.80326597672</v>
      </c>
    </row>
    <row r="463" spans="1:38">
      <c r="A463" s="12">
        <v>462</v>
      </c>
      <c r="B463" s="19">
        <v>44352</v>
      </c>
      <c r="C463" s="12">
        <v>444</v>
      </c>
      <c r="D463" s="23">
        <f t="shared" si="101"/>
        <v>1397</v>
      </c>
      <c r="E463" s="12">
        <v>301078</v>
      </c>
      <c r="F463" s="12">
        <v>3654</v>
      </c>
      <c r="G463" s="12">
        <v>245190</v>
      </c>
      <c r="H463" s="23">
        <f t="shared" si="97"/>
        <v>52234</v>
      </c>
      <c r="I463" s="23">
        <f t="shared" si="95"/>
        <v>6988</v>
      </c>
      <c r="J463" s="12">
        <v>1585935</v>
      </c>
      <c r="K463" s="23">
        <f t="shared" si="96"/>
        <v>1284857</v>
      </c>
      <c r="L463" s="23">
        <f t="shared" si="102"/>
        <v>946</v>
      </c>
      <c r="M463" s="14">
        <f t="shared" si="98"/>
        <v>1.2136389905605857E-2</v>
      </c>
      <c r="N463" s="14">
        <f t="shared" si="93"/>
        <v>0.1999141385231826</v>
      </c>
      <c r="O463" s="12"/>
      <c r="P463" s="12"/>
      <c r="Q463" s="12"/>
      <c r="R463" s="23">
        <f t="shared" si="99"/>
        <v>248844</v>
      </c>
      <c r="S463" s="25">
        <f>(((H463+R463)/(H462+R462))-1)+detalle!$D$1</f>
        <v>7.6090194954921114E-2</v>
      </c>
      <c r="T463" s="25">
        <f t="shared" si="103"/>
        <v>1.0652627293688957</v>
      </c>
      <c r="U463" s="10">
        <f t="shared" si="100"/>
        <v>0.81437368389586751</v>
      </c>
      <c r="V463" s="21">
        <f t="shared" si="92"/>
        <v>67.101806239737272</v>
      </c>
      <c r="W463" s="15">
        <f>J463/detalle!$D$2</f>
        <v>144695.24663932429</v>
      </c>
      <c r="X463" s="15">
        <f>E463/detalle!$D$2</f>
        <v>27469.319655392232</v>
      </c>
      <c r="Y463" s="22">
        <f>F463/detalle!$D$2</f>
        <v>333.37837377956282</v>
      </c>
      <c r="AA463" s="14">
        <f>E463/(detalle!$D$2*1000000)</f>
        <v>2.7469319655392233E-2</v>
      </c>
      <c r="AB463" s="14">
        <f>F463/(detalle!$D$2*1000000)</f>
        <v>3.3337837377956281E-4</v>
      </c>
      <c r="AC463" s="31">
        <f>441/595</f>
        <v>0.74117647058823533</v>
      </c>
      <c r="AD463" s="31">
        <f>1320/2614</f>
        <v>0.504973221117062</v>
      </c>
      <c r="AE463" s="31">
        <f>308/486</f>
        <v>0.63374485596707819</v>
      </c>
      <c r="AF463" s="22">
        <f t="shared" si="104"/>
        <v>2</v>
      </c>
      <c r="AG463" s="12">
        <v>3784461</v>
      </c>
      <c r="AH463" s="12">
        <v>1330909</v>
      </c>
      <c r="AI463" s="20">
        <v>0</v>
      </c>
      <c r="AJ463" s="23">
        <f t="shared" si="105"/>
        <v>125563</v>
      </c>
      <c r="AK463" s="23">
        <f t="shared" si="106"/>
        <v>5115370</v>
      </c>
      <c r="AL463" s="28">
        <f>AK463/detalle!$D$2</f>
        <v>466708.73888362403</v>
      </c>
    </row>
    <row r="464" spans="1:38">
      <c r="A464" s="12">
        <v>463</v>
      </c>
      <c r="B464" s="19">
        <v>44353</v>
      </c>
      <c r="C464" s="12">
        <v>445</v>
      </c>
      <c r="D464" s="23">
        <f t="shared" si="101"/>
        <v>906</v>
      </c>
      <c r="E464" s="12">
        <v>301984</v>
      </c>
      <c r="F464" s="12">
        <v>3655</v>
      </c>
      <c r="G464" s="12">
        <v>246216</v>
      </c>
      <c r="H464" s="23">
        <f t="shared" si="97"/>
        <v>52113</v>
      </c>
      <c r="I464" s="23">
        <f t="shared" si="95"/>
        <v>4830</v>
      </c>
      <c r="J464" s="12">
        <v>1590765</v>
      </c>
      <c r="K464" s="23">
        <f t="shared" si="96"/>
        <v>1288781</v>
      </c>
      <c r="L464" s="23">
        <f t="shared" si="102"/>
        <v>1026</v>
      </c>
      <c r="M464" s="14">
        <f t="shared" si="98"/>
        <v>1.2103290240542545E-2</v>
      </c>
      <c r="N464" s="14">
        <f t="shared" si="93"/>
        <v>0.18757763975155278</v>
      </c>
      <c r="O464" s="12"/>
      <c r="P464" s="12"/>
      <c r="Q464" s="12"/>
      <c r="R464" s="23">
        <f t="shared" si="99"/>
        <v>249871</v>
      </c>
      <c r="S464" s="25">
        <f>(((H464+R464)/(H463+R463))-1)+detalle!$D$1</f>
        <v>7.4437758416660921E-2</v>
      </c>
      <c r="T464" s="25">
        <f t="shared" si="103"/>
        <v>1.0421286178332529</v>
      </c>
      <c r="U464" s="10">
        <f t="shared" si="100"/>
        <v>0.81532796439546462</v>
      </c>
      <c r="V464" s="21">
        <f t="shared" si="92"/>
        <v>67.364158686730505</v>
      </c>
      <c r="W464" s="15">
        <f>J464/detalle!$D$2</f>
        <v>145135.91920236623</v>
      </c>
      <c r="X464" s="15">
        <f>E464/detalle!$D$2</f>
        <v>27551.979974670907</v>
      </c>
      <c r="Y464" s="22">
        <f>F464/detalle!$D$2</f>
        <v>333.46961033505806</v>
      </c>
      <c r="AA464" s="14">
        <f>E464/(detalle!$D$2*1000000)</f>
        <v>2.7551979974670907E-2</v>
      </c>
      <c r="AB464" s="14">
        <f>F464/(detalle!$D$2*1000000)</f>
        <v>3.3346961033505802E-4</v>
      </c>
      <c r="AC464" s="31">
        <f>462/597</f>
        <v>0.77386934673366836</v>
      </c>
      <c r="AD464" s="31">
        <f>1342/2614</f>
        <v>0.513389441469013</v>
      </c>
      <c r="AE464" s="31">
        <f>321/490</f>
        <v>0.6551020408163265</v>
      </c>
      <c r="AF464" s="22">
        <f t="shared" si="104"/>
        <v>1</v>
      </c>
      <c r="AG464" s="12">
        <v>3848889</v>
      </c>
      <c r="AH464" s="12">
        <v>1348310</v>
      </c>
      <c r="AI464" s="20">
        <v>0</v>
      </c>
      <c r="AJ464" s="23">
        <f t="shared" si="105"/>
        <v>81829</v>
      </c>
      <c r="AK464" s="23">
        <f t="shared" si="106"/>
        <v>5197199</v>
      </c>
      <c r="AL464" s="28">
        <f>AK464/detalle!$D$2</f>
        <v>474174.53498324304</v>
      </c>
    </row>
    <row r="465" spans="1:38">
      <c r="A465" s="12">
        <v>464</v>
      </c>
      <c r="B465" s="19">
        <v>44354</v>
      </c>
      <c r="C465" s="12">
        <v>446</v>
      </c>
      <c r="D465" s="23">
        <f t="shared" si="101"/>
        <v>1004</v>
      </c>
      <c r="E465" s="12">
        <v>302988</v>
      </c>
      <c r="F465" s="12">
        <v>3672</v>
      </c>
      <c r="G465" s="12">
        <v>247262</v>
      </c>
      <c r="H465" s="23">
        <f t="shared" si="97"/>
        <v>52054</v>
      </c>
      <c r="I465" s="23">
        <f t="shared" si="95"/>
        <v>4594</v>
      </c>
      <c r="J465" s="12">
        <v>1595359</v>
      </c>
      <c r="K465" s="23">
        <f t="shared" si="96"/>
        <v>1292371</v>
      </c>
      <c r="L465" s="23">
        <f t="shared" si="102"/>
        <v>1046</v>
      </c>
      <c r="M465" s="14">
        <f t="shared" si="98"/>
        <v>1.2119291853142698E-2</v>
      </c>
      <c r="N465" s="14">
        <f t="shared" si="93"/>
        <v>0.21854592947322596</v>
      </c>
      <c r="O465" s="12"/>
      <c r="P465" s="12"/>
      <c r="Q465" s="12"/>
      <c r="R465" s="23">
        <f t="shared" si="99"/>
        <v>250934</v>
      </c>
      <c r="S465" s="25">
        <f>(((H465+R465)/(H464+R464))-1)+detalle!$D$1</f>
        <v>7.4753250881787442E-2</v>
      </c>
      <c r="T465" s="25">
        <f t="shared" si="103"/>
        <v>1.0465455123450242</v>
      </c>
      <c r="U465" s="10">
        <f t="shared" si="100"/>
        <v>0.8160785245620289</v>
      </c>
      <c r="V465" s="21">
        <f t="shared" ref="V465:V528" si="107">G465/F465</f>
        <v>67.337145969498906</v>
      </c>
      <c r="W465" s="15">
        <f>J465/detalle!$D$2</f>
        <v>145555.05993831131</v>
      </c>
      <c r="X465" s="15">
        <f>E465/detalle!$D$2</f>
        <v>27643.581476388117</v>
      </c>
      <c r="Y465" s="22">
        <f>F465/detalle!$D$2</f>
        <v>335.02063177847691</v>
      </c>
      <c r="AA465" s="14">
        <f>E465/(detalle!$D$2*1000000)</f>
        <v>2.7643581476388117E-2</v>
      </c>
      <c r="AB465" s="14">
        <f>F465/(detalle!$D$2*1000000)</f>
        <v>3.3502063177847692E-4</v>
      </c>
      <c r="AC465" s="31">
        <f>441/600</f>
        <v>0.73499999999999999</v>
      </c>
      <c r="AD465" s="31">
        <f>1320/2648</f>
        <v>0.49848942598187312</v>
      </c>
      <c r="AE465" s="31">
        <f>323/493</f>
        <v>0.65517241379310343</v>
      </c>
      <c r="AF465" s="22">
        <f t="shared" si="104"/>
        <v>17</v>
      </c>
      <c r="AG465" s="12">
        <v>3971831</v>
      </c>
      <c r="AH465" s="12">
        <v>1445238</v>
      </c>
      <c r="AI465" s="20">
        <v>0</v>
      </c>
      <c r="AJ465" s="23">
        <f t="shared" si="105"/>
        <v>219870</v>
      </c>
      <c r="AK465" s="23">
        <f t="shared" si="106"/>
        <v>5417069</v>
      </c>
      <c r="AL465" s="28">
        <f>AK465/detalle!$D$2</f>
        <v>494234.7164399788</v>
      </c>
    </row>
    <row r="466" spans="1:38">
      <c r="A466" s="12">
        <v>465</v>
      </c>
      <c r="B466" s="19">
        <v>44355</v>
      </c>
      <c r="C466" s="12">
        <v>447</v>
      </c>
      <c r="D466" s="23">
        <f t="shared" si="101"/>
        <v>1440</v>
      </c>
      <c r="E466" s="12">
        <v>304428</v>
      </c>
      <c r="F466" s="12">
        <v>3686</v>
      </c>
      <c r="G466" s="12">
        <v>248104</v>
      </c>
      <c r="H466" s="23">
        <f t="shared" si="97"/>
        <v>52638</v>
      </c>
      <c r="I466" s="23">
        <f t="shared" si="95"/>
        <v>6111</v>
      </c>
      <c r="J466" s="12">
        <v>1601470</v>
      </c>
      <c r="K466" s="23">
        <f t="shared" si="96"/>
        <v>1297042</v>
      </c>
      <c r="L466" s="23">
        <f t="shared" si="102"/>
        <v>842</v>
      </c>
      <c r="M466" s="14">
        <f t="shared" si="98"/>
        <v>1.2107953276308356E-2</v>
      </c>
      <c r="N466" s="14">
        <f t="shared" si="93"/>
        <v>0.23564064801178203</v>
      </c>
      <c r="O466" s="12"/>
      <c r="P466" s="12"/>
      <c r="Q466" s="12"/>
      <c r="R466" s="23">
        <f t="shared" si="99"/>
        <v>251790</v>
      </c>
      <c r="S466" s="25">
        <f>(((H466+R466)/(H465+R465))-1)+detalle!$D$1</f>
        <v>7.6181234900392109E-2</v>
      </c>
      <c r="T466" s="25">
        <f t="shared" si="103"/>
        <v>1.0665372886054896</v>
      </c>
      <c r="U466" s="10">
        <f t="shared" si="100"/>
        <v>0.81498416702800003</v>
      </c>
      <c r="V466" s="21">
        <f t="shared" si="107"/>
        <v>67.309820944112857</v>
      </c>
      <c r="W466" s="15">
        <f>J466/detalle!$D$2</f>
        <v>146112.60652894265</v>
      </c>
      <c r="X466" s="15">
        <f>E466/detalle!$D$2</f>
        <v>27774.962116301245</v>
      </c>
      <c r="Y466" s="22">
        <f>F466/detalle!$D$2</f>
        <v>336.29794355541009</v>
      </c>
      <c r="AA466" s="14">
        <f>E466/(detalle!$D$2*1000000)</f>
        <v>2.7774962116301243E-2</v>
      </c>
      <c r="AB466" s="14">
        <f>F466/(detalle!$D$2*1000000)</f>
        <v>3.3629794355541012E-4</v>
      </c>
      <c r="AC466" s="31">
        <f>445/612</f>
        <v>0.72712418300653592</v>
      </c>
      <c r="AD466" s="31">
        <f>1376/2657</f>
        <v>0.51787730523146402</v>
      </c>
      <c r="AE466" s="31">
        <f>310/493</f>
        <v>0.62880324543610544</v>
      </c>
      <c r="AF466" s="22">
        <f t="shared" si="104"/>
        <v>14</v>
      </c>
      <c r="AG466" s="12">
        <v>4091884</v>
      </c>
      <c r="AH466" s="12">
        <v>1564664</v>
      </c>
      <c r="AI466" s="20">
        <v>0</v>
      </c>
      <c r="AJ466" s="23">
        <f t="shared" si="105"/>
        <v>239479</v>
      </c>
      <c r="AK466" s="23">
        <f t="shared" si="106"/>
        <v>5656548</v>
      </c>
      <c r="AL466" s="28">
        <f>AK466/detalle!$D$2</f>
        <v>516083.95551342051</v>
      </c>
    </row>
    <row r="467" spans="1:38">
      <c r="A467" s="12">
        <v>466</v>
      </c>
      <c r="B467" s="19">
        <v>44356</v>
      </c>
      <c r="C467" s="12">
        <v>448</v>
      </c>
      <c r="D467" s="23">
        <f t="shared" si="101"/>
        <v>1141</v>
      </c>
      <c r="E467" s="12">
        <v>305569</v>
      </c>
      <c r="F467" s="12">
        <v>3695</v>
      </c>
      <c r="G467" s="12">
        <v>248966</v>
      </c>
      <c r="H467" s="23">
        <f t="shared" si="97"/>
        <v>52908</v>
      </c>
      <c r="I467" s="23">
        <f t="shared" si="95"/>
        <v>5608</v>
      </c>
      <c r="J467" s="12">
        <v>1607078</v>
      </c>
      <c r="K467" s="23">
        <f t="shared" si="96"/>
        <v>1301509</v>
      </c>
      <c r="L467" s="23">
        <f t="shared" si="102"/>
        <v>862</v>
      </c>
      <c r="M467" s="14">
        <f t="shared" si="98"/>
        <v>1.2092195216137762E-2</v>
      </c>
      <c r="N467" s="14">
        <f t="shared" si="93"/>
        <v>0.20345934379457917</v>
      </c>
      <c r="O467" s="12"/>
      <c r="P467" s="12"/>
      <c r="Q467" s="12"/>
      <c r="R467" s="23">
        <f t="shared" si="99"/>
        <v>252661</v>
      </c>
      <c r="S467" s="25">
        <f>(((H467+R467)/(H466+R466))-1)+detalle!$D$1</f>
        <v>7.5176584094949012E-2</v>
      </c>
      <c r="T467" s="25">
        <f t="shared" si="103"/>
        <v>1.0524721773292862</v>
      </c>
      <c r="U467" s="10">
        <f t="shared" si="100"/>
        <v>0.81476196865519734</v>
      </c>
      <c r="V467" s="21">
        <f t="shared" si="107"/>
        <v>67.379161028416775</v>
      </c>
      <c r="W467" s="15">
        <f>J467/detalle!$D$2</f>
        <v>146624.26113215988</v>
      </c>
      <c r="X467" s="15">
        <f>E467/detalle!$D$2</f>
        <v>27879.063026121301</v>
      </c>
      <c r="Y467" s="22">
        <f>F467/detalle!$D$2</f>
        <v>337.11907255486716</v>
      </c>
      <c r="AA467" s="14">
        <f>E467/(detalle!$D$2*1000000)</f>
        <v>2.7879063026121299E-2</v>
      </c>
      <c r="AB467" s="14">
        <f>F467/(detalle!$D$2*1000000)</f>
        <v>3.3711907255486715E-4</v>
      </c>
      <c r="AC467" s="31">
        <f>456/615</f>
        <v>0.74146341463414633</v>
      </c>
      <c r="AD467" s="31">
        <f>1364/2677</f>
        <v>0.50952558834516248</v>
      </c>
      <c r="AE467" s="31">
        <f>317/494</f>
        <v>0.6417004048582996</v>
      </c>
      <c r="AF467" s="22">
        <f t="shared" si="104"/>
        <v>9</v>
      </c>
      <c r="AG467" s="12">
        <v>4212655</v>
      </c>
      <c r="AH467" s="12">
        <v>1687569</v>
      </c>
      <c r="AI467" s="20">
        <v>0</v>
      </c>
      <c r="AJ467" s="23">
        <f t="shared" si="105"/>
        <v>243676</v>
      </c>
      <c r="AK467" s="23">
        <f t="shared" si="106"/>
        <v>5900224</v>
      </c>
      <c r="AL467" s="28">
        <f>AK467/detalle!$D$2</f>
        <v>538316.11441027571</v>
      </c>
    </row>
    <row r="468" spans="1:38">
      <c r="A468" s="12">
        <v>467</v>
      </c>
      <c r="B468" s="19">
        <v>44357</v>
      </c>
      <c r="C468" s="12">
        <v>449</v>
      </c>
      <c r="D468" s="23">
        <f t="shared" si="101"/>
        <v>1129</v>
      </c>
      <c r="E468" s="12">
        <v>306698</v>
      </c>
      <c r="F468" s="12">
        <v>3700</v>
      </c>
      <c r="G468" s="12">
        <v>249637</v>
      </c>
      <c r="H468" s="23">
        <f t="shared" si="97"/>
        <v>53361</v>
      </c>
      <c r="I468" s="23">
        <f t="shared" si="95"/>
        <v>5096</v>
      </c>
      <c r="J468" s="12">
        <v>1612174</v>
      </c>
      <c r="K468" s="23">
        <f t="shared" si="96"/>
        <v>1305476</v>
      </c>
      <c r="L468" s="23">
        <f t="shared" si="102"/>
        <v>671</v>
      </c>
      <c r="M468" s="14">
        <f t="shared" si="98"/>
        <v>1.206398476677383E-2</v>
      </c>
      <c r="N468" s="14">
        <f t="shared" ref="N468:N531" si="108">D468/I468</f>
        <v>0.22154631083202511</v>
      </c>
      <c r="O468" s="12"/>
      <c r="P468" s="12"/>
      <c r="Q468" s="12"/>
      <c r="R468" s="23">
        <f t="shared" si="99"/>
        <v>253337</v>
      </c>
      <c r="S468" s="25">
        <f>(((H468+R468)/(H467+R467))-1)+detalle!$D$1</f>
        <v>7.5123317950633456E-2</v>
      </c>
      <c r="T468" s="25">
        <f t="shared" si="103"/>
        <v>1.0517264513088684</v>
      </c>
      <c r="U468" s="10">
        <f t="shared" si="100"/>
        <v>0.81395053114138338</v>
      </c>
      <c r="V468" s="21">
        <f t="shared" si="107"/>
        <v>67.469459459459458</v>
      </c>
      <c r="W468" s="15">
        <f>J468/detalle!$D$2</f>
        <v>147089.20261896358</v>
      </c>
      <c r="X468" s="15">
        <f>E468/detalle!$D$2</f>
        <v>27982.069097275413</v>
      </c>
      <c r="Y468" s="22">
        <f>F468/detalle!$D$2</f>
        <v>337.57525533234332</v>
      </c>
      <c r="AA468" s="14">
        <f>E468/(detalle!$D$2*1000000)</f>
        <v>2.7982069097275412E-2</v>
      </c>
      <c r="AB468" s="14">
        <f>F468/(detalle!$D$2*1000000)</f>
        <v>3.3757525533234327E-4</v>
      </c>
      <c r="AC468" s="31">
        <f>464/645</f>
        <v>0.7193798449612403</v>
      </c>
      <c r="AD468" s="31">
        <f>1393/2665</f>
        <v>0.52270168855534704</v>
      </c>
      <c r="AE468" s="31">
        <f>311/503</f>
        <v>0.61829025844930419</v>
      </c>
      <c r="AF468" s="22">
        <f t="shared" si="104"/>
        <v>5</v>
      </c>
      <c r="AG468" s="12">
        <v>4223427</v>
      </c>
      <c r="AH468" s="12">
        <v>1827556</v>
      </c>
      <c r="AI468" s="20">
        <v>0</v>
      </c>
      <c r="AJ468" s="23">
        <f t="shared" si="105"/>
        <v>150759</v>
      </c>
      <c r="AK468" s="23">
        <f t="shared" si="106"/>
        <v>6050983</v>
      </c>
      <c r="AL468" s="28">
        <f>AK468/detalle!$D$2</f>
        <v>552070.84628018073</v>
      </c>
    </row>
    <row r="469" spans="1:38">
      <c r="A469" s="12">
        <v>468</v>
      </c>
      <c r="B469" s="19">
        <v>44358</v>
      </c>
      <c r="C469" s="12">
        <v>450</v>
      </c>
      <c r="D469" s="23">
        <f t="shared" si="101"/>
        <v>1149</v>
      </c>
      <c r="E469" s="12">
        <v>307847</v>
      </c>
      <c r="F469" s="12">
        <v>3705</v>
      </c>
      <c r="G469" s="12">
        <v>250595</v>
      </c>
      <c r="H469" s="23">
        <f t="shared" si="97"/>
        <v>53547</v>
      </c>
      <c r="I469" s="23">
        <f t="shared" si="95"/>
        <v>5934</v>
      </c>
      <c r="J469" s="12">
        <v>1618108</v>
      </c>
      <c r="K469" s="23">
        <f t="shared" si="96"/>
        <v>1310261</v>
      </c>
      <c r="L469" s="23">
        <f t="shared" si="102"/>
        <v>958</v>
      </c>
      <c r="M469" s="14">
        <f t="shared" si="98"/>
        <v>1.203519930355014E-2</v>
      </c>
      <c r="N469" s="14">
        <f t="shared" si="108"/>
        <v>0.19362992922143579</v>
      </c>
      <c r="O469" s="12"/>
      <c r="P469" s="12"/>
      <c r="Q469" s="12"/>
      <c r="R469" s="23">
        <f t="shared" si="99"/>
        <v>254300</v>
      </c>
      <c r="S469" s="25">
        <f>(((H469+R469)/(H468+R468))-1)+detalle!$D$1</f>
        <v>7.51749277791183E-2</v>
      </c>
      <c r="T469" s="25">
        <f t="shared" si="103"/>
        <v>1.0524489889076563</v>
      </c>
      <c r="U469" s="10">
        <f t="shared" si="100"/>
        <v>0.81402449918303577</v>
      </c>
      <c r="V469" s="21">
        <f t="shared" si="107"/>
        <v>67.636977058029686</v>
      </c>
      <c r="W469" s="15">
        <f>J469/detalle!$D$2</f>
        <v>147630.60033927226</v>
      </c>
      <c r="X469" s="15">
        <f>E469/detalle!$D$2</f>
        <v>28086.899899539429</v>
      </c>
      <c r="Y469" s="22">
        <f>F469/detalle!$D$2</f>
        <v>338.03143810981942</v>
      </c>
      <c r="AA469" s="14">
        <f>E469/(detalle!$D$2*1000000)</f>
        <v>2.8086899899539428E-2</v>
      </c>
      <c r="AB469" s="14">
        <f>F469/(detalle!$D$2*1000000)</f>
        <v>3.3803143810981945E-4</v>
      </c>
      <c r="AC469" s="31">
        <f>478/645</f>
        <v>0.74108527131782942</v>
      </c>
      <c r="AD469" s="31">
        <f>1377/2665</f>
        <v>0.51669793621013138</v>
      </c>
      <c r="AE469" s="31">
        <f>313/503</f>
        <v>0.62226640159045721</v>
      </c>
      <c r="AF469" s="22">
        <f t="shared" si="104"/>
        <v>5</v>
      </c>
      <c r="AG469" s="12">
        <v>4227940</v>
      </c>
      <c r="AH469" s="12">
        <v>1945871</v>
      </c>
      <c r="AI469" s="20">
        <v>0</v>
      </c>
      <c r="AJ469" s="23">
        <f t="shared" si="105"/>
        <v>122828</v>
      </c>
      <c r="AK469" s="23">
        <f t="shared" si="106"/>
        <v>6173811</v>
      </c>
      <c r="AL469" s="28">
        <f>AK469/detalle!$D$2</f>
        <v>563277.24991854862</v>
      </c>
    </row>
    <row r="470" spans="1:38">
      <c r="A470" s="12">
        <v>469</v>
      </c>
      <c r="B470" s="19">
        <v>44359</v>
      </c>
      <c r="C470" s="12">
        <v>451</v>
      </c>
      <c r="D470" s="23">
        <f t="shared" si="101"/>
        <v>803</v>
      </c>
      <c r="E470" s="12">
        <v>308650</v>
      </c>
      <c r="F470" s="12">
        <v>3707</v>
      </c>
      <c r="G470" s="12">
        <v>251689</v>
      </c>
      <c r="H470" s="23">
        <f t="shared" si="97"/>
        <v>53254</v>
      </c>
      <c r="I470" s="23">
        <f t="shared" si="95"/>
        <v>4748</v>
      </c>
      <c r="J470" s="12">
        <v>1622856</v>
      </c>
      <c r="K470" s="23">
        <f t="shared" si="96"/>
        <v>1314206</v>
      </c>
      <c r="L470" s="23">
        <f t="shared" si="102"/>
        <v>1094</v>
      </c>
      <c r="M470" s="14">
        <f t="shared" si="98"/>
        <v>1.2010367730439009E-2</v>
      </c>
      <c r="N470" s="14">
        <f t="shared" si="108"/>
        <v>0.16912384161752317</v>
      </c>
      <c r="O470" s="12"/>
      <c r="P470" s="12"/>
      <c r="Q470" s="12"/>
      <c r="R470" s="23">
        <f t="shared" si="99"/>
        <v>255396</v>
      </c>
      <c r="S470" s="25">
        <f>(((H470+R470)/(H469+R469))-1)+detalle!$D$1</f>
        <v>7.4037010036061474E-2</v>
      </c>
      <c r="T470" s="25">
        <f t="shared" si="103"/>
        <v>1.0365181405048607</v>
      </c>
      <c r="U470" s="10">
        <f t="shared" si="100"/>
        <v>0.81545115826988501</v>
      </c>
      <c r="V470" s="21">
        <f t="shared" si="107"/>
        <v>67.895602913407075</v>
      </c>
      <c r="W470" s="15">
        <f>J470/detalle!$D$2</f>
        <v>148063.79150476359</v>
      </c>
      <c r="X470" s="15">
        <f>E470/detalle!$D$2</f>
        <v>28160.162853602098</v>
      </c>
      <c r="Y470" s="22">
        <f>F470/detalle!$D$2</f>
        <v>338.2139112208099</v>
      </c>
      <c r="AA470" s="14">
        <f>E470/(detalle!$D$2*1000000)</f>
        <v>2.8160162853602098E-2</v>
      </c>
      <c r="AB470" s="14">
        <f>F470/(detalle!$D$2*1000000)</f>
        <v>3.3821391122080988E-4</v>
      </c>
      <c r="AC470" s="31">
        <f>475/649</f>
        <v>0.73189522342064717</v>
      </c>
      <c r="AD470" s="31">
        <f>1365/2652</f>
        <v>0.51470588235294112</v>
      </c>
      <c r="AE470" s="31">
        <f>310/507</f>
        <v>0.61143984220907299</v>
      </c>
      <c r="AF470" s="22">
        <f t="shared" si="104"/>
        <v>2</v>
      </c>
      <c r="AG470" s="12">
        <v>4241798</v>
      </c>
      <c r="AH470" s="12">
        <v>1978069</v>
      </c>
      <c r="AI470" s="20">
        <v>0</v>
      </c>
      <c r="AJ470" s="23">
        <f t="shared" si="105"/>
        <v>46056</v>
      </c>
      <c r="AK470" s="23">
        <f t="shared" si="106"/>
        <v>6219867</v>
      </c>
      <c r="AL470" s="28">
        <f>AK470/detalle!$D$2</f>
        <v>567479.24071843678</v>
      </c>
    </row>
    <row r="471" spans="1:38">
      <c r="A471" s="12">
        <v>470</v>
      </c>
      <c r="B471" s="19">
        <v>44360</v>
      </c>
      <c r="C471" s="12">
        <v>452</v>
      </c>
      <c r="D471" s="23">
        <f t="shared" si="101"/>
        <v>827</v>
      </c>
      <c r="E471" s="12">
        <v>309477</v>
      </c>
      <c r="F471" s="12">
        <v>3708</v>
      </c>
      <c r="G471" s="12">
        <v>252803</v>
      </c>
      <c r="H471" s="23">
        <f t="shared" si="97"/>
        <v>52966</v>
      </c>
      <c r="I471" s="23">
        <f t="shared" si="95"/>
        <v>4193</v>
      </c>
      <c r="J471" s="12">
        <v>1627049</v>
      </c>
      <c r="K471" s="23">
        <f t="shared" si="96"/>
        <v>1317572</v>
      </c>
      <c r="L471" s="23">
        <f t="shared" si="102"/>
        <v>1114</v>
      </c>
      <c r="M471" s="14">
        <f t="shared" si="98"/>
        <v>1.1981504279801084E-2</v>
      </c>
      <c r="N471" s="14">
        <f t="shared" si="108"/>
        <v>0.19723348437872645</v>
      </c>
      <c r="O471" s="12"/>
      <c r="P471" s="12"/>
      <c r="Q471" s="12"/>
      <c r="R471" s="23">
        <f t="shared" si="99"/>
        <v>256511</v>
      </c>
      <c r="S471" s="25">
        <f>(((H471+R471)/(H470+R470))-1)+detalle!$D$1</f>
        <v>7.4107981763902792E-2</v>
      </c>
      <c r="T471" s="25">
        <f t="shared" si="103"/>
        <v>1.0375117446946391</v>
      </c>
      <c r="U471" s="10">
        <f t="shared" si="100"/>
        <v>0.81687168998019244</v>
      </c>
      <c r="V471" s="21">
        <f t="shared" si="107"/>
        <v>68.177723840345195</v>
      </c>
      <c r="W471" s="15">
        <f>J471/detalle!$D$2</f>
        <v>148446.34638195508</v>
      </c>
      <c r="X471" s="15">
        <f>E471/detalle!$D$2</f>
        <v>28235.615484996652</v>
      </c>
      <c r="Y471" s="22">
        <f>F471/detalle!$D$2</f>
        <v>338.30514777630515</v>
      </c>
      <c r="AA471" s="14">
        <f>E471/(detalle!$D$2*1000000)</f>
        <v>2.8235615484996649E-2</v>
      </c>
      <c r="AB471" s="14">
        <f>F471/(detalle!$D$2*1000000)</f>
        <v>3.3830514777630514E-4</v>
      </c>
      <c r="AC471" s="31">
        <f>475/649</f>
        <v>0.73189522342064717</v>
      </c>
      <c r="AD471" s="31">
        <f>1362/2654</f>
        <v>0.51318764129615679</v>
      </c>
      <c r="AE471" s="31">
        <f>307/507</f>
        <v>0.60552268244575935</v>
      </c>
      <c r="AF471" s="22">
        <f t="shared" si="104"/>
        <v>1</v>
      </c>
      <c r="AG471" s="12">
        <v>4258343</v>
      </c>
      <c r="AH471" s="12">
        <v>1992998</v>
      </c>
      <c r="AI471" s="20">
        <v>0</v>
      </c>
      <c r="AJ471" s="23">
        <f t="shared" si="105"/>
        <v>31474</v>
      </c>
      <c r="AK471" s="23">
        <f t="shared" si="106"/>
        <v>6251341</v>
      </c>
      <c r="AL471" s="28">
        <f>AK471/detalle!$D$2</f>
        <v>570350.82006609358</v>
      </c>
    </row>
    <row r="472" spans="1:38">
      <c r="A472" s="12">
        <v>471</v>
      </c>
      <c r="B472" s="19">
        <v>44361</v>
      </c>
      <c r="C472" s="12">
        <v>453</v>
      </c>
      <c r="D472" s="23">
        <f t="shared" si="101"/>
        <v>914</v>
      </c>
      <c r="E472" s="12">
        <v>310391</v>
      </c>
      <c r="F472" s="12">
        <v>3717</v>
      </c>
      <c r="G472" s="12">
        <v>253272</v>
      </c>
      <c r="H472" s="23">
        <f t="shared" si="97"/>
        <v>53402</v>
      </c>
      <c r="I472" s="23">
        <f t="shared" si="95"/>
        <v>5392</v>
      </c>
      <c r="J472" s="12">
        <v>1632441</v>
      </c>
      <c r="K472" s="23">
        <f t="shared" si="96"/>
        <v>1322050</v>
      </c>
      <c r="L472" s="23">
        <f t="shared" si="102"/>
        <v>469</v>
      </c>
      <c r="M472" s="14">
        <f t="shared" si="98"/>
        <v>1.1975218353624945E-2</v>
      </c>
      <c r="N472" s="14">
        <f t="shared" si="108"/>
        <v>0.16951038575667657</v>
      </c>
      <c r="O472" s="12"/>
      <c r="P472" s="12"/>
      <c r="Q472" s="12"/>
      <c r="R472" s="23">
        <f t="shared" si="99"/>
        <v>256989</v>
      </c>
      <c r="S472" s="25">
        <f>(((H472+R472)/(H471+R471))-1)+detalle!$D$1</f>
        <v>7.438194114586863E-2</v>
      </c>
      <c r="T472" s="25">
        <f t="shared" si="103"/>
        <v>1.0413471760421609</v>
      </c>
      <c r="U472" s="10">
        <f t="shared" si="100"/>
        <v>0.81597726738210841</v>
      </c>
      <c r="V472" s="21">
        <f t="shared" si="107"/>
        <v>68.138821630347053</v>
      </c>
      <c r="W472" s="15">
        <f>J472/detalle!$D$2</f>
        <v>148938.29388918536</v>
      </c>
      <c r="X472" s="15">
        <f>E472/detalle!$D$2</f>
        <v>28319.00569671929</v>
      </c>
      <c r="Y472" s="22">
        <f>F472/detalle!$D$2</f>
        <v>339.12627677576216</v>
      </c>
      <c r="AA472" s="14">
        <f>E472/(detalle!$D$2*1000000)</f>
        <v>2.8319005696719288E-2</v>
      </c>
      <c r="AB472" s="14">
        <f>F472/(detalle!$D$2*1000000)</f>
        <v>3.3912627677576217E-4</v>
      </c>
      <c r="AC472" s="31">
        <f>469/646</f>
        <v>0.72600619195046434</v>
      </c>
      <c r="AD472" s="31">
        <f>1349/2661</f>
        <v>0.50695227358136041</v>
      </c>
      <c r="AE472" s="31">
        <f>292/507</f>
        <v>0.57593688362919138</v>
      </c>
      <c r="AF472" s="22">
        <f t="shared" si="104"/>
        <v>9</v>
      </c>
      <c r="AG472" s="12">
        <v>4272574</v>
      </c>
      <c r="AH472" s="12">
        <v>2097995</v>
      </c>
      <c r="AI472" s="20">
        <v>0</v>
      </c>
      <c r="AJ472" s="23">
        <f t="shared" si="105"/>
        <v>119228</v>
      </c>
      <c r="AK472" s="23">
        <f t="shared" si="106"/>
        <v>6370569</v>
      </c>
      <c r="AL472" s="28">
        <f>AK472/detalle!$D$2</f>
        <v>581228.77210467868</v>
      </c>
    </row>
    <row r="473" spans="1:38">
      <c r="A473" s="12">
        <v>472</v>
      </c>
      <c r="B473" s="19">
        <v>44362</v>
      </c>
      <c r="C473" s="12">
        <v>454</v>
      </c>
      <c r="D473" s="23">
        <f t="shared" si="101"/>
        <v>1442</v>
      </c>
      <c r="E473" s="12">
        <v>311833</v>
      </c>
      <c r="F473" s="12">
        <v>3726</v>
      </c>
      <c r="G473" s="12">
        <v>254400</v>
      </c>
      <c r="H473" s="23">
        <f t="shared" si="97"/>
        <v>53707</v>
      </c>
      <c r="I473" s="23">
        <f t="shared" si="95"/>
        <v>5986</v>
      </c>
      <c r="J473" s="12">
        <v>1638427</v>
      </c>
      <c r="K473" s="23">
        <f t="shared" si="96"/>
        <v>1326594</v>
      </c>
      <c r="L473" s="23">
        <f t="shared" si="102"/>
        <v>1128</v>
      </c>
      <c r="M473" s="14">
        <f t="shared" si="98"/>
        <v>1.194870331234988E-2</v>
      </c>
      <c r="N473" s="14">
        <f t="shared" si="108"/>
        <v>0.24089542265285666</v>
      </c>
      <c r="O473" s="12"/>
      <c r="P473" s="12"/>
      <c r="Q473" s="12"/>
      <c r="R473" s="23">
        <f t="shared" si="99"/>
        <v>258126</v>
      </c>
      <c r="S473" s="25">
        <f>(((H473+R473)/(H472+R472))-1)+detalle!$D$1</f>
        <v>7.6074324688169909E-2</v>
      </c>
      <c r="T473" s="25">
        <f t="shared" si="103"/>
        <v>1.0650405456343788</v>
      </c>
      <c r="U473" s="10">
        <f t="shared" si="100"/>
        <v>0.8158212889591544</v>
      </c>
      <c r="V473" s="21">
        <f t="shared" si="107"/>
        <v>68.276972624798717</v>
      </c>
      <c r="W473" s="15">
        <f>J473/detalle!$D$2</f>
        <v>149484.43591037981</v>
      </c>
      <c r="X473" s="15">
        <f>E473/detalle!$D$2</f>
        <v>28450.568809743407</v>
      </c>
      <c r="Y473" s="22">
        <f>F473/detalle!$D$2</f>
        <v>339.94740577521924</v>
      </c>
      <c r="AA473" s="14">
        <f>E473/(detalle!$D$2*1000000)</f>
        <v>2.8450568809743407E-2</v>
      </c>
      <c r="AB473" s="14">
        <f>F473/(detalle!$D$2*1000000)</f>
        <v>3.399474057752192E-4</v>
      </c>
      <c r="AC473" s="31">
        <f>491/668</f>
        <v>0.73502994011976053</v>
      </c>
      <c r="AD473" s="31">
        <f>1367/2706</f>
        <v>0.50517368810051733</v>
      </c>
      <c r="AE473" s="31">
        <f>303/521</f>
        <v>0.58157389635316703</v>
      </c>
      <c r="AF473" s="22">
        <f t="shared" si="104"/>
        <v>9</v>
      </c>
      <c r="AG473" s="12">
        <v>4286397</v>
      </c>
      <c r="AH473" s="12">
        <v>2186707</v>
      </c>
      <c r="AI473" s="20">
        <v>0</v>
      </c>
      <c r="AJ473" s="23">
        <f t="shared" si="105"/>
        <v>102535</v>
      </c>
      <c r="AK473" s="23">
        <f t="shared" si="106"/>
        <v>6473104</v>
      </c>
      <c r="AL473" s="28">
        <f>AK473/detalle!$D$2</f>
        <v>590583.71232238179</v>
      </c>
    </row>
    <row r="474" spans="1:38">
      <c r="A474" s="12">
        <v>473</v>
      </c>
      <c r="B474" s="19">
        <v>44363</v>
      </c>
      <c r="C474" s="12">
        <v>455</v>
      </c>
      <c r="D474" s="23">
        <f t="shared" si="101"/>
        <v>982</v>
      </c>
      <c r="E474" s="12">
        <v>312815</v>
      </c>
      <c r="F474" s="12">
        <v>3733</v>
      </c>
      <c r="G474" s="12">
        <v>255323</v>
      </c>
      <c r="H474" s="23">
        <f t="shared" si="97"/>
        <v>53759</v>
      </c>
      <c r="I474" s="23">
        <f t="shared" si="95"/>
        <v>5303</v>
      </c>
      <c r="J474" s="12">
        <v>1643730</v>
      </c>
      <c r="K474" s="23">
        <f t="shared" si="96"/>
        <v>1330915</v>
      </c>
      <c r="L474" s="23">
        <f t="shared" si="102"/>
        <v>923</v>
      </c>
      <c r="M474" s="14">
        <f t="shared" si="98"/>
        <v>1.1933570960471844E-2</v>
      </c>
      <c r="N474" s="14">
        <f t="shared" si="108"/>
        <v>0.18517820101829152</v>
      </c>
      <c r="O474" s="12"/>
      <c r="P474" s="12"/>
      <c r="Q474" s="12"/>
      <c r="R474" s="23">
        <f t="shared" si="99"/>
        <v>259056</v>
      </c>
      <c r="S474" s="25">
        <f>(((H474+R474)/(H473+R473))-1)+detalle!$D$1</f>
        <v>7.4577692913468746E-2</v>
      </c>
      <c r="T474" s="25">
        <f t="shared" si="103"/>
        <v>1.0440877007885625</v>
      </c>
      <c r="U474" s="10">
        <f t="shared" si="100"/>
        <v>0.81621085945367067</v>
      </c>
      <c r="V474" s="21">
        <f t="shared" si="107"/>
        <v>68.396196088936506</v>
      </c>
      <c r="W474" s="15">
        <f>J474/detalle!$D$2</f>
        <v>149968.263364171</v>
      </c>
      <c r="X474" s="15">
        <f>E474/detalle!$D$2</f>
        <v>28540.163107239721</v>
      </c>
      <c r="Y474" s="22">
        <f>F474/detalle!$D$2</f>
        <v>340.58606166368583</v>
      </c>
      <c r="AA474" s="14">
        <f>E474/(detalle!$D$2*1000000)</f>
        <v>2.8540163107239721E-2</v>
      </c>
      <c r="AB474" s="14">
        <f>F474/(detalle!$D$2*1000000)</f>
        <v>3.405860616636858E-4</v>
      </c>
      <c r="AC474" s="31">
        <f>496/678</f>
        <v>0.73156342182890854</v>
      </c>
      <c r="AD474" s="31">
        <f>1393/2684</f>
        <v>0.51900149031296572</v>
      </c>
      <c r="AE474" s="31">
        <f>307/524</f>
        <v>0.58587786259541985</v>
      </c>
      <c r="AF474" s="22">
        <f t="shared" si="104"/>
        <v>7</v>
      </c>
      <c r="AG474" s="12">
        <v>4301394</v>
      </c>
      <c r="AH474" s="12">
        <v>2252316</v>
      </c>
      <c r="AI474" s="20">
        <v>0</v>
      </c>
      <c r="AJ474" s="23">
        <f t="shared" si="105"/>
        <v>80606</v>
      </c>
      <c r="AK474" s="23">
        <f t="shared" si="106"/>
        <v>6553710</v>
      </c>
      <c r="AL474" s="28">
        <f>AK474/detalle!$D$2</f>
        <v>597937.92611463019</v>
      </c>
    </row>
    <row r="475" spans="1:38">
      <c r="A475" s="12">
        <v>474</v>
      </c>
      <c r="B475" s="19">
        <v>44364</v>
      </c>
      <c r="C475" s="12">
        <v>456</v>
      </c>
      <c r="D475" s="23">
        <f t="shared" si="101"/>
        <v>1216</v>
      </c>
      <c r="E475" s="12">
        <v>314031</v>
      </c>
      <c r="F475" s="12">
        <v>3742</v>
      </c>
      <c r="G475" s="12">
        <v>256874</v>
      </c>
      <c r="H475" s="23">
        <f t="shared" si="97"/>
        <v>53415</v>
      </c>
      <c r="I475" s="23">
        <f t="shared" si="95"/>
        <v>6033</v>
      </c>
      <c r="J475" s="12">
        <v>1649763</v>
      </c>
      <c r="K475" s="23">
        <f t="shared" si="96"/>
        <v>1335732</v>
      </c>
      <c r="L475" s="23">
        <f t="shared" si="102"/>
        <v>1551</v>
      </c>
      <c r="M475" s="14">
        <f t="shared" si="98"/>
        <v>1.1916021029770947E-2</v>
      </c>
      <c r="N475" s="14">
        <f t="shared" si="108"/>
        <v>0.20155809713243825</v>
      </c>
      <c r="O475" s="12"/>
      <c r="P475" s="12"/>
      <c r="Q475" s="12"/>
      <c r="R475" s="23">
        <f t="shared" si="99"/>
        <v>260616</v>
      </c>
      <c r="S475" s="25">
        <f>(((H475+R475)/(H474+R474))-1)+detalle!$D$1</f>
        <v>7.5315853048698395E-2</v>
      </c>
      <c r="T475" s="25">
        <f t="shared" si="103"/>
        <v>1.0544219426817776</v>
      </c>
      <c r="U475" s="10">
        <f t="shared" si="100"/>
        <v>0.81798930678818338</v>
      </c>
      <c r="V475" s="21">
        <f t="shared" si="107"/>
        <v>68.646178514163552</v>
      </c>
      <c r="W475" s="15">
        <f>J475/detalle!$D$2</f>
        <v>150518.69350347371</v>
      </c>
      <c r="X475" s="15">
        <f>E475/detalle!$D$2</f>
        <v>28651.106758721919</v>
      </c>
      <c r="Y475" s="22">
        <f>F475/detalle!$D$2</f>
        <v>341.4071906631429</v>
      </c>
      <c r="AA475" s="14">
        <f>E475/(detalle!$D$2*1000000)</f>
        <v>2.8651106758721918E-2</v>
      </c>
      <c r="AB475" s="14">
        <f>F475/(detalle!$D$2*1000000)</f>
        <v>3.4140719066314289E-4</v>
      </c>
      <c r="AC475" s="31">
        <f>472/662</f>
        <v>0.71299093655589119</v>
      </c>
      <c r="AD475" s="31">
        <f>1328/2670</f>
        <v>0.49737827715355803</v>
      </c>
      <c r="AE475" s="31">
        <f>309/522</f>
        <v>0.59195402298850575</v>
      </c>
      <c r="AF475" s="22">
        <f t="shared" si="104"/>
        <v>9</v>
      </c>
      <c r="AG475" s="12">
        <v>4344495</v>
      </c>
      <c r="AH475" s="12">
        <f>2330856</f>
        <v>2330856</v>
      </c>
      <c r="AI475" s="20">
        <v>0</v>
      </c>
      <c r="AJ475" s="23">
        <f t="shared" si="105"/>
        <v>121641</v>
      </c>
      <c r="AK475" s="23">
        <f t="shared" si="106"/>
        <v>6675351</v>
      </c>
      <c r="AL475" s="28">
        <f>AK475/detalle!$D$2</f>
        <v>609036.03196162521</v>
      </c>
    </row>
    <row r="476" spans="1:38">
      <c r="A476" s="12">
        <v>475</v>
      </c>
      <c r="B476" s="19">
        <v>44365</v>
      </c>
      <c r="C476" s="12">
        <v>457</v>
      </c>
      <c r="D476" s="23">
        <f t="shared" si="101"/>
        <v>1784</v>
      </c>
      <c r="E476" s="12">
        <v>315815</v>
      </c>
      <c r="F476" s="12">
        <v>3754</v>
      </c>
      <c r="G476" s="12">
        <v>257034</v>
      </c>
      <c r="H476" s="23">
        <f t="shared" si="97"/>
        <v>55027</v>
      </c>
      <c r="I476" s="23">
        <f t="shared" si="95"/>
        <v>8462</v>
      </c>
      <c r="J476" s="12">
        <v>1658225</v>
      </c>
      <c r="K476" s="23">
        <f t="shared" si="96"/>
        <v>1342410</v>
      </c>
      <c r="L476" s="23">
        <f t="shared" si="102"/>
        <v>160</v>
      </c>
      <c r="M476" s="14">
        <f t="shared" si="98"/>
        <v>1.1886705824612511E-2</v>
      </c>
      <c r="N476" s="14">
        <f t="shared" si="108"/>
        <v>0.21082486409832191</v>
      </c>
      <c r="O476" s="12"/>
      <c r="P476" s="12"/>
      <c r="Q476" s="12"/>
      <c r="R476" s="23">
        <f t="shared" si="99"/>
        <v>260788</v>
      </c>
      <c r="S476" s="25">
        <f>(((H476+R476)/(H475+R475))-1)+detalle!$D$1</f>
        <v>7.7109539231113217E-2</v>
      </c>
      <c r="T476" s="25">
        <f t="shared" si="103"/>
        <v>1.0795335492355851</v>
      </c>
      <c r="U476" s="10">
        <f t="shared" si="100"/>
        <v>0.81387521175371658</v>
      </c>
      <c r="V476" s="21">
        <f t="shared" si="107"/>
        <v>68.469366009589777</v>
      </c>
      <c r="W476" s="15">
        <f>J476/detalle!$D$2</f>
        <v>151290.73723607432</v>
      </c>
      <c r="X476" s="15">
        <f>E476/detalle!$D$2</f>
        <v>28813.872773725405</v>
      </c>
      <c r="Y476" s="22">
        <f>F476/detalle!$D$2</f>
        <v>342.50202932908559</v>
      </c>
      <c r="AA476" s="14">
        <f>E476/(detalle!$D$2*1000000)</f>
        <v>2.8813872773725404E-2</v>
      </c>
      <c r="AB476" s="14">
        <f>F476/(detalle!$D$2*1000000)</f>
        <v>3.4250202932908561E-4</v>
      </c>
      <c r="AC476" s="31">
        <f>470/663</f>
        <v>0.70889894419306188</v>
      </c>
      <c r="AD476" s="31">
        <f>1342/2665</f>
        <v>0.50356472795497187</v>
      </c>
      <c r="AE476" s="31">
        <f>296/523</f>
        <v>0.56596558317399615</v>
      </c>
      <c r="AF476" s="22">
        <f t="shared" si="104"/>
        <v>12</v>
      </c>
      <c r="AG476" s="12">
        <v>4422388</v>
      </c>
      <c r="AH476" s="12">
        <v>2412686</v>
      </c>
      <c r="AI476" s="20">
        <v>0</v>
      </c>
      <c r="AJ476" s="23">
        <f t="shared" si="105"/>
        <v>159723</v>
      </c>
      <c r="AK476" s="23">
        <f t="shared" si="106"/>
        <v>6835074</v>
      </c>
      <c r="AL476" s="28">
        <f>AK476/detalle!$D$2</f>
        <v>623608.60831498948</v>
      </c>
    </row>
    <row r="477" spans="1:38">
      <c r="A477" s="12">
        <v>476</v>
      </c>
      <c r="B477" s="19">
        <v>44366</v>
      </c>
      <c r="C477" s="12">
        <v>458</v>
      </c>
      <c r="D477" s="23">
        <f t="shared" si="101"/>
        <v>972</v>
      </c>
      <c r="E477" s="12">
        <v>316787</v>
      </c>
      <c r="F477" s="12">
        <v>3756</v>
      </c>
      <c r="G477" s="12">
        <v>258173</v>
      </c>
      <c r="H477" s="23">
        <f t="shared" si="97"/>
        <v>54858</v>
      </c>
      <c r="I477" s="23">
        <f t="shared" si="95"/>
        <v>4200</v>
      </c>
      <c r="J477" s="12">
        <v>1662425</v>
      </c>
      <c r="K477" s="23">
        <f t="shared" si="96"/>
        <v>1345638</v>
      </c>
      <c r="L477" s="23">
        <f t="shared" si="102"/>
        <v>1139</v>
      </c>
      <c r="M477" s="14">
        <f t="shared" si="98"/>
        <v>1.1856547143664355E-2</v>
      </c>
      <c r="N477" s="14">
        <f t="shared" si="108"/>
        <v>0.23142857142857143</v>
      </c>
      <c r="O477" s="12"/>
      <c r="P477" s="12"/>
      <c r="Q477" s="12"/>
      <c r="R477" s="23">
        <f t="shared" si="99"/>
        <v>261929</v>
      </c>
      <c r="S477" s="25">
        <f>(((H477+R477)/(H476+R476))-1)+detalle!$D$1</f>
        <v>7.4506322643681538E-2</v>
      </c>
      <c r="T477" s="25">
        <f t="shared" si="103"/>
        <v>1.0430885170115416</v>
      </c>
      <c r="U477" s="10">
        <f t="shared" si="100"/>
        <v>0.81497346797690562</v>
      </c>
      <c r="V477" s="21">
        <f t="shared" si="107"/>
        <v>68.73615548455804</v>
      </c>
      <c r="W477" s="15">
        <f>J477/detalle!$D$2</f>
        <v>151673.93076915428</v>
      </c>
      <c r="X477" s="15">
        <f>E477/detalle!$D$2</f>
        <v>28902.554705666767</v>
      </c>
      <c r="Y477" s="22">
        <f>F477/detalle!$D$2</f>
        <v>342.68450244007607</v>
      </c>
      <c r="AA477" s="14">
        <f>E477/(detalle!$D$2*1000000)</f>
        <v>2.8902554705666765E-2</v>
      </c>
      <c r="AB477" s="14">
        <f>F477/(detalle!$D$2*1000000)</f>
        <v>3.4268450244007604E-4</v>
      </c>
      <c r="AC477" s="31">
        <f>465/663</f>
        <v>0.70135746606334837</v>
      </c>
      <c r="AD477" s="31">
        <f>1343/2681</f>
        <v>0.50093248787765754</v>
      </c>
      <c r="AE477" s="31">
        <f>292/524</f>
        <v>0.5572519083969466</v>
      </c>
      <c r="AF477" s="22">
        <f t="shared" si="104"/>
        <v>2</v>
      </c>
      <c r="AG477" s="12">
        <v>4491478</v>
      </c>
      <c r="AH477" s="12">
        <v>2452188</v>
      </c>
      <c r="AI477" s="20">
        <v>0</v>
      </c>
      <c r="AJ477" s="23">
        <f t="shared" si="105"/>
        <v>108592</v>
      </c>
      <c r="AK477" s="23">
        <f t="shared" si="106"/>
        <v>6943666</v>
      </c>
      <c r="AL477" s="28">
        <f>AK477/detalle!$D$2</f>
        <v>633516.16834932729</v>
      </c>
    </row>
    <row r="478" spans="1:38">
      <c r="A478" s="12">
        <v>477</v>
      </c>
      <c r="B478" s="19">
        <v>44367</v>
      </c>
      <c r="C478" s="12">
        <v>459</v>
      </c>
      <c r="D478" s="23">
        <f t="shared" si="101"/>
        <v>858</v>
      </c>
      <c r="E478" s="12">
        <v>317645</v>
      </c>
      <c r="F478" s="12">
        <v>3758</v>
      </c>
      <c r="G478" s="12">
        <v>259649</v>
      </c>
      <c r="H478" s="23">
        <f t="shared" si="97"/>
        <v>54238</v>
      </c>
      <c r="I478" s="23">
        <f t="shared" si="95"/>
        <v>4917</v>
      </c>
      <c r="J478" s="12">
        <v>1667342</v>
      </c>
      <c r="K478" s="23">
        <f t="shared" si="96"/>
        <v>1349697</v>
      </c>
      <c r="L478" s="23">
        <f t="shared" si="102"/>
        <v>1476</v>
      </c>
      <c r="M478" s="14">
        <f t="shared" si="98"/>
        <v>1.1830817421964773E-2</v>
      </c>
      <c r="N478" s="14">
        <f t="shared" si="108"/>
        <v>0.17449664429530201</v>
      </c>
      <c r="O478" s="12"/>
      <c r="P478" s="12"/>
      <c r="Q478" s="12"/>
      <c r="R478" s="23">
        <f t="shared" si="99"/>
        <v>263407</v>
      </c>
      <c r="S478" s="25">
        <f>(((H478+R478)/(H477+R477))-1)+detalle!$D$1</f>
        <v>7.4137015903881248E-2</v>
      </c>
      <c r="T478" s="25">
        <f t="shared" si="103"/>
        <v>1.0379182226543375</v>
      </c>
      <c r="U478" s="10">
        <f t="shared" si="100"/>
        <v>0.81741881660344096</v>
      </c>
      <c r="V478" s="21">
        <f t="shared" si="107"/>
        <v>69.092336349121879</v>
      </c>
      <c r="W478" s="15">
        <f>J478/detalle!$D$2</f>
        <v>152122.5409125243</v>
      </c>
      <c r="X478" s="15">
        <f>E478/detalle!$D$2</f>
        <v>28980.835670281675</v>
      </c>
      <c r="Y478" s="22">
        <f>F478/detalle!$D$2</f>
        <v>342.8669755510665</v>
      </c>
      <c r="AA478" s="14">
        <f>E478/(detalle!$D$2*1000000)</f>
        <v>2.898083567028167E-2</v>
      </c>
      <c r="AB478" s="14">
        <f>F478/(detalle!$D$2*1000000)</f>
        <v>3.4286697555106652E-4</v>
      </c>
      <c r="AC478" s="31">
        <f>451/663</f>
        <v>0.68024132730015086</v>
      </c>
      <c r="AD478" s="31">
        <f>1335/2683</f>
        <v>0.49757733879985089</v>
      </c>
      <c r="AE478" s="31">
        <f>284/524</f>
        <v>0.5419847328244275</v>
      </c>
      <c r="AF478" s="22">
        <f t="shared" si="104"/>
        <v>2</v>
      </c>
      <c r="AG478" s="12">
        <v>4541739</v>
      </c>
      <c r="AH478" s="12">
        <v>2470706</v>
      </c>
      <c r="AI478" s="20">
        <v>0</v>
      </c>
      <c r="AJ478" s="23">
        <f t="shared" si="105"/>
        <v>68779</v>
      </c>
      <c r="AK478" s="23">
        <f t="shared" si="106"/>
        <v>7012445</v>
      </c>
      <c r="AL478" s="28">
        <f>AK478/detalle!$D$2</f>
        <v>639791.32739973359</v>
      </c>
    </row>
    <row r="479" spans="1:38">
      <c r="A479" s="12">
        <v>478</v>
      </c>
      <c r="B479" s="19">
        <v>44368</v>
      </c>
      <c r="C479" s="12">
        <v>460</v>
      </c>
      <c r="D479" s="23">
        <f t="shared" si="101"/>
        <v>723</v>
      </c>
      <c r="E479" s="12">
        <v>318368</v>
      </c>
      <c r="F479" s="12">
        <v>3769</v>
      </c>
      <c r="G479" s="12">
        <v>260533</v>
      </c>
      <c r="H479" s="23">
        <f t="shared" si="97"/>
        <v>54066</v>
      </c>
      <c r="I479" s="23">
        <f t="shared" si="95"/>
        <v>4376</v>
      </c>
      <c r="J479" s="12">
        <v>1671718</v>
      </c>
      <c r="K479" s="23">
        <f t="shared" si="96"/>
        <v>1353350</v>
      </c>
      <c r="L479" s="23">
        <f t="shared" si="102"/>
        <v>884</v>
      </c>
      <c r="M479" s="14">
        <f t="shared" si="98"/>
        <v>1.1838501356920293E-2</v>
      </c>
      <c r="N479" s="14">
        <f t="shared" si="108"/>
        <v>0.16521937842778794</v>
      </c>
      <c r="O479" s="12"/>
      <c r="P479" s="12"/>
      <c r="Q479" s="12"/>
      <c r="R479" s="23">
        <f t="shared" si="99"/>
        <v>264302</v>
      </c>
      <c r="S479" s="25">
        <f>(((H479+R479)/(H478+R478))-1)+detalle!$D$1</f>
        <v>7.3704697292350102E-2</v>
      </c>
      <c r="T479" s="25">
        <f t="shared" si="103"/>
        <v>1.0318657620929015</v>
      </c>
      <c r="U479" s="10">
        <f t="shared" si="100"/>
        <v>0.81833915468891349</v>
      </c>
      <c r="V479" s="21">
        <f t="shared" si="107"/>
        <v>69.12523215707084</v>
      </c>
      <c r="W479" s="15">
        <f>J479/detalle!$D$2</f>
        <v>152521.79207937143</v>
      </c>
      <c r="X479" s="15">
        <f>E479/detalle!$D$2</f>
        <v>29046.799699904721</v>
      </c>
      <c r="Y479" s="22" t="e">
        <f>F479/[1]detalle!$D$2</f>
        <v>#REF!</v>
      </c>
      <c r="AA479" s="14">
        <f>E479/(detalle!$D$2*1000000)</f>
        <v>2.9046799699904723E-2</v>
      </c>
      <c r="AB479" s="14">
        <f>F479/(detalle!$D$2*1000000)</f>
        <v>3.4387057766151403E-4</v>
      </c>
      <c r="AC479" s="31">
        <f>453/659</f>
        <v>0.68740515933232171</v>
      </c>
      <c r="AD479" s="31">
        <f>1294/2694</f>
        <v>0.4803266518188567</v>
      </c>
      <c r="AE479" s="31">
        <f>282/523</f>
        <v>0.53919694072657742</v>
      </c>
      <c r="AF479" s="22">
        <f t="shared" si="104"/>
        <v>11</v>
      </c>
      <c r="AG479" s="12">
        <v>4625991</v>
      </c>
      <c r="AH479" s="12">
        <v>2546487</v>
      </c>
      <c r="AI479" s="20">
        <v>0</v>
      </c>
      <c r="AJ479" s="23">
        <f t="shared" si="105"/>
        <v>160033</v>
      </c>
      <c r="AK479" s="23">
        <f t="shared" si="106"/>
        <v>7172478</v>
      </c>
      <c r="AL479" s="28">
        <f>AK479/detalle!$D$2</f>
        <v>654392.18708530138</v>
      </c>
    </row>
    <row r="480" spans="1:38">
      <c r="A480" s="12">
        <v>479</v>
      </c>
      <c r="B480" s="19">
        <v>44369</v>
      </c>
      <c r="C480" s="12">
        <v>461</v>
      </c>
      <c r="D480" s="23">
        <f t="shared" si="101"/>
        <v>886</v>
      </c>
      <c r="E480" s="12">
        <v>319254</v>
      </c>
      <c r="F480" s="12">
        <v>3773</v>
      </c>
      <c r="G480" s="12">
        <v>261222</v>
      </c>
      <c r="H480" s="23">
        <f t="shared" si="97"/>
        <v>54259</v>
      </c>
      <c r="I480" s="23">
        <f t="shared" si="95"/>
        <v>4638</v>
      </c>
      <c r="J480" s="12">
        <v>1676356</v>
      </c>
      <c r="K480" s="23">
        <f t="shared" si="96"/>
        <v>1357102</v>
      </c>
      <c r="L480" s="23">
        <f t="shared" si="102"/>
        <v>689</v>
      </c>
      <c r="M480" s="14">
        <f t="shared" si="98"/>
        <v>1.1818176123086947E-2</v>
      </c>
      <c r="N480" s="14">
        <f t="shared" si="108"/>
        <v>0.19103061664510565</v>
      </c>
      <c r="O480" s="12"/>
      <c r="P480" s="12"/>
      <c r="Q480" s="12"/>
      <c r="R480" s="23">
        <f t="shared" si="99"/>
        <v>264995</v>
      </c>
      <c r="S480" s="25">
        <f>(((H480+R480)/(H479+R479))-1)+detalle!$D$1</f>
        <v>7.4211514437919207E-2</v>
      </c>
      <c r="T480" s="25">
        <f t="shared" si="103"/>
        <v>1.038961202130869</v>
      </c>
      <c r="U480" s="10">
        <f t="shared" si="100"/>
        <v>0.81822623992181776</v>
      </c>
      <c r="V480" s="21">
        <f t="shared" si="107"/>
        <v>69.234561357010335</v>
      </c>
      <c r="W480" s="15">
        <f>J480/detalle!$D$2</f>
        <v>152944.9472237583</v>
      </c>
      <c r="X480" s="15">
        <f>E480/detalle!$D$2</f>
        <v>29127.635288073496</v>
      </c>
      <c r="Y480" s="22" t="e">
        <f>F480/[1]detalle!$D$2</f>
        <v>#REF!</v>
      </c>
      <c r="AA480" s="14">
        <f>E480/(detalle!$D$2*1000000)</f>
        <v>2.9127635288073495E-2</v>
      </c>
      <c r="AB480" s="14">
        <f>F480/(detalle!$D$2*1000000)</f>
        <v>3.4423552388349493E-4</v>
      </c>
      <c r="AC480" s="31">
        <f>433/657</f>
        <v>0.65905631659056318</v>
      </c>
      <c r="AD480" s="31">
        <f>1293/2682</f>
        <v>0.48210290827740493</v>
      </c>
      <c r="AE480" s="31">
        <f>270/523</f>
        <v>0.51625239005736134</v>
      </c>
      <c r="AF480" s="22">
        <f t="shared" si="104"/>
        <v>4</v>
      </c>
      <c r="AG480" s="12">
        <v>4691111</v>
      </c>
      <c r="AH480" s="12">
        <v>2610476</v>
      </c>
      <c r="AI480" s="20">
        <v>0</v>
      </c>
      <c r="AJ480" s="23">
        <f t="shared" si="105"/>
        <v>129109</v>
      </c>
      <c r="AK480" s="23">
        <f t="shared" si="106"/>
        <v>7301587</v>
      </c>
      <c r="AL480" s="28">
        <f>AK480/detalle!$D$2</f>
        <v>666171.64752873476</v>
      </c>
    </row>
    <row r="481" spans="1:38">
      <c r="A481" s="12">
        <v>480</v>
      </c>
      <c r="B481" s="19">
        <v>44370</v>
      </c>
      <c r="C481" s="12">
        <v>462</v>
      </c>
      <c r="D481" s="23">
        <f t="shared" si="101"/>
        <v>882</v>
      </c>
      <c r="E481" s="12">
        <v>320136</v>
      </c>
      <c r="F481" s="12">
        <v>3781</v>
      </c>
      <c r="G481" s="12">
        <v>261405</v>
      </c>
      <c r="H481" s="23">
        <f t="shared" si="97"/>
        <v>54950</v>
      </c>
      <c r="I481" s="23">
        <f t="shared" si="95"/>
        <v>4600</v>
      </c>
      <c r="J481" s="12">
        <v>1680956</v>
      </c>
      <c r="K481" s="23">
        <f t="shared" si="96"/>
        <v>1360820</v>
      </c>
      <c r="L481" s="23">
        <f t="shared" si="102"/>
        <v>183</v>
      </c>
      <c r="M481" s="14">
        <f t="shared" si="98"/>
        <v>1.1810605492665617E-2</v>
      </c>
      <c r="N481" s="14">
        <f t="shared" si="108"/>
        <v>0.19173913043478261</v>
      </c>
      <c r="O481" s="12"/>
      <c r="P481" s="12"/>
      <c r="Q481" s="12"/>
      <c r="R481" s="23">
        <f t="shared" si="99"/>
        <v>265186</v>
      </c>
      <c r="S481" s="25">
        <f>(((H481+R481)/(H480+R480))-1)+detalle!$D$1</f>
        <v>7.41912619508516E-2</v>
      </c>
      <c r="T481" s="25">
        <f t="shared" si="103"/>
        <v>1.0386776673119225</v>
      </c>
      <c r="U481" s="10">
        <f t="shared" si="100"/>
        <v>0.81654359397256171</v>
      </c>
      <c r="V481" s="21">
        <f t="shared" si="107"/>
        <v>69.136471832848457</v>
      </c>
      <c r="W481" s="15">
        <f>J481/detalle!$D$2</f>
        <v>153364.63537903634</v>
      </c>
      <c r="X481" s="15">
        <f>E481/detalle!$D$2</f>
        <v>29208.105930020287</v>
      </c>
      <c r="Y481" s="22" t="e">
        <f>F481/[1]detalle!$D$2</f>
        <v>#REF!</v>
      </c>
      <c r="AA481" s="14">
        <f>E481/(detalle!$D$2*1000000)</f>
        <v>2.9208105930020285E-2</v>
      </c>
      <c r="AB481" s="14">
        <f>F481/(detalle!$D$2*1000000)</f>
        <v>3.4496541632745675E-4</v>
      </c>
      <c r="AC481" s="31">
        <f>430/659</f>
        <v>0.65250379362670718</v>
      </c>
      <c r="AD481" s="31">
        <f>1300/2730</f>
        <v>0.47619047619047616</v>
      </c>
      <c r="AE481" s="31">
        <f>269/524</f>
        <v>0.51335877862595425</v>
      </c>
      <c r="AF481" s="22">
        <f t="shared" si="104"/>
        <v>8</v>
      </c>
      <c r="AG481" s="12">
        <v>4746498</v>
      </c>
      <c r="AH481" s="12">
        <v>2655737</v>
      </c>
      <c r="AI481" s="20">
        <v>0</v>
      </c>
      <c r="AJ481" s="23">
        <f t="shared" si="105"/>
        <v>100648</v>
      </c>
      <c r="AK481" s="23">
        <f t="shared" si="106"/>
        <v>7402235</v>
      </c>
      <c r="AL481" s="28">
        <f>AK481/detalle!$D$2</f>
        <v>675354.42436621839</v>
      </c>
    </row>
    <row r="482" spans="1:38">
      <c r="A482" s="12">
        <v>481</v>
      </c>
      <c r="B482" s="19">
        <v>44371</v>
      </c>
      <c r="C482" s="12">
        <v>463</v>
      </c>
      <c r="D482" s="23">
        <f t="shared" si="101"/>
        <v>937</v>
      </c>
      <c r="E482" s="12">
        <v>321073</v>
      </c>
      <c r="F482" s="12">
        <v>3789</v>
      </c>
      <c r="G482" s="12">
        <v>261929</v>
      </c>
      <c r="H482" s="23">
        <f t="shared" si="97"/>
        <v>55355</v>
      </c>
      <c r="I482" s="23">
        <f t="shared" si="95"/>
        <v>4750</v>
      </c>
      <c r="J482" s="12">
        <v>1685706</v>
      </c>
      <c r="K482" s="23">
        <f t="shared" si="96"/>
        <v>1364633</v>
      </c>
      <c r="L482" s="23">
        <f t="shared" si="102"/>
        <v>524</v>
      </c>
      <c r="M482" s="14">
        <f t="shared" si="98"/>
        <v>1.1801054588831824E-2</v>
      </c>
      <c r="N482" s="14">
        <f t="shared" si="108"/>
        <v>0.19726315789473683</v>
      </c>
      <c r="O482" s="12"/>
      <c r="P482" s="12"/>
      <c r="Q482" s="12"/>
      <c r="R482" s="23">
        <f t="shared" si="99"/>
        <v>265718</v>
      </c>
      <c r="S482" s="25">
        <f>(((H482+R482)/(H481+R481))-1)+detalle!$D$1</f>
        <v>7.4355452504114378E-2</v>
      </c>
      <c r="T482" s="25">
        <f t="shared" si="103"/>
        <v>1.0409763350576013</v>
      </c>
      <c r="U482" s="10">
        <f t="shared" si="100"/>
        <v>0.8157926702027265</v>
      </c>
      <c r="V482" s="21">
        <f t="shared" si="107"/>
        <v>69.128793877012399</v>
      </c>
      <c r="W482" s="15">
        <f>J482/detalle!$D$2</f>
        <v>153798.00901763869</v>
      </c>
      <c r="X482" s="15">
        <f>E482/detalle!$D$2</f>
        <v>29293.594582519316</v>
      </c>
      <c r="Y482" s="22" t="e">
        <f>F482/[1]detalle!$D$2</f>
        <v>#REF!</v>
      </c>
      <c r="AA482" s="14">
        <f>E482/(detalle!$D$2*1000000)</f>
        <v>2.9293594582519313E-2</v>
      </c>
      <c r="AB482" s="14">
        <f>F482/(detalle!$D$2*1000000)</f>
        <v>3.4569530877141857E-4</v>
      </c>
      <c r="AC482" s="31">
        <f>423/650</f>
        <v>0.65076923076923077</v>
      </c>
      <c r="AD482" s="31">
        <f>1274/2738</f>
        <v>0.46530314097881664</v>
      </c>
      <c r="AE482" s="31">
        <f>270/524</f>
        <v>0.51526717557251911</v>
      </c>
      <c r="AF482" s="22">
        <f t="shared" si="104"/>
        <v>8</v>
      </c>
      <c r="AG482" s="12">
        <v>4790322</v>
      </c>
      <c r="AH482" s="12">
        <v>2692223</v>
      </c>
      <c r="AI482" s="20">
        <v>0</v>
      </c>
      <c r="AJ482" s="23">
        <f t="shared" si="105"/>
        <v>80310</v>
      </c>
      <c r="AK482" s="23">
        <f t="shared" si="106"/>
        <v>7482545</v>
      </c>
      <c r="AL482" s="28">
        <f>AK482/detalle!$D$2</f>
        <v>682681.63213804015</v>
      </c>
    </row>
    <row r="483" spans="1:38">
      <c r="A483" s="12">
        <v>482</v>
      </c>
      <c r="B483" s="19">
        <v>44372</v>
      </c>
      <c r="C483" s="12">
        <v>464</v>
      </c>
      <c r="D483" s="23">
        <f t="shared" si="101"/>
        <v>998</v>
      </c>
      <c r="E483" s="12">
        <v>322071</v>
      </c>
      <c r="F483" s="12">
        <v>3796</v>
      </c>
      <c r="G483" s="12">
        <v>262865</v>
      </c>
      <c r="H483" s="23">
        <f t="shared" si="97"/>
        <v>55410</v>
      </c>
      <c r="I483" s="23">
        <f t="shared" si="95"/>
        <v>4849</v>
      </c>
      <c r="J483" s="12">
        <v>1690555</v>
      </c>
      <c r="K483" s="23">
        <f t="shared" si="96"/>
        <v>1368484</v>
      </c>
      <c r="L483" s="23">
        <f t="shared" si="102"/>
        <v>936</v>
      </c>
      <c r="M483" s="14">
        <f t="shared" si="98"/>
        <v>1.1786221050637903E-2</v>
      </c>
      <c r="N483" s="14">
        <f t="shared" si="108"/>
        <v>0.20581563208909054</v>
      </c>
      <c r="O483" s="12"/>
      <c r="P483" s="12"/>
      <c r="Q483" s="12"/>
      <c r="R483" s="23">
        <f t="shared" si="99"/>
        <v>266661</v>
      </c>
      <c r="S483" s="25">
        <f>(((H483+R483)/(H482+R482))-1)+detalle!$D$1</f>
        <v>7.4536898818292868E-2</v>
      </c>
      <c r="T483" s="25">
        <f t="shared" si="103"/>
        <v>1.0435165834561002</v>
      </c>
      <c r="U483" s="10">
        <f t="shared" si="100"/>
        <v>0.81617096851315396</v>
      </c>
      <c r="V483" s="21">
        <f t="shared" si="107"/>
        <v>69.247892518440466</v>
      </c>
      <c r="W483" s="15">
        <f>J483/detalle!$D$2</f>
        <v>154240.41507523504</v>
      </c>
      <c r="X483" s="15">
        <f>E483/detalle!$D$2</f>
        <v>29384.648664903551</v>
      </c>
      <c r="Y483" s="22" t="e">
        <f>F483/[1]detalle!$D$2</f>
        <v>#REF!</v>
      </c>
      <c r="AA483" s="14">
        <f>E483/(detalle!$D$2*1000000)</f>
        <v>2.9384648664903552E-2</v>
      </c>
      <c r="AB483" s="14">
        <f>F483/(detalle!$D$2*1000000)</f>
        <v>3.4633396465988517E-4</v>
      </c>
      <c r="AC483" s="31">
        <f>410/650</f>
        <v>0.63076923076923075</v>
      </c>
      <c r="AD483" s="31">
        <f>1261/2739</f>
        <v>0.46038700255567727</v>
      </c>
      <c r="AE483" s="31">
        <f>270/524</f>
        <v>0.51526717557251911</v>
      </c>
      <c r="AF483" s="22">
        <f t="shared" si="104"/>
        <v>7</v>
      </c>
      <c r="AG483" s="12">
        <v>4826862</v>
      </c>
      <c r="AH483" s="12">
        <v>2718646</v>
      </c>
      <c r="AI483" s="20">
        <v>0</v>
      </c>
      <c r="AJ483" s="23">
        <f t="shared" si="105"/>
        <v>62963</v>
      </c>
      <c r="AK483" s="23">
        <f t="shared" si="106"/>
        <v>7545508</v>
      </c>
      <c r="AL483" s="28">
        <f>AK483/detalle!$D$2</f>
        <v>688426.15938168624</v>
      </c>
    </row>
    <row r="484" spans="1:38">
      <c r="A484" s="12">
        <v>483</v>
      </c>
      <c r="B484" s="19">
        <v>44373</v>
      </c>
      <c r="C484" s="12">
        <v>465</v>
      </c>
      <c r="D484" s="23">
        <f t="shared" si="101"/>
        <v>707</v>
      </c>
      <c r="E484" s="12">
        <v>322778</v>
      </c>
      <c r="F484" s="12">
        <v>3797</v>
      </c>
      <c r="G484" s="12">
        <v>263958</v>
      </c>
      <c r="H484" s="23">
        <f t="shared" si="97"/>
        <v>55023</v>
      </c>
      <c r="I484" s="23">
        <f t="shared" si="95"/>
        <v>4977</v>
      </c>
      <c r="J484" s="12">
        <v>1695532</v>
      </c>
      <c r="K484" s="23">
        <f t="shared" si="96"/>
        <v>1372754</v>
      </c>
      <c r="L484" s="23">
        <f t="shared" si="102"/>
        <v>1093</v>
      </c>
      <c r="M484" s="14">
        <f t="shared" si="98"/>
        <v>1.1763503088810266E-2</v>
      </c>
      <c r="N484" s="14">
        <f t="shared" si="108"/>
        <v>0.1420534458509142</v>
      </c>
      <c r="O484" s="12"/>
      <c r="P484" s="12"/>
      <c r="Q484" s="12"/>
      <c r="R484" s="23">
        <f t="shared" si="99"/>
        <v>267755</v>
      </c>
      <c r="S484" s="25">
        <f>(((H484+R484)/(H483+R483))-1)+detalle!$D$1</f>
        <v>7.3623739574725483E-2</v>
      </c>
      <c r="T484" s="25">
        <f t="shared" si="103"/>
        <v>1.0307323540461568</v>
      </c>
      <c r="U484" s="10">
        <f t="shared" si="100"/>
        <v>0.81776948862685805</v>
      </c>
      <c r="V484" s="21">
        <f t="shared" si="107"/>
        <v>69.517513826705297</v>
      </c>
      <c r="W484" s="15">
        <f>J484/detalle!$D$2</f>
        <v>154694.49941193478</v>
      </c>
      <c r="X484" s="15">
        <f>E484/detalle!$D$2</f>
        <v>29449.152909638677</v>
      </c>
      <c r="Y484" s="22" t="e">
        <f>F484/[1]detalle!$D$2</f>
        <v>#REF!</v>
      </c>
      <c r="AA484" s="14">
        <f>E484/(detalle!$D$2*1000000)</f>
        <v>2.9449152909638676E-2</v>
      </c>
      <c r="AB484" s="14">
        <f>F484/(detalle!$D$2*1000000)</f>
        <v>3.4642520121538038E-4</v>
      </c>
      <c r="AC484" s="31">
        <f>425/650</f>
        <v>0.65384615384615385</v>
      </c>
      <c r="AD484" s="31">
        <f>1258/2739</f>
        <v>0.45929171230376048</v>
      </c>
      <c r="AE484" s="31">
        <f>269/525</f>
        <v>0.51238095238095238</v>
      </c>
      <c r="AF484" s="22">
        <f t="shared" si="104"/>
        <v>1</v>
      </c>
      <c r="AG484" s="12">
        <v>4842540</v>
      </c>
      <c r="AH484" s="12">
        <v>2727265</v>
      </c>
      <c r="AI484" s="20">
        <v>0</v>
      </c>
      <c r="AJ484" s="23">
        <f t="shared" si="105"/>
        <v>24297</v>
      </c>
      <c r="AK484" s="23">
        <f t="shared" si="106"/>
        <v>7569805</v>
      </c>
      <c r="AL484" s="28">
        <f>AK484/detalle!$D$2</f>
        <v>690642.9339705538</v>
      </c>
    </row>
    <row r="485" spans="1:38">
      <c r="A485" s="12">
        <v>484</v>
      </c>
      <c r="B485" s="19">
        <v>44374</v>
      </c>
      <c r="C485" s="12">
        <v>466</v>
      </c>
      <c r="D485" s="23">
        <f t="shared" si="101"/>
        <v>872</v>
      </c>
      <c r="E485" s="12">
        <v>323650</v>
      </c>
      <c r="F485" s="12">
        <v>3801</v>
      </c>
      <c r="G485" s="12">
        <v>265000</v>
      </c>
      <c r="H485" s="23">
        <f t="shared" si="97"/>
        <v>54849</v>
      </c>
      <c r="I485" s="23">
        <f t="shared" si="95"/>
        <v>6390</v>
      </c>
      <c r="J485" s="12">
        <v>1701922</v>
      </c>
      <c r="K485" s="23">
        <f t="shared" si="96"/>
        <v>1378272</v>
      </c>
      <c r="L485" s="23">
        <f t="shared" si="102"/>
        <v>1042</v>
      </c>
      <c r="M485" s="14">
        <f t="shared" si="98"/>
        <v>1.17441680828055E-2</v>
      </c>
      <c r="N485" s="14">
        <f t="shared" si="108"/>
        <v>0.13646322378716744</v>
      </c>
      <c r="O485" s="12"/>
      <c r="P485" s="12"/>
      <c r="Q485" s="12"/>
      <c r="R485" s="23">
        <f t="shared" si="99"/>
        <v>268801</v>
      </c>
      <c r="S485" s="25">
        <f>(((H485+R485)/(H484+R484))-1)+detalle!$D$1</f>
        <v>7.4130118621998503E-2</v>
      </c>
      <c r="T485" s="25">
        <f t="shared" si="103"/>
        <v>1.0378216607079791</v>
      </c>
      <c r="U485" s="10">
        <f t="shared" si="100"/>
        <v>0.81878572532056237</v>
      </c>
      <c r="V485" s="21">
        <f t="shared" si="107"/>
        <v>69.718495132859772</v>
      </c>
      <c r="W485" s="15">
        <f>J485/detalle!$D$2</f>
        <v>155277.5010015493</v>
      </c>
      <c r="X485" s="15">
        <f>E485/detalle!$D$2</f>
        <v>29528.711186030516</v>
      </c>
      <c r="Y485" s="22" t="e">
        <f>F485/[1]detalle!$D$2</f>
        <v>#REF!</v>
      </c>
      <c r="AA485" s="14">
        <f>E485/(detalle!$D$2*1000000)</f>
        <v>2.9528711186030517E-2</v>
      </c>
      <c r="AB485" s="14">
        <f>F485/(detalle!$D$2*1000000)</f>
        <v>3.4679014743736129E-4</v>
      </c>
      <c r="AC485" s="31">
        <f>422/650</f>
        <v>0.64923076923076928</v>
      </c>
      <c r="AD485" s="31">
        <f>1224/2739</f>
        <v>0.44687842278203727</v>
      </c>
      <c r="AE485" s="31">
        <f>269/525</f>
        <v>0.51238095238095238</v>
      </c>
      <c r="AF485" s="22">
        <f t="shared" si="104"/>
        <v>4</v>
      </c>
      <c r="AG485" s="12">
        <v>4851699</v>
      </c>
      <c r="AH485" s="12">
        <v>2731358</v>
      </c>
      <c r="AI485" s="20">
        <v>0</v>
      </c>
      <c r="AJ485" s="23">
        <f t="shared" si="105"/>
        <v>13252</v>
      </c>
      <c r="AK485" s="23">
        <f t="shared" si="106"/>
        <v>7583057</v>
      </c>
      <c r="AL485" s="28">
        <f>AK485/detalle!$D$2</f>
        <v>691852.00080397655</v>
      </c>
    </row>
    <row r="486" spans="1:38">
      <c r="A486" s="12">
        <v>485</v>
      </c>
      <c r="B486" s="19">
        <v>44375</v>
      </c>
      <c r="C486" s="12">
        <v>467</v>
      </c>
      <c r="D486" s="23">
        <f t="shared" si="101"/>
        <v>714</v>
      </c>
      <c r="E486" s="12">
        <v>324364</v>
      </c>
      <c r="F486" s="12">
        <v>3815</v>
      </c>
      <c r="G486" s="12">
        <v>265800</v>
      </c>
      <c r="H486" s="23">
        <f t="shared" si="97"/>
        <v>54749</v>
      </c>
      <c r="I486" s="23">
        <f t="shared" si="95"/>
        <v>4844</v>
      </c>
      <c r="J486" s="12">
        <v>1706766</v>
      </c>
      <c r="K486" s="23">
        <f t="shared" si="96"/>
        <v>1382402</v>
      </c>
      <c r="L486" s="23">
        <f t="shared" si="102"/>
        <v>800</v>
      </c>
      <c r="M486" s="14">
        <f t="shared" si="98"/>
        <v>1.1761477845876854E-2</v>
      </c>
      <c r="N486" s="14">
        <f t="shared" si="108"/>
        <v>0.14739884393063585</v>
      </c>
      <c r="O486" s="12"/>
      <c r="P486" s="12"/>
      <c r="Q486" s="12"/>
      <c r="R486" s="23">
        <f t="shared" si="99"/>
        <v>269615</v>
      </c>
      <c r="S486" s="25">
        <f>(((H486+R486)/(H485+R485))-1)+detalle!$D$1</f>
        <v>7.3634658250755908E-2</v>
      </c>
      <c r="T486" s="25">
        <f t="shared" si="103"/>
        <v>1.0308852155105828</v>
      </c>
      <c r="U486" s="10">
        <f t="shared" si="100"/>
        <v>0.81944975398009645</v>
      </c>
      <c r="V486" s="21">
        <f t="shared" si="107"/>
        <v>69.672346002621225</v>
      </c>
      <c r="W486" s="15">
        <f>J486/detalle!$D$2</f>
        <v>155719.45087636818</v>
      </c>
      <c r="X486" s="15">
        <f>E486/detalle!$D$2</f>
        <v>29593.854086654108</v>
      </c>
      <c r="Y486" s="22" t="e">
        <f>F486/[1]detalle!$D$2</f>
        <v>#REF!</v>
      </c>
      <c r="AA486" s="14">
        <f>E486/(detalle!$D$2*1000000)</f>
        <v>2.9593854086654107E-2</v>
      </c>
      <c r="AB486" s="14">
        <f>F486/(detalle!$D$2*1000000)</f>
        <v>3.4806745921429449E-4</v>
      </c>
      <c r="AC486" s="31">
        <f>394/632</f>
        <v>0.62341772151898733</v>
      </c>
      <c r="AD486" s="31">
        <f>1162/2733</f>
        <v>0.42517380168313207</v>
      </c>
      <c r="AE486" s="31">
        <f>267/522</f>
        <v>0.5114942528735632</v>
      </c>
      <c r="AF486" s="22">
        <f t="shared" si="104"/>
        <v>14</v>
      </c>
      <c r="AG486" s="12">
        <v>4883358</v>
      </c>
      <c r="AH486" s="12">
        <v>2770178</v>
      </c>
      <c r="AI486" s="20">
        <v>0</v>
      </c>
      <c r="AJ486" s="23">
        <f t="shared" si="105"/>
        <v>70479</v>
      </c>
      <c r="AK486" s="23">
        <f t="shared" ref="AK486:AK494" si="109">AG486+AH486</f>
        <v>7653536</v>
      </c>
      <c r="AL486" s="28">
        <f>AK486/detalle!$D$2</f>
        <v>698282.26199872466</v>
      </c>
    </row>
    <row r="487" spans="1:38">
      <c r="A487" s="12">
        <v>486</v>
      </c>
      <c r="B487" s="19">
        <v>44376</v>
      </c>
      <c r="C487" s="12">
        <v>468</v>
      </c>
      <c r="D487" s="23">
        <f t="shared" si="101"/>
        <v>857</v>
      </c>
      <c r="E487" s="12">
        <v>325221</v>
      </c>
      <c r="F487" s="12">
        <v>3822</v>
      </c>
      <c r="G487" s="12">
        <v>266079</v>
      </c>
      <c r="H487" s="23">
        <f t="shared" si="97"/>
        <v>55320</v>
      </c>
      <c r="I487" s="23">
        <f t="shared" si="95"/>
        <v>5111</v>
      </c>
      <c r="J487" s="12">
        <v>1711877</v>
      </c>
      <c r="K487" s="23">
        <f t="shared" si="96"/>
        <v>1386656</v>
      </c>
      <c r="L487" s="23">
        <f t="shared" si="102"/>
        <v>279</v>
      </c>
      <c r="M487" s="14">
        <f t="shared" si="98"/>
        <v>1.1752008634128792E-2</v>
      </c>
      <c r="N487" s="14">
        <f t="shared" si="108"/>
        <v>0.16767755820778713</v>
      </c>
      <c r="O487" s="12"/>
      <c r="P487" s="12"/>
      <c r="Q487" s="12"/>
      <c r="R487" s="23">
        <f t="shared" si="99"/>
        <v>269901</v>
      </c>
      <c r="S487" s="25">
        <f>(((H487+R487)/(H486+R486))-1)+detalle!$D$1</f>
        <v>7.4070664879139408E-2</v>
      </c>
      <c r="T487" s="25">
        <f t="shared" si="103"/>
        <v>1.0369893083079518</v>
      </c>
      <c r="U487" s="10">
        <f t="shared" si="100"/>
        <v>0.81814827455791606</v>
      </c>
      <c r="V487" s="21">
        <f t="shared" si="107"/>
        <v>69.617739403453683</v>
      </c>
      <c r="W487" s="15">
        <f>J487/detalle!$D$2</f>
        <v>156185.76091150427</v>
      </c>
      <c r="X487" s="15">
        <f>E487/detalle!$D$2</f>
        <v>29672.043814713521</v>
      </c>
      <c r="Y487" s="22" t="e">
        <f>F487/[1]detalle!$D$2</f>
        <v>#REF!</v>
      </c>
      <c r="AA487" s="14">
        <f>E487/(detalle!$D$2*1000000)</f>
        <v>2.9672043814713518E-2</v>
      </c>
      <c r="AB487" s="14">
        <f>F487/(detalle!$D$2*1000000)</f>
        <v>3.4870611510276109E-4</v>
      </c>
      <c r="AC487" s="31">
        <f>376/643</f>
        <v>0.5847589424572317</v>
      </c>
      <c r="AD487" s="31">
        <f>1101/2725</f>
        <v>0.40403669724770641</v>
      </c>
      <c r="AE487" s="31">
        <f>250/530</f>
        <v>0.47169811320754718</v>
      </c>
      <c r="AF487" s="22">
        <f t="shared" si="104"/>
        <v>7</v>
      </c>
      <c r="AG487" s="12">
        <v>4918071</v>
      </c>
      <c r="AH487" s="12">
        <v>2827967</v>
      </c>
      <c r="AI487" s="20">
        <v>0</v>
      </c>
      <c r="AJ487" s="23">
        <f t="shared" si="105"/>
        <v>92502</v>
      </c>
      <c r="AK487" s="23">
        <f t="shared" si="109"/>
        <v>7746038</v>
      </c>
      <c r="AL487" s="28">
        <f>AK487/detalle!$D$2</f>
        <v>706721.8258551443</v>
      </c>
    </row>
    <row r="488" spans="1:38">
      <c r="A488" s="12">
        <v>487</v>
      </c>
      <c r="B488" s="19">
        <v>44377</v>
      </c>
      <c r="C488" s="12">
        <v>469</v>
      </c>
      <c r="D488" s="23">
        <f t="shared" si="101"/>
        <v>972</v>
      </c>
      <c r="E488" s="12">
        <v>326193</v>
      </c>
      <c r="F488" s="12">
        <v>3840</v>
      </c>
      <c r="G488" s="12">
        <v>267396</v>
      </c>
      <c r="H488" s="23">
        <f t="shared" si="97"/>
        <v>54957</v>
      </c>
      <c r="I488" s="23">
        <f t="shared" si="95"/>
        <v>6072</v>
      </c>
      <c r="J488" s="12">
        <v>1717949</v>
      </c>
      <c r="K488" s="23">
        <f t="shared" si="96"/>
        <v>1391756</v>
      </c>
      <c r="L488" s="23">
        <f t="shared" si="102"/>
        <v>1317</v>
      </c>
      <c r="M488" s="14">
        <f t="shared" si="98"/>
        <v>1.1772171689766488E-2</v>
      </c>
      <c r="N488" s="14">
        <f t="shared" si="108"/>
        <v>0.1600790513833992</v>
      </c>
      <c r="O488" s="12"/>
      <c r="P488" s="12"/>
      <c r="Q488" s="12"/>
      <c r="R488" s="23">
        <f t="shared" si="99"/>
        <v>271236</v>
      </c>
      <c r="S488" s="25">
        <f>(((H488+R488)/(H487+R487))-1)+detalle!$D$1</f>
        <v>7.4417308318255576E-2</v>
      </c>
      <c r="T488" s="25">
        <f t="shared" si="103"/>
        <v>1.0418423164555781</v>
      </c>
      <c r="U488" s="10">
        <f t="shared" si="100"/>
        <v>0.8197478180095833</v>
      </c>
      <c r="V488" s="21">
        <f t="shared" si="107"/>
        <v>69.634375000000006</v>
      </c>
      <c r="W488" s="15">
        <f>J488/detalle!$D$2</f>
        <v>156739.74927647132</v>
      </c>
      <c r="X488" s="15">
        <f>E488/detalle!$D$2</f>
        <v>29760.72574665488</v>
      </c>
      <c r="Y488" s="22" t="e">
        <f>F488/[1]detalle!$D$2</f>
        <v>#REF!</v>
      </c>
      <c r="AA488" s="14">
        <f>E488/(detalle!$D$2*1000000)</f>
        <v>2.9760725746654879E-2</v>
      </c>
      <c r="AB488" s="14">
        <f>F488/(detalle!$D$2*1000000)</f>
        <v>3.5034837310167521E-4</v>
      </c>
      <c r="AC488" s="31">
        <f>372/644</f>
        <v>0.57763975155279501</v>
      </c>
      <c r="AD488" s="31">
        <f>1044/2718</f>
        <v>0.38410596026490068</v>
      </c>
      <c r="AE488" s="31">
        <f>255/531</f>
        <v>0.48022598870056499</v>
      </c>
      <c r="AF488" s="22">
        <f t="shared" si="104"/>
        <v>18</v>
      </c>
      <c r="AG488" s="12">
        <v>4949582</v>
      </c>
      <c r="AH488" s="12">
        <v>2892597</v>
      </c>
      <c r="AI488" s="20">
        <v>0</v>
      </c>
      <c r="AJ488" s="23">
        <f t="shared" si="105"/>
        <v>96141</v>
      </c>
      <c r="AK488" s="23">
        <f t="shared" si="109"/>
        <v>7842179</v>
      </c>
      <c r="AL488" s="28">
        <f>AK488/detalle!$D$2</f>
        <v>715493.39953701105</v>
      </c>
    </row>
    <row r="489" spans="1:38">
      <c r="A489" s="12">
        <v>488</v>
      </c>
      <c r="B489" s="19">
        <v>44378</v>
      </c>
      <c r="C489" s="12">
        <v>470</v>
      </c>
      <c r="D489" s="23">
        <f t="shared" si="101"/>
        <v>1368</v>
      </c>
      <c r="E489" s="12">
        <v>327561</v>
      </c>
      <c r="F489" s="12">
        <v>3846</v>
      </c>
      <c r="G489" s="12">
        <v>267985</v>
      </c>
      <c r="H489" s="23">
        <f t="shared" si="97"/>
        <v>55730</v>
      </c>
      <c r="I489" s="23">
        <f t="shared" si="95"/>
        <v>7459</v>
      </c>
      <c r="J489" s="12">
        <v>1725408</v>
      </c>
      <c r="K489" s="23">
        <f t="shared" si="96"/>
        <v>1397847</v>
      </c>
      <c r="L489" s="23">
        <f t="shared" si="102"/>
        <v>589</v>
      </c>
      <c r="M489" s="14">
        <f t="shared" si="98"/>
        <v>1.1741324516654912E-2</v>
      </c>
      <c r="N489" s="14">
        <f t="shared" si="108"/>
        <v>0.18340260088483712</v>
      </c>
      <c r="O489" s="12"/>
      <c r="P489" s="12"/>
      <c r="Q489" s="12"/>
      <c r="R489" s="23">
        <f t="shared" si="99"/>
        <v>271831</v>
      </c>
      <c r="S489" s="25">
        <f>(((H489+R489)/(H488+R488))-1)+detalle!$D$1</f>
        <v>7.562240759305075E-2</v>
      </c>
      <c r="T489" s="25">
        <f t="shared" si="103"/>
        <v>1.0587137063027106</v>
      </c>
      <c r="U489" s="10">
        <f t="shared" si="100"/>
        <v>0.81812242605194152</v>
      </c>
      <c r="V489" s="21">
        <f t="shared" si="107"/>
        <v>69.678887155486223</v>
      </c>
      <c r="W489" s="15">
        <f>J489/detalle!$D$2</f>
        <v>157420.28274391021</v>
      </c>
      <c r="X489" s="15">
        <f>E489/detalle!$D$2</f>
        <v>29885.537354572352</v>
      </c>
      <c r="Y489" s="22" t="e">
        <f>F489/[1]detalle!$D$2</f>
        <v>#REF!</v>
      </c>
      <c r="AA489" s="14">
        <f>E489/(detalle!$D$2*1000000)</f>
        <v>2.9885537354572351E-2</v>
      </c>
      <c r="AB489" s="14">
        <f>F489/(detalle!$D$2*1000000)</f>
        <v>3.508957924346466E-4</v>
      </c>
      <c r="AC489" s="31">
        <f>353/641</f>
        <v>0.55070202808112323</v>
      </c>
      <c r="AD489" s="31">
        <f>1041/2724</f>
        <v>0.38215859030837002</v>
      </c>
      <c r="AE489" s="31">
        <f>252/531</f>
        <v>0.47457627118644069</v>
      </c>
      <c r="AF489" s="22">
        <f t="shared" si="104"/>
        <v>6</v>
      </c>
      <c r="AG489" s="12">
        <v>4949582</v>
      </c>
      <c r="AH489" s="12">
        <v>2892597</v>
      </c>
      <c r="AI489" s="20">
        <v>0</v>
      </c>
      <c r="AJ489" s="23">
        <f t="shared" si="105"/>
        <v>0</v>
      </c>
      <c r="AK489" s="23">
        <f t="shared" si="109"/>
        <v>7842179</v>
      </c>
      <c r="AL489" s="28">
        <f>AK489/detalle!$D$2</f>
        <v>715493.39953701105</v>
      </c>
    </row>
    <row r="490" spans="1:38">
      <c r="A490" s="12">
        <v>489</v>
      </c>
      <c r="B490" s="19">
        <v>44379</v>
      </c>
      <c r="C490" s="12">
        <v>471</v>
      </c>
      <c r="D490" s="23">
        <f t="shared" si="101"/>
        <v>815</v>
      </c>
      <c r="E490" s="12">
        <v>328376</v>
      </c>
      <c r="F490" s="12">
        <v>3852</v>
      </c>
      <c r="G490" s="12">
        <v>268883</v>
      </c>
      <c r="H490" s="23">
        <f t="shared" si="97"/>
        <v>55641</v>
      </c>
      <c r="I490" s="23">
        <f t="shared" si="95"/>
        <v>4772</v>
      </c>
      <c r="J490" s="12">
        <v>1730180</v>
      </c>
      <c r="K490" s="23">
        <f t="shared" si="96"/>
        <v>1401804</v>
      </c>
      <c r="L490" s="23">
        <f t="shared" si="102"/>
        <v>898</v>
      </c>
      <c r="M490" s="14">
        <f t="shared" si="98"/>
        <v>1.1730455331692938E-2</v>
      </c>
      <c r="N490" s="14">
        <f t="shared" si="108"/>
        <v>0.17078792958927075</v>
      </c>
      <c r="O490" s="12"/>
      <c r="P490" s="12"/>
      <c r="Q490" s="12"/>
      <c r="R490" s="23">
        <f t="shared" si="99"/>
        <v>272735</v>
      </c>
      <c r="S490" s="25">
        <f>(((H490+R490)/(H489+R489))-1)+detalle!$D$1</f>
        <v>7.391665761709823E-2</v>
      </c>
      <c r="T490" s="25">
        <f t="shared" si="103"/>
        <v>1.0348332066393753</v>
      </c>
      <c r="U490" s="10">
        <f t="shared" si="100"/>
        <v>0.81882658903208516</v>
      </c>
      <c r="V490" s="21">
        <f t="shared" si="107"/>
        <v>69.803478712357219</v>
      </c>
      <c r="W490" s="15">
        <f>J490/detalle!$D$2</f>
        <v>157855.66358673346</v>
      </c>
      <c r="X490" s="15">
        <f>E490/detalle!$D$2</f>
        <v>29959.895147300962</v>
      </c>
      <c r="Y490" s="22" t="e">
        <f>F490/[1]detalle!$D$2</f>
        <v>#REF!</v>
      </c>
      <c r="AA490" s="14">
        <f>E490/(detalle!$D$2*1000000)</f>
        <v>2.9959895147300963E-2</v>
      </c>
      <c r="AB490" s="14">
        <f>F490/(detalle!$D$2*1000000)</f>
        <v>3.5144321176761793E-4</v>
      </c>
      <c r="AC490" s="31">
        <f>351/641</f>
        <v>0.5475819032761311</v>
      </c>
      <c r="AD490" s="31">
        <f>1018/2726</f>
        <v>0.3734409391049156</v>
      </c>
      <c r="AE490" s="31">
        <f>245/529</f>
        <v>0.46313799621928164</v>
      </c>
      <c r="AF490" s="22">
        <f t="shared" si="104"/>
        <v>6</v>
      </c>
      <c r="AG490" s="12">
        <v>5008715</v>
      </c>
      <c r="AH490" s="12">
        <v>3025993</v>
      </c>
      <c r="AI490" s="20">
        <v>0</v>
      </c>
      <c r="AJ490" s="23">
        <f t="shared" si="105"/>
        <v>192529</v>
      </c>
      <c r="AK490" s="23">
        <f t="shared" si="109"/>
        <v>8034708</v>
      </c>
      <c r="AL490" s="28">
        <f>AK490/detalle!$D$2</f>
        <v>733059.08232995169</v>
      </c>
    </row>
    <row r="491" spans="1:38">
      <c r="A491" s="12">
        <v>490</v>
      </c>
      <c r="B491" s="19">
        <v>44380</v>
      </c>
      <c r="C491" s="12">
        <v>472</v>
      </c>
      <c r="D491" s="23">
        <f t="shared" si="101"/>
        <v>566</v>
      </c>
      <c r="E491" s="12">
        <v>328942</v>
      </c>
      <c r="F491" s="12">
        <v>3857</v>
      </c>
      <c r="G491" s="12">
        <f>269326</f>
        <v>269326</v>
      </c>
      <c r="H491" s="23">
        <f t="shared" si="97"/>
        <v>55759</v>
      </c>
      <c r="I491" s="23">
        <f t="shared" ref="I491:I554" si="110">J491-J490</f>
        <v>3132</v>
      </c>
      <c r="J491" s="12">
        <v>1733312</v>
      </c>
      <c r="K491" s="23">
        <f t="shared" si="96"/>
        <v>1404370</v>
      </c>
      <c r="L491" s="23">
        <f t="shared" si="102"/>
        <v>443</v>
      </c>
      <c r="M491" s="14">
        <f t="shared" si="98"/>
        <v>1.1725471359692589E-2</v>
      </c>
      <c r="N491" s="14">
        <f t="shared" si="108"/>
        <v>0.18071519795657726</v>
      </c>
      <c r="O491" s="12"/>
      <c r="P491" s="12"/>
      <c r="Q491" s="12"/>
      <c r="R491" s="23">
        <f t="shared" si="99"/>
        <v>273183</v>
      </c>
      <c r="S491" s="25">
        <f>(((H491+R491)/(H490+R490))-1)+detalle!$D$1</f>
        <v>7.3152205311681123E-2</v>
      </c>
      <c r="T491" s="25">
        <f t="shared" si="103"/>
        <v>1.0241308743635358</v>
      </c>
      <c r="U491" s="10">
        <f t="shared" si="100"/>
        <v>0.81876440223504443</v>
      </c>
      <c r="V491" s="21">
        <f t="shared" si="107"/>
        <v>69.827845475758366</v>
      </c>
      <c r="W491" s="15">
        <f>J491/detalle!$D$2</f>
        <v>158141.4164785445</v>
      </c>
      <c r="X491" s="15">
        <f>E491/detalle!$D$2</f>
        <v>30011.535037711263</v>
      </c>
      <c r="Y491" s="22" t="e">
        <f>F491/[1]detalle!$D$2</f>
        <v>#REF!</v>
      </c>
      <c r="AA491" s="14">
        <f>E491/(detalle!$D$2*1000000)</f>
        <v>3.001153503771126E-2</v>
      </c>
      <c r="AB491" s="14">
        <f>F491/(detalle!$D$2*1000000)</f>
        <v>3.5189939454509411E-4</v>
      </c>
      <c r="AC491" s="31">
        <f>354/641</f>
        <v>0.55226209048361929</v>
      </c>
      <c r="AD491" s="31">
        <f>1020/2694</f>
        <v>0.37861915367483295</v>
      </c>
      <c r="AE491" s="31">
        <f>241/529</f>
        <v>0.45557655954631382</v>
      </c>
      <c r="AF491" s="22">
        <f t="shared" si="104"/>
        <v>5</v>
      </c>
      <c r="AG491" s="12">
        <v>5019355</v>
      </c>
      <c r="AH491" s="12">
        <v>3058630</v>
      </c>
      <c r="AI491" s="20">
        <v>0</v>
      </c>
      <c r="AJ491" s="23">
        <f t="shared" si="105"/>
        <v>43277</v>
      </c>
      <c r="AK491" s="23">
        <f t="shared" si="109"/>
        <v>8077985</v>
      </c>
      <c r="AL491" s="28">
        <f>AK491/detalle!$D$2</f>
        <v>737007.52674211876</v>
      </c>
    </row>
    <row r="492" spans="1:38">
      <c r="A492" s="12">
        <v>491</v>
      </c>
      <c r="B492" s="19">
        <v>44381</v>
      </c>
      <c r="C492" s="12">
        <v>473</v>
      </c>
      <c r="D492" s="23">
        <f t="shared" si="101"/>
        <v>589</v>
      </c>
      <c r="E492" s="12">
        <v>329531</v>
      </c>
      <c r="F492" s="12">
        <v>3857</v>
      </c>
      <c r="G492" s="12">
        <v>270055</v>
      </c>
      <c r="H492" s="23">
        <f t="shared" si="97"/>
        <v>55619</v>
      </c>
      <c r="I492" s="23">
        <f t="shared" si="110"/>
        <v>3341</v>
      </c>
      <c r="J492" s="12">
        <v>1736653</v>
      </c>
      <c r="K492" s="23">
        <f t="shared" si="96"/>
        <v>1407122</v>
      </c>
      <c r="L492" s="23">
        <f t="shared" si="102"/>
        <v>729</v>
      </c>
      <c r="M492" s="14">
        <f t="shared" si="98"/>
        <v>1.1704513384173264E-2</v>
      </c>
      <c r="N492" s="14">
        <f t="shared" si="108"/>
        <v>0.17629452259802456</v>
      </c>
      <c r="O492" s="12"/>
      <c r="P492" s="12"/>
      <c r="Q492" s="12"/>
      <c r="R492" s="23">
        <f t="shared" si="99"/>
        <v>273912</v>
      </c>
      <c r="S492" s="25">
        <f>(((H492+R492)/(H491+R491))-1)+detalle!$D$1</f>
        <v>7.3219160650987575E-2</v>
      </c>
      <c r="T492" s="25">
        <f t="shared" si="103"/>
        <v>1.0250682491138261</v>
      </c>
      <c r="U492" s="10">
        <f t="shared" si="100"/>
        <v>0.81951318692323327</v>
      </c>
      <c r="V492" s="21">
        <f t="shared" si="107"/>
        <v>70.016852476017633</v>
      </c>
      <c r="W492" s="15">
        <f>J492/detalle!$D$2</f>
        <v>158446.23781045404</v>
      </c>
      <c r="X492" s="15">
        <f>E492/detalle!$D$2</f>
        <v>30065.273368897953</v>
      </c>
      <c r="Y492" s="22" t="e">
        <f>F492/[1]detalle!$D$2</f>
        <v>#REF!</v>
      </c>
      <c r="AA492" s="14">
        <f>E492/(detalle!$D$2*1000000)</f>
        <v>3.006527336889795E-2</v>
      </c>
      <c r="AB492" s="14">
        <f>F492/(detalle!$D$2*1000000)</f>
        <v>3.5189939454509411E-4</v>
      </c>
      <c r="AC492" s="31">
        <f>347/641</f>
        <v>0.54134165366614662</v>
      </c>
      <c r="AD492" s="31">
        <f>998/2694</f>
        <v>0.370452858203415</v>
      </c>
      <c r="AE492" s="31">
        <f>231/529</f>
        <v>0.43667296786389415</v>
      </c>
      <c r="AF492" s="22">
        <f t="shared" si="104"/>
        <v>0</v>
      </c>
      <c r="AG492" s="12">
        <v>5030094</v>
      </c>
      <c r="AH492" s="12">
        <v>3089408</v>
      </c>
      <c r="AI492" s="20">
        <v>0</v>
      </c>
      <c r="AJ492" s="23">
        <f t="shared" si="105"/>
        <v>41517</v>
      </c>
      <c r="AK492" s="23">
        <f t="shared" si="109"/>
        <v>8119502</v>
      </c>
      <c r="AL492" s="28">
        <f>AK492/detalle!$D$2</f>
        <v>740795.39481661411</v>
      </c>
    </row>
    <row r="493" spans="1:38">
      <c r="A493" s="12">
        <v>492</v>
      </c>
      <c r="B493" s="19">
        <v>44382</v>
      </c>
      <c r="C493" s="12">
        <v>474</v>
      </c>
      <c r="D493" s="23">
        <f t="shared" si="101"/>
        <v>713</v>
      </c>
      <c r="E493" s="12">
        <v>330244</v>
      </c>
      <c r="F493" s="12">
        <v>3866</v>
      </c>
      <c r="G493" s="12">
        <v>270897</v>
      </c>
      <c r="H493" s="23">
        <f t="shared" si="97"/>
        <v>55481</v>
      </c>
      <c r="I493" s="23">
        <f t="shared" si="110"/>
        <v>5245</v>
      </c>
      <c r="J493" s="12">
        <v>1741898</v>
      </c>
      <c r="K493" s="23">
        <f t="shared" si="96"/>
        <v>1411654</v>
      </c>
      <c r="L493" s="23">
        <f t="shared" si="102"/>
        <v>842</v>
      </c>
      <c r="M493" s="14">
        <f t="shared" si="98"/>
        <v>1.1706495803103159E-2</v>
      </c>
      <c r="N493" s="14">
        <f t="shared" si="108"/>
        <v>0.13593898951382269</v>
      </c>
      <c r="O493" s="12"/>
      <c r="P493" s="12"/>
      <c r="Q493" s="12"/>
      <c r="R493" s="23">
        <f t="shared" si="99"/>
        <v>274763</v>
      </c>
      <c r="S493" s="25">
        <f>(((H493+R493)/(H492+R492))-1)+detalle!$D$1</f>
        <v>7.3592252538998065E-2</v>
      </c>
      <c r="T493" s="25">
        <f t="shared" si="103"/>
        <v>1.030291535545973</v>
      </c>
      <c r="U493" s="10">
        <f t="shared" si="100"/>
        <v>0.82029347997238411</v>
      </c>
      <c r="V493" s="21">
        <f t="shared" si="107"/>
        <v>70.071650284531813</v>
      </c>
      <c r="W493" s="15">
        <f>J493/detalle!$D$2</f>
        <v>158924.77354402651</v>
      </c>
      <c r="X493" s="15">
        <f>E493/detalle!$D$2</f>
        <v>30130.325032966048</v>
      </c>
      <c r="Y493" s="22" t="e">
        <f>F493/[1]detalle!$D$2</f>
        <v>#REF!</v>
      </c>
      <c r="AA493" s="14">
        <f>E493/(detalle!$D$2*1000000)</f>
        <v>3.0130325032966049E-2</v>
      </c>
      <c r="AB493" s="14">
        <f>F493/(detalle!$D$2*1000000)</f>
        <v>3.5272052354455113E-4</v>
      </c>
      <c r="AC493" s="31">
        <f>348/645</f>
        <v>0.53953488372093028</v>
      </c>
      <c r="AD493" s="31">
        <f>967/2696</f>
        <v>0.35867952522255192</v>
      </c>
      <c r="AE493" s="31">
        <f>230/529</f>
        <v>0.43478260869565216</v>
      </c>
      <c r="AF493" s="22">
        <f t="shared" si="104"/>
        <v>9</v>
      </c>
      <c r="AG493" s="12">
        <v>5061730</v>
      </c>
      <c r="AH493" s="12">
        <v>3192086</v>
      </c>
      <c r="AI493" s="20">
        <v>0</v>
      </c>
      <c r="AJ493" s="23">
        <f t="shared" si="105"/>
        <v>134314</v>
      </c>
      <c r="AK493" s="23">
        <f t="shared" si="109"/>
        <v>8253816</v>
      </c>
      <c r="AL493" s="28">
        <f>AK493/detalle!$D$2</f>
        <v>753049.74153140013</v>
      </c>
    </row>
    <row r="494" spans="1:38">
      <c r="A494" s="12">
        <v>493</v>
      </c>
      <c r="B494" s="19">
        <v>44383</v>
      </c>
      <c r="C494" s="12">
        <v>475</v>
      </c>
      <c r="D494" s="23">
        <f t="shared" si="101"/>
        <v>697</v>
      </c>
      <c r="E494" s="12">
        <v>330941</v>
      </c>
      <c r="F494" s="12">
        <v>3870</v>
      </c>
      <c r="G494" s="12">
        <v>271753</v>
      </c>
      <c r="H494" s="23">
        <f t="shared" si="97"/>
        <v>55318</v>
      </c>
      <c r="I494" s="23">
        <f t="shared" si="110"/>
        <v>5084</v>
      </c>
      <c r="J494" s="12">
        <v>1746982</v>
      </c>
      <c r="K494" s="23">
        <f t="shared" si="96"/>
        <v>1416041</v>
      </c>
      <c r="L494" s="23">
        <f t="shared" si="102"/>
        <v>856</v>
      </c>
      <c r="M494" s="14">
        <f t="shared" si="98"/>
        <v>1.1693927316349439E-2</v>
      </c>
      <c r="N494" s="14">
        <f t="shared" si="108"/>
        <v>0.13709677419354838</v>
      </c>
      <c r="O494" s="12"/>
      <c r="P494" s="12"/>
      <c r="Q494" s="12"/>
      <c r="R494" s="23">
        <f t="shared" si="99"/>
        <v>275623</v>
      </c>
      <c r="S494" s="25">
        <f>(((H494+R494)/(H493+R493))-1)+detalle!$D$1</f>
        <v>7.3539132104919719E-2</v>
      </c>
      <c r="T494" s="25">
        <f t="shared" si="103"/>
        <v>1.0295478494688761</v>
      </c>
      <c r="U494" s="10">
        <f t="shared" si="100"/>
        <v>0.82115241085268975</v>
      </c>
      <c r="V494" s="21">
        <f t="shared" si="107"/>
        <v>70.22041343669251</v>
      </c>
      <c r="W494" s="15">
        <f>J494/detalle!$D$2</f>
        <v>159388.62019216426</v>
      </c>
      <c r="X494" s="15">
        <f>E494/detalle!$D$2</f>
        <v>30193.916912146222</v>
      </c>
      <c r="Y494" s="22" t="e">
        <f>F494/[1]detalle!$D$2</f>
        <v>#REF!</v>
      </c>
      <c r="AA494" s="14">
        <f>E494/(detalle!$D$2*1000000)</f>
        <v>3.0193916912146221E-2</v>
      </c>
      <c r="AB494" s="14">
        <f>F494/(detalle!$D$2*1000000)</f>
        <v>3.5308546976653204E-4</v>
      </c>
      <c r="AC494" s="31">
        <f>334/646</f>
        <v>0.51702786377708976</v>
      </c>
      <c r="AD494" s="31">
        <f>942/2690</f>
        <v>0.35018587360594794</v>
      </c>
      <c r="AE494" s="31">
        <f>217/529</f>
        <v>0.41020793950850659</v>
      </c>
      <c r="AF494" s="22">
        <f t="shared" si="104"/>
        <v>4</v>
      </c>
      <c r="AG494" s="12">
        <v>5097374</v>
      </c>
      <c r="AH494" s="12">
        <v>3299075</v>
      </c>
      <c r="AI494" s="20">
        <v>0</v>
      </c>
      <c r="AJ494" s="23">
        <f t="shared" si="105"/>
        <v>142633</v>
      </c>
      <c r="AK494" s="23">
        <f t="shared" si="109"/>
        <v>8396449</v>
      </c>
      <c r="AL494" s="28">
        <f>AK494/detalle!$D$2</f>
        <v>766063.08515135094</v>
      </c>
    </row>
    <row r="495" spans="1:38">
      <c r="A495" s="12">
        <v>494</v>
      </c>
      <c r="B495" s="19">
        <v>44384</v>
      </c>
      <c r="C495" s="12">
        <v>476</v>
      </c>
      <c r="D495" s="23">
        <f t="shared" si="101"/>
        <v>885</v>
      </c>
      <c r="E495" s="12">
        <v>331826</v>
      </c>
      <c r="F495" s="12">
        <v>3870</v>
      </c>
      <c r="G495" s="12">
        <v>272392</v>
      </c>
      <c r="H495" s="23">
        <f t="shared" si="97"/>
        <v>55564</v>
      </c>
      <c r="I495" s="23">
        <f t="shared" si="110"/>
        <v>5653</v>
      </c>
      <c r="J495" s="12">
        <v>1752635</v>
      </c>
      <c r="K495" s="23">
        <f t="shared" si="96"/>
        <v>1420809</v>
      </c>
      <c r="L495" s="23">
        <f t="shared" si="102"/>
        <v>639</v>
      </c>
      <c r="M495" s="14">
        <f t="shared" si="98"/>
        <v>1.1662738905329902E-2</v>
      </c>
      <c r="N495" s="14">
        <f t="shared" si="108"/>
        <v>0.156554042101539</v>
      </c>
      <c r="O495" s="12"/>
      <c r="P495" s="12"/>
      <c r="Q495" s="12"/>
      <c r="R495" s="23">
        <f t="shared" si="99"/>
        <v>276262</v>
      </c>
      <c r="S495" s="25">
        <f>(((H495+R495)/(H494+R494))-1)+detalle!$D$1</f>
        <v>7.4102764109442082E-2</v>
      </c>
      <c r="T495" s="25">
        <f t="shared" si="103"/>
        <v>1.0374386975321892</v>
      </c>
      <c r="U495" s="10">
        <f t="shared" si="100"/>
        <v>0.82088805578827462</v>
      </c>
      <c r="V495" s="21">
        <f t="shared" si="107"/>
        <v>70.385529715762274</v>
      </c>
      <c r="W495" s="15">
        <f>J495/detalle!$D$2</f>
        <v>159904.38044037879</v>
      </c>
      <c r="X495" s="15">
        <f>E495/detalle!$D$2</f>
        <v>30274.661263759499</v>
      </c>
      <c r="Y495" s="22" t="e">
        <f>F495/[1]detalle!$D$2</f>
        <v>#REF!</v>
      </c>
      <c r="AA495" s="14">
        <f>E495/(detalle!$D$2*1000000)</f>
        <v>3.0274661263759498E-2</v>
      </c>
      <c r="AB495" s="14">
        <f>F495/(detalle!$D$2*1000000)</f>
        <v>3.5308546976653204E-4</v>
      </c>
      <c r="AC495" s="31">
        <f>325/646</f>
        <v>0.50309597523219818</v>
      </c>
      <c r="AD495" s="31">
        <f>899/2688</f>
        <v>0.33444940476190477</v>
      </c>
      <c r="AE495" s="31">
        <f>212/529</f>
        <v>0.40075614366729678</v>
      </c>
      <c r="AF495" s="22">
        <f t="shared" si="104"/>
        <v>0</v>
      </c>
      <c r="AG495" s="12">
        <v>5131732</v>
      </c>
      <c r="AH495" s="12">
        <v>3403094</v>
      </c>
      <c r="AI495" s="12">
        <v>38113</v>
      </c>
      <c r="AJ495" s="23">
        <f t="shared" si="105"/>
        <v>176490</v>
      </c>
      <c r="AK495" s="23">
        <f t="shared" ref="AK495:AK526" si="111">AG495+AH495+AI495</f>
        <v>8572939</v>
      </c>
      <c r="AL495" s="28">
        <f>AK495/detalle!$D$2</f>
        <v>782165.42483070376</v>
      </c>
    </row>
    <row r="496" spans="1:38">
      <c r="A496" s="12">
        <v>495</v>
      </c>
      <c r="B496" s="19">
        <v>44385</v>
      </c>
      <c r="C496" s="12">
        <v>477</v>
      </c>
      <c r="D496" s="23">
        <f t="shared" si="101"/>
        <v>558</v>
      </c>
      <c r="E496" s="12">
        <v>332384</v>
      </c>
      <c r="F496" s="12">
        <v>3879</v>
      </c>
      <c r="G496" s="12">
        <v>272778</v>
      </c>
      <c r="H496" s="23">
        <f t="shared" si="97"/>
        <v>55727</v>
      </c>
      <c r="I496" s="23">
        <f t="shared" si="110"/>
        <v>3729</v>
      </c>
      <c r="J496" s="12">
        <v>1756364</v>
      </c>
      <c r="K496" s="23">
        <f t="shared" ref="K496:K559" si="112">J496-E496</f>
        <v>1423980</v>
      </c>
      <c r="L496" s="23">
        <f t="shared" si="102"/>
        <v>386</v>
      </c>
      <c r="M496" s="14">
        <f t="shared" si="98"/>
        <v>1.1670236834504669E-2</v>
      </c>
      <c r="N496" s="14">
        <f t="shared" si="108"/>
        <v>0.14963797264682221</v>
      </c>
      <c r="O496" s="12"/>
      <c r="P496" s="12"/>
      <c r="Q496" s="12"/>
      <c r="R496" s="23">
        <f t="shared" si="99"/>
        <v>276657</v>
      </c>
      <c r="S496" s="25">
        <f>(((H496+R496)/(H495+R495))-1)+detalle!$D$1</f>
        <v>7.3110175642828318E-2</v>
      </c>
      <c r="T496" s="25">
        <f t="shared" si="103"/>
        <v>1.0235424589995965</v>
      </c>
      <c r="U496" s="10">
        <f t="shared" si="100"/>
        <v>0.82067127178203525</v>
      </c>
      <c r="V496" s="21">
        <f t="shared" si="107"/>
        <v>70.321732405259084</v>
      </c>
      <c r="W496" s="15">
        <f>J496/detalle!$D$2</f>
        <v>160244.6015558205</v>
      </c>
      <c r="X496" s="15">
        <f>E496/detalle!$D$2</f>
        <v>30325.571261725836</v>
      </c>
      <c r="Y496" s="22" t="e">
        <f>F496/[1]detalle!$D$2</f>
        <v>#REF!</v>
      </c>
      <c r="AA496" s="14">
        <f>E496/(detalle!$D$2*1000000)</f>
        <v>3.0325571261725835E-2</v>
      </c>
      <c r="AB496" s="14">
        <f>F496/(detalle!$D$2*1000000)</f>
        <v>3.5390659876598907E-4</v>
      </c>
      <c r="AC496" s="31">
        <f>325/645</f>
        <v>0.50387596899224807</v>
      </c>
      <c r="AD496" s="31">
        <f>884/2687</f>
        <v>0.32899144026795685</v>
      </c>
      <c r="AE496" s="31">
        <f>208/529</f>
        <v>0.3931947069943289</v>
      </c>
      <c r="AF496" s="22">
        <f t="shared" si="104"/>
        <v>9</v>
      </c>
      <c r="AG496" s="12">
        <v>5165832</v>
      </c>
      <c r="AH496" s="12">
        <v>3469190</v>
      </c>
      <c r="AI496" s="12">
        <v>53501</v>
      </c>
      <c r="AJ496" s="23">
        <f t="shared" si="105"/>
        <v>115584</v>
      </c>
      <c r="AK496" s="23">
        <f t="shared" si="111"/>
        <v>8688523</v>
      </c>
      <c r="AL496" s="28">
        <f>AK496/detalle!$D$2</f>
        <v>792710.91086106421</v>
      </c>
    </row>
    <row r="497" spans="1:38">
      <c r="A497" s="12">
        <v>496</v>
      </c>
      <c r="B497" s="19">
        <v>44386</v>
      </c>
      <c r="C497" s="12">
        <v>478</v>
      </c>
      <c r="D497" s="23">
        <f t="shared" si="101"/>
        <v>669</v>
      </c>
      <c r="E497" s="12">
        <v>333053</v>
      </c>
      <c r="F497" s="12">
        <v>3889</v>
      </c>
      <c r="G497" s="12">
        <v>273391</v>
      </c>
      <c r="H497" s="23">
        <f t="shared" si="97"/>
        <v>55773</v>
      </c>
      <c r="I497" s="23">
        <f t="shared" si="110"/>
        <v>4452</v>
      </c>
      <c r="J497" s="12">
        <v>1760816</v>
      </c>
      <c r="K497" s="23">
        <f t="shared" si="112"/>
        <v>1427763</v>
      </c>
      <c r="L497" s="23">
        <f t="shared" si="102"/>
        <v>613</v>
      </c>
      <c r="M497" s="14">
        <f t="shared" si="98"/>
        <v>1.1676820205793073E-2</v>
      </c>
      <c r="N497" s="14">
        <f t="shared" si="108"/>
        <v>0.15026954177897575</v>
      </c>
      <c r="O497" s="12"/>
      <c r="P497" s="12"/>
      <c r="Q497" s="12"/>
      <c r="R497" s="23">
        <f t="shared" si="99"/>
        <v>277280</v>
      </c>
      <c r="S497" s="25">
        <f>(((H497+R497)/(H496+R496))-1)+detalle!$D$1</f>
        <v>7.3441303690052112E-2</v>
      </c>
      <c r="T497" s="25">
        <f t="shared" si="103"/>
        <v>1.0281782516607296</v>
      </c>
      <c r="U497" s="10">
        <f t="shared" si="100"/>
        <v>0.82086334607404832</v>
      </c>
      <c r="V497" s="21">
        <f t="shared" si="107"/>
        <v>70.298534327590644</v>
      </c>
      <c r="W497" s="15">
        <f>J497/detalle!$D$2</f>
        <v>160650.78670088525</v>
      </c>
      <c r="X497" s="15">
        <f>E497/detalle!$D$2</f>
        <v>30386.608517352146</v>
      </c>
      <c r="Y497" s="22" t="e">
        <f>F497/[1]detalle!$D$2</f>
        <v>#REF!</v>
      </c>
      <c r="AA497" s="14">
        <f>E497/(detalle!$D$2*1000000)</f>
        <v>3.0386608517352143E-2</v>
      </c>
      <c r="AB497" s="14">
        <f>F497/(detalle!$D$2*1000000)</f>
        <v>3.5481896432094137E-4</v>
      </c>
      <c r="AC497" s="31">
        <f>318/645</f>
        <v>0.49302325581395351</v>
      </c>
      <c r="AD497" s="31">
        <f>869/2659</f>
        <v>0.32681459195186158</v>
      </c>
      <c r="AE497" s="31">
        <f>198/529</f>
        <v>0.37429111531190928</v>
      </c>
      <c r="AF497" s="22">
        <f t="shared" si="104"/>
        <v>10</v>
      </c>
      <c r="AG497" s="12">
        <v>5198112</v>
      </c>
      <c r="AH497" s="12">
        <v>3515118</v>
      </c>
      <c r="AI497" s="12">
        <v>70613</v>
      </c>
      <c r="AJ497" s="23">
        <f t="shared" si="105"/>
        <v>95320</v>
      </c>
      <c r="AK497" s="23">
        <f t="shared" si="111"/>
        <v>8783843</v>
      </c>
      <c r="AL497" s="28">
        <f>AK497/detalle!$D$2</f>
        <v>801407.57933086925</v>
      </c>
    </row>
    <row r="498" spans="1:38">
      <c r="A498" s="12">
        <v>497</v>
      </c>
      <c r="B498" s="19">
        <v>44387</v>
      </c>
      <c r="C498" s="12">
        <v>479</v>
      </c>
      <c r="D498" s="23">
        <f t="shared" si="101"/>
        <v>628</v>
      </c>
      <c r="E498" s="12">
        <v>333681</v>
      </c>
      <c r="F498" s="12">
        <v>3892</v>
      </c>
      <c r="G498" s="12">
        <v>273945</v>
      </c>
      <c r="H498" s="23">
        <f t="shared" si="97"/>
        <v>55844</v>
      </c>
      <c r="I498" s="23">
        <f t="shared" si="110"/>
        <v>3780</v>
      </c>
      <c r="J498" s="12">
        <v>1764596</v>
      </c>
      <c r="K498" s="23">
        <f t="shared" si="112"/>
        <v>1430915</v>
      </c>
      <c r="L498" s="23">
        <f t="shared" si="102"/>
        <v>554</v>
      </c>
      <c r="M498" s="14">
        <f t="shared" si="98"/>
        <v>1.1663834620490829E-2</v>
      </c>
      <c r="N498" s="14">
        <f t="shared" si="108"/>
        <v>0.16613756613756614</v>
      </c>
      <c r="O498" s="12"/>
      <c r="P498" s="12"/>
      <c r="Q498" s="12"/>
      <c r="R498" s="23">
        <f t="shared" si="99"/>
        <v>277837</v>
      </c>
      <c r="S498" s="25">
        <f>(((H498+R498)/(H497+R497))-1)+detalle!$D$1</f>
        <v>7.3314157206210401E-2</v>
      </c>
      <c r="T498" s="25">
        <f t="shared" si="103"/>
        <v>1.0263982008869457</v>
      </c>
      <c r="U498" s="10">
        <f t="shared" si="100"/>
        <v>0.82097871919587873</v>
      </c>
      <c r="V498" s="21">
        <f t="shared" si="107"/>
        <v>70.386690647482013</v>
      </c>
      <c r="W498" s="15">
        <f>J498/detalle!$D$2</f>
        <v>160995.6608806572</v>
      </c>
      <c r="X498" s="15">
        <f>E498/detalle!$D$2</f>
        <v>30443.905074203147</v>
      </c>
      <c r="Y498" s="22" t="e">
        <f>F498/[1]detalle!$D$2</f>
        <v>#REF!</v>
      </c>
      <c r="AA498" s="14">
        <f>E498/(detalle!$D$2*1000000)</f>
        <v>3.0443905074203147E-2</v>
      </c>
      <c r="AB498" s="14">
        <f>F498/(detalle!$D$2*1000000)</f>
        <v>3.5509267398742706E-4</v>
      </c>
      <c r="AC498" s="31">
        <f>319/645</f>
        <v>0.49457364341085269</v>
      </c>
      <c r="AD498" s="31">
        <f>876/2659</f>
        <v>0.32944716058668672</v>
      </c>
      <c r="AE498" s="31">
        <f>204/529</f>
        <v>0.38563327032136108</v>
      </c>
      <c r="AF498" s="22">
        <f t="shared" si="104"/>
        <v>3</v>
      </c>
      <c r="AG498" s="12">
        <v>5217103</v>
      </c>
      <c r="AH498" s="12">
        <v>3536178</v>
      </c>
      <c r="AI498" s="12">
        <v>80334</v>
      </c>
      <c r="AJ498" s="23">
        <f t="shared" si="105"/>
        <v>49772</v>
      </c>
      <c r="AK498" s="23">
        <f t="shared" si="111"/>
        <v>8833615</v>
      </c>
      <c r="AL498" s="28">
        <f>AK498/detalle!$D$2</f>
        <v>805948.60517097777</v>
      </c>
    </row>
    <row r="499" spans="1:38">
      <c r="A499" s="12">
        <v>498</v>
      </c>
      <c r="B499" s="19">
        <v>44388</v>
      </c>
      <c r="C499" s="12">
        <v>480</v>
      </c>
      <c r="D499" s="23">
        <f t="shared" si="101"/>
        <v>863</v>
      </c>
      <c r="E499" s="12">
        <v>334544</v>
      </c>
      <c r="F499" s="12">
        <v>3893</v>
      </c>
      <c r="G499" s="12">
        <v>275595</v>
      </c>
      <c r="H499" s="23">
        <f t="shared" si="97"/>
        <v>55056</v>
      </c>
      <c r="I499" s="23">
        <f t="shared" si="110"/>
        <v>6139</v>
      </c>
      <c r="J499" s="12">
        <v>1770735</v>
      </c>
      <c r="K499" s="23">
        <f t="shared" si="112"/>
        <v>1436191</v>
      </c>
      <c r="L499" s="23">
        <f t="shared" si="102"/>
        <v>1650</v>
      </c>
      <c r="M499" s="14">
        <f t="shared" si="98"/>
        <v>1.1636735377110335E-2</v>
      </c>
      <c r="N499" s="14">
        <f t="shared" si="108"/>
        <v>0.14057664114676657</v>
      </c>
      <c r="O499" s="12"/>
      <c r="P499" s="12"/>
      <c r="Q499" s="12"/>
      <c r="R499" s="23">
        <f t="shared" si="99"/>
        <v>279488</v>
      </c>
      <c r="S499" s="25">
        <f>(((H499+R499)/(H498+R498))-1)+detalle!$D$1</f>
        <v>7.4014873915077911E-2</v>
      </c>
      <c r="T499" s="25">
        <f t="shared" si="103"/>
        <v>1.0362082348110908</v>
      </c>
      <c r="U499" s="10">
        <f t="shared" si="100"/>
        <v>0.82379298388253863</v>
      </c>
      <c r="V499" s="21">
        <f t="shared" si="107"/>
        <v>70.792447983560237</v>
      </c>
      <c r="W499" s="15">
        <f>J499/detalle!$D$2</f>
        <v>161555.76209484242</v>
      </c>
      <c r="X499" s="15">
        <f>E499/detalle!$D$2</f>
        <v>30522.642221595528</v>
      </c>
      <c r="Y499" s="22" t="e">
        <f>F499/[1]detalle!$D$2</f>
        <v>#REF!</v>
      </c>
      <c r="AA499" s="14">
        <f>E499/(detalle!$D$2*1000000)</f>
        <v>3.0522642221595529E-2</v>
      </c>
      <c r="AB499" s="14">
        <f>F499/(detalle!$D$2*1000000)</f>
        <v>3.5518391054292227E-4</v>
      </c>
      <c r="AC499" s="31">
        <f>319/645</f>
        <v>0.49457364341085269</v>
      </c>
      <c r="AD499" s="31">
        <f>867/2665</f>
        <v>0.32532833020637897</v>
      </c>
      <c r="AE499" s="31">
        <f>209/529</f>
        <v>0.39508506616257089</v>
      </c>
      <c r="AF499" s="22">
        <f t="shared" si="104"/>
        <v>1</v>
      </c>
      <c r="AG499" s="12">
        <v>5226733</v>
      </c>
      <c r="AH499" s="12">
        <v>3547663</v>
      </c>
      <c r="AI499" s="12">
        <v>85570</v>
      </c>
      <c r="AJ499" s="23">
        <f t="shared" si="105"/>
        <v>26351</v>
      </c>
      <c r="AK499" s="23">
        <f t="shared" si="111"/>
        <v>8859966</v>
      </c>
      <c r="AL499" s="28">
        <f>AK499/detalle!$D$2</f>
        <v>808352.77964483248</v>
      </c>
    </row>
    <row r="500" spans="1:38">
      <c r="A500" s="12">
        <v>499</v>
      </c>
      <c r="B500" s="19">
        <v>44389</v>
      </c>
      <c r="C500" s="12">
        <v>481</v>
      </c>
      <c r="D500" s="23">
        <f t="shared" si="101"/>
        <v>535</v>
      </c>
      <c r="E500" s="12">
        <v>335079</v>
      </c>
      <c r="F500" s="12">
        <v>3897</v>
      </c>
      <c r="G500" s="12">
        <v>276227</v>
      </c>
      <c r="H500" s="23">
        <f t="shared" si="97"/>
        <v>54955</v>
      </c>
      <c r="I500" s="23">
        <f t="shared" si="110"/>
        <v>4426</v>
      </c>
      <c r="J500" s="12">
        <v>1775161</v>
      </c>
      <c r="K500" s="23">
        <f t="shared" si="112"/>
        <v>1440082</v>
      </c>
      <c r="L500" s="23">
        <f t="shared" si="102"/>
        <v>632</v>
      </c>
      <c r="M500" s="14">
        <f t="shared" si="98"/>
        <v>1.1630093201901641E-2</v>
      </c>
      <c r="N500" s="14">
        <f t="shared" si="108"/>
        <v>0.12087663804789878</v>
      </c>
      <c r="O500" s="12"/>
      <c r="P500" s="12"/>
      <c r="Q500" s="12"/>
      <c r="R500" s="23">
        <f t="shared" si="99"/>
        <v>280124</v>
      </c>
      <c r="S500" s="25">
        <f>(((H500+R500)/(H499+R499))-1)+detalle!$D$1</f>
        <v>7.3027763164187603E-2</v>
      </c>
      <c r="T500" s="25">
        <f t="shared" si="103"/>
        <v>1.0223886842986265</v>
      </c>
      <c r="U500" s="10">
        <f t="shared" si="100"/>
        <v>0.82436380674408127</v>
      </c>
      <c r="V500" s="21">
        <f t="shared" si="107"/>
        <v>70.881960482422372</v>
      </c>
      <c r="W500" s="15">
        <f>J500/detalle!$D$2</f>
        <v>161959.57508946428</v>
      </c>
      <c r="X500" s="15">
        <f>E500/detalle!$D$2</f>
        <v>30571.453778785475</v>
      </c>
      <c r="Y500" s="22" t="e">
        <f>F500/[1]detalle!$D$2</f>
        <v>#REF!</v>
      </c>
      <c r="AA500" s="14">
        <f>E500/(detalle!$D$2*1000000)</f>
        <v>3.0571453778785476E-2</v>
      </c>
      <c r="AB500" s="14">
        <f>F500/(detalle!$D$2*1000000)</f>
        <v>3.5554885676490318E-4</v>
      </c>
      <c r="AC500" s="31">
        <f>310/645</f>
        <v>0.48062015503875971</v>
      </c>
      <c r="AD500" s="31">
        <f>824/2690</f>
        <v>0.30631970260223046</v>
      </c>
      <c r="AE500" s="31">
        <f>211/536</f>
        <v>0.39365671641791045</v>
      </c>
      <c r="AF500" s="22">
        <f t="shared" si="104"/>
        <v>4</v>
      </c>
      <c r="AG500" s="12">
        <v>5246674</v>
      </c>
      <c r="AH500" s="12">
        <v>3574258</v>
      </c>
      <c r="AI500" s="12">
        <v>103120</v>
      </c>
      <c r="AJ500" s="23">
        <f t="shared" si="105"/>
        <v>64086</v>
      </c>
      <c r="AK500" s="23">
        <f t="shared" si="111"/>
        <v>8924052</v>
      </c>
      <c r="AL500" s="28">
        <f>AK500/detalle!$D$2</f>
        <v>814199.7655402997</v>
      </c>
    </row>
    <row r="501" spans="1:38">
      <c r="A501" s="12">
        <v>500</v>
      </c>
      <c r="B501" s="19">
        <v>44390</v>
      </c>
      <c r="C501" s="12">
        <v>482</v>
      </c>
      <c r="D501" s="23">
        <f t="shared" si="101"/>
        <v>530</v>
      </c>
      <c r="E501" s="12">
        <v>335609</v>
      </c>
      <c r="F501" s="12">
        <v>3900</v>
      </c>
      <c r="G501" s="12">
        <v>276843</v>
      </c>
      <c r="H501" s="23">
        <f t="shared" si="97"/>
        <v>54866</v>
      </c>
      <c r="I501" s="23">
        <f t="shared" si="110"/>
        <v>4137</v>
      </c>
      <c r="J501" s="12">
        <v>1779298</v>
      </c>
      <c r="K501" s="23">
        <f t="shared" si="112"/>
        <v>1443689</v>
      </c>
      <c r="L501" s="23">
        <f t="shared" si="102"/>
        <v>616</v>
      </c>
      <c r="M501" s="14">
        <f t="shared" si="98"/>
        <v>1.1620665715162584E-2</v>
      </c>
      <c r="N501" s="14">
        <f t="shared" si="108"/>
        <v>0.12811215856901137</v>
      </c>
      <c r="O501" s="12"/>
      <c r="P501" s="12"/>
      <c r="Q501" s="12"/>
      <c r="R501" s="23">
        <f t="shared" si="99"/>
        <v>280743</v>
      </c>
      <c r="S501" s="25">
        <f>(((H501+R501)/(H500+R500))-1)+detalle!$D$1</f>
        <v>7.3010287978996918E-2</v>
      </c>
      <c r="T501" s="25">
        <f t="shared" si="103"/>
        <v>1.0221440317059569</v>
      </c>
      <c r="U501" s="10">
        <f t="shared" si="100"/>
        <v>0.82489742527762966</v>
      </c>
      <c r="V501" s="21">
        <f t="shared" si="107"/>
        <v>70.985384615384618</v>
      </c>
      <c r="W501" s="15">
        <f>J501/detalle!$D$2</f>
        <v>162337.02071954805</v>
      </c>
      <c r="X501" s="15">
        <f>E501/detalle!$D$2</f>
        <v>30619.809153197948</v>
      </c>
      <c r="Y501" s="22" t="e">
        <f>F501/[1]detalle!$D$2</f>
        <v>#REF!</v>
      </c>
      <c r="AA501" s="14">
        <f>E501/(detalle!$D$2*1000000)</f>
        <v>3.0619809153197945E-2</v>
      </c>
      <c r="AB501" s="14">
        <f>F501/(detalle!$D$2*1000000)</f>
        <v>3.5582256643138888E-4</v>
      </c>
      <c r="AC501" s="31">
        <f>301/635</f>
        <v>0.47401574803149604</v>
      </c>
      <c r="AD501" s="31">
        <f>802/2705</f>
        <v>0.2964879852125693</v>
      </c>
      <c r="AE501" s="31">
        <f>185/522</f>
        <v>0.35440613026819923</v>
      </c>
      <c r="AF501" s="22">
        <f t="shared" si="104"/>
        <v>3</v>
      </c>
      <c r="AG501" s="12">
        <v>5271104</v>
      </c>
      <c r="AH501" s="12">
        <v>3604070</v>
      </c>
      <c r="AI501" s="12">
        <v>123334</v>
      </c>
      <c r="AJ501" s="23">
        <f t="shared" si="105"/>
        <v>74456</v>
      </c>
      <c r="AK501" s="23">
        <f t="shared" si="111"/>
        <v>8998508</v>
      </c>
      <c r="AL501" s="28">
        <f>AK501/detalle!$D$2</f>
        <v>820992.87451625243</v>
      </c>
    </row>
    <row r="502" spans="1:38">
      <c r="A502" s="12">
        <v>501</v>
      </c>
      <c r="B502" s="19">
        <v>44391</v>
      </c>
      <c r="C502" s="12">
        <v>483</v>
      </c>
      <c r="D502" s="23">
        <f t="shared" si="101"/>
        <v>535</v>
      </c>
      <c r="E502" s="12">
        <v>336144</v>
      </c>
      <c r="F502" s="12">
        <v>3907</v>
      </c>
      <c r="G502" s="12">
        <v>277426</v>
      </c>
      <c r="H502" s="23">
        <f t="shared" si="97"/>
        <v>54811</v>
      </c>
      <c r="I502" s="23">
        <f t="shared" si="110"/>
        <v>3870</v>
      </c>
      <c r="J502" s="12">
        <v>1783168</v>
      </c>
      <c r="K502" s="23">
        <f t="shared" si="112"/>
        <v>1447024</v>
      </c>
      <c r="L502" s="23">
        <f t="shared" si="102"/>
        <v>583</v>
      </c>
      <c r="M502" s="14">
        <f t="shared" si="98"/>
        <v>1.1622994906944642E-2</v>
      </c>
      <c r="N502" s="14">
        <f t="shared" si="108"/>
        <v>0.13824289405684753</v>
      </c>
      <c r="O502" s="12"/>
      <c r="P502" s="12"/>
      <c r="Q502" s="12"/>
      <c r="R502" s="23">
        <f t="shared" si="99"/>
        <v>281333</v>
      </c>
      <c r="S502" s="25">
        <f>(((H502+R502)/(H501+R501))-1)+detalle!$D$1</f>
        <v>7.3022688392061746E-2</v>
      </c>
      <c r="T502" s="25">
        <f t="shared" si="103"/>
        <v>1.0223176374888645</v>
      </c>
      <c r="U502" s="10">
        <f t="shared" si="100"/>
        <v>0.8253189109429292</v>
      </c>
      <c r="V502" s="21">
        <f t="shared" si="107"/>
        <v>71.007422574865629</v>
      </c>
      <c r="W502" s="15">
        <f>J502/detalle!$D$2</f>
        <v>162690.10618931457</v>
      </c>
      <c r="X502" s="15">
        <f>E502/detalle!$D$2</f>
        <v>30668.620710387895</v>
      </c>
      <c r="Y502" s="22" t="e">
        <f>F502/[1]detalle!$D$2</f>
        <v>#REF!</v>
      </c>
      <c r="AA502" s="14">
        <f>E502/(detalle!$D$2*1000000)</f>
        <v>3.0668620710387891E-2</v>
      </c>
      <c r="AB502" s="14">
        <f>F502/(detalle!$D$2*1000000)</f>
        <v>3.5646122231985548E-4</v>
      </c>
      <c r="AC502" s="31">
        <f>287/633</f>
        <v>0.45339652448657186</v>
      </c>
      <c r="AD502" s="31">
        <f>800/2691</f>
        <v>0.29728725380899296</v>
      </c>
      <c r="AE502" s="31">
        <f>187/522</f>
        <v>0.35823754789272033</v>
      </c>
      <c r="AF502" s="22">
        <f t="shared" si="104"/>
        <v>7</v>
      </c>
      <c r="AG502" s="12">
        <v>5294786</v>
      </c>
      <c r="AH502" s="12">
        <v>3629728</v>
      </c>
      <c r="AI502" s="12">
        <v>141637</v>
      </c>
      <c r="AJ502" s="23">
        <f t="shared" si="105"/>
        <v>67643</v>
      </c>
      <c r="AK502" s="23">
        <f t="shared" si="111"/>
        <v>9066151</v>
      </c>
      <c r="AL502" s="28">
        <f>AK502/detalle!$D$2</f>
        <v>827164.38883961609</v>
      </c>
    </row>
    <row r="503" spans="1:38">
      <c r="A503" s="12">
        <v>502</v>
      </c>
      <c r="B503" s="19">
        <v>44392</v>
      </c>
      <c r="C503" s="12">
        <v>484</v>
      </c>
      <c r="D503" s="23">
        <f t="shared" si="101"/>
        <v>549</v>
      </c>
      <c r="E503" s="12">
        <v>336693</v>
      </c>
      <c r="F503" s="12">
        <v>3910</v>
      </c>
      <c r="G503" s="12">
        <v>277978</v>
      </c>
      <c r="H503" s="23">
        <f t="shared" si="97"/>
        <v>54805</v>
      </c>
      <c r="I503" s="23">
        <f t="shared" si="110"/>
        <v>4817</v>
      </c>
      <c r="J503" s="12">
        <v>1787985</v>
      </c>
      <c r="K503" s="23">
        <f t="shared" si="112"/>
        <v>1451292</v>
      </c>
      <c r="L503" s="23">
        <f t="shared" si="102"/>
        <v>552</v>
      </c>
      <c r="M503" s="14">
        <f t="shared" si="98"/>
        <v>1.1612953046246878E-2</v>
      </c>
      <c r="N503" s="14">
        <f t="shared" si="108"/>
        <v>0.11397135146356653</v>
      </c>
      <c r="O503" s="12"/>
      <c r="P503" s="12"/>
      <c r="Q503" s="12"/>
      <c r="R503" s="23">
        <f t="shared" si="99"/>
        <v>281888</v>
      </c>
      <c r="S503" s="25">
        <f>(((H503+R503)/(H502+R502))-1)+detalle!$D$1</f>
        <v>7.3061800044878639E-2</v>
      </c>
      <c r="T503" s="25">
        <f t="shared" si="103"/>
        <v>1.022865200628301</v>
      </c>
      <c r="U503" s="10">
        <f t="shared" si="100"/>
        <v>0.82561265009964568</v>
      </c>
      <c r="V503" s="21">
        <f t="shared" si="107"/>
        <v>71.094117647058823</v>
      </c>
      <c r="W503" s="15">
        <f>J503/detalle!$D$2</f>
        <v>163129.59267713508</v>
      </c>
      <c r="X503" s="15">
        <f>E503/detalle!$D$2</f>
        <v>30718.709579354774</v>
      </c>
      <c r="Y503" s="22" t="e">
        <f>F503/[1]detalle!$D$2</f>
        <v>#REF!</v>
      </c>
      <c r="AA503" s="14">
        <f>E503/(detalle!$D$2*1000000)</f>
        <v>3.0718709579354773E-2</v>
      </c>
      <c r="AB503" s="14">
        <f>F503/(detalle!$D$2*1000000)</f>
        <v>3.5673493198634117E-4</v>
      </c>
      <c r="AC503" s="31">
        <f>273/631</f>
        <v>0.43264659270998418</v>
      </c>
      <c r="AD503" s="31">
        <f>784/2683</f>
        <v>0.29221021244875139</v>
      </c>
      <c r="AE503" s="31">
        <f>182/519</f>
        <v>0.35067437379576105</v>
      </c>
      <c r="AF503" s="22">
        <f t="shared" si="104"/>
        <v>3</v>
      </c>
      <c r="AG503" s="12">
        <v>5316275</v>
      </c>
      <c r="AH503" s="12">
        <v>3657968</v>
      </c>
      <c r="AI503" s="12">
        <v>158614</v>
      </c>
      <c r="AJ503" s="23">
        <f t="shared" si="105"/>
        <v>66706</v>
      </c>
      <c r="AK503" s="23">
        <f t="shared" si="111"/>
        <v>9132857</v>
      </c>
      <c r="AL503" s="28">
        <f>AK503/detalle!$D$2</f>
        <v>833250.41451048083</v>
      </c>
    </row>
    <row r="504" spans="1:38">
      <c r="A504" s="12">
        <v>503</v>
      </c>
      <c r="B504" s="19">
        <v>44393</v>
      </c>
      <c r="C504" s="12">
        <v>485</v>
      </c>
      <c r="D504" s="23">
        <f t="shared" si="101"/>
        <v>454</v>
      </c>
      <c r="E504" s="12">
        <v>337147</v>
      </c>
      <c r="F504" s="12">
        <v>3915</v>
      </c>
      <c r="G504" s="12">
        <v>278707</v>
      </c>
      <c r="H504" s="23">
        <f t="shared" si="97"/>
        <v>54525</v>
      </c>
      <c r="I504" s="23">
        <f t="shared" si="110"/>
        <v>4599</v>
      </c>
      <c r="J504" s="12">
        <v>1792584</v>
      </c>
      <c r="K504" s="23">
        <f t="shared" si="112"/>
        <v>1455437</v>
      </c>
      <c r="L504" s="23">
        <f t="shared" si="102"/>
        <v>729</v>
      </c>
      <c r="M504" s="14">
        <f t="shared" si="98"/>
        <v>1.1612145443975477E-2</v>
      </c>
      <c r="N504" s="14">
        <f t="shared" si="108"/>
        <v>9.8717112415742547E-2</v>
      </c>
      <c r="O504" s="12"/>
      <c r="P504" s="12"/>
      <c r="Q504" s="12"/>
      <c r="R504" s="23">
        <f t="shared" si="99"/>
        <v>282622</v>
      </c>
      <c r="S504" s="25">
        <f>(((H504+R504)/(H503+R503))-1)+detalle!$D$1</f>
        <v>7.2776980810411757E-2</v>
      </c>
      <c r="T504" s="25">
        <f t="shared" si="103"/>
        <v>1.0188777313457646</v>
      </c>
      <c r="U504" s="10">
        <f t="shared" si="100"/>
        <v>0.82666314693590626</v>
      </c>
      <c r="V504" s="21">
        <f t="shared" si="107"/>
        <v>71.189527458492975</v>
      </c>
      <c r="W504" s="15">
        <f>J504/detalle!$D$2</f>
        <v>163549.18959585764</v>
      </c>
      <c r="X504" s="15">
        <f>E504/detalle!$D$2</f>
        <v>30760.130975549608</v>
      </c>
      <c r="Y504" s="22" t="e">
        <f>F504/[1]detalle!$D$2</f>
        <v>#REF!</v>
      </c>
      <c r="AA504" s="14">
        <f>E504/(detalle!$D$2*1000000)</f>
        <v>3.0760130975549606E-2</v>
      </c>
      <c r="AB504" s="14">
        <f>F504/(detalle!$D$2*1000000)</f>
        <v>3.5719111476381729E-4</v>
      </c>
      <c r="AC504" s="31">
        <f>261/631</f>
        <v>0.41362916006339145</v>
      </c>
      <c r="AD504" s="31">
        <f>765/2683</f>
        <v>0.28512858740216174</v>
      </c>
      <c r="AE504" s="31">
        <f>172/519</f>
        <v>0.33140655105973027</v>
      </c>
      <c r="AF504" s="22">
        <f t="shared" si="104"/>
        <v>5</v>
      </c>
      <c r="AG504" s="12">
        <v>5336442</v>
      </c>
      <c r="AH504" s="12">
        <v>3692082</v>
      </c>
      <c r="AI504" s="12">
        <v>173259</v>
      </c>
      <c r="AJ504" s="23">
        <f t="shared" si="105"/>
        <v>68926</v>
      </c>
      <c r="AK504" s="23">
        <f t="shared" si="111"/>
        <v>9201783</v>
      </c>
      <c r="AL504" s="28">
        <f>AK504/detalle!$D$2</f>
        <v>839538.98533454491</v>
      </c>
    </row>
    <row r="505" spans="1:38">
      <c r="A505" s="12">
        <v>504</v>
      </c>
      <c r="B505" s="19">
        <v>44394</v>
      </c>
      <c r="C505" s="12">
        <v>486</v>
      </c>
      <c r="D505" s="23">
        <f t="shared" si="101"/>
        <v>428</v>
      </c>
      <c r="E505" s="12">
        <v>337575</v>
      </c>
      <c r="F505" s="12">
        <v>3916</v>
      </c>
      <c r="G505" s="12">
        <v>279714</v>
      </c>
      <c r="H505" s="23">
        <f t="shared" si="97"/>
        <v>53945</v>
      </c>
      <c r="I505" s="23">
        <f t="shared" si="110"/>
        <v>4077</v>
      </c>
      <c r="J505" s="12">
        <v>1796661</v>
      </c>
      <c r="K505" s="23">
        <f t="shared" si="112"/>
        <v>1459086</v>
      </c>
      <c r="L505" s="23">
        <f t="shared" si="102"/>
        <v>1007</v>
      </c>
      <c r="M505" s="14">
        <f t="shared" si="98"/>
        <v>1.1600385099607495E-2</v>
      </c>
      <c r="N505" s="14">
        <f t="shared" si="108"/>
        <v>0.10497915133676723</v>
      </c>
      <c r="O505" s="12"/>
      <c r="P505" s="12"/>
      <c r="Q505" s="12"/>
      <c r="R505" s="23">
        <f t="shared" si="99"/>
        <v>283630</v>
      </c>
      <c r="S505" s="25">
        <f>(((H505+R505)/(H504+R504))-1)+detalle!$D$1</f>
        <v>7.2698047354502943E-2</v>
      </c>
      <c r="T505" s="25">
        <f t="shared" si="103"/>
        <v>1.0177726629630413</v>
      </c>
      <c r="U505" s="10">
        <f t="shared" si="100"/>
        <v>0.82859808931348589</v>
      </c>
      <c r="V505" s="21">
        <f t="shared" si="107"/>
        <v>71.428498467824312</v>
      </c>
      <c r="W505" s="15">
        <f>J505/detalle!$D$2</f>
        <v>163921.16103261168</v>
      </c>
      <c r="X505" s="15">
        <f>E505/detalle!$D$2</f>
        <v>30799.180221301565</v>
      </c>
      <c r="Y505" s="22" t="e">
        <f>F505/[1]detalle!$D$2</f>
        <v>#REF!</v>
      </c>
      <c r="AA505" s="14">
        <f>E505/(detalle!$D$2*1000000)</f>
        <v>3.0799180221301563E-2</v>
      </c>
      <c r="AB505" s="14">
        <f>F505/(detalle!$D$2*1000000)</f>
        <v>3.5728235131931251E-4</v>
      </c>
      <c r="AC505" s="31">
        <f>264/631</f>
        <v>0.41838351822503961</v>
      </c>
      <c r="AD505" s="31">
        <f>728/2677</f>
        <v>0.27194620844228612</v>
      </c>
      <c r="AE505" s="31">
        <f>170/519</f>
        <v>0.32755298651252407</v>
      </c>
      <c r="AF505" s="22">
        <f t="shared" si="104"/>
        <v>1</v>
      </c>
      <c r="AG505" s="12">
        <v>5346011</v>
      </c>
      <c r="AH505" s="12">
        <v>3713656</v>
      </c>
      <c r="AI505" s="12">
        <v>186964</v>
      </c>
      <c r="AJ505" s="23">
        <f t="shared" si="105"/>
        <v>44848</v>
      </c>
      <c r="AK505" s="23">
        <f t="shared" si="111"/>
        <v>9246631</v>
      </c>
      <c r="AL505" s="28">
        <f>AK505/detalle!$D$2</f>
        <v>843630.76237539481</v>
      </c>
    </row>
    <row r="506" spans="1:38">
      <c r="A506" s="12">
        <v>505</v>
      </c>
      <c r="B506" s="19">
        <v>44395</v>
      </c>
      <c r="C506" s="12">
        <v>487</v>
      </c>
      <c r="D506" s="23">
        <f t="shared" si="101"/>
        <v>163</v>
      </c>
      <c r="E506" s="12">
        <v>337738</v>
      </c>
      <c r="F506" s="12">
        <v>3916</v>
      </c>
      <c r="G506" s="12">
        <v>280241</v>
      </c>
      <c r="H506" s="23">
        <f t="shared" si="97"/>
        <v>53581</v>
      </c>
      <c r="I506" s="23">
        <f t="shared" si="110"/>
        <v>1511</v>
      </c>
      <c r="J506" s="12">
        <v>1798172</v>
      </c>
      <c r="K506" s="23">
        <f t="shared" si="112"/>
        <v>1460434</v>
      </c>
      <c r="L506" s="23">
        <f t="shared" si="102"/>
        <v>527</v>
      </c>
      <c r="M506" s="14">
        <f t="shared" si="98"/>
        <v>1.159478649130391E-2</v>
      </c>
      <c r="N506" s="14">
        <f t="shared" si="108"/>
        <v>0.10787557908669755</v>
      </c>
      <c r="O506" s="12"/>
      <c r="P506" s="12"/>
      <c r="Q506" s="12"/>
      <c r="R506" s="23">
        <f t="shared" si="99"/>
        <v>284157</v>
      </c>
      <c r="S506" s="25">
        <f>(((H506+R506)/(H505+R505))-1)+detalle!$D$1</f>
        <v>7.1911427090276342E-2</v>
      </c>
      <c r="T506" s="25">
        <f t="shared" si="103"/>
        <v>1.0067599792638688</v>
      </c>
      <c r="U506" s="10">
        <f t="shared" si="100"/>
        <v>0.82975857025268107</v>
      </c>
      <c r="V506" s="21">
        <f t="shared" si="107"/>
        <v>71.563074565883554</v>
      </c>
      <c r="W506" s="15">
        <f>J506/detalle!$D$2</f>
        <v>164059.01946796497</v>
      </c>
      <c r="X506" s="15">
        <f>E506/detalle!$D$2</f>
        <v>30814.051779847287</v>
      </c>
      <c r="Y506" s="22" t="e">
        <f>F506/[1]detalle!$D$2</f>
        <v>#REF!</v>
      </c>
      <c r="AA506" s="14">
        <f>E506/(detalle!$D$2*1000000)</f>
        <v>3.0814051779847286E-2</v>
      </c>
      <c r="AB506" s="14">
        <f>F506/(detalle!$D$2*1000000)</f>
        <v>3.5728235131931251E-4</v>
      </c>
      <c r="AC506" s="31">
        <f>263/631</f>
        <v>0.41679873217115687</v>
      </c>
      <c r="AD506" s="31">
        <f>723/2677</f>
        <v>0.27007844602166603</v>
      </c>
      <c r="AE506" s="31">
        <f>167/519</f>
        <v>0.32177263969171482</v>
      </c>
      <c r="AF506" s="22">
        <f t="shared" si="104"/>
        <v>0</v>
      </c>
      <c r="AG506" s="12">
        <v>5350169</v>
      </c>
      <c r="AH506" s="12">
        <v>3723277</v>
      </c>
      <c r="AI506" s="12">
        <v>190383</v>
      </c>
      <c r="AJ506" s="23">
        <f t="shared" si="105"/>
        <v>17198</v>
      </c>
      <c r="AK506" s="23">
        <f t="shared" si="111"/>
        <v>9263829</v>
      </c>
      <c r="AL506" s="28">
        <f>AK506/detalle!$D$2</f>
        <v>845199.84865680174</v>
      </c>
    </row>
    <row r="507" spans="1:38">
      <c r="A507" s="12">
        <v>506</v>
      </c>
      <c r="B507" s="19">
        <v>44396</v>
      </c>
      <c r="C507" s="12">
        <v>488</v>
      </c>
      <c r="D507" s="23">
        <f t="shared" si="101"/>
        <v>237</v>
      </c>
      <c r="E507" s="12">
        <v>337975</v>
      </c>
      <c r="F507" s="12">
        <v>3928</v>
      </c>
      <c r="G507" s="12">
        <v>280645</v>
      </c>
      <c r="H507" s="23">
        <f t="shared" si="97"/>
        <v>53402</v>
      </c>
      <c r="I507" s="23">
        <f t="shared" si="110"/>
        <v>2437</v>
      </c>
      <c r="J507" s="12">
        <v>1800609</v>
      </c>
      <c r="K507" s="23">
        <f t="shared" si="112"/>
        <v>1462634</v>
      </c>
      <c r="L507" s="23">
        <f t="shared" si="102"/>
        <v>404</v>
      </c>
      <c r="M507" s="14">
        <f t="shared" si="98"/>
        <v>1.1622161402470597E-2</v>
      </c>
      <c r="N507" s="14">
        <f t="shared" si="108"/>
        <v>9.7250718096019692E-2</v>
      </c>
      <c r="O507" s="12"/>
      <c r="P507" s="12"/>
      <c r="Q507" s="12"/>
      <c r="R507" s="23">
        <f t="shared" si="99"/>
        <v>284573</v>
      </c>
      <c r="S507" s="25">
        <f>(((H507+R507)/(H506+R506))-1)+detalle!$D$1</f>
        <v>7.2130298803045029E-2</v>
      </c>
      <c r="T507" s="25">
        <f t="shared" si="103"/>
        <v>1.0098241832426305</v>
      </c>
      <c r="U507" s="10">
        <f t="shared" si="100"/>
        <v>0.83037206894001037</v>
      </c>
      <c r="V507" s="21">
        <f t="shared" si="107"/>
        <v>71.447301425661919</v>
      </c>
      <c r="W507" s="15">
        <f>J507/detalle!$D$2</f>
        <v>164281.36295370685</v>
      </c>
      <c r="X507" s="15">
        <f>E507/detalle!$D$2</f>
        <v>30835.674843499655</v>
      </c>
      <c r="Y507" s="22" t="e">
        <f>F507/[1]detalle!$D$2</f>
        <v>#REF!</v>
      </c>
      <c r="AA507" s="14">
        <f>E507/(detalle!$D$2*1000000)</f>
        <v>3.0835674843499656E-2</v>
      </c>
      <c r="AB507" s="14">
        <f>F507/(detalle!$D$2*1000000)</f>
        <v>3.5837718998525528E-4</v>
      </c>
      <c r="AC507" s="31">
        <f>252/633</f>
        <v>0.3981042654028436</v>
      </c>
      <c r="AD507" s="31">
        <f>706/2679</f>
        <v>0.26353116834639789</v>
      </c>
      <c r="AE507" s="31">
        <f>169/519</f>
        <v>0.32562620423892102</v>
      </c>
      <c r="AF507" s="22">
        <f t="shared" si="104"/>
        <v>12</v>
      </c>
      <c r="AG507" s="12">
        <v>5369886</v>
      </c>
      <c r="AH507" s="12">
        <v>3780347</v>
      </c>
      <c r="AI507" s="12">
        <v>205970</v>
      </c>
      <c r="AJ507" s="23">
        <f t="shared" si="105"/>
        <v>92374</v>
      </c>
      <c r="AK507" s="23">
        <f t="shared" si="111"/>
        <v>9356203</v>
      </c>
      <c r="AL507" s="28">
        <f>AK507/detalle!$D$2</f>
        <v>853627.7342341179</v>
      </c>
    </row>
    <row r="508" spans="1:38">
      <c r="A508" s="12">
        <v>507</v>
      </c>
      <c r="B508" s="19">
        <v>44397</v>
      </c>
      <c r="C508" s="12">
        <v>489</v>
      </c>
      <c r="D508" s="23">
        <f t="shared" si="101"/>
        <v>316</v>
      </c>
      <c r="E508" s="12">
        <v>338291</v>
      </c>
      <c r="F508" s="12">
        <v>3929</v>
      </c>
      <c r="G508" s="12">
        <v>282841</v>
      </c>
      <c r="H508" s="23">
        <f t="shared" si="97"/>
        <v>51521</v>
      </c>
      <c r="I508" s="23">
        <f t="shared" si="110"/>
        <v>2696</v>
      </c>
      <c r="J508" s="12">
        <v>1803305</v>
      </c>
      <c r="K508" s="23">
        <f t="shared" si="112"/>
        <v>1465014</v>
      </c>
      <c r="L508" s="23">
        <f t="shared" si="102"/>
        <v>2196</v>
      </c>
      <c r="M508" s="14">
        <f t="shared" si="98"/>
        <v>1.1614261094737963E-2</v>
      </c>
      <c r="N508" s="14">
        <f t="shared" si="108"/>
        <v>0.1172106824925816</v>
      </c>
      <c r="O508" s="12"/>
      <c r="P508" s="12"/>
      <c r="Q508" s="12"/>
      <c r="R508" s="23">
        <f t="shared" si="99"/>
        <v>286770</v>
      </c>
      <c r="S508" s="25">
        <f>(((H508+R508)/(H507+R507))-1)+detalle!$D$1</f>
        <v>7.2363551826529787E-2</v>
      </c>
      <c r="T508" s="25">
        <f t="shared" si="103"/>
        <v>1.0130897255714171</v>
      </c>
      <c r="U508" s="10">
        <f t="shared" si="100"/>
        <v>0.83608786518116063</v>
      </c>
      <c r="V508" s="21">
        <f t="shared" si="107"/>
        <v>71.988037668617963</v>
      </c>
      <c r="W508" s="15">
        <f>J508/detalle!$D$2</f>
        <v>164527.33670732199</v>
      </c>
      <c r="X508" s="15">
        <f>E508/detalle!$D$2</f>
        <v>30864.505595036149</v>
      </c>
      <c r="Y508" s="15">
        <f>F508/detalle!$D$2</f>
        <v>358.4684265407505</v>
      </c>
      <c r="AA508" s="14">
        <f>E508/(detalle!$D$2*1000000)</f>
        <v>3.0864505595036146E-2</v>
      </c>
      <c r="AB508" s="14">
        <f>F508/(detalle!$D$2*1000000)</f>
        <v>3.584684265407505E-4</v>
      </c>
      <c r="AC508" s="31">
        <f>246/638</f>
        <v>0.38557993730407525</v>
      </c>
      <c r="AD508" s="31">
        <f>723/2681</f>
        <v>0.26967549421857517</v>
      </c>
      <c r="AE508" s="31">
        <f>159/519</f>
        <v>0.30635838150289019</v>
      </c>
      <c r="AF508" s="22">
        <f t="shared" si="104"/>
        <v>1</v>
      </c>
      <c r="AG508" s="12">
        <v>5390472</v>
      </c>
      <c r="AH508" s="12">
        <v>3836969</v>
      </c>
      <c r="AI508" s="12">
        <v>221696</v>
      </c>
      <c r="AJ508" s="23">
        <f t="shared" si="105"/>
        <v>92934</v>
      </c>
      <c r="AK508" s="23">
        <f t="shared" si="111"/>
        <v>9449137</v>
      </c>
      <c r="AL508" s="28">
        <f>AK508/detalle!$D$2</f>
        <v>862106.71228251152</v>
      </c>
    </row>
    <row r="509" spans="1:38">
      <c r="A509" s="12">
        <v>508</v>
      </c>
      <c r="B509" s="19">
        <v>44398</v>
      </c>
      <c r="C509" s="12">
        <v>490</v>
      </c>
      <c r="D509" s="23">
        <f t="shared" si="101"/>
        <v>611</v>
      </c>
      <c r="E509" s="12">
        <v>338902</v>
      </c>
      <c r="F509" s="12">
        <v>3931</v>
      </c>
      <c r="G509" s="12">
        <v>287607</v>
      </c>
      <c r="H509" s="23">
        <f t="shared" si="97"/>
        <v>47364</v>
      </c>
      <c r="I509" s="23">
        <f t="shared" si="110"/>
        <v>5328</v>
      </c>
      <c r="J509" s="12">
        <v>1808633</v>
      </c>
      <c r="K509" s="23">
        <f t="shared" si="112"/>
        <v>1469731</v>
      </c>
      <c r="L509" s="23">
        <f t="shared" si="102"/>
        <v>4766</v>
      </c>
      <c r="M509" s="14">
        <f t="shared" si="98"/>
        <v>1.1599223374308798E-2</v>
      </c>
      <c r="N509" s="14">
        <f t="shared" si="108"/>
        <v>0.11467717717717718</v>
      </c>
      <c r="O509" s="12"/>
      <c r="P509" s="12"/>
      <c r="Q509" s="12"/>
      <c r="R509" s="23">
        <f t="shared" si="99"/>
        <v>291538</v>
      </c>
      <c r="S509" s="25">
        <f>(((H509+R509)/(H508+R508))-1)+detalle!$D$1</f>
        <v>7.3234708748216387E-2</v>
      </c>
      <c r="T509" s="25">
        <f t="shared" si="103"/>
        <v>1.0252859224750295</v>
      </c>
      <c r="U509" s="10">
        <f t="shared" si="100"/>
        <v>0.84864356067535751</v>
      </c>
      <c r="V509" s="21">
        <f t="shared" si="107"/>
        <v>73.163825998473669</v>
      </c>
      <c r="W509" s="15">
        <f>J509/detalle!$D$2</f>
        <v>165013.44507500055</v>
      </c>
      <c r="X509" s="15">
        <f>E509/detalle!$D$2</f>
        <v>30920.251130443732</v>
      </c>
      <c r="Y509" s="15">
        <f>F509/detalle!$D$2</f>
        <v>358.65089965174093</v>
      </c>
      <c r="AA509" s="14">
        <f>E509/(detalle!$D$2*1000000)</f>
        <v>3.0920251130443731E-2</v>
      </c>
      <c r="AB509" s="14">
        <f>F509/(detalle!$D$2*1000000)</f>
        <v>3.5865089965174093E-4</v>
      </c>
      <c r="AC509" s="31">
        <f>221/638</f>
        <v>0.34639498432601878</v>
      </c>
      <c r="AD509" s="31">
        <f>689/2681</f>
        <v>0.25699365908243194</v>
      </c>
      <c r="AE509" s="31">
        <f>142/519</f>
        <v>0.27360308285163776</v>
      </c>
      <c r="AF509" s="22">
        <f t="shared" si="104"/>
        <v>2</v>
      </c>
      <c r="AG509" s="12">
        <v>5411771</v>
      </c>
      <c r="AH509" s="12">
        <v>3893882</v>
      </c>
      <c r="AI509" s="12">
        <v>240687</v>
      </c>
      <c r="AJ509" s="23">
        <f t="shared" si="105"/>
        <v>97203</v>
      </c>
      <c r="AK509" s="23">
        <f t="shared" si="111"/>
        <v>9546340</v>
      </c>
      <c r="AL509" s="28">
        <f>AK509/detalle!$D$2</f>
        <v>870975.17918631411</v>
      </c>
    </row>
    <row r="510" spans="1:38">
      <c r="A510" s="12">
        <v>509</v>
      </c>
      <c r="B510" s="19">
        <v>44399</v>
      </c>
      <c r="C510" s="12">
        <v>491</v>
      </c>
      <c r="D510" s="23">
        <f t="shared" si="101"/>
        <v>400</v>
      </c>
      <c r="E510" s="12">
        <v>339302</v>
      </c>
      <c r="F510" s="12">
        <v>3931</v>
      </c>
      <c r="G510" s="12">
        <v>292697</v>
      </c>
      <c r="H510" s="23">
        <f t="shared" si="97"/>
        <v>42674</v>
      </c>
      <c r="I510" s="23">
        <f t="shared" si="110"/>
        <v>3593</v>
      </c>
      <c r="J510" s="12">
        <v>1812226</v>
      </c>
      <c r="K510" s="23">
        <f t="shared" si="112"/>
        <v>1472924</v>
      </c>
      <c r="L510" s="23">
        <f t="shared" si="102"/>
        <v>5090</v>
      </c>
      <c r="M510" s="14">
        <f t="shared" si="98"/>
        <v>1.1585549156798368E-2</v>
      </c>
      <c r="N510" s="14">
        <f t="shared" si="108"/>
        <v>0.11132758140829391</v>
      </c>
      <c r="O510" s="12"/>
      <c r="P510" s="12"/>
      <c r="Q510" s="12"/>
      <c r="R510" s="23">
        <f t="shared" si="99"/>
        <v>296628</v>
      </c>
      <c r="S510" s="25">
        <f>(((H510+R510)/(H509+R509))-1)+detalle!$D$1</f>
        <v>7.2608853634046816E-2</v>
      </c>
      <c r="T510" s="25">
        <f t="shared" si="103"/>
        <v>1.0165239508766555</v>
      </c>
      <c r="U510" s="10">
        <f t="shared" si="100"/>
        <v>0.86264448780142766</v>
      </c>
      <c r="V510" s="21">
        <f t="shared" si="107"/>
        <v>74.458661918087003</v>
      </c>
      <c r="W510" s="15">
        <f>J510/detalle!$D$2</f>
        <v>165341.25801889491</v>
      </c>
      <c r="X510" s="15">
        <f>E510/detalle!$D$2</f>
        <v>30956.745752641822</v>
      </c>
      <c r="Y510" s="15">
        <f>F510/detalle!$D$2</f>
        <v>358.65089965174093</v>
      </c>
      <c r="AA510" s="14">
        <f>E510/(detalle!$D$2*1000000)</f>
        <v>3.0956745752641821E-2</v>
      </c>
      <c r="AB510" s="14">
        <f>F510/(detalle!$D$2*1000000)</f>
        <v>3.5865089965174093E-4</v>
      </c>
      <c r="AC510" s="31">
        <f>220/638</f>
        <v>0.34482758620689657</v>
      </c>
      <c r="AD510" s="31">
        <f>674/2679</f>
        <v>0.25158641284061217</v>
      </c>
      <c r="AE510" s="31">
        <f>145/519</f>
        <v>0.279383429672447</v>
      </c>
      <c r="AF510" s="22">
        <f t="shared" si="104"/>
        <v>0</v>
      </c>
      <c r="AG510" s="12">
        <v>5432072</v>
      </c>
      <c r="AH510" s="12">
        <v>3944218</v>
      </c>
      <c r="AI510" s="12">
        <v>261233</v>
      </c>
      <c r="AJ510" s="23">
        <f t="shared" si="105"/>
        <v>91183</v>
      </c>
      <c r="AK510" s="23">
        <f t="shared" si="111"/>
        <v>9637523</v>
      </c>
      <c r="AL510" s="28">
        <f>AK510/detalle!$D$2</f>
        <v>879294.40202603547</v>
      </c>
    </row>
    <row r="511" spans="1:38">
      <c r="A511" s="12">
        <v>510</v>
      </c>
      <c r="B511" s="19">
        <v>44400</v>
      </c>
      <c r="C511" s="12">
        <v>492</v>
      </c>
      <c r="D511" s="23">
        <f t="shared" si="101"/>
        <v>367</v>
      </c>
      <c r="E511" s="12">
        <v>339669</v>
      </c>
      <c r="F511" s="12">
        <v>3937</v>
      </c>
      <c r="G511" s="12">
        <v>297813</v>
      </c>
      <c r="H511" s="23">
        <f t="shared" si="97"/>
        <v>37919</v>
      </c>
      <c r="I511" s="23">
        <f t="shared" si="110"/>
        <v>3631</v>
      </c>
      <c r="J511" s="12">
        <v>1815857</v>
      </c>
      <c r="K511" s="23">
        <f t="shared" si="112"/>
        <v>1476188</v>
      </c>
      <c r="L511" s="23">
        <f t="shared" si="102"/>
        <v>5116</v>
      </c>
      <c r="M511" s="14">
        <f t="shared" si="98"/>
        <v>1.159069564782185E-2</v>
      </c>
      <c r="N511" s="14">
        <f t="shared" si="108"/>
        <v>0.1010740842743046</v>
      </c>
      <c r="O511" s="12"/>
      <c r="P511" s="12"/>
      <c r="Q511" s="12"/>
      <c r="R511" s="23">
        <f t="shared" si="99"/>
        <v>301750</v>
      </c>
      <c r="S511" s="25">
        <f>(((H511+R511)/(H510+R510))-1)+detalle!$D$1</f>
        <v>7.2510203720747707E-2</v>
      </c>
      <c r="T511" s="25">
        <f t="shared" si="103"/>
        <v>1.015142852090468</v>
      </c>
      <c r="U511" s="10">
        <f t="shared" si="100"/>
        <v>0.87677415366135858</v>
      </c>
      <c r="V511" s="21">
        <f t="shared" si="107"/>
        <v>75.644653289306575</v>
      </c>
      <c r="W511" s="15">
        <f>J511/detalle!$D$2</f>
        <v>165672.53795189809</v>
      </c>
      <c r="X511" s="15">
        <f>E511/detalle!$D$2</f>
        <v>30990.229568508574</v>
      </c>
      <c r="Y511" s="15">
        <f>F511/detalle!$D$2</f>
        <v>359.19831898471233</v>
      </c>
      <c r="AA511" s="14">
        <f>E511/(detalle!$D$2*1000000)</f>
        <v>3.0990229568508571E-2</v>
      </c>
      <c r="AB511" s="14">
        <f>F511/(detalle!$D$2*1000000)</f>
        <v>3.5919831898471231E-4</v>
      </c>
      <c r="AC511" s="31">
        <f>212/638</f>
        <v>0.33228840125391851</v>
      </c>
      <c r="AD511" s="31">
        <f>686/2680</f>
        <v>0.25597014925373135</v>
      </c>
      <c r="AE511" s="31">
        <f>140/524</f>
        <v>0.26717557251908397</v>
      </c>
      <c r="AF511" s="22">
        <f t="shared" si="104"/>
        <v>6</v>
      </c>
      <c r="AG511" s="12">
        <v>5450751</v>
      </c>
      <c r="AH511" s="12">
        <v>3984498</v>
      </c>
      <c r="AI511" s="12">
        <v>279832</v>
      </c>
      <c r="AJ511" s="23">
        <f t="shared" si="105"/>
        <v>77558</v>
      </c>
      <c r="AK511" s="23">
        <f t="shared" si="111"/>
        <v>9715081</v>
      </c>
      <c r="AL511" s="28">
        <f>AK511/detalle!$D$2</f>
        <v>886370.52679713431</v>
      </c>
    </row>
    <row r="512" spans="1:38">
      <c r="A512" s="12">
        <v>511</v>
      </c>
      <c r="B512" s="19">
        <v>44401</v>
      </c>
      <c r="C512" s="12">
        <v>493</v>
      </c>
      <c r="D512" s="23">
        <f t="shared" si="101"/>
        <v>384</v>
      </c>
      <c r="E512" s="12">
        <v>340053</v>
      </c>
      <c r="F512" s="12">
        <v>3937</v>
      </c>
      <c r="G512" s="12">
        <v>302952</v>
      </c>
      <c r="H512" s="23">
        <f t="shared" si="97"/>
        <v>33164</v>
      </c>
      <c r="I512" s="23">
        <f t="shared" si="110"/>
        <v>3322</v>
      </c>
      <c r="J512" s="12">
        <v>1819179</v>
      </c>
      <c r="K512" s="23">
        <f t="shared" si="112"/>
        <v>1479126</v>
      </c>
      <c r="L512" s="23">
        <f t="shared" si="102"/>
        <v>5139</v>
      </c>
      <c r="M512" s="14">
        <f t="shared" si="98"/>
        <v>1.1577607020082164E-2</v>
      </c>
      <c r="N512" s="14">
        <f t="shared" si="108"/>
        <v>0.11559301625526791</v>
      </c>
      <c r="O512" s="12"/>
      <c r="P512" s="12"/>
      <c r="Q512" s="12"/>
      <c r="R512" s="23">
        <f t="shared" si="99"/>
        <v>306889</v>
      </c>
      <c r="S512" s="25">
        <f>(((H512+R512)/(H511+R511))-1)+detalle!$D$1</f>
        <v>7.2559083780302097E-2</v>
      </c>
      <c r="T512" s="25">
        <f t="shared" si="103"/>
        <v>1.0158271729242294</v>
      </c>
      <c r="U512" s="10">
        <f t="shared" si="100"/>
        <v>0.89089641908761286</v>
      </c>
      <c r="V512" s="21">
        <f t="shared" si="107"/>
        <v>76.949961899923807</v>
      </c>
      <c r="W512" s="15">
        <f>J512/detalle!$D$2</f>
        <v>165975.62578925324</v>
      </c>
      <c r="X512" s="15">
        <f>E512/detalle!$D$2</f>
        <v>31025.26440581874</v>
      </c>
      <c r="Y512" s="15">
        <f>F512/detalle!$D$2</f>
        <v>359.19831898471233</v>
      </c>
      <c r="AA512" s="14">
        <f>E512/(detalle!$D$2*1000000)</f>
        <v>3.102526440581874E-2</v>
      </c>
      <c r="AB512" s="14">
        <f>F512/(detalle!$D$2*1000000)</f>
        <v>3.5919831898471231E-4</v>
      </c>
      <c r="AC512" s="31">
        <f>214/638</f>
        <v>0.33542319749216298</v>
      </c>
      <c r="AD512" s="31">
        <f>650/2680</f>
        <v>0.24253731343283583</v>
      </c>
      <c r="AE512" s="31">
        <f>144/525</f>
        <v>0.2742857142857143</v>
      </c>
      <c r="AF512" s="22">
        <f t="shared" si="104"/>
        <v>0</v>
      </c>
      <c r="AG512" s="12">
        <v>5458029</v>
      </c>
      <c r="AH512" s="12">
        <v>3996388</v>
      </c>
      <c r="AI512" s="12">
        <v>286854</v>
      </c>
      <c r="AJ512" s="23">
        <f t="shared" si="105"/>
        <v>26190</v>
      </c>
      <c r="AK512" s="23">
        <f t="shared" si="111"/>
        <v>9741271</v>
      </c>
      <c r="AL512" s="28">
        <f>AK512/detalle!$D$2</f>
        <v>888760.01218555437</v>
      </c>
    </row>
    <row r="513" spans="1:38">
      <c r="A513" s="12">
        <v>512</v>
      </c>
      <c r="B513" s="19">
        <v>44402</v>
      </c>
      <c r="C513" s="12">
        <v>494</v>
      </c>
      <c r="D513" s="23">
        <f t="shared" si="101"/>
        <v>177</v>
      </c>
      <c r="E513" s="12">
        <v>340230</v>
      </c>
      <c r="F513" s="12">
        <v>3937</v>
      </c>
      <c r="G513" s="12">
        <v>305025</v>
      </c>
      <c r="H513" s="23">
        <f t="shared" si="97"/>
        <v>31268</v>
      </c>
      <c r="I513" s="23">
        <f t="shared" si="110"/>
        <v>1910</v>
      </c>
      <c r="J513" s="12">
        <v>1821089</v>
      </c>
      <c r="K513" s="23">
        <f t="shared" si="112"/>
        <v>1480859</v>
      </c>
      <c r="L513" s="23">
        <f t="shared" si="102"/>
        <v>2073</v>
      </c>
      <c r="M513" s="14">
        <f t="shared" si="98"/>
        <v>1.1571583928518944E-2</v>
      </c>
      <c r="N513" s="14">
        <f t="shared" si="108"/>
        <v>9.2670157068062822E-2</v>
      </c>
      <c r="O513" s="12"/>
      <c r="P513" s="12"/>
      <c r="Q513" s="12"/>
      <c r="R513" s="23">
        <f t="shared" si="99"/>
        <v>308962</v>
      </c>
      <c r="S513" s="25">
        <f>(((H513+R513)/(H512+R512))-1)+detalle!$D$1</f>
        <v>7.1949078525994442E-2</v>
      </c>
      <c r="T513" s="25">
        <f t="shared" si="103"/>
        <v>1.0072870993639222</v>
      </c>
      <c r="U513" s="10">
        <f t="shared" si="100"/>
        <v>0.89652587955206775</v>
      </c>
      <c r="V513" s="21">
        <f t="shared" si="107"/>
        <v>77.476504953009908</v>
      </c>
      <c r="W513" s="15">
        <f>J513/detalle!$D$2</f>
        <v>166149.8876102491</v>
      </c>
      <c r="X513" s="15">
        <f>E513/detalle!$D$2</f>
        <v>31041.413276141397</v>
      </c>
      <c r="Y513" s="15">
        <f>F513/detalle!$D$2</f>
        <v>359.19831898471233</v>
      </c>
      <c r="AA513" s="14">
        <f>E513/(detalle!$D$2*1000000)</f>
        <v>3.1041413276141395E-2</v>
      </c>
      <c r="AB513" s="14">
        <f>F513/(detalle!$D$2*1000000)</f>
        <v>3.5919831898471231E-4</v>
      </c>
      <c r="AC513" s="31">
        <f>212/636</f>
        <v>0.33333333333333331</v>
      </c>
      <c r="AD513" s="31">
        <f>642/2680</f>
        <v>0.23955223880597015</v>
      </c>
      <c r="AE513" s="31">
        <f>132/525</f>
        <v>0.25142857142857145</v>
      </c>
      <c r="AF513" s="22">
        <f t="shared" si="104"/>
        <v>0</v>
      </c>
      <c r="AG513" s="12">
        <v>5459382</v>
      </c>
      <c r="AH513" s="12">
        <v>3999041</v>
      </c>
      <c r="AI513" s="12">
        <v>288558</v>
      </c>
      <c r="AJ513" s="23">
        <f t="shared" si="105"/>
        <v>5710</v>
      </c>
      <c r="AK513" s="23">
        <f t="shared" si="111"/>
        <v>9746981</v>
      </c>
      <c r="AL513" s="28">
        <f>AK513/detalle!$D$2</f>
        <v>889280.97291743208</v>
      </c>
    </row>
    <row r="514" spans="1:38">
      <c r="A514" s="12">
        <v>513</v>
      </c>
      <c r="B514" s="19">
        <v>44403</v>
      </c>
      <c r="C514" s="12">
        <v>495</v>
      </c>
      <c r="D514" s="23">
        <f t="shared" si="101"/>
        <v>268</v>
      </c>
      <c r="E514" s="12">
        <v>340498</v>
      </c>
      <c r="F514" s="12">
        <v>3945</v>
      </c>
      <c r="G514" s="12">
        <v>308553</v>
      </c>
      <c r="H514" s="23">
        <f t="shared" ref="H514:H577" si="113">E514-F514-G514</f>
        <v>28000</v>
      </c>
      <c r="I514" s="23">
        <f t="shared" si="110"/>
        <v>2724</v>
      </c>
      <c r="J514" s="12">
        <v>1823813</v>
      </c>
      <c r="K514" s="23">
        <f t="shared" si="112"/>
        <v>1483315</v>
      </c>
      <c r="L514" s="23">
        <f t="shared" si="102"/>
        <v>3528</v>
      </c>
      <c r="M514" s="14">
        <f t="shared" ref="M514:M577" si="114">F514/E514</f>
        <v>1.1585971136394341E-2</v>
      </c>
      <c r="N514" s="14">
        <f t="shared" si="108"/>
        <v>9.8384728340675479E-2</v>
      </c>
      <c r="O514" s="12"/>
      <c r="P514" s="12"/>
      <c r="Q514" s="12"/>
      <c r="R514" s="23">
        <f t="shared" ref="R514:R577" si="115">F514+G514</f>
        <v>312498</v>
      </c>
      <c r="S514" s="25">
        <f>(((H514+R514)/(H513+R513))-1)+detalle!$D$1</f>
        <v>7.2216273865158415E-2</v>
      </c>
      <c r="T514" s="25">
        <f t="shared" si="103"/>
        <v>1.0110278341122179</v>
      </c>
      <c r="U514" s="10">
        <f t="shared" ref="U514:U577" si="116">G514/E514</f>
        <v>0.90618153410592717</v>
      </c>
      <c r="V514" s="21">
        <f t="shared" si="107"/>
        <v>78.213688212927764</v>
      </c>
      <c r="W514" s="15">
        <f>J514/detalle!$D$2</f>
        <v>166398.41598741812</v>
      </c>
      <c r="X514" s="15">
        <f>E514/detalle!$D$2</f>
        <v>31065.864673014115</v>
      </c>
      <c r="Y514" s="15">
        <f>F514/detalle!$D$2</f>
        <v>359.92821142867416</v>
      </c>
      <c r="AA514" s="14">
        <f>E514/(detalle!$D$2*1000000)</f>
        <v>3.1065864673014115E-2</v>
      </c>
      <c r="AB514" s="14">
        <f>F514/(detalle!$D$2*1000000)</f>
        <v>3.5992821142867413E-4</v>
      </c>
      <c r="AC514" s="31">
        <f>203/636</f>
        <v>0.3191823899371069</v>
      </c>
      <c r="AD514" s="31">
        <f>622/2673</f>
        <v>0.23269734380845492</v>
      </c>
      <c r="AE514" s="31">
        <f>128/525</f>
        <v>0.24380952380952381</v>
      </c>
      <c r="AF514" s="22">
        <f t="shared" si="104"/>
        <v>8</v>
      </c>
      <c r="AG514" s="12">
        <v>5473614</v>
      </c>
      <c r="AH514" s="12">
        <v>4036927</v>
      </c>
      <c r="AI514" s="12">
        <v>304572</v>
      </c>
      <c r="AJ514" s="23">
        <f t="shared" si="105"/>
        <v>68132</v>
      </c>
      <c r="AK514" s="23">
        <f t="shared" si="111"/>
        <v>9815113</v>
      </c>
      <c r="AL514" s="28">
        <f>AK514/detalle!$D$2</f>
        <v>895497.10191643296</v>
      </c>
    </row>
    <row r="515" spans="1:38">
      <c r="A515" s="12">
        <v>514</v>
      </c>
      <c r="B515" s="19">
        <v>44404</v>
      </c>
      <c r="C515" s="12">
        <v>496</v>
      </c>
      <c r="D515" s="23">
        <f t="shared" ref="D515:D578" si="117">E515-E514</f>
        <v>316</v>
      </c>
      <c r="E515" s="12">
        <v>340814</v>
      </c>
      <c r="F515" s="12">
        <v>3953</v>
      </c>
      <c r="G515" s="12">
        <v>312204</v>
      </c>
      <c r="H515" s="23">
        <f t="shared" si="113"/>
        <v>24657</v>
      </c>
      <c r="I515" s="23">
        <f t="shared" si="110"/>
        <v>3562</v>
      </c>
      <c r="J515" s="12">
        <v>1827375</v>
      </c>
      <c r="K515" s="23">
        <f t="shared" si="112"/>
        <v>1486561</v>
      </c>
      <c r="L515" s="23">
        <f t="shared" ref="L515:L578" si="118">G515-G514</f>
        <v>3651</v>
      </c>
      <c r="M515" s="14">
        <f t="shared" si="114"/>
        <v>1.1598701931258693E-2</v>
      </c>
      <c r="N515" s="14">
        <f t="shared" si="108"/>
        <v>8.8714205502526663E-2</v>
      </c>
      <c r="O515" s="12"/>
      <c r="P515" s="12"/>
      <c r="Q515" s="12"/>
      <c r="R515" s="23">
        <f t="shared" si="115"/>
        <v>316157</v>
      </c>
      <c r="S515" s="25">
        <f>(((H515+R515)/(H514+R514))-1)+detalle!$D$1</f>
        <v>7.2356623869408027E-2</v>
      </c>
      <c r="T515" s="25">
        <f t="shared" ref="T515:T578" si="119">S515*14</f>
        <v>1.0129927341717124</v>
      </c>
      <c r="U515" s="10">
        <f t="shared" si="116"/>
        <v>0.91605391797285318</v>
      </c>
      <c r="V515" s="21">
        <f t="shared" si="107"/>
        <v>78.979003288641536</v>
      </c>
      <c r="W515" s="15">
        <f>J515/detalle!$D$2</f>
        <v>166723.40059809212</v>
      </c>
      <c r="X515" s="15">
        <f>E515/detalle!$D$2</f>
        <v>31094.695424550609</v>
      </c>
      <c r="Y515" s="15">
        <f>F515/detalle!$D$2</f>
        <v>360.65810387263599</v>
      </c>
      <c r="AA515" s="14">
        <f>E515/(detalle!$D$2*1000000)</f>
        <v>3.1094695424550609E-2</v>
      </c>
      <c r="AB515" s="14">
        <f>F515/(detalle!$D$2*1000000)</f>
        <v>3.6065810387263594E-4</v>
      </c>
      <c r="AC515" s="31">
        <f>196/640</f>
        <v>0.30625000000000002</v>
      </c>
      <c r="AD515" s="31">
        <f>614/2656</f>
        <v>0.23117469879518071</v>
      </c>
      <c r="AE515" s="31">
        <f>131/525</f>
        <v>0.24952380952380954</v>
      </c>
      <c r="AF515" s="22">
        <f t="shared" ref="AF515:AF578" si="120">F515-F514</f>
        <v>8</v>
      </c>
      <c r="AG515" s="12">
        <v>5491708</v>
      </c>
      <c r="AH515" s="12">
        <v>4088555</v>
      </c>
      <c r="AI515" s="12">
        <v>324296</v>
      </c>
      <c r="AJ515" s="23">
        <f t="shared" ref="AJ515:AJ578" si="121">AK515-AK514</f>
        <v>89446</v>
      </c>
      <c r="AK515" s="23">
        <f t="shared" si="111"/>
        <v>9904559</v>
      </c>
      <c r="AL515" s="28">
        <f>AK515/detalle!$D$2</f>
        <v>903657.84685925918</v>
      </c>
    </row>
    <row r="516" spans="1:38">
      <c r="A516" s="12">
        <v>515</v>
      </c>
      <c r="B516" s="19">
        <v>44405</v>
      </c>
      <c r="C516" s="12">
        <v>497</v>
      </c>
      <c r="D516" s="23">
        <f t="shared" si="117"/>
        <v>365</v>
      </c>
      <c r="E516" s="12">
        <v>341179</v>
      </c>
      <c r="F516" s="12">
        <v>3956</v>
      </c>
      <c r="G516" s="12">
        <v>317127</v>
      </c>
      <c r="H516" s="23">
        <f t="shared" si="113"/>
        <v>20096</v>
      </c>
      <c r="I516" s="23">
        <f t="shared" si="110"/>
        <v>3567</v>
      </c>
      <c r="J516" s="12">
        <v>1830942</v>
      </c>
      <c r="K516" s="23">
        <f t="shared" si="112"/>
        <v>1489763</v>
      </c>
      <c r="L516" s="23">
        <f t="shared" si="118"/>
        <v>4923</v>
      </c>
      <c r="M516" s="14">
        <f t="shared" si="114"/>
        <v>1.1595086450221144E-2</v>
      </c>
      <c r="N516" s="14">
        <f t="shared" si="108"/>
        <v>0.10232688533781889</v>
      </c>
      <c r="O516" s="12"/>
      <c r="P516" s="12"/>
      <c r="Q516" s="12"/>
      <c r="R516" s="23">
        <f t="shared" si="115"/>
        <v>321083</v>
      </c>
      <c r="S516" s="25">
        <f>(((H516+R516)/(H515+R515))-1)+detalle!$D$1</f>
        <v>7.2499536823185579E-2</v>
      </c>
      <c r="T516" s="25">
        <f t="shared" si="119"/>
        <v>1.0149935155245982</v>
      </c>
      <c r="U516" s="10">
        <f t="shared" si="116"/>
        <v>0.92950328126877679</v>
      </c>
      <c r="V516" s="21">
        <f t="shared" si="107"/>
        <v>80.163549039433775</v>
      </c>
      <c r="W516" s="15">
        <f>J516/detalle!$D$2</f>
        <v>167048.8413915436</v>
      </c>
      <c r="X516" s="15">
        <f>E516/detalle!$D$2</f>
        <v>31127.996767306366</v>
      </c>
      <c r="Y516" s="15">
        <f>F516/detalle!$D$2</f>
        <v>360.93181353912166</v>
      </c>
      <c r="AA516" s="14">
        <f>E516/(detalle!$D$2*1000000)</f>
        <v>3.1127996767306366E-2</v>
      </c>
      <c r="AB516" s="14">
        <f>F516/(detalle!$D$2*1000000)</f>
        <v>3.6093181353912164E-4</v>
      </c>
      <c r="AC516" s="31">
        <f>207/651</f>
        <v>0.31797235023041476</v>
      </c>
      <c r="AD516" s="31">
        <f>607/2649</f>
        <v>0.22914307285768215</v>
      </c>
      <c r="AE516" s="31">
        <f>132/525</f>
        <v>0.25142857142857145</v>
      </c>
      <c r="AF516" s="22">
        <f t="shared" si="120"/>
        <v>3</v>
      </c>
      <c r="AG516" s="12">
        <v>5508883</v>
      </c>
      <c r="AH516" s="12">
        <v>4139202</v>
      </c>
      <c r="AI516" s="12">
        <v>344387</v>
      </c>
      <c r="AJ516" s="23">
        <f t="shared" si="121"/>
        <v>87913</v>
      </c>
      <c r="AK516" s="23">
        <f t="shared" si="111"/>
        <v>9992472</v>
      </c>
      <c r="AL516" s="28">
        <f>AK516/detalle!$D$2</f>
        <v>911678.72616251116</v>
      </c>
    </row>
    <row r="517" spans="1:38">
      <c r="A517" s="12">
        <v>516</v>
      </c>
      <c r="B517" s="19">
        <v>44406</v>
      </c>
      <c r="C517" s="12">
        <v>498</v>
      </c>
      <c r="D517" s="23">
        <f t="shared" si="117"/>
        <v>331</v>
      </c>
      <c r="E517" s="12">
        <v>341510</v>
      </c>
      <c r="F517" s="12">
        <v>3956</v>
      </c>
      <c r="G517" s="12">
        <v>320755</v>
      </c>
      <c r="H517" s="23">
        <f t="shared" si="113"/>
        <v>16799</v>
      </c>
      <c r="I517" s="23">
        <f t="shared" si="110"/>
        <v>3083</v>
      </c>
      <c r="J517" s="12">
        <v>1834025</v>
      </c>
      <c r="K517" s="23">
        <f t="shared" si="112"/>
        <v>1492515</v>
      </c>
      <c r="L517" s="23">
        <f t="shared" si="118"/>
        <v>3628</v>
      </c>
      <c r="M517" s="14">
        <f t="shared" si="114"/>
        <v>1.1583848203566513E-2</v>
      </c>
      <c r="N517" s="14">
        <f t="shared" si="108"/>
        <v>0.10736295815763866</v>
      </c>
      <c r="O517" s="12"/>
      <c r="P517" s="12"/>
      <c r="Q517" s="12"/>
      <c r="R517" s="23">
        <f t="shared" si="115"/>
        <v>324711</v>
      </c>
      <c r="S517" s="25">
        <f>(((H517+R517)/(H516+R516))-1)+detalle!$D$1</f>
        <v>7.2398736649760292E-2</v>
      </c>
      <c r="T517" s="25">
        <f t="shared" si="119"/>
        <v>1.0135823130966441</v>
      </c>
      <c r="U517" s="10">
        <f t="shared" si="116"/>
        <v>0.9392257913384674</v>
      </c>
      <c r="V517" s="21">
        <f t="shared" si="107"/>
        <v>81.080637007077854</v>
      </c>
      <c r="W517" s="15">
        <f>J517/detalle!$D$2</f>
        <v>167330.12369213538</v>
      </c>
      <c r="X517" s="15">
        <f>E517/detalle!$D$2</f>
        <v>31158.196067175286</v>
      </c>
      <c r="Y517" s="15">
        <f>F517/detalle!$D$2</f>
        <v>360.93181353912166</v>
      </c>
      <c r="AA517" s="14">
        <f>E517/(detalle!$D$2*1000000)</f>
        <v>3.1158196067175285E-2</v>
      </c>
      <c r="AB517" s="14">
        <f>F517/(detalle!$D$2*1000000)</f>
        <v>3.6093181353912164E-4</v>
      </c>
      <c r="AC517" s="31">
        <f>183/633</f>
        <v>0.2890995260663507</v>
      </c>
      <c r="AD517" s="31">
        <f>590/2642</f>
        <v>0.22331566994700985</v>
      </c>
      <c r="AE517" s="31">
        <f>124/525</f>
        <v>0.2361904761904762</v>
      </c>
      <c r="AF517" s="22">
        <f t="shared" si="120"/>
        <v>0</v>
      </c>
      <c r="AG517" s="12">
        <v>5524571</v>
      </c>
      <c r="AH517" s="12">
        <v>4174568</v>
      </c>
      <c r="AI517" s="12">
        <v>361691</v>
      </c>
      <c r="AJ517" s="23">
        <f t="shared" si="121"/>
        <v>68358</v>
      </c>
      <c r="AK517" s="23">
        <f t="shared" si="111"/>
        <v>10060830</v>
      </c>
      <c r="AL517" s="28">
        <f>AK517/detalle!$D$2</f>
        <v>917915.47462305392</v>
      </c>
    </row>
    <row r="518" spans="1:38">
      <c r="A518" s="12">
        <v>517</v>
      </c>
      <c r="B518" s="19">
        <v>44407</v>
      </c>
      <c r="C518" s="12">
        <v>499</v>
      </c>
      <c r="D518" s="23">
        <f t="shared" si="117"/>
        <v>395</v>
      </c>
      <c r="E518" s="12">
        <v>341905</v>
      </c>
      <c r="F518" s="12">
        <v>3963</v>
      </c>
      <c r="G518" s="12">
        <v>323333</v>
      </c>
      <c r="H518" s="23">
        <f t="shared" si="113"/>
        <v>14609</v>
      </c>
      <c r="I518" s="23">
        <f t="shared" si="110"/>
        <v>3857</v>
      </c>
      <c r="J518" s="12">
        <v>1837882</v>
      </c>
      <c r="K518" s="23">
        <f t="shared" si="112"/>
        <v>1495977</v>
      </c>
      <c r="L518" s="23">
        <f t="shared" si="118"/>
        <v>2578</v>
      </c>
      <c r="M518" s="14">
        <f t="shared" si="114"/>
        <v>1.1590939003524372E-2</v>
      </c>
      <c r="N518" s="14">
        <f t="shared" si="108"/>
        <v>0.10241120041483018</v>
      </c>
      <c r="O518" s="12"/>
      <c r="P518" s="12"/>
      <c r="Q518" s="12"/>
      <c r="R518" s="23">
        <f t="shared" si="115"/>
        <v>327296</v>
      </c>
      <c r="S518" s="25">
        <f>(((H518+R518)/(H517+R517))-1)+detalle!$D$1</f>
        <v>7.2585199345762713E-2</v>
      </c>
      <c r="T518" s="25">
        <f t="shared" si="119"/>
        <v>1.016192790840678</v>
      </c>
      <c r="U518" s="10">
        <f t="shared" si="116"/>
        <v>0.94568081777101831</v>
      </c>
      <c r="V518" s="21">
        <f t="shared" si="107"/>
        <v>81.587938430481955</v>
      </c>
      <c r="W518" s="15">
        <f>J518/detalle!$D$2</f>
        <v>167682.02308668048</v>
      </c>
      <c r="X518" s="15">
        <f>E518/detalle!$D$2</f>
        <v>31194.234506595902</v>
      </c>
      <c r="Y518" s="15">
        <f>F518/detalle!$D$2</f>
        <v>361.57046942758825</v>
      </c>
      <c r="AA518" s="14">
        <f>E518/(detalle!$D$2*1000000)</f>
        <v>3.1194234506595902E-2</v>
      </c>
      <c r="AB518" s="14">
        <f>F518/(detalle!$D$2*1000000)</f>
        <v>3.6157046942758824E-4</v>
      </c>
      <c r="AC518" s="31">
        <f>194/633</f>
        <v>0.30647709320695105</v>
      </c>
      <c r="AD518" s="31">
        <f>586/2655</f>
        <v>0.22071563088512242</v>
      </c>
      <c r="AE518" s="31">
        <f>128/525</f>
        <v>0.24380952380952381</v>
      </c>
      <c r="AF518" s="22">
        <f t="shared" si="120"/>
        <v>7</v>
      </c>
      <c r="AG518" s="12">
        <v>5538092</v>
      </c>
      <c r="AH518" s="12">
        <v>4205772</v>
      </c>
      <c r="AI518" s="12">
        <v>376066</v>
      </c>
      <c r="AJ518" s="23">
        <f t="shared" si="121"/>
        <v>59100</v>
      </c>
      <c r="AK518" s="23">
        <f t="shared" si="111"/>
        <v>10119930</v>
      </c>
      <c r="AL518" s="28">
        <f>AK518/detalle!$D$2</f>
        <v>923307.55505282187</v>
      </c>
    </row>
    <row r="519" spans="1:38">
      <c r="A519" s="12">
        <v>518</v>
      </c>
      <c r="B519" s="19">
        <v>44408</v>
      </c>
      <c r="C519" s="12">
        <v>500</v>
      </c>
      <c r="D519" s="23">
        <f t="shared" si="117"/>
        <v>362</v>
      </c>
      <c r="E519" s="12">
        <v>342267</v>
      </c>
      <c r="F519" s="12">
        <v>3963</v>
      </c>
      <c r="G519" s="12">
        <v>323700</v>
      </c>
      <c r="H519" s="23">
        <f t="shared" si="113"/>
        <v>14604</v>
      </c>
      <c r="I519" s="23">
        <f t="shared" si="110"/>
        <v>2724</v>
      </c>
      <c r="J519" s="12">
        <v>1840606</v>
      </c>
      <c r="K519" s="23">
        <f t="shared" si="112"/>
        <v>1498339</v>
      </c>
      <c r="L519" s="23">
        <f t="shared" si="118"/>
        <v>367</v>
      </c>
      <c r="M519" s="14">
        <f t="shared" si="114"/>
        <v>1.1578679802610244E-2</v>
      </c>
      <c r="N519" s="14">
        <f t="shared" si="108"/>
        <v>0.13289280469897211</v>
      </c>
      <c r="O519" s="12"/>
      <c r="P519" s="12"/>
      <c r="Q519" s="12"/>
      <c r="R519" s="23">
        <f t="shared" si="115"/>
        <v>327663</v>
      </c>
      <c r="S519" s="25">
        <f>(((H519+R519)/(H518+R518))-1)+detalle!$D$1</f>
        <v>7.2487345064522951E-2</v>
      </c>
      <c r="T519" s="25">
        <f t="shared" si="119"/>
        <v>1.0148228309033214</v>
      </c>
      <c r="U519" s="10">
        <f t="shared" si="116"/>
        <v>0.94575287713977685</v>
      </c>
      <c r="V519" s="21">
        <f t="shared" si="107"/>
        <v>81.680545041635128</v>
      </c>
      <c r="W519" s="15">
        <f>J519/detalle!$D$2</f>
        <v>167930.55146384949</v>
      </c>
      <c r="X519" s="15">
        <f>E519/detalle!$D$2</f>
        <v>31227.262139685175</v>
      </c>
      <c r="Y519" s="15">
        <f>F519/detalle!$D$2</f>
        <v>361.57046942758825</v>
      </c>
      <c r="AA519" s="14">
        <f>E519/(detalle!$D$2*1000000)</f>
        <v>3.1227262139685175E-2</v>
      </c>
      <c r="AB519" s="14">
        <f>F519/(detalle!$D$2*1000000)</f>
        <v>3.6157046942758824E-4</v>
      </c>
      <c r="AC519" s="31">
        <f>195/633</f>
        <v>0.30805687203791471</v>
      </c>
      <c r="AD519" s="31">
        <f>578/2655</f>
        <v>0.2177024482109228</v>
      </c>
      <c r="AE519" s="31">
        <f>125/525</f>
        <v>0.23809523809523808</v>
      </c>
      <c r="AF519" s="22">
        <f t="shared" si="120"/>
        <v>0</v>
      </c>
      <c r="AG519" s="12">
        <v>5543146</v>
      </c>
      <c r="AH519" s="12">
        <v>4215901</v>
      </c>
      <c r="AI519" s="12">
        <v>381286</v>
      </c>
      <c r="AJ519" s="23">
        <f t="shared" si="121"/>
        <v>20403</v>
      </c>
      <c r="AK519" s="23">
        <f t="shared" si="111"/>
        <v>10140333</v>
      </c>
      <c r="AL519" s="28">
        <f>AK519/detalle!$D$2</f>
        <v>925169.05449459096</v>
      </c>
    </row>
    <row r="520" spans="1:38">
      <c r="A520" s="12">
        <v>519</v>
      </c>
      <c r="B520" s="19">
        <v>44409</v>
      </c>
      <c r="C520" s="12">
        <v>501</v>
      </c>
      <c r="D520" s="23">
        <f t="shared" si="117"/>
        <v>393</v>
      </c>
      <c r="E520" s="12">
        <v>342660</v>
      </c>
      <c r="F520" s="12">
        <v>3963</v>
      </c>
      <c r="G520" s="12">
        <v>324227</v>
      </c>
      <c r="H520" s="23">
        <f t="shared" si="113"/>
        <v>14470</v>
      </c>
      <c r="I520" s="23">
        <f t="shared" si="110"/>
        <v>2968</v>
      </c>
      <c r="J520" s="12">
        <v>1843574</v>
      </c>
      <c r="K520" s="23">
        <f t="shared" si="112"/>
        <v>1500914</v>
      </c>
      <c r="L520" s="23">
        <f t="shared" si="118"/>
        <v>527</v>
      </c>
      <c r="M520" s="14">
        <f t="shared" si="114"/>
        <v>1.156540010506041E-2</v>
      </c>
      <c r="N520" s="14">
        <f t="shared" si="108"/>
        <v>0.13241239892183287</v>
      </c>
      <c r="O520" s="12"/>
      <c r="P520" s="12"/>
      <c r="Q520" s="12"/>
      <c r="R520" s="23">
        <f t="shared" si="115"/>
        <v>328190</v>
      </c>
      <c r="S520" s="25">
        <f>(((H520+R520)/(H519+R519))-1)+detalle!$D$1</f>
        <v>7.2576797813235921E-2</v>
      </c>
      <c r="T520" s="25">
        <f t="shared" si="119"/>
        <v>1.016075169385303</v>
      </c>
      <c r="U520" s="10">
        <f t="shared" si="116"/>
        <v>0.94620615187065893</v>
      </c>
      <c r="V520" s="21">
        <f t="shared" si="107"/>
        <v>81.813525107241986</v>
      </c>
      <c r="W520" s="15">
        <f>J520/detalle!$D$2</f>
        <v>168201.34156055932</v>
      </c>
      <c r="X520" s="15">
        <f>E520/detalle!$D$2</f>
        <v>31263.118105994799</v>
      </c>
      <c r="Y520" s="15">
        <f>F520/detalle!$D$2</f>
        <v>361.57046942758825</v>
      </c>
      <c r="AA520" s="14">
        <f>E520/(detalle!$D$2*1000000)</f>
        <v>3.1263118105994796E-2</v>
      </c>
      <c r="AB520" s="14">
        <f>F520/(detalle!$D$2*1000000)</f>
        <v>3.6157046942758824E-4</v>
      </c>
      <c r="AC520" s="31">
        <f>195/633</f>
        <v>0.30805687203791471</v>
      </c>
      <c r="AD520" s="31">
        <f>575/2655</f>
        <v>0.21657250470809794</v>
      </c>
      <c r="AE520" s="31">
        <f>126/525</f>
        <v>0.24</v>
      </c>
      <c r="AF520" s="22">
        <f t="shared" si="120"/>
        <v>0</v>
      </c>
      <c r="AG520" s="12">
        <v>5545143</v>
      </c>
      <c r="AH520" s="12">
        <v>4219737</v>
      </c>
      <c r="AI520" s="12">
        <v>383425</v>
      </c>
      <c r="AJ520" s="23">
        <f t="shared" si="121"/>
        <v>7972</v>
      </c>
      <c r="AK520" s="23">
        <f t="shared" si="111"/>
        <v>10148305</v>
      </c>
      <c r="AL520" s="28">
        <f>AK520/detalle!$D$2</f>
        <v>925896.39231499902</v>
      </c>
    </row>
    <row r="521" spans="1:38">
      <c r="A521" s="12">
        <v>520</v>
      </c>
      <c r="B521" s="19">
        <v>44410</v>
      </c>
      <c r="C521" s="12">
        <v>502</v>
      </c>
      <c r="D521" s="23">
        <f t="shared" si="117"/>
        <v>190</v>
      </c>
      <c r="E521" s="12">
        <v>342850</v>
      </c>
      <c r="F521" s="12">
        <v>3968</v>
      </c>
      <c r="G521" s="12">
        <v>324480</v>
      </c>
      <c r="H521" s="23">
        <f t="shared" si="113"/>
        <v>14402</v>
      </c>
      <c r="I521" s="23">
        <f t="shared" si="110"/>
        <v>2769</v>
      </c>
      <c r="J521" s="12">
        <v>1846343</v>
      </c>
      <c r="K521" s="23">
        <f t="shared" si="112"/>
        <v>1503493</v>
      </c>
      <c r="L521" s="23">
        <f t="shared" si="118"/>
        <v>253</v>
      </c>
      <c r="M521" s="14">
        <f t="shared" si="114"/>
        <v>1.1573574449467697E-2</v>
      </c>
      <c r="N521" s="14">
        <f t="shared" si="108"/>
        <v>6.8616829180209463E-2</v>
      </c>
      <c r="O521" s="12"/>
      <c r="P521" s="12"/>
      <c r="Q521" s="12"/>
      <c r="R521" s="23">
        <f t="shared" si="115"/>
        <v>328448</v>
      </c>
      <c r="S521" s="25">
        <f>(((H521+R521)/(H520+R520))-1)+detalle!$D$1</f>
        <v>7.1983056924398242E-2</v>
      </c>
      <c r="T521" s="25">
        <f t="shared" si="119"/>
        <v>1.0077627969415754</v>
      </c>
      <c r="U521" s="10">
        <f t="shared" si="116"/>
        <v>0.9464197170774391</v>
      </c>
      <c r="V521" s="21">
        <f t="shared" si="107"/>
        <v>81.774193548387103</v>
      </c>
      <c r="W521" s="15">
        <f>J521/detalle!$D$2</f>
        <v>168453.9755827256</v>
      </c>
      <c r="X521" s="15">
        <f>E521/detalle!$D$2</f>
        <v>31280.453051538894</v>
      </c>
      <c r="Y521" s="15">
        <f>F521/detalle!$D$2</f>
        <v>362.02665220506441</v>
      </c>
      <c r="AA521" s="14">
        <f>E521/(detalle!$D$2*1000000)</f>
        <v>3.1280453051538891E-2</v>
      </c>
      <c r="AB521" s="14">
        <f>F521/(detalle!$D$2*1000000)</f>
        <v>3.6202665220506436E-4</v>
      </c>
      <c r="AC521" s="31">
        <f>180/619</f>
        <v>0.29079159935379645</v>
      </c>
      <c r="AD521" s="31">
        <f>555/2632</f>
        <v>0.2108662613981763</v>
      </c>
      <c r="AE521" s="31">
        <f>111/522</f>
        <v>0.21264367816091953</v>
      </c>
      <c r="AF521" s="22">
        <f t="shared" si="120"/>
        <v>5</v>
      </c>
      <c r="AG521" s="12">
        <v>5558518</v>
      </c>
      <c r="AH521" s="12">
        <v>4250852</v>
      </c>
      <c r="AI521" s="12">
        <v>396684</v>
      </c>
      <c r="AJ521" s="23">
        <f t="shared" si="121"/>
        <v>57749</v>
      </c>
      <c r="AK521" s="23">
        <f t="shared" si="111"/>
        <v>10206054</v>
      </c>
      <c r="AL521" s="28">
        <f>AK521/detalle!$D$2</f>
        <v>931165.21215829288</v>
      </c>
    </row>
    <row r="522" spans="1:38">
      <c r="A522" s="12">
        <v>521</v>
      </c>
      <c r="B522" s="19">
        <v>44411</v>
      </c>
      <c r="C522" s="12">
        <v>503</v>
      </c>
      <c r="D522" s="23">
        <f t="shared" si="117"/>
        <v>336</v>
      </c>
      <c r="E522" s="12">
        <v>343186</v>
      </c>
      <c r="F522" s="12">
        <v>3971</v>
      </c>
      <c r="G522" s="12">
        <v>324861</v>
      </c>
      <c r="H522" s="23">
        <f t="shared" si="113"/>
        <v>14354</v>
      </c>
      <c r="I522" s="23">
        <f t="shared" si="110"/>
        <v>5784</v>
      </c>
      <c r="J522" s="12">
        <v>1852127</v>
      </c>
      <c r="K522" s="23">
        <f t="shared" si="112"/>
        <v>1508941</v>
      </c>
      <c r="L522" s="23">
        <f t="shared" si="118"/>
        <v>381</v>
      </c>
      <c r="M522" s="14">
        <f t="shared" si="114"/>
        <v>1.1570984830383524E-2</v>
      </c>
      <c r="N522" s="14">
        <f t="shared" si="108"/>
        <v>5.8091286307053944E-2</v>
      </c>
      <c r="O522" s="12"/>
      <c r="P522" s="12"/>
      <c r="Q522" s="12"/>
      <c r="R522" s="23">
        <f t="shared" si="115"/>
        <v>328832</v>
      </c>
      <c r="S522" s="25">
        <f>(((H522+R522)/(H521+R521))-1)+detalle!$D$1</f>
        <v>7.2408591845663423E-2</v>
      </c>
      <c r="T522" s="25">
        <f t="shared" si="119"/>
        <v>1.013720285839288</v>
      </c>
      <c r="U522" s="10">
        <f t="shared" si="116"/>
        <v>0.9466032996684014</v>
      </c>
      <c r="V522" s="21">
        <f t="shared" si="107"/>
        <v>81.808360614454799</v>
      </c>
      <c r="W522" s="15">
        <f>J522/detalle!$D$2</f>
        <v>168981.68781971</v>
      </c>
      <c r="X522" s="15">
        <f>E522/detalle!$D$2</f>
        <v>31311.108534185289</v>
      </c>
      <c r="Y522" s="15">
        <f>F522/detalle!$D$2</f>
        <v>362.30036187155008</v>
      </c>
      <c r="AA522" s="14">
        <f>E522/(detalle!$D$2*1000000)</f>
        <v>3.131110853418529E-2</v>
      </c>
      <c r="AB522" s="14">
        <f>F522/(detalle!$D$2*1000000)</f>
        <v>3.6230036187155006E-4</v>
      </c>
      <c r="AC522" s="31">
        <f>175/620</f>
        <v>0.28225806451612906</v>
      </c>
      <c r="AD522" s="31">
        <f>544/2632</f>
        <v>0.20668693009118541</v>
      </c>
      <c r="AE522" s="31">
        <f>110/521</f>
        <v>0.21113243761996162</v>
      </c>
      <c r="AF522" s="22">
        <f t="shared" si="120"/>
        <v>3</v>
      </c>
      <c r="AG522" s="12">
        <v>5572496</v>
      </c>
      <c r="AH522" s="12">
        <v>4282396</v>
      </c>
      <c r="AI522" s="12">
        <v>411945</v>
      </c>
      <c r="AJ522" s="23">
        <f t="shared" si="121"/>
        <v>60783</v>
      </c>
      <c r="AK522" s="23">
        <f t="shared" si="111"/>
        <v>10266837</v>
      </c>
      <c r="AL522" s="28">
        <f>AK522/detalle!$D$2</f>
        <v>936710.84371095931</v>
      </c>
    </row>
    <row r="523" spans="1:38">
      <c r="A523" s="12">
        <v>522</v>
      </c>
      <c r="B523" s="19">
        <v>44412</v>
      </c>
      <c r="C523" s="12">
        <v>504</v>
      </c>
      <c r="D523" s="23">
        <f t="shared" si="117"/>
        <v>326</v>
      </c>
      <c r="E523" s="12">
        <v>343512</v>
      </c>
      <c r="F523" s="12">
        <v>3973</v>
      </c>
      <c r="G523" s="12">
        <v>325177</v>
      </c>
      <c r="H523" s="23">
        <f t="shared" si="113"/>
        <v>14362</v>
      </c>
      <c r="I523" s="23">
        <f t="shared" si="110"/>
        <v>3394</v>
      </c>
      <c r="J523" s="12">
        <v>1855521</v>
      </c>
      <c r="K523" s="23">
        <f t="shared" si="112"/>
        <v>1512009</v>
      </c>
      <c r="L523" s="23">
        <f t="shared" si="118"/>
        <v>316</v>
      </c>
      <c r="M523" s="14">
        <f t="shared" si="114"/>
        <v>1.1565825939122943E-2</v>
      </c>
      <c r="N523" s="14">
        <f t="shared" si="108"/>
        <v>9.6051856216853276E-2</v>
      </c>
      <c r="O523" s="12"/>
      <c r="P523" s="12"/>
      <c r="Q523" s="12"/>
      <c r="R523" s="23">
        <f t="shared" si="115"/>
        <v>329150</v>
      </c>
      <c r="S523" s="25">
        <f>(((H523+R523)/(H522+R522))-1)+detalle!$D$1</f>
        <v>7.2378493628194845E-2</v>
      </c>
      <c r="T523" s="25">
        <f t="shared" si="119"/>
        <v>1.0132989107947279</v>
      </c>
      <c r="U523" s="10">
        <f t="shared" si="116"/>
        <v>0.94662486317799666</v>
      </c>
      <c r="V523" s="21">
        <f t="shared" si="107"/>
        <v>81.846715328467155</v>
      </c>
      <c r="W523" s="15">
        <f>J523/detalle!$D$2</f>
        <v>169291.34468906082</v>
      </c>
      <c r="X523" s="15">
        <f>E523/detalle!$D$2</f>
        <v>31340.851651276735</v>
      </c>
      <c r="Y523" s="15">
        <f>F523/detalle!$D$2</f>
        <v>362.48283498254051</v>
      </c>
      <c r="AA523" s="14">
        <f>E523/(detalle!$D$2*1000000)</f>
        <v>3.134085165127673E-2</v>
      </c>
      <c r="AB523" s="14">
        <f>F523/(detalle!$D$2*1000000)</f>
        <v>3.6248283498254054E-4</v>
      </c>
      <c r="AC523" s="31">
        <f>169/620</f>
        <v>0.27258064516129032</v>
      </c>
      <c r="AD523" s="31">
        <f>546/2629</f>
        <v>0.20768352985926208</v>
      </c>
      <c r="AE523" s="31">
        <f>110/520</f>
        <v>0.21153846153846154</v>
      </c>
      <c r="AF523" s="22">
        <f t="shared" si="120"/>
        <v>2</v>
      </c>
      <c r="AG523" s="12">
        <v>5586823</v>
      </c>
      <c r="AH523" s="12">
        <v>4312006</v>
      </c>
      <c r="AI523" s="12">
        <v>428110</v>
      </c>
      <c r="AJ523" s="23">
        <f t="shared" si="121"/>
        <v>60102</v>
      </c>
      <c r="AK523" s="23">
        <f t="shared" si="111"/>
        <v>10326939</v>
      </c>
      <c r="AL523" s="28">
        <f>AK523/detalle!$D$2</f>
        <v>942194.34316933353</v>
      </c>
    </row>
    <row r="524" spans="1:38">
      <c r="A524" s="12">
        <v>523</v>
      </c>
      <c r="B524" s="19">
        <v>44413</v>
      </c>
      <c r="C524" s="12">
        <v>505</v>
      </c>
      <c r="D524" s="23">
        <f t="shared" si="117"/>
        <v>317</v>
      </c>
      <c r="E524" s="12">
        <v>343829</v>
      </c>
      <c r="F524" s="12">
        <v>3973</v>
      </c>
      <c r="G524" s="12">
        <v>325873</v>
      </c>
      <c r="H524" s="23">
        <f t="shared" si="113"/>
        <v>13983</v>
      </c>
      <c r="I524" s="23">
        <f t="shared" si="110"/>
        <v>3862</v>
      </c>
      <c r="J524" s="12">
        <v>1859383</v>
      </c>
      <c r="K524" s="23">
        <f t="shared" si="112"/>
        <v>1515554</v>
      </c>
      <c r="L524" s="23">
        <f t="shared" si="118"/>
        <v>696</v>
      </c>
      <c r="M524" s="14">
        <f t="shared" si="114"/>
        <v>1.1555162595359903E-2</v>
      </c>
      <c r="N524" s="14">
        <f t="shared" si="108"/>
        <v>8.2081822889694456E-2</v>
      </c>
      <c r="O524" s="12"/>
      <c r="P524" s="12"/>
      <c r="Q524" s="12"/>
      <c r="R524" s="23">
        <f t="shared" si="115"/>
        <v>329846</v>
      </c>
      <c r="S524" s="25">
        <f>(((H524+R524)/(H523+R523))-1)+detalle!$D$1</f>
        <v>7.2351392174280466E-2</v>
      </c>
      <c r="T524" s="25">
        <f t="shared" si="119"/>
        <v>1.0129194904399266</v>
      </c>
      <c r="U524" s="10">
        <f t="shared" si="116"/>
        <v>0.94777636557707468</v>
      </c>
      <c r="V524" s="21">
        <f t="shared" si="107"/>
        <v>82.021897810218974</v>
      </c>
      <c r="W524" s="15">
        <f>J524/detalle!$D$2</f>
        <v>169643.70026638338</v>
      </c>
      <c r="X524" s="15">
        <f>E524/detalle!$D$2</f>
        <v>31369.773639368719</v>
      </c>
      <c r="Y524" s="15">
        <f>F524/detalle!$D$2</f>
        <v>362.48283498254051</v>
      </c>
      <c r="AA524" s="14">
        <f>E524/(detalle!$D$2*1000000)</f>
        <v>3.1369773639368721E-2</v>
      </c>
      <c r="AB524" s="14">
        <f>F524/(detalle!$D$2*1000000)</f>
        <v>3.6248283498254054E-4</v>
      </c>
      <c r="AC524" s="31">
        <f>176/620</f>
        <v>0.28387096774193549</v>
      </c>
      <c r="AD524" s="31">
        <f>535/2629</f>
        <v>0.20349942944085203</v>
      </c>
      <c r="AE524" s="31">
        <f>112/520</f>
        <v>0.2153846153846154</v>
      </c>
      <c r="AF524" s="22">
        <f t="shared" si="120"/>
        <v>0</v>
      </c>
      <c r="AG524" s="12">
        <v>5600470</v>
      </c>
      <c r="AH524" s="12">
        <v>4337509</v>
      </c>
      <c r="AI524" s="12">
        <v>443480</v>
      </c>
      <c r="AJ524" s="23">
        <f t="shared" si="121"/>
        <v>54520</v>
      </c>
      <c r="AK524" s="23">
        <f t="shared" si="111"/>
        <v>10381459</v>
      </c>
      <c r="AL524" s="28">
        <f>AK524/detalle!$D$2</f>
        <v>947168.5601749334</v>
      </c>
    </row>
    <row r="525" spans="1:38">
      <c r="A525" s="12">
        <v>524</v>
      </c>
      <c r="B525" s="19">
        <v>44414</v>
      </c>
      <c r="C525" s="12">
        <v>506</v>
      </c>
      <c r="D525" s="23">
        <f t="shared" si="117"/>
        <v>322</v>
      </c>
      <c r="E525" s="12">
        <v>344151</v>
      </c>
      <c r="F525" s="12">
        <v>3974</v>
      </c>
      <c r="G525" s="12">
        <v>326501</v>
      </c>
      <c r="H525" s="23">
        <f t="shared" si="113"/>
        <v>13676</v>
      </c>
      <c r="I525" s="23">
        <f t="shared" si="110"/>
        <v>3076</v>
      </c>
      <c r="J525" s="12">
        <v>1862459</v>
      </c>
      <c r="K525" s="23">
        <f t="shared" si="112"/>
        <v>1518308</v>
      </c>
      <c r="L525" s="23">
        <f t="shared" si="118"/>
        <v>628</v>
      </c>
      <c r="M525" s="14">
        <f t="shared" si="114"/>
        <v>1.1547256872709945E-2</v>
      </c>
      <c r="N525" s="14">
        <f t="shared" si="108"/>
        <v>0.1046814044213264</v>
      </c>
      <c r="O525" s="12"/>
      <c r="P525" s="12"/>
      <c r="Q525" s="12"/>
      <c r="R525" s="23">
        <f t="shared" si="115"/>
        <v>330475</v>
      </c>
      <c r="S525" s="25">
        <f>(((H525+R525)/(H524+R524))-1)+detalle!$D$1</f>
        <v>7.2365083473803243E-2</v>
      </c>
      <c r="T525" s="25">
        <f t="shared" si="119"/>
        <v>1.0131111686332455</v>
      </c>
      <c r="U525" s="10">
        <f t="shared" si="116"/>
        <v>0.94871437247022383</v>
      </c>
      <c r="V525" s="21">
        <f t="shared" si="107"/>
        <v>82.159285354806244</v>
      </c>
      <c r="W525" s="15">
        <f>J525/detalle!$D$2</f>
        <v>169924.3439110867</v>
      </c>
      <c r="X525" s="15">
        <f>E525/detalle!$D$2</f>
        <v>31399.151810238185</v>
      </c>
      <c r="Y525" s="15">
        <f>F525/detalle!$D$2</f>
        <v>362.57407153803575</v>
      </c>
      <c r="AA525" s="14">
        <f>E525/(detalle!$D$2*1000000)</f>
        <v>3.1399151810238182E-2</v>
      </c>
      <c r="AB525" s="14">
        <f>F525/(detalle!$D$2*1000000)</f>
        <v>3.6257407153803575E-4</v>
      </c>
      <c r="AC525" s="31">
        <f>172/616</f>
        <v>0.2792207792207792</v>
      </c>
      <c r="AD525" s="31">
        <f>530/2622</f>
        <v>0.20213577421815407</v>
      </c>
      <c r="AE525" s="31">
        <f>119/516</f>
        <v>0.23062015503875968</v>
      </c>
      <c r="AF525" s="22">
        <f t="shared" si="120"/>
        <v>1</v>
      </c>
      <c r="AG525" s="12">
        <v>5612488</v>
      </c>
      <c r="AH525" s="12">
        <v>4358673</v>
      </c>
      <c r="AI525" s="12">
        <v>455828</v>
      </c>
      <c r="AJ525" s="23">
        <f t="shared" si="121"/>
        <v>45530</v>
      </c>
      <c r="AK525" s="23">
        <f t="shared" si="111"/>
        <v>10426989</v>
      </c>
      <c r="AL525" s="28">
        <f>AK525/detalle!$D$2</f>
        <v>951322.56054663111</v>
      </c>
    </row>
    <row r="526" spans="1:38">
      <c r="A526" s="12">
        <v>525</v>
      </c>
      <c r="B526" s="19">
        <v>44415</v>
      </c>
      <c r="C526" s="12">
        <v>507</v>
      </c>
      <c r="D526" s="23">
        <f t="shared" si="117"/>
        <v>344</v>
      </c>
      <c r="E526" s="12">
        <v>344495</v>
      </c>
      <c r="F526" s="12">
        <v>3974</v>
      </c>
      <c r="G526" s="12">
        <v>326857</v>
      </c>
      <c r="H526" s="23">
        <f t="shared" si="113"/>
        <v>13664</v>
      </c>
      <c r="I526" s="23">
        <f t="shared" si="110"/>
        <v>4968</v>
      </c>
      <c r="J526" s="12">
        <v>1867427</v>
      </c>
      <c r="K526" s="23">
        <f t="shared" si="112"/>
        <v>1522932</v>
      </c>
      <c r="L526" s="23">
        <f t="shared" si="118"/>
        <v>356</v>
      </c>
      <c r="M526" s="14">
        <f t="shared" si="114"/>
        <v>1.1535726207927546E-2</v>
      </c>
      <c r="N526" s="14">
        <f t="shared" si="108"/>
        <v>6.9243156199677941E-2</v>
      </c>
      <c r="O526" s="12"/>
      <c r="P526" s="12"/>
      <c r="Q526" s="12"/>
      <c r="R526" s="23">
        <f t="shared" si="115"/>
        <v>330831</v>
      </c>
      <c r="S526" s="25">
        <f>(((H526+R526)/(H525+R525))-1)+detalle!$D$1</f>
        <v>7.2428132667678585E-2</v>
      </c>
      <c r="T526" s="25">
        <f t="shared" si="119"/>
        <v>1.0139938573475002</v>
      </c>
      <c r="U526" s="10">
        <f t="shared" si="116"/>
        <v>0.94880041800316406</v>
      </c>
      <c r="V526" s="21">
        <f t="shared" si="107"/>
        <v>82.248867639657774</v>
      </c>
      <c r="W526" s="15">
        <f>J526/detalle!$D$2</f>
        <v>170377.60711878698</v>
      </c>
      <c r="X526" s="15">
        <f>E526/detalle!$D$2</f>
        <v>31430.537185328543</v>
      </c>
      <c r="Y526" s="15">
        <f>F526/detalle!$D$2</f>
        <v>362.57407153803575</v>
      </c>
      <c r="AA526" s="14">
        <f>E526/(detalle!$D$2*1000000)</f>
        <v>3.1430537185328539E-2</v>
      </c>
      <c r="AB526" s="14">
        <f>F526/(detalle!$D$2*1000000)</f>
        <v>3.6257407153803575E-4</v>
      </c>
      <c r="AC526" s="31">
        <f>174/616</f>
        <v>0.28246753246753248</v>
      </c>
      <c r="AD526" s="31">
        <f>542/2622</f>
        <v>0.20671243325705568</v>
      </c>
      <c r="AE526" s="31">
        <f>125/516</f>
        <v>0.24224806201550386</v>
      </c>
      <c r="AF526" s="22">
        <f t="shared" si="120"/>
        <v>0</v>
      </c>
      <c r="AG526" s="12">
        <v>5617370</v>
      </c>
      <c r="AH526" s="12">
        <v>4366182</v>
      </c>
      <c r="AI526" s="12">
        <v>461189</v>
      </c>
      <c r="AJ526" s="23">
        <f t="shared" si="121"/>
        <v>17752</v>
      </c>
      <c r="AK526" s="23">
        <f t="shared" si="111"/>
        <v>10444741</v>
      </c>
      <c r="AL526" s="28">
        <f>AK526/detalle!$D$2</f>
        <v>952942.19187978236</v>
      </c>
    </row>
    <row r="527" spans="1:38">
      <c r="A527" s="12">
        <v>526</v>
      </c>
      <c r="B527" s="19">
        <v>44416</v>
      </c>
      <c r="C527" s="12">
        <v>508</v>
      </c>
      <c r="D527" s="23">
        <f t="shared" si="117"/>
        <v>130</v>
      </c>
      <c r="E527" s="12">
        <v>344625</v>
      </c>
      <c r="F527" s="12">
        <v>3974</v>
      </c>
      <c r="G527" s="12">
        <v>328689</v>
      </c>
      <c r="H527" s="23">
        <f t="shared" si="113"/>
        <v>11962</v>
      </c>
      <c r="I527" s="23">
        <f t="shared" si="110"/>
        <v>3621</v>
      </c>
      <c r="J527" s="12">
        <v>1871048</v>
      </c>
      <c r="K527" s="23">
        <f t="shared" si="112"/>
        <v>1526423</v>
      </c>
      <c r="L527" s="23">
        <f t="shared" si="118"/>
        <v>1832</v>
      </c>
      <c r="M527" s="14">
        <f t="shared" si="114"/>
        <v>1.1531374682626043E-2</v>
      </c>
      <c r="N527" s="14">
        <f t="shared" si="108"/>
        <v>3.5901684617508978E-2</v>
      </c>
      <c r="O527" s="12"/>
      <c r="P527" s="12"/>
      <c r="Q527" s="12"/>
      <c r="R527" s="23">
        <f t="shared" si="115"/>
        <v>332663</v>
      </c>
      <c r="S527" s="25">
        <f>(((H527+R527)/(H526+R526))-1)+detalle!$D$1</f>
        <v>7.1805935396118042E-2</v>
      </c>
      <c r="T527" s="25">
        <f t="shared" si="119"/>
        <v>1.0052830955456526</v>
      </c>
      <c r="U527" s="10">
        <f t="shared" si="116"/>
        <v>0.9537584330794342</v>
      </c>
      <c r="V527" s="21">
        <f t="shared" si="107"/>
        <v>82.709864116758936</v>
      </c>
      <c r="W527" s="15">
        <f>J527/detalle!$D$2</f>
        <v>170707.97468623522</v>
      </c>
      <c r="X527" s="15">
        <f>E527/detalle!$D$2</f>
        <v>31442.397937542923</v>
      </c>
      <c r="Y527" s="15">
        <f>F527/detalle!$D$2</f>
        <v>362.57407153803575</v>
      </c>
      <c r="AA527" s="14">
        <f>E527/(detalle!$D$2*1000000)</f>
        <v>3.1442397937542922E-2</v>
      </c>
      <c r="AB527" s="14">
        <f>F527/(detalle!$D$2*1000000)</f>
        <v>3.6257407153803575E-4</v>
      </c>
      <c r="AC527" s="31">
        <f>177/616</f>
        <v>0.28733766233766234</v>
      </c>
      <c r="AD527" s="31">
        <f>528/2622</f>
        <v>0.20137299771167047</v>
      </c>
      <c r="AE527" s="31">
        <f>126/516</f>
        <v>0.2441860465116279</v>
      </c>
      <c r="AF527" s="22">
        <f t="shared" si="120"/>
        <v>0</v>
      </c>
      <c r="AG527" s="12">
        <v>5619234</v>
      </c>
      <c r="AH527" s="12">
        <v>4369473</v>
      </c>
      <c r="AI527" s="12">
        <v>463423</v>
      </c>
      <c r="AJ527" s="23">
        <f t="shared" si="121"/>
        <v>7389</v>
      </c>
      <c r="AK527" s="23">
        <f t="shared" ref="AK527:AK558" si="122">AG527+AH527+AI527</f>
        <v>10452130</v>
      </c>
      <c r="AL527" s="28">
        <f>AK527/detalle!$D$2</f>
        <v>953616.33878833661</v>
      </c>
    </row>
    <row r="528" spans="1:38">
      <c r="A528" s="12">
        <v>527</v>
      </c>
      <c r="B528" s="19">
        <v>44417</v>
      </c>
      <c r="C528" s="12">
        <v>509</v>
      </c>
      <c r="D528" s="23">
        <f t="shared" si="117"/>
        <v>211</v>
      </c>
      <c r="E528" s="12">
        <v>344836</v>
      </c>
      <c r="F528" s="12">
        <v>3975</v>
      </c>
      <c r="G528" s="12">
        <v>330506</v>
      </c>
      <c r="H528" s="23">
        <f t="shared" si="113"/>
        <v>10355</v>
      </c>
      <c r="I528" s="23">
        <f t="shared" si="110"/>
        <v>4531</v>
      </c>
      <c r="J528" s="12">
        <v>1875579</v>
      </c>
      <c r="K528" s="23">
        <f t="shared" si="112"/>
        <v>1530743</v>
      </c>
      <c r="L528" s="23">
        <f t="shared" si="118"/>
        <v>1817</v>
      </c>
      <c r="M528" s="14">
        <f t="shared" si="114"/>
        <v>1.1527218735862845E-2</v>
      </c>
      <c r="N528" s="14">
        <f t="shared" si="108"/>
        <v>4.6568086515118075E-2</v>
      </c>
      <c r="O528" s="12"/>
      <c r="P528" s="12"/>
      <c r="Q528" s="12"/>
      <c r="R528" s="23">
        <f t="shared" si="115"/>
        <v>334481</v>
      </c>
      <c r="S528" s="25">
        <f>(((H528+R528)/(H527+R527))-1)+detalle!$D$1</f>
        <v>7.2040831131146704E-2</v>
      </c>
      <c r="T528" s="25">
        <f t="shared" si="119"/>
        <v>1.0085716358360539</v>
      </c>
      <c r="U528" s="10">
        <f t="shared" si="116"/>
        <v>0.95844401396605927</v>
      </c>
      <c r="V528" s="21">
        <f t="shared" si="107"/>
        <v>83.146163522012586</v>
      </c>
      <c r="W528" s="15">
        <f>J528/detalle!$D$2</f>
        <v>171121.36751918407</v>
      </c>
      <c r="X528" s="15">
        <f>E528/detalle!$D$2</f>
        <v>31461.648850752415</v>
      </c>
      <c r="Y528" s="15">
        <f>F528/detalle!$D$2</f>
        <v>362.665308093531</v>
      </c>
      <c r="AA528" s="14">
        <f>E528/(detalle!$D$2*1000000)</f>
        <v>3.1461648850752415E-2</v>
      </c>
      <c r="AB528" s="14">
        <f>F528/(detalle!$D$2*1000000)</f>
        <v>3.6266530809353096E-4</v>
      </c>
      <c r="AC528" s="31">
        <f>177/616</f>
        <v>0.28733766233766234</v>
      </c>
      <c r="AD528" s="31">
        <f>520/2622</f>
        <v>0.19832189168573608</v>
      </c>
      <c r="AE528" s="31">
        <f>121/516</f>
        <v>0.23449612403100775</v>
      </c>
      <c r="AF528" s="22">
        <f t="shared" si="120"/>
        <v>1</v>
      </c>
      <c r="AG528" s="12">
        <v>5631732</v>
      </c>
      <c r="AH528" s="12">
        <v>4391693</v>
      </c>
      <c r="AI528" s="12">
        <v>476682</v>
      </c>
      <c r="AJ528" s="23">
        <f t="shared" si="121"/>
        <v>47977</v>
      </c>
      <c r="AK528" s="23">
        <f t="shared" si="122"/>
        <v>10500107</v>
      </c>
      <c r="AL528" s="28">
        <f>AK528/detalle!$D$2</f>
        <v>957993.59501133114</v>
      </c>
    </row>
    <row r="529" spans="1:38">
      <c r="A529" s="12">
        <v>528</v>
      </c>
      <c r="B529" s="19">
        <v>44418</v>
      </c>
      <c r="C529" s="12">
        <v>510</v>
      </c>
      <c r="D529" s="23">
        <f t="shared" si="117"/>
        <v>282</v>
      </c>
      <c r="E529" s="12">
        <v>345118</v>
      </c>
      <c r="F529" s="12">
        <v>3975</v>
      </c>
      <c r="G529" s="12">
        <v>333022</v>
      </c>
      <c r="H529" s="23">
        <f t="shared" si="113"/>
        <v>8121</v>
      </c>
      <c r="I529" s="23">
        <f t="shared" si="110"/>
        <v>3462</v>
      </c>
      <c r="J529" s="12">
        <v>1879041</v>
      </c>
      <c r="K529" s="23">
        <f t="shared" si="112"/>
        <v>1533923</v>
      </c>
      <c r="L529" s="23">
        <f t="shared" si="118"/>
        <v>2516</v>
      </c>
      <c r="M529" s="14">
        <f t="shared" si="114"/>
        <v>1.1517799709085008E-2</v>
      </c>
      <c r="N529" s="14">
        <f t="shared" si="108"/>
        <v>8.1455805892547667E-2</v>
      </c>
      <c r="O529" s="12"/>
      <c r="P529" s="12"/>
      <c r="Q529" s="12"/>
      <c r="R529" s="23">
        <f t="shared" si="115"/>
        <v>336997</v>
      </c>
      <c r="S529" s="25">
        <f>(((H529+R529)/(H528+R528))-1)+detalle!$D$1</f>
        <v>7.2246351474738263E-2</v>
      </c>
      <c r="T529" s="25">
        <f t="shared" si="119"/>
        <v>1.0114489206463357</v>
      </c>
      <c r="U529" s="10">
        <f t="shared" si="116"/>
        <v>0.96495111816827872</v>
      </c>
      <c r="V529" s="21">
        <f t="shared" ref="V529:V592" si="123">G529/F529</f>
        <v>83.779119496855344</v>
      </c>
      <c r="W529" s="15">
        <f>J529/detalle!$D$2</f>
        <v>171437.22847430856</v>
      </c>
      <c r="X529" s="15">
        <f>E529/detalle!$D$2</f>
        <v>31487.37755940207</v>
      </c>
      <c r="Y529" s="15">
        <f>F529/detalle!$D$2</f>
        <v>362.665308093531</v>
      </c>
      <c r="AA529" s="14">
        <f>E529/(detalle!$D$2*1000000)</f>
        <v>3.148737755940207E-2</v>
      </c>
      <c r="AB529" s="14">
        <f>F529/(detalle!$D$2*1000000)</f>
        <v>3.6266530809353096E-4</v>
      </c>
      <c r="AC529" s="31">
        <f>168/615</f>
        <v>0.27317073170731709</v>
      </c>
      <c r="AD529" s="31">
        <f>499/2623</f>
        <v>0.19024018299656881</v>
      </c>
      <c r="AE529" s="31">
        <f>117/516</f>
        <v>0.22674418604651161</v>
      </c>
      <c r="AF529" s="22">
        <f t="shared" si="120"/>
        <v>0</v>
      </c>
      <c r="AG529" s="12">
        <v>5645781</v>
      </c>
      <c r="AH529" s="12">
        <v>4417043</v>
      </c>
      <c r="AI529" s="12">
        <v>491199</v>
      </c>
      <c r="AJ529" s="23">
        <f t="shared" si="121"/>
        <v>53916</v>
      </c>
      <c r="AK529" s="23">
        <f t="shared" si="122"/>
        <v>10554023</v>
      </c>
      <c r="AL529" s="28">
        <f>AK529/detalle!$D$2</f>
        <v>962912.70513741183</v>
      </c>
    </row>
    <row r="530" spans="1:38">
      <c r="A530" s="12">
        <v>529</v>
      </c>
      <c r="B530" s="19">
        <v>44419</v>
      </c>
      <c r="C530" s="12">
        <v>511</v>
      </c>
      <c r="D530" s="23">
        <f t="shared" si="117"/>
        <v>207</v>
      </c>
      <c r="E530" s="12">
        <v>345325</v>
      </c>
      <c r="F530" s="12">
        <v>3976</v>
      </c>
      <c r="G530" s="12">
        <v>334863</v>
      </c>
      <c r="H530" s="23">
        <f t="shared" si="113"/>
        <v>6486</v>
      </c>
      <c r="I530" s="23">
        <f t="shared" si="110"/>
        <v>2505</v>
      </c>
      <c r="J530" s="12">
        <v>1881546</v>
      </c>
      <c r="K530" s="23">
        <f t="shared" si="112"/>
        <v>1536221</v>
      </c>
      <c r="L530" s="23">
        <f t="shared" si="118"/>
        <v>1841</v>
      </c>
      <c r="M530" s="14">
        <f t="shared" si="114"/>
        <v>1.1513791355969015E-2</v>
      </c>
      <c r="N530" s="14">
        <f t="shared" si="108"/>
        <v>8.263473053892216E-2</v>
      </c>
      <c r="O530" s="12"/>
      <c r="P530" s="12"/>
      <c r="Q530" s="12"/>
      <c r="R530" s="23">
        <f t="shared" si="115"/>
        <v>338839</v>
      </c>
      <c r="S530" s="25">
        <f>(((H530+R530)/(H529+R529))-1)+detalle!$D$1</f>
        <v>7.2028366281346373E-2</v>
      </c>
      <c r="T530" s="25">
        <f t="shared" si="119"/>
        <v>1.0083971279388493</v>
      </c>
      <c r="U530" s="10">
        <f t="shared" si="116"/>
        <v>0.96970390212119018</v>
      </c>
      <c r="V530" s="21">
        <f t="shared" si="123"/>
        <v>84.22107645875252</v>
      </c>
      <c r="W530" s="15">
        <f>J530/detalle!$D$2</f>
        <v>171665.77604582411</v>
      </c>
      <c r="X530" s="15">
        <f>E530/detalle!$D$2</f>
        <v>31506.263526389583</v>
      </c>
      <c r="Y530" s="15">
        <f>F530/detalle!$D$2</f>
        <v>362.75654464902624</v>
      </c>
      <c r="AA530" s="14">
        <f>E530/(detalle!$D$2*1000000)</f>
        <v>3.1506263526389577E-2</v>
      </c>
      <c r="AB530" s="14">
        <f>F530/(detalle!$D$2*1000000)</f>
        <v>3.6275654464902618E-4</v>
      </c>
      <c r="AC530" s="31">
        <f>163/607</f>
        <v>0.26853377265238881</v>
      </c>
      <c r="AD530" s="31">
        <f>482/2604</f>
        <v>0.18509984639016897</v>
      </c>
      <c r="AE530" s="31">
        <f>104/518</f>
        <v>0.20077220077220076</v>
      </c>
      <c r="AF530" s="22">
        <f t="shared" si="120"/>
        <v>1</v>
      </c>
      <c r="AG530" s="12">
        <v>5652804</v>
      </c>
      <c r="AH530" s="12">
        <v>4429487</v>
      </c>
      <c r="AI530" s="12">
        <v>499181</v>
      </c>
      <c r="AJ530" s="23">
        <f t="shared" si="121"/>
        <v>27449</v>
      </c>
      <c r="AK530" s="23">
        <f t="shared" si="122"/>
        <v>10581472</v>
      </c>
      <c r="AL530" s="28">
        <f>AK530/detalle!$D$2</f>
        <v>965417.05734920036</v>
      </c>
    </row>
    <row r="531" spans="1:38">
      <c r="A531" s="12">
        <v>530</v>
      </c>
      <c r="B531" s="19">
        <v>44420</v>
      </c>
      <c r="C531" s="12">
        <v>512</v>
      </c>
      <c r="D531" s="23">
        <f t="shared" si="117"/>
        <v>312</v>
      </c>
      <c r="E531" s="12">
        <v>345637</v>
      </c>
      <c r="F531" s="12">
        <v>3976</v>
      </c>
      <c r="G531" s="12">
        <v>336075</v>
      </c>
      <c r="H531" s="23">
        <f t="shared" si="113"/>
        <v>5586</v>
      </c>
      <c r="I531" s="23">
        <f t="shared" si="110"/>
        <v>4561</v>
      </c>
      <c r="J531" s="12">
        <v>1886107</v>
      </c>
      <c r="K531" s="23">
        <f t="shared" si="112"/>
        <v>1540470</v>
      </c>
      <c r="L531" s="23">
        <f t="shared" si="118"/>
        <v>1212</v>
      </c>
      <c r="M531" s="14">
        <f t="shared" si="114"/>
        <v>1.15033980737016E-2</v>
      </c>
      <c r="N531" s="14">
        <f t="shared" si="108"/>
        <v>6.8406051304538473E-2</v>
      </c>
      <c r="O531" s="12"/>
      <c r="P531" s="12"/>
      <c r="Q531" s="12"/>
      <c r="R531" s="23">
        <f t="shared" si="115"/>
        <v>340051</v>
      </c>
      <c r="S531" s="25">
        <f>(((H531+R531)/(H530+R530))-1)+detalle!$D$1</f>
        <v>7.2332068134572963E-2</v>
      </c>
      <c r="T531" s="25">
        <f t="shared" si="119"/>
        <v>1.0126489538840215</v>
      </c>
      <c r="U531" s="10">
        <f t="shared" si="116"/>
        <v>0.9723351377312035</v>
      </c>
      <c r="V531" s="21">
        <f t="shared" si="123"/>
        <v>84.525905432595579</v>
      </c>
      <c r="W531" s="15">
        <f>J531/detalle!$D$2</f>
        <v>172081.90597543784</v>
      </c>
      <c r="X531" s="15">
        <f>E531/detalle!$D$2</f>
        <v>31534.729331704093</v>
      </c>
      <c r="Y531" s="15">
        <f>F531/detalle!$D$2</f>
        <v>362.75654464902624</v>
      </c>
      <c r="AA531" s="14">
        <f>E531/(detalle!$D$2*1000000)</f>
        <v>3.1534729331704092E-2</v>
      </c>
      <c r="AB531" s="14">
        <f>F531/(detalle!$D$2*1000000)</f>
        <v>3.6275654464902618E-4</v>
      </c>
      <c r="AC531" s="31">
        <f>164/607</f>
        <v>0.2701812191103789</v>
      </c>
      <c r="AD531" s="31">
        <f>494/2604</f>
        <v>0.18970814132104455</v>
      </c>
      <c r="AE531" s="31">
        <f>103/518</f>
        <v>0.19884169884169883</v>
      </c>
      <c r="AF531" s="22">
        <f t="shared" si="120"/>
        <v>0</v>
      </c>
      <c r="AG531" s="12">
        <v>5657720</v>
      </c>
      <c r="AH531" s="12">
        <v>4438630</v>
      </c>
      <c r="AI531" s="12">
        <v>505088</v>
      </c>
      <c r="AJ531" s="23">
        <f t="shared" si="121"/>
        <v>19966</v>
      </c>
      <c r="AK531" s="23">
        <f t="shared" si="122"/>
        <v>10601438</v>
      </c>
      <c r="AL531" s="28">
        <f>AK531/detalle!$D$2</f>
        <v>967238.68641621806</v>
      </c>
    </row>
    <row r="532" spans="1:38">
      <c r="A532" s="12">
        <v>531</v>
      </c>
      <c r="B532" s="19">
        <v>44421</v>
      </c>
      <c r="C532" s="12">
        <v>513</v>
      </c>
      <c r="D532" s="23">
        <f t="shared" si="117"/>
        <v>323</v>
      </c>
      <c r="E532" s="12">
        <v>345960</v>
      </c>
      <c r="F532" s="12">
        <v>3976</v>
      </c>
      <c r="G532" s="12">
        <v>336157</v>
      </c>
      <c r="H532" s="23">
        <f t="shared" si="113"/>
        <v>5827</v>
      </c>
      <c r="I532" s="23">
        <f t="shared" si="110"/>
        <v>5331</v>
      </c>
      <c r="J532" s="12">
        <v>1891438</v>
      </c>
      <c r="K532" s="23">
        <f t="shared" si="112"/>
        <v>1545478</v>
      </c>
      <c r="L532" s="23">
        <f t="shared" si="118"/>
        <v>82</v>
      </c>
      <c r="M532" s="14">
        <f t="shared" si="114"/>
        <v>1.149265811076425E-2</v>
      </c>
      <c r="N532" s="14">
        <f t="shared" ref="N532:N595" si="124">D532/I532</f>
        <v>6.0589007690864755E-2</v>
      </c>
      <c r="O532" s="12"/>
      <c r="P532" s="12"/>
      <c r="Q532" s="12"/>
      <c r="R532" s="23">
        <f t="shared" si="115"/>
        <v>340133</v>
      </c>
      <c r="S532" s="25">
        <f>(((H532+R532)/(H531+R531))-1)+detalle!$D$1</f>
        <v>7.2363077861621133E-2</v>
      </c>
      <c r="T532" s="25">
        <f t="shared" si="119"/>
        <v>1.0130830900626959</v>
      </c>
      <c r="U532" s="10">
        <f t="shared" si="116"/>
        <v>0.97166435426060815</v>
      </c>
      <c r="V532" s="21">
        <f t="shared" si="123"/>
        <v>84.546529175050296</v>
      </c>
      <c r="W532" s="15">
        <f>J532/detalle!$D$2</f>
        <v>172568.28805278291</v>
      </c>
      <c r="X532" s="15">
        <f>E532/detalle!$D$2</f>
        <v>31564.198739129049</v>
      </c>
      <c r="Y532" s="15">
        <f>F532/detalle!$D$2</f>
        <v>362.75654464902624</v>
      </c>
      <c r="AA532" s="14">
        <f>E532/(detalle!$D$2*1000000)</f>
        <v>3.1564198739129051E-2</v>
      </c>
      <c r="AB532" s="14">
        <f>F532/(detalle!$D$2*1000000)</f>
        <v>3.6275654464902618E-4</v>
      </c>
      <c r="AC532" s="31">
        <f>152/608</f>
        <v>0.25</v>
      </c>
      <c r="AD532" s="31">
        <f>486/2604</f>
        <v>0.18663594470046083</v>
      </c>
      <c r="AE532" s="31">
        <f>96/519</f>
        <v>0.18497109826589594</v>
      </c>
      <c r="AF532" s="22">
        <f t="shared" si="120"/>
        <v>0</v>
      </c>
      <c r="AG532" s="12">
        <v>5667626</v>
      </c>
      <c r="AH532" s="12">
        <v>4455264</v>
      </c>
      <c r="AI532" s="12">
        <v>515313</v>
      </c>
      <c r="AJ532" s="23">
        <f t="shared" si="121"/>
        <v>36765</v>
      </c>
      <c r="AK532" s="23">
        <f t="shared" si="122"/>
        <v>10638203</v>
      </c>
      <c r="AL532" s="28">
        <f>AK532/detalle!$D$2</f>
        <v>970592.99837900011</v>
      </c>
    </row>
    <row r="533" spans="1:38">
      <c r="A533" s="12">
        <v>532</v>
      </c>
      <c r="B533" s="19">
        <v>44422</v>
      </c>
      <c r="C533" s="12">
        <v>514</v>
      </c>
      <c r="D533" s="23">
        <f t="shared" si="117"/>
        <v>216</v>
      </c>
      <c r="E533" s="12">
        <v>346176</v>
      </c>
      <c r="F533" s="12">
        <v>3980</v>
      </c>
      <c r="G533" s="12">
        <v>336243</v>
      </c>
      <c r="H533" s="23">
        <f t="shared" si="113"/>
        <v>5953</v>
      </c>
      <c r="I533" s="23">
        <f t="shared" si="110"/>
        <v>4950</v>
      </c>
      <c r="J533" s="12">
        <v>1896388</v>
      </c>
      <c r="K533" s="23">
        <f t="shared" si="112"/>
        <v>1550212</v>
      </c>
      <c r="L533" s="23">
        <f t="shared" si="118"/>
        <v>86</v>
      </c>
      <c r="M533" s="14">
        <f t="shared" si="114"/>
        <v>1.1497041967091884E-2</v>
      </c>
      <c r="N533" s="14">
        <f t="shared" si="124"/>
        <v>4.363636363636364E-2</v>
      </c>
      <c r="O533" s="12"/>
      <c r="P533" s="12"/>
      <c r="Q533" s="12"/>
      <c r="R533" s="23">
        <f t="shared" si="115"/>
        <v>340223</v>
      </c>
      <c r="S533" s="25">
        <f>(((H533+R533)/(H532+R532))-1)+detalle!$D$1</f>
        <v>7.2052921064367476E-2</v>
      </c>
      <c r="T533" s="25">
        <f t="shared" si="119"/>
        <v>1.0087408949011447</v>
      </c>
      <c r="U533" s="10">
        <f t="shared" si="116"/>
        <v>0.97130650305047139</v>
      </c>
      <c r="V533" s="21">
        <f t="shared" si="123"/>
        <v>84.483165829145733</v>
      </c>
      <c r="W533" s="15">
        <f>J533/detalle!$D$2</f>
        <v>173019.90900248429</v>
      </c>
      <c r="X533" s="15">
        <f>E533/detalle!$D$2</f>
        <v>31583.90583511602</v>
      </c>
      <c r="Y533" s="15">
        <f>F533/detalle!$D$2</f>
        <v>363.1214908710071</v>
      </c>
      <c r="AA533" s="14">
        <f>E533/(detalle!$D$2*1000000)</f>
        <v>3.158390583511602E-2</v>
      </c>
      <c r="AB533" s="14">
        <f>F533/(detalle!$D$2*1000000)</f>
        <v>3.6312149087100709E-4</v>
      </c>
      <c r="AC533" s="31">
        <f>152/608</f>
        <v>0.25</v>
      </c>
      <c r="AD533" s="31">
        <f>486/2604</f>
        <v>0.18663594470046083</v>
      </c>
      <c r="AE533" s="31">
        <f>96/519</f>
        <v>0.18497109826589594</v>
      </c>
      <c r="AF533" s="22">
        <f t="shared" si="120"/>
        <v>4</v>
      </c>
      <c r="AG533" s="12">
        <v>5671374</v>
      </c>
      <c r="AH533" s="12">
        <v>4461013</v>
      </c>
      <c r="AI533" s="12">
        <v>519642</v>
      </c>
      <c r="AJ533" s="23">
        <f t="shared" si="121"/>
        <v>13826</v>
      </c>
      <c r="AK533" s="23">
        <f t="shared" si="122"/>
        <v>10652029</v>
      </c>
      <c r="AL533" s="28">
        <f>AK533/detalle!$D$2</f>
        <v>971854.4349952772</v>
      </c>
    </row>
    <row r="534" spans="1:38">
      <c r="A534" s="12">
        <v>533</v>
      </c>
      <c r="B534" s="19">
        <v>44423</v>
      </c>
      <c r="C534" s="12">
        <v>515</v>
      </c>
      <c r="D534" s="23">
        <f t="shared" si="117"/>
        <v>283</v>
      </c>
      <c r="E534" s="12">
        <v>346459</v>
      </c>
      <c r="F534" s="12">
        <v>3985</v>
      </c>
      <c r="G534" s="12">
        <v>336348</v>
      </c>
      <c r="H534" s="23">
        <f t="shared" si="113"/>
        <v>6126</v>
      </c>
      <c r="I534" s="23">
        <f t="shared" si="110"/>
        <v>10164</v>
      </c>
      <c r="J534" s="12">
        <v>1906552</v>
      </c>
      <c r="K534" s="23">
        <f t="shared" si="112"/>
        <v>1560093</v>
      </c>
      <c r="L534" s="23">
        <f t="shared" si="118"/>
        <v>105</v>
      </c>
      <c r="M534" s="14">
        <f t="shared" si="114"/>
        <v>1.1502082497496097E-2</v>
      </c>
      <c r="N534" s="14">
        <f t="shared" si="124"/>
        <v>2.7843368752459661E-2</v>
      </c>
      <c r="O534" s="12"/>
      <c r="P534" s="12"/>
      <c r="Q534" s="12"/>
      <c r="R534" s="23">
        <f t="shared" si="115"/>
        <v>340333</v>
      </c>
      <c r="S534" s="25">
        <f>(((H534+R534)/(H533+R533))-1)+detalle!$D$1</f>
        <v>7.2246074663919996E-2</v>
      </c>
      <c r="T534" s="25">
        <f t="shared" si="119"/>
        <v>1.01144504529488</v>
      </c>
      <c r="U534" s="10">
        <f t="shared" si="116"/>
        <v>0.97081617161049361</v>
      </c>
      <c r="V534" s="21">
        <f t="shared" si="123"/>
        <v>84.403513174404011</v>
      </c>
      <c r="W534" s="15">
        <f>J534/detalle!$D$2</f>
        <v>173947.23735253778</v>
      </c>
      <c r="X534" s="15">
        <f>E534/detalle!$D$2</f>
        <v>31609.725780321169</v>
      </c>
      <c r="Y534" s="15">
        <f>F534/detalle!$D$2</f>
        <v>363.57767364848326</v>
      </c>
      <c r="AA534" s="14">
        <f>E534/(detalle!$D$2*1000000)</f>
        <v>3.1609725780321167E-2</v>
      </c>
      <c r="AB534" s="14">
        <f>F534/(detalle!$D$2*1000000)</f>
        <v>3.6357767364848326E-4</v>
      </c>
      <c r="AC534" s="31">
        <f>143/608</f>
        <v>0.23519736842105263</v>
      </c>
      <c r="AD534" s="31">
        <f>486/2604</f>
        <v>0.18663594470046083</v>
      </c>
      <c r="AE534" s="31">
        <f>88/519</f>
        <v>0.16955684007707128</v>
      </c>
      <c r="AF534" s="22">
        <f t="shared" si="120"/>
        <v>5</v>
      </c>
      <c r="AG534" s="12">
        <v>5672584</v>
      </c>
      <c r="AH534" s="12">
        <v>4462896</v>
      </c>
      <c r="AI534" s="12">
        <v>521505</v>
      </c>
      <c r="AJ534" s="23">
        <f t="shared" si="121"/>
        <v>4956</v>
      </c>
      <c r="AK534" s="23">
        <f t="shared" si="122"/>
        <v>10656985</v>
      </c>
      <c r="AL534" s="28">
        <f>AK534/detalle!$D$2</f>
        <v>972306.60336431151</v>
      </c>
    </row>
    <row r="535" spans="1:38">
      <c r="A535" s="12">
        <v>534</v>
      </c>
      <c r="B535" s="19">
        <v>44424</v>
      </c>
      <c r="C535" s="12">
        <v>516</v>
      </c>
      <c r="D535" s="23">
        <f t="shared" si="117"/>
        <v>51</v>
      </c>
      <c r="E535" s="12">
        <v>346510</v>
      </c>
      <c r="F535" s="12">
        <v>3985</v>
      </c>
      <c r="G535" s="12">
        <v>336373</v>
      </c>
      <c r="H535" s="23">
        <f t="shared" si="113"/>
        <v>6152</v>
      </c>
      <c r="I535" s="23">
        <f t="shared" si="110"/>
        <v>3481</v>
      </c>
      <c r="J535" s="12">
        <v>1910033</v>
      </c>
      <c r="K535" s="23">
        <f t="shared" si="112"/>
        <v>1563523</v>
      </c>
      <c r="L535" s="23">
        <f t="shared" si="118"/>
        <v>25</v>
      </c>
      <c r="M535" s="14">
        <f t="shared" si="114"/>
        <v>1.1500389599145767E-2</v>
      </c>
      <c r="N535" s="14">
        <f t="shared" si="124"/>
        <v>1.4650962367135881E-2</v>
      </c>
      <c r="O535" s="12"/>
      <c r="P535" s="12"/>
      <c r="Q535" s="12"/>
      <c r="R535" s="23">
        <f t="shared" si="115"/>
        <v>340358</v>
      </c>
      <c r="S535" s="25">
        <f>(((H535+R535)/(H534+R534))-1)+detalle!$D$1</f>
        <v>7.1575774993784008E-2</v>
      </c>
      <c r="T535" s="25">
        <f t="shared" si="119"/>
        <v>1.0020608499129762</v>
      </c>
      <c r="U535" s="10">
        <f t="shared" si="116"/>
        <v>0.97074543303223571</v>
      </c>
      <c r="V535" s="21">
        <f t="shared" si="123"/>
        <v>84.409786700125466</v>
      </c>
      <c r="W535" s="15">
        <f>J535/detalle!$D$2</f>
        <v>174264.83180221668</v>
      </c>
      <c r="X535" s="15">
        <f>E535/detalle!$D$2</f>
        <v>31614.378844651426</v>
      </c>
      <c r="Y535" s="15">
        <f>F535/detalle!$D$2</f>
        <v>363.57767364848326</v>
      </c>
      <c r="AA535" s="14">
        <f>E535/(detalle!$D$2*1000000)</f>
        <v>3.1614378844651424E-2</v>
      </c>
      <c r="AB535" s="14">
        <f>F535/(detalle!$D$2*1000000)</f>
        <v>3.6357767364848326E-4</v>
      </c>
      <c r="AC535" s="31">
        <f>136/608</f>
        <v>0.22368421052631579</v>
      </c>
      <c r="AD535" s="31">
        <f>460/2604</f>
        <v>0.17665130568356374</v>
      </c>
      <c r="AE535" s="31">
        <f>76/519</f>
        <v>0.1464354527938343</v>
      </c>
      <c r="AF535" s="22">
        <f t="shared" si="120"/>
        <v>0</v>
      </c>
      <c r="AG535" s="12">
        <v>5672922</v>
      </c>
      <c r="AH535" s="12">
        <v>4463319</v>
      </c>
      <c r="AI535" s="12">
        <v>522077</v>
      </c>
      <c r="AJ535" s="23">
        <f t="shared" si="121"/>
        <v>1333</v>
      </c>
      <c r="AK535" s="23">
        <f t="shared" si="122"/>
        <v>10658318</v>
      </c>
      <c r="AL535" s="28">
        <f>AK535/detalle!$D$2</f>
        <v>972428.22169278667</v>
      </c>
    </row>
    <row r="536" spans="1:38">
      <c r="A536" s="12">
        <v>535</v>
      </c>
      <c r="B536" s="19">
        <v>44425</v>
      </c>
      <c r="C536" s="12">
        <v>517</v>
      </c>
      <c r="D536" s="23">
        <f t="shared" si="117"/>
        <v>183</v>
      </c>
      <c r="E536" s="12">
        <v>346693</v>
      </c>
      <c r="F536" s="12">
        <v>3989</v>
      </c>
      <c r="G536" s="12">
        <v>336978</v>
      </c>
      <c r="H536" s="23">
        <f t="shared" si="113"/>
        <v>5726</v>
      </c>
      <c r="I536" s="23">
        <f t="shared" si="110"/>
        <v>3415</v>
      </c>
      <c r="J536" s="12">
        <v>1913448</v>
      </c>
      <c r="K536" s="23">
        <f t="shared" si="112"/>
        <v>1566755</v>
      </c>
      <c r="L536" s="23">
        <f t="shared" si="118"/>
        <v>605</v>
      </c>
      <c r="M536" s="14">
        <f t="shared" si="114"/>
        <v>1.1505856766649456E-2</v>
      </c>
      <c r="N536" s="14">
        <f t="shared" si="124"/>
        <v>5.3587115666178624E-2</v>
      </c>
      <c r="O536" s="12"/>
      <c r="P536" s="12"/>
      <c r="Q536" s="12"/>
      <c r="R536" s="23">
        <f t="shared" si="115"/>
        <v>340967</v>
      </c>
      <c r="S536" s="25">
        <f>(((H536+R536)/(H535+R535))-1)+detalle!$D$1</f>
        <v>7.1956694715056752E-2</v>
      </c>
      <c r="T536" s="25">
        <f t="shared" si="119"/>
        <v>1.0073937260107946</v>
      </c>
      <c r="U536" s="10">
        <f t="shared" si="116"/>
        <v>0.97197809012584624</v>
      </c>
      <c r="V536" s="21">
        <f t="shared" si="123"/>
        <v>84.476811230884934</v>
      </c>
      <c r="W536" s="15">
        <f>J536/detalle!$D$2</f>
        <v>174576.40463923287</v>
      </c>
      <c r="X536" s="15">
        <f>E536/detalle!$D$2</f>
        <v>31631.075134307055</v>
      </c>
      <c r="Y536" s="15">
        <f>F536/detalle!$D$2</f>
        <v>363.94261987046417</v>
      </c>
      <c r="AA536" s="14">
        <f>E536/(detalle!$D$2*1000000)</f>
        <v>3.1631075134307053E-2</v>
      </c>
      <c r="AB536" s="14">
        <f>F536/(detalle!$D$2*1000000)</f>
        <v>3.6394261987046417E-4</v>
      </c>
      <c r="AC536" s="31">
        <f>134/610</f>
        <v>0.21967213114754097</v>
      </c>
      <c r="AD536" s="31">
        <f>464/2701</f>
        <v>0.17178822658274714</v>
      </c>
      <c r="AE536" s="31">
        <f>76/489</f>
        <v>0.15541922290388549</v>
      </c>
      <c r="AF536" s="22">
        <f t="shared" si="120"/>
        <v>4</v>
      </c>
      <c r="AG536" s="12">
        <v>5683833</v>
      </c>
      <c r="AH536" s="12">
        <v>4480873</v>
      </c>
      <c r="AI536" s="12">
        <v>532857</v>
      </c>
      <c r="AJ536" s="23">
        <f t="shared" si="121"/>
        <v>39245</v>
      </c>
      <c r="AK536" s="23">
        <f t="shared" si="122"/>
        <v>10697563</v>
      </c>
      <c r="AL536" s="28">
        <f>AK536/detalle!$D$2</f>
        <v>976008.80031319684</v>
      </c>
    </row>
    <row r="537" spans="1:38">
      <c r="A537" s="12">
        <v>536</v>
      </c>
      <c r="B537" s="19">
        <v>44426</v>
      </c>
      <c r="C537" s="12">
        <v>518</v>
      </c>
      <c r="D537" s="23">
        <f t="shared" si="117"/>
        <v>304</v>
      </c>
      <c r="E537" s="12">
        <v>346997</v>
      </c>
      <c r="F537" s="12">
        <v>3989</v>
      </c>
      <c r="G537" s="12">
        <v>337956</v>
      </c>
      <c r="H537" s="23">
        <f t="shared" si="113"/>
        <v>5052</v>
      </c>
      <c r="I537" s="23">
        <f t="shared" si="110"/>
        <v>3647</v>
      </c>
      <c r="J537" s="12">
        <v>1917095</v>
      </c>
      <c r="K537" s="23">
        <f t="shared" si="112"/>
        <v>1570098</v>
      </c>
      <c r="L537" s="23">
        <f t="shared" si="118"/>
        <v>978</v>
      </c>
      <c r="M537" s="14">
        <f t="shared" si="114"/>
        <v>1.1495776620547151E-2</v>
      </c>
      <c r="N537" s="14">
        <f t="shared" si="124"/>
        <v>8.3356183164244591E-2</v>
      </c>
      <c r="O537" s="12"/>
      <c r="P537" s="12"/>
      <c r="Q537" s="12"/>
      <c r="R537" s="23">
        <f t="shared" si="115"/>
        <v>341945</v>
      </c>
      <c r="S537" s="25">
        <f>(((H537+R537)/(H536+R536))-1)+detalle!$D$1</f>
        <v>7.2305427898128133E-2</v>
      </c>
      <c r="T537" s="25">
        <f t="shared" si="119"/>
        <v>1.0122759905737939</v>
      </c>
      <c r="U537" s="10">
        <f t="shared" si="116"/>
        <v>0.97394501969757663</v>
      </c>
      <c r="V537" s="21">
        <f t="shared" si="123"/>
        <v>84.721985460015048</v>
      </c>
      <c r="W537" s="15">
        <f>J537/detalle!$D$2</f>
        <v>174909.14435712397</v>
      </c>
      <c r="X537" s="15">
        <f>E537/detalle!$D$2</f>
        <v>31658.811047177602</v>
      </c>
      <c r="Y537" s="15">
        <f>F537/detalle!$D$2</f>
        <v>363.94261987046417</v>
      </c>
      <c r="AA537" s="14">
        <f>E537/(detalle!$D$2*1000000)</f>
        <v>3.1658811047177604E-2</v>
      </c>
      <c r="AB537" s="14">
        <f>F537/(detalle!$D$2*1000000)</f>
        <v>3.6394261987046417E-4</v>
      </c>
      <c r="AC537" s="31">
        <f>123/575</f>
        <v>0.21391304347826087</v>
      </c>
      <c r="AD537" s="31">
        <f>411/2469</f>
        <v>0.16646415552855406</v>
      </c>
      <c r="AE537" s="31">
        <f>80/471</f>
        <v>0.16985138004246284</v>
      </c>
      <c r="AF537" s="22">
        <f t="shared" si="120"/>
        <v>0</v>
      </c>
      <c r="AG537" s="12">
        <v>5696721</v>
      </c>
      <c r="AH537" s="12">
        <v>4501030</v>
      </c>
      <c r="AI537" s="12">
        <v>545932</v>
      </c>
      <c r="AJ537" s="23">
        <f t="shared" si="121"/>
        <v>46120</v>
      </c>
      <c r="AK537" s="23">
        <f t="shared" si="122"/>
        <v>10743683</v>
      </c>
      <c r="AL537" s="28">
        <f>AK537/detalle!$D$2</f>
        <v>980216.63025263674</v>
      </c>
    </row>
    <row r="538" spans="1:38">
      <c r="A538" s="12">
        <v>537</v>
      </c>
      <c r="B538" s="19">
        <v>44427</v>
      </c>
      <c r="C538" s="12">
        <v>519</v>
      </c>
      <c r="D538" s="23">
        <f t="shared" si="117"/>
        <v>373</v>
      </c>
      <c r="E538" s="12">
        <v>347370</v>
      </c>
      <c r="F538" s="12">
        <v>3989</v>
      </c>
      <c r="G538" s="12">
        <v>338146</v>
      </c>
      <c r="H538" s="23">
        <f t="shared" si="113"/>
        <v>5235</v>
      </c>
      <c r="I538" s="23">
        <f t="shared" si="110"/>
        <v>4351</v>
      </c>
      <c r="J538" s="12">
        <v>1921446</v>
      </c>
      <c r="K538" s="23">
        <f t="shared" si="112"/>
        <v>1574076</v>
      </c>
      <c r="L538" s="23">
        <f t="shared" si="118"/>
        <v>190</v>
      </c>
      <c r="M538" s="14">
        <f t="shared" si="114"/>
        <v>1.1483432651063706E-2</v>
      </c>
      <c r="N538" s="14">
        <f t="shared" si="124"/>
        <v>8.5727418984141573E-2</v>
      </c>
      <c r="O538" s="12"/>
      <c r="P538" s="12"/>
      <c r="Q538" s="12"/>
      <c r="R538" s="23">
        <f t="shared" si="115"/>
        <v>342135</v>
      </c>
      <c r="S538" s="25">
        <f>(((H538+R538)/(H537+R537))-1)+detalle!$D$1</f>
        <v>7.250350867586744E-2</v>
      </c>
      <c r="T538" s="25">
        <f t="shared" si="119"/>
        <v>1.0150491214621442</v>
      </c>
      <c r="U538" s="10">
        <f t="shared" si="116"/>
        <v>0.97344618130523652</v>
      </c>
      <c r="V538" s="21">
        <f t="shared" si="123"/>
        <v>84.769616445224372</v>
      </c>
      <c r="W538" s="15">
        <f>J538/detalle!$D$2</f>
        <v>175306.11461008369</v>
      </c>
      <c r="X538" s="15">
        <f>E538/detalle!$D$2</f>
        <v>31692.842282377322</v>
      </c>
      <c r="Y538" s="15">
        <f>F538/detalle!$D$2</f>
        <v>363.94261987046417</v>
      </c>
      <c r="AA538" s="14">
        <f>E538/(detalle!$D$2*1000000)</f>
        <v>3.1692842282377322E-2</v>
      </c>
      <c r="AB538" s="14">
        <f>F538/(detalle!$D$2*1000000)</f>
        <v>3.6394261987046417E-4</v>
      </c>
      <c r="AC538" s="31">
        <f>120/559</f>
        <v>0.21466905187835419</v>
      </c>
      <c r="AD538" s="31">
        <f>424/2417</f>
        <v>0.175424079437319</v>
      </c>
      <c r="AE538" s="31">
        <f>70/447</f>
        <v>0.15659955257270694</v>
      </c>
      <c r="AF538" s="22">
        <f t="shared" si="120"/>
        <v>0</v>
      </c>
      <c r="AG538" s="12">
        <v>5709646</v>
      </c>
      <c r="AH538" s="12">
        <v>4520504</v>
      </c>
      <c r="AI538" s="12">
        <v>559418</v>
      </c>
      <c r="AJ538" s="23">
        <f t="shared" si="121"/>
        <v>45885</v>
      </c>
      <c r="AK538" s="23">
        <f t="shared" si="122"/>
        <v>10789568</v>
      </c>
      <c r="AL538" s="28">
        <f>AK538/detalle!$D$2</f>
        <v>984403.01960153528</v>
      </c>
    </row>
    <row r="539" spans="1:38">
      <c r="A539" s="12">
        <v>538</v>
      </c>
      <c r="B539" s="19">
        <v>44428</v>
      </c>
      <c r="C539" s="12">
        <v>520</v>
      </c>
      <c r="D539" s="23">
        <f t="shared" si="117"/>
        <v>267</v>
      </c>
      <c r="E539" s="12">
        <v>347637</v>
      </c>
      <c r="F539" s="12">
        <v>3989</v>
      </c>
      <c r="G539" s="12">
        <v>338507</v>
      </c>
      <c r="H539" s="23">
        <f t="shared" si="113"/>
        <v>5141</v>
      </c>
      <c r="I539" s="23">
        <f t="shared" si="110"/>
        <v>3921</v>
      </c>
      <c r="J539" s="12">
        <v>1925367</v>
      </c>
      <c r="K539" s="23">
        <f t="shared" si="112"/>
        <v>1577730</v>
      </c>
      <c r="L539" s="23">
        <f t="shared" si="118"/>
        <v>361</v>
      </c>
      <c r="M539" s="14">
        <f t="shared" si="114"/>
        <v>1.1474612886430386E-2</v>
      </c>
      <c r="N539" s="14">
        <f t="shared" si="124"/>
        <v>6.8094873756694721E-2</v>
      </c>
      <c r="O539" s="12"/>
      <c r="P539" s="12"/>
      <c r="Q539" s="12"/>
      <c r="R539" s="23">
        <f t="shared" si="115"/>
        <v>342496</v>
      </c>
      <c r="S539" s="25">
        <f>(((H539+R539)/(H538+R538))-1)+detalle!$D$1</f>
        <v>7.2197204298422052E-2</v>
      </c>
      <c r="T539" s="25">
        <f t="shared" si="119"/>
        <v>1.0107608601779088</v>
      </c>
      <c r="U539" s="10">
        <f t="shared" si="116"/>
        <v>0.9737369727618177</v>
      </c>
      <c r="V539" s="21">
        <f t="shared" si="123"/>
        <v>84.86011531712208</v>
      </c>
      <c r="W539" s="15">
        <f>J539/detalle!$D$2</f>
        <v>175663.8531441805</v>
      </c>
      <c r="X539" s="15">
        <f>E539/detalle!$D$2</f>
        <v>31717.20244269455</v>
      </c>
      <c r="Y539" s="15">
        <f>F539/detalle!$D$2</f>
        <v>363.94261987046417</v>
      </c>
      <c r="AA539" s="14">
        <f>E539/(detalle!$D$2*1000000)</f>
        <v>3.1717202442694548E-2</v>
      </c>
      <c r="AB539" s="14">
        <f>F539/(detalle!$D$2*1000000)</f>
        <v>3.6394261987046417E-4</v>
      </c>
      <c r="AC539" s="31">
        <f>116/559</f>
        <v>0.2075134168157424</v>
      </c>
      <c r="AD539" s="31">
        <f>396/2417</f>
        <v>0.16383947041787339</v>
      </c>
      <c r="AE539" s="31">
        <f>70/447</f>
        <v>0.15659955257270694</v>
      </c>
      <c r="AF539" s="22">
        <f t="shared" si="120"/>
        <v>0</v>
      </c>
      <c r="AG539" s="12">
        <v>5719571</v>
      </c>
      <c r="AH539" s="12">
        <v>4534518</v>
      </c>
      <c r="AI539" s="12">
        <v>571772</v>
      </c>
      <c r="AJ539" s="23">
        <f t="shared" si="121"/>
        <v>36293</v>
      </c>
      <c r="AK539" s="23">
        <f t="shared" si="122"/>
        <v>10825861</v>
      </c>
      <c r="AL539" s="28">
        <f>AK539/detalle!$D$2</f>
        <v>987714.26791012357</v>
      </c>
    </row>
    <row r="540" spans="1:38">
      <c r="A540" s="12">
        <v>539</v>
      </c>
      <c r="B540" s="19">
        <v>44429</v>
      </c>
      <c r="C540" s="12">
        <v>521</v>
      </c>
      <c r="D540" s="23">
        <f t="shared" si="117"/>
        <v>198</v>
      </c>
      <c r="E540" s="12">
        <v>347835</v>
      </c>
      <c r="F540" s="12">
        <v>3989</v>
      </c>
      <c r="G540" s="12">
        <v>338997</v>
      </c>
      <c r="H540" s="23">
        <f t="shared" si="113"/>
        <v>4849</v>
      </c>
      <c r="I540" s="23">
        <f t="shared" si="110"/>
        <v>3424</v>
      </c>
      <c r="J540" s="12">
        <v>1928791</v>
      </c>
      <c r="K540" s="23">
        <f t="shared" si="112"/>
        <v>1580956</v>
      </c>
      <c r="L540" s="23">
        <f t="shared" si="118"/>
        <v>490</v>
      </c>
      <c r="M540" s="14">
        <f t="shared" si="114"/>
        <v>1.1468081130421033E-2</v>
      </c>
      <c r="N540" s="14">
        <f t="shared" si="124"/>
        <v>5.7827102803738317E-2</v>
      </c>
      <c r="O540" s="12"/>
      <c r="P540" s="12"/>
      <c r="Q540" s="12"/>
      <c r="R540" s="23">
        <f t="shared" si="115"/>
        <v>342986</v>
      </c>
      <c r="S540" s="25">
        <f>(((H540+R540)/(H539+R539))-1)+detalle!$D$1</f>
        <v>7.1998131055423659E-2</v>
      </c>
      <c r="T540" s="25">
        <f t="shared" si="119"/>
        <v>1.0079738347759313</v>
      </c>
      <c r="U540" s="10">
        <f t="shared" si="116"/>
        <v>0.97459140109534692</v>
      </c>
      <c r="V540" s="21">
        <f t="shared" si="123"/>
        <v>84.982953121082971</v>
      </c>
      <c r="W540" s="15">
        <f>J540/detalle!$D$2</f>
        <v>175976.24711019616</v>
      </c>
      <c r="X540" s="15">
        <f>E540/detalle!$D$2</f>
        <v>31735.267280682605</v>
      </c>
      <c r="Y540" s="15">
        <f>F540/detalle!$D$2</f>
        <v>363.94261987046417</v>
      </c>
      <c r="AA540" s="14">
        <f>E540/(detalle!$D$2*1000000)</f>
        <v>3.17352672806826E-2</v>
      </c>
      <c r="AB540" s="14">
        <f>F540/(detalle!$D$2*1000000)</f>
        <v>3.6394261987046417E-4</v>
      </c>
      <c r="AC540" s="31">
        <f>133/601</f>
        <v>0.22129783693843594</v>
      </c>
      <c r="AD540" s="31">
        <f>459/2567</f>
        <v>0.17880794701986755</v>
      </c>
      <c r="AE540" s="31">
        <f>87/497</f>
        <v>0.1750503018108652</v>
      </c>
      <c r="AF540" s="22">
        <f t="shared" si="120"/>
        <v>0</v>
      </c>
      <c r="AG540" s="12">
        <v>5723752</v>
      </c>
      <c r="AH540" s="12">
        <v>4540737</v>
      </c>
      <c r="AI540" s="12">
        <v>576686</v>
      </c>
      <c r="AJ540" s="23">
        <f t="shared" si="121"/>
        <v>15314</v>
      </c>
      <c r="AK540" s="23">
        <f t="shared" si="122"/>
        <v>10841175</v>
      </c>
      <c r="AL540" s="28">
        <f>AK540/detalle!$D$2</f>
        <v>989111.46452097758</v>
      </c>
    </row>
    <row r="541" spans="1:38">
      <c r="A541" s="12">
        <v>540</v>
      </c>
      <c r="B541" s="19">
        <v>44430</v>
      </c>
      <c r="C541" s="12">
        <v>522</v>
      </c>
      <c r="D541" s="23">
        <f t="shared" si="117"/>
        <v>191</v>
      </c>
      <c r="E541" s="12">
        <v>348026</v>
      </c>
      <c r="F541" s="12">
        <v>3994</v>
      </c>
      <c r="G541" s="12">
        <v>339309</v>
      </c>
      <c r="H541" s="23">
        <f t="shared" si="113"/>
        <v>4723</v>
      </c>
      <c r="I541" s="23">
        <f t="shared" si="110"/>
        <v>3633</v>
      </c>
      <c r="J541" s="12">
        <v>1932424</v>
      </c>
      <c r="K541" s="23">
        <f t="shared" si="112"/>
        <v>1584398</v>
      </c>
      <c r="L541" s="23">
        <f t="shared" si="118"/>
        <v>312</v>
      </c>
      <c r="M541" s="14">
        <f t="shared" si="114"/>
        <v>1.1476154080442266E-2</v>
      </c>
      <c r="N541" s="14">
        <f t="shared" si="124"/>
        <v>5.2573630608312688E-2</v>
      </c>
      <c r="O541" s="12"/>
      <c r="P541" s="12"/>
      <c r="Q541" s="12"/>
      <c r="R541" s="23">
        <f t="shared" si="115"/>
        <v>343303</v>
      </c>
      <c r="S541" s="25">
        <f>(((H541+R541)/(H540+R540))-1)+detalle!$D$1</f>
        <v>7.1977682357603961E-2</v>
      </c>
      <c r="T541" s="25">
        <f t="shared" si="119"/>
        <v>1.0076875530064555</v>
      </c>
      <c r="U541" s="10">
        <f t="shared" si="116"/>
        <v>0.97495302075132317</v>
      </c>
      <c r="V541" s="21">
        <f t="shared" si="123"/>
        <v>84.95468202303455</v>
      </c>
      <c r="W541" s="15">
        <f>J541/detalle!$D$2</f>
        <v>176307.70951631031</v>
      </c>
      <c r="X541" s="15">
        <f>E541/detalle!$D$2</f>
        <v>31752.693462782194</v>
      </c>
      <c r="Y541" s="15">
        <f>F541/detalle!$D$2</f>
        <v>364.39880264794033</v>
      </c>
      <c r="AA541" s="14">
        <f>E541/(detalle!$D$2*1000000)</f>
        <v>3.1752693462782193E-2</v>
      </c>
      <c r="AB541" s="14">
        <f>F541/(detalle!$D$2*1000000)</f>
        <v>3.6439880264794029E-4</v>
      </c>
      <c r="AC541" s="31">
        <f>136/623</f>
        <v>0.21829855537720708</v>
      </c>
      <c r="AD541" s="31">
        <f>449/2604</f>
        <v>0.17242703533026113</v>
      </c>
      <c r="AE541" s="31">
        <f>90/519</f>
        <v>0.17341040462427745</v>
      </c>
      <c r="AF541" s="22">
        <f t="shared" si="120"/>
        <v>5</v>
      </c>
      <c r="AG541" s="12">
        <v>5725316</v>
      </c>
      <c r="AH541" s="12">
        <v>4543100</v>
      </c>
      <c r="AI541" s="12">
        <v>578737</v>
      </c>
      <c r="AJ541" s="23">
        <f t="shared" si="121"/>
        <v>5978</v>
      </c>
      <c r="AK541" s="23">
        <f t="shared" si="122"/>
        <v>10847153</v>
      </c>
      <c r="AL541" s="28">
        <f>AK541/detalle!$D$2</f>
        <v>989656.87664972804</v>
      </c>
    </row>
    <row r="542" spans="1:38">
      <c r="A542" s="12">
        <v>541</v>
      </c>
      <c r="B542" s="19">
        <v>44431</v>
      </c>
      <c r="C542" s="12">
        <v>523</v>
      </c>
      <c r="D542" s="23">
        <f t="shared" si="117"/>
        <v>223</v>
      </c>
      <c r="E542" s="12">
        <v>348249</v>
      </c>
      <c r="F542" s="12">
        <v>4002</v>
      </c>
      <c r="G542" s="12">
        <v>339601</v>
      </c>
      <c r="H542" s="23">
        <f t="shared" si="113"/>
        <v>4646</v>
      </c>
      <c r="I542" s="23">
        <f t="shared" si="110"/>
        <v>2528</v>
      </c>
      <c r="J542" s="12">
        <v>1934952</v>
      </c>
      <c r="K542" s="23">
        <f t="shared" si="112"/>
        <v>1586703</v>
      </c>
      <c r="L542" s="23">
        <f t="shared" si="118"/>
        <v>292</v>
      </c>
      <c r="M542" s="14">
        <f t="shared" si="114"/>
        <v>1.1491777435111084E-2</v>
      </c>
      <c r="N542" s="14">
        <f t="shared" si="124"/>
        <v>8.8212025316455694E-2</v>
      </c>
      <c r="O542" s="12"/>
      <c r="P542" s="12"/>
      <c r="Q542" s="12"/>
      <c r="R542" s="23">
        <f t="shared" si="115"/>
        <v>343603</v>
      </c>
      <c r="S542" s="25">
        <f>(((H542+R542)/(H541+R541))-1)+detalle!$D$1</f>
        <v>7.206932815364378E-2</v>
      </c>
      <c r="T542" s="25">
        <f t="shared" si="119"/>
        <v>1.008970594151013</v>
      </c>
      <c r="U542" s="10">
        <f t="shared" si="116"/>
        <v>0.97516719358849557</v>
      </c>
      <c r="V542" s="21">
        <f t="shared" si="123"/>
        <v>84.857821089455271</v>
      </c>
      <c r="W542" s="15">
        <f>J542/detalle!$D$2</f>
        <v>176538.35552860226</v>
      </c>
      <c r="X542" s="15">
        <f>E542/detalle!$D$2</f>
        <v>31773.039214657627</v>
      </c>
      <c r="Y542" s="15">
        <f>F542/detalle!$D$2</f>
        <v>365.12869509190216</v>
      </c>
      <c r="AA542" s="14">
        <f>E542/(detalle!$D$2*1000000)</f>
        <v>3.1773039214657628E-2</v>
      </c>
      <c r="AB542" s="14">
        <f>F542/(detalle!$D$2*1000000)</f>
        <v>3.651286950919021E-4</v>
      </c>
      <c r="AC542" s="31">
        <f>132/608</f>
        <v>0.21710526315789475</v>
      </c>
      <c r="AD542" s="31">
        <f>452/2604</f>
        <v>0.17357910906298002</v>
      </c>
      <c r="AE542" s="31">
        <f>89/519</f>
        <v>0.17148362235067438</v>
      </c>
      <c r="AF542" s="22">
        <f t="shared" si="120"/>
        <v>8</v>
      </c>
      <c r="AG542" s="12">
        <v>5737876</v>
      </c>
      <c r="AH542" s="12">
        <v>4559262</v>
      </c>
      <c r="AI542" s="12">
        <v>591709</v>
      </c>
      <c r="AJ542" s="23">
        <f t="shared" si="121"/>
        <v>41694</v>
      </c>
      <c r="AK542" s="23">
        <f t="shared" si="122"/>
        <v>10888847</v>
      </c>
      <c r="AL542" s="28">
        <f>AK542/detalle!$D$2</f>
        <v>993460.89359454601</v>
      </c>
    </row>
    <row r="543" spans="1:38">
      <c r="A543" s="12">
        <v>542</v>
      </c>
      <c r="B543" s="19">
        <v>44432</v>
      </c>
      <c r="C543" s="12">
        <v>524</v>
      </c>
      <c r="D543" s="23">
        <f t="shared" si="117"/>
        <v>317</v>
      </c>
      <c r="E543" s="12">
        <v>348566</v>
      </c>
      <c r="F543" s="12">
        <v>4006</v>
      </c>
      <c r="G543" s="12">
        <v>339881</v>
      </c>
      <c r="H543" s="23">
        <f t="shared" si="113"/>
        <v>4679</v>
      </c>
      <c r="I543" s="23">
        <f t="shared" si="110"/>
        <v>3327</v>
      </c>
      <c r="J543" s="12">
        <v>1938279</v>
      </c>
      <c r="K543" s="23">
        <f t="shared" si="112"/>
        <v>1589713</v>
      </c>
      <c r="L543" s="23">
        <f t="shared" si="118"/>
        <v>280</v>
      </c>
      <c r="M543" s="14">
        <f t="shared" si="114"/>
        <v>1.1492801937079349E-2</v>
      </c>
      <c r="N543" s="14">
        <f t="shared" si="124"/>
        <v>9.5281033964532608E-2</v>
      </c>
      <c r="O543" s="12"/>
      <c r="P543" s="12"/>
      <c r="Q543" s="12"/>
      <c r="R543" s="23">
        <f t="shared" si="115"/>
        <v>343887</v>
      </c>
      <c r="S543" s="25">
        <f>(((H543+R543)/(H542+R542))-1)+detalle!$D$1</f>
        <v>7.2338839656190174E-2</v>
      </c>
      <c r="T543" s="25">
        <f t="shared" si="119"/>
        <v>1.0127437551866625</v>
      </c>
      <c r="U543" s="10">
        <f t="shared" si="116"/>
        <v>0.97508362835158913</v>
      </c>
      <c r="V543" s="21">
        <f t="shared" si="123"/>
        <v>84.842985521717424</v>
      </c>
      <c r="W543" s="15">
        <f>J543/detalle!$D$2</f>
        <v>176841.89954873489</v>
      </c>
      <c r="X543" s="15">
        <f>E543/detalle!$D$2</f>
        <v>31801.961202749615</v>
      </c>
      <c r="Y543" s="15">
        <f>F543/detalle!$D$2</f>
        <v>365.49364131388307</v>
      </c>
      <c r="AA543" s="14">
        <f>E543/(detalle!$D$2*1000000)</f>
        <v>3.1801961202749612E-2</v>
      </c>
      <c r="AB543" s="14">
        <f>F543/(detalle!$D$2*1000000)</f>
        <v>3.6549364131388301E-4</v>
      </c>
      <c r="AC543" s="31">
        <f>146/608</f>
        <v>0.24013157894736842</v>
      </c>
      <c r="AD543" s="31">
        <f>424/2604</f>
        <v>0.16282642089093702</v>
      </c>
      <c r="AE543" s="31">
        <f>85/519</f>
        <v>0.16377649325626203</v>
      </c>
      <c r="AF543" s="22">
        <f t="shared" si="120"/>
        <v>4</v>
      </c>
      <c r="AG543" s="12">
        <v>5751312</v>
      </c>
      <c r="AH543" s="12">
        <v>4576556</v>
      </c>
      <c r="AI543" s="12">
        <v>604941</v>
      </c>
      <c r="AJ543" s="23">
        <f t="shared" si="121"/>
        <v>43962</v>
      </c>
      <c r="AK543" s="23">
        <f t="shared" si="122"/>
        <v>10932809</v>
      </c>
      <c r="AL543" s="28">
        <f>AK543/detalle!$D$2</f>
        <v>997471.83504722721</v>
      </c>
    </row>
    <row r="544" spans="1:38">
      <c r="A544" s="12">
        <v>543</v>
      </c>
      <c r="B544" s="19">
        <v>44433</v>
      </c>
      <c r="C544" s="12">
        <v>525</v>
      </c>
      <c r="D544" s="23">
        <f t="shared" si="117"/>
        <v>349</v>
      </c>
      <c r="E544" s="12">
        <v>348915</v>
      </c>
      <c r="F544" s="12">
        <v>4007</v>
      </c>
      <c r="G544" s="12">
        <v>339932</v>
      </c>
      <c r="H544" s="23">
        <f t="shared" si="113"/>
        <v>4976</v>
      </c>
      <c r="I544" s="23">
        <f t="shared" si="110"/>
        <v>3445</v>
      </c>
      <c r="J544" s="12">
        <v>1941724</v>
      </c>
      <c r="K544" s="23">
        <f t="shared" si="112"/>
        <v>1592809</v>
      </c>
      <c r="L544" s="23">
        <f t="shared" si="118"/>
        <v>51</v>
      </c>
      <c r="M544" s="14">
        <f t="shared" si="114"/>
        <v>1.1484172362896408E-2</v>
      </c>
      <c r="N544" s="14">
        <f t="shared" si="124"/>
        <v>0.10130624092888244</v>
      </c>
      <c r="O544" s="12"/>
      <c r="P544" s="12"/>
      <c r="Q544" s="12"/>
      <c r="R544" s="23">
        <f t="shared" si="115"/>
        <v>343939</v>
      </c>
      <c r="S544" s="25">
        <f>(((H544+R544)/(H543+R543))-1)+detalle!$D$1</f>
        <v>7.2429816529929553E-2</v>
      </c>
      <c r="T544" s="25">
        <f t="shared" si="119"/>
        <v>1.0140174314190138</v>
      </c>
      <c r="U544" s="10">
        <f t="shared" si="116"/>
        <v>0.97425447458550074</v>
      </c>
      <c r="V544" s="21">
        <f t="shared" si="123"/>
        <v>84.834539555777383</v>
      </c>
      <c r="W544" s="15">
        <f>J544/detalle!$D$2</f>
        <v>177156.20948241593</v>
      </c>
      <c r="X544" s="15">
        <f>E544/detalle!$D$2</f>
        <v>31833.802760617451</v>
      </c>
      <c r="Y544" s="15">
        <f>F544/detalle!$D$2</f>
        <v>365.58487786937826</v>
      </c>
      <c r="AA544" s="14">
        <f>E544/(detalle!$D$2*1000000)</f>
        <v>3.1833802760617452E-2</v>
      </c>
      <c r="AB544" s="14">
        <f>F544/(detalle!$D$2*1000000)</f>
        <v>3.6558487786937828E-4</v>
      </c>
      <c r="AC544" s="31">
        <f>144/608</f>
        <v>0.23684210526315788</v>
      </c>
      <c r="AD544" s="31">
        <f>417/2604</f>
        <v>0.16013824884792627</v>
      </c>
      <c r="AE544" s="31">
        <f>87/519</f>
        <v>0.16763005780346821</v>
      </c>
      <c r="AF544" s="22">
        <f t="shared" si="120"/>
        <v>1</v>
      </c>
      <c r="AG544" s="12">
        <v>5764675</v>
      </c>
      <c r="AH544" s="12">
        <v>4594526</v>
      </c>
      <c r="AI544" s="12">
        <v>619103</v>
      </c>
      <c r="AJ544" s="23">
        <f t="shared" si="121"/>
        <v>45495</v>
      </c>
      <c r="AK544" s="23">
        <f t="shared" si="122"/>
        <v>10978304</v>
      </c>
      <c r="AL544" s="28">
        <f>AK544/detalle!$D$2</f>
        <v>1001622.6421394827</v>
      </c>
    </row>
    <row r="545" spans="1:38">
      <c r="A545" s="12">
        <v>544</v>
      </c>
      <c r="B545" s="19">
        <v>44434</v>
      </c>
      <c r="C545" s="12">
        <v>526</v>
      </c>
      <c r="D545" s="23">
        <f t="shared" si="117"/>
        <v>338</v>
      </c>
      <c r="E545" s="12">
        <v>349253</v>
      </c>
      <c r="F545" s="12">
        <v>4007</v>
      </c>
      <c r="G545" s="12">
        <v>340244</v>
      </c>
      <c r="H545" s="23">
        <f t="shared" si="113"/>
        <v>5002</v>
      </c>
      <c r="I545" s="23">
        <f t="shared" si="110"/>
        <v>3091</v>
      </c>
      <c r="J545" s="12">
        <v>1944815</v>
      </c>
      <c r="K545" s="23">
        <f t="shared" si="112"/>
        <v>1595562</v>
      </c>
      <c r="L545" s="23">
        <f t="shared" si="118"/>
        <v>312</v>
      </c>
      <c r="M545" s="14">
        <f t="shared" si="114"/>
        <v>1.1473058212814207E-2</v>
      </c>
      <c r="N545" s="14">
        <f t="shared" si="124"/>
        <v>0.109349725008088</v>
      </c>
      <c r="O545" s="12"/>
      <c r="P545" s="12"/>
      <c r="Q545" s="12"/>
      <c r="R545" s="23">
        <f t="shared" si="115"/>
        <v>344251</v>
      </c>
      <c r="S545" s="25">
        <f>(((H545+R545)/(H544+R544))-1)+detalle!$D$1</f>
        <v>7.2397288737944737E-2</v>
      </c>
      <c r="T545" s="25">
        <f t="shared" si="119"/>
        <v>1.0135620423312264</v>
      </c>
      <c r="U545" s="10">
        <f t="shared" si="116"/>
        <v>0.97420494598471596</v>
      </c>
      <c r="V545" s="21">
        <f t="shared" si="123"/>
        <v>84.912403294235091</v>
      </c>
      <c r="W545" s="15">
        <f>J545/detalle!$D$2</f>
        <v>177438.2216754517</v>
      </c>
      <c r="X545" s="15">
        <f>E545/detalle!$D$2</f>
        <v>31864.640716374837</v>
      </c>
      <c r="Y545" s="15">
        <f>F545/detalle!$D$2</f>
        <v>365.58487786937826</v>
      </c>
      <c r="AA545" s="14">
        <f>E545/(detalle!$D$2*1000000)</f>
        <v>3.1864640716374834E-2</v>
      </c>
      <c r="AB545" s="14">
        <f>F545/(detalle!$D$2*1000000)</f>
        <v>3.6558487786937828E-4</v>
      </c>
      <c r="AC545" s="31">
        <f>134/608</f>
        <v>0.22039473684210525</v>
      </c>
      <c r="AD545" s="31">
        <f>417/2604</f>
        <v>0.16013824884792627</v>
      </c>
      <c r="AE545" s="31">
        <f>79/519</f>
        <v>0.15221579961464354</v>
      </c>
      <c r="AF545" s="22">
        <f t="shared" si="120"/>
        <v>0</v>
      </c>
      <c r="AG545" s="12">
        <v>5776328</v>
      </c>
      <c r="AH545" s="12">
        <v>4609868</v>
      </c>
      <c r="AI545" s="12">
        <v>633459</v>
      </c>
      <c r="AJ545" s="23">
        <f t="shared" si="121"/>
        <v>41351</v>
      </c>
      <c r="AK545" s="23">
        <f t="shared" si="122"/>
        <v>11019655</v>
      </c>
      <c r="AL545" s="28">
        <f>AK545/detalle!$D$2</f>
        <v>1005395.3649457658</v>
      </c>
    </row>
    <row r="546" spans="1:38">
      <c r="A546" s="12">
        <v>545</v>
      </c>
      <c r="B546" s="19">
        <v>44435</v>
      </c>
      <c r="C546" s="12">
        <v>527</v>
      </c>
      <c r="D546" s="23">
        <f t="shared" si="117"/>
        <v>367</v>
      </c>
      <c r="E546" s="12">
        <v>349620</v>
      </c>
      <c r="F546" s="12">
        <v>4007</v>
      </c>
      <c r="G546" s="12">
        <v>340472</v>
      </c>
      <c r="H546" s="23">
        <f t="shared" si="113"/>
        <v>5141</v>
      </c>
      <c r="I546" s="23">
        <f t="shared" si="110"/>
        <v>3389</v>
      </c>
      <c r="J546" s="12">
        <v>1948204</v>
      </c>
      <c r="K546" s="23">
        <f t="shared" si="112"/>
        <v>1598584</v>
      </c>
      <c r="L546" s="23">
        <f t="shared" si="118"/>
        <v>228</v>
      </c>
      <c r="M546" s="14">
        <f t="shared" si="114"/>
        <v>1.1461014816086036E-2</v>
      </c>
      <c r="N546" s="14">
        <f t="shared" si="124"/>
        <v>0.10829153142519918</v>
      </c>
      <c r="O546" s="12"/>
      <c r="P546" s="12"/>
      <c r="Q546" s="12"/>
      <c r="R546" s="23">
        <f t="shared" si="115"/>
        <v>344479</v>
      </c>
      <c r="S546" s="25">
        <f>(((H546+R546)/(H545+R545))-1)+detalle!$D$1</f>
        <v>7.2479385594806295E-2</v>
      </c>
      <c r="T546" s="25">
        <f t="shared" si="119"/>
        <v>1.0147113983272882</v>
      </c>
      <c r="U546" s="10">
        <f t="shared" si="116"/>
        <v>0.97383444883015846</v>
      </c>
      <c r="V546" s="21">
        <f t="shared" si="123"/>
        <v>84.96930371849264</v>
      </c>
      <c r="W546" s="15">
        <f>J546/detalle!$D$2</f>
        <v>177747.42236202501</v>
      </c>
      <c r="X546" s="15">
        <f>E546/detalle!$D$2</f>
        <v>31898.124532241585</v>
      </c>
      <c r="Y546" s="15">
        <f>F546/detalle!$D$2</f>
        <v>365.58487786937826</v>
      </c>
      <c r="AA546" s="14">
        <f>E546/(detalle!$D$2*1000000)</f>
        <v>3.1898124532241584E-2</v>
      </c>
      <c r="AB546" s="14">
        <f>F546/(detalle!$D$2*1000000)</f>
        <v>3.6558487786937828E-4</v>
      </c>
      <c r="AC546" s="31">
        <f>133/608</f>
        <v>0.21875</v>
      </c>
      <c r="AD546" s="31">
        <f>429/2604</f>
        <v>0.16474654377880185</v>
      </c>
      <c r="AE546" s="31">
        <f>78/519</f>
        <v>0.15028901734104047</v>
      </c>
      <c r="AF546" s="22">
        <f t="shared" si="120"/>
        <v>0</v>
      </c>
      <c r="AG546" s="12">
        <v>5787089</v>
      </c>
      <c r="AH546" s="12">
        <v>4623226</v>
      </c>
      <c r="AI546" s="12">
        <v>646823</v>
      </c>
      <c r="AJ546" s="23">
        <f t="shared" si="121"/>
        <v>37483</v>
      </c>
      <c r="AK546" s="23">
        <f t="shared" si="122"/>
        <v>11057138</v>
      </c>
      <c r="AL546" s="28">
        <f>AK546/detalle!$D$2</f>
        <v>1008815.1847553934</v>
      </c>
    </row>
    <row r="547" spans="1:38">
      <c r="A547" s="12">
        <v>546</v>
      </c>
      <c r="B547" s="19">
        <v>44436</v>
      </c>
      <c r="C547" s="12">
        <v>528</v>
      </c>
      <c r="D547" s="23">
        <f t="shared" si="117"/>
        <v>239</v>
      </c>
      <c r="E547" s="12">
        <v>349859</v>
      </c>
      <c r="F547" s="12">
        <v>4007</v>
      </c>
      <c r="G547" s="12">
        <v>340733</v>
      </c>
      <c r="H547" s="23">
        <f t="shared" si="113"/>
        <v>5119</v>
      </c>
      <c r="I547" s="23">
        <f t="shared" si="110"/>
        <v>2389</v>
      </c>
      <c r="J547" s="12">
        <v>1950593</v>
      </c>
      <c r="K547" s="23">
        <f t="shared" si="112"/>
        <v>1600734</v>
      </c>
      <c r="L547" s="23">
        <f t="shared" si="118"/>
        <v>261</v>
      </c>
      <c r="M547" s="14">
        <f t="shared" si="114"/>
        <v>1.1453185426128812E-2</v>
      </c>
      <c r="N547" s="14">
        <f t="shared" si="124"/>
        <v>0.10004185851820846</v>
      </c>
      <c r="O547" s="12"/>
      <c r="P547" s="12"/>
      <c r="Q547" s="12"/>
      <c r="R547" s="23">
        <f t="shared" si="115"/>
        <v>344740</v>
      </c>
      <c r="S547" s="25">
        <f>(((H547+R547)/(H546+R546))-1)+detalle!$D$1</f>
        <v>7.2112170764993905E-2</v>
      </c>
      <c r="T547" s="25">
        <f t="shared" si="119"/>
        <v>1.0095703907099147</v>
      </c>
      <c r="U547" s="10">
        <f t="shared" si="116"/>
        <v>0.97391520584006697</v>
      </c>
      <c r="V547" s="21">
        <f t="shared" si="123"/>
        <v>85.034439730471675</v>
      </c>
      <c r="W547" s="15">
        <f>J547/detalle!$D$2</f>
        <v>177965.38649310311</v>
      </c>
      <c r="X547" s="15">
        <f>E547/detalle!$D$2</f>
        <v>31919.930069004946</v>
      </c>
      <c r="Y547" s="15">
        <f>F547/detalle!$D$2</f>
        <v>365.58487786937826</v>
      </c>
      <c r="AA547" s="14">
        <f>E547/(detalle!$D$2*1000000)</f>
        <v>3.1919930069004947E-2</v>
      </c>
      <c r="AB547" s="14">
        <f>F547/(detalle!$D$2*1000000)</f>
        <v>3.6558487786937828E-4</v>
      </c>
      <c r="AC547" s="31">
        <f>136/608</f>
        <v>0.22368421052631579</v>
      </c>
      <c r="AD547" s="31">
        <f>421/2604</f>
        <v>0.16167434715821813</v>
      </c>
      <c r="AE547" s="31">
        <f>81/519</f>
        <v>0.15606936416184972</v>
      </c>
      <c r="AF547" s="22">
        <f t="shared" si="120"/>
        <v>0</v>
      </c>
      <c r="AG547" s="12">
        <v>5790794</v>
      </c>
      <c r="AH547" s="12">
        <v>4628273</v>
      </c>
      <c r="AI547" s="12">
        <v>651775</v>
      </c>
      <c r="AJ547" s="23">
        <f t="shared" si="121"/>
        <v>13704</v>
      </c>
      <c r="AK547" s="23">
        <f t="shared" si="122"/>
        <v>11070842</v>
      </c>
      <c r="AL547" s="28">
        <f>AK547/detalle!$D$2</f>
        <v>1010065.4905119</v>
      </c>
    </row>
    <row r="548" spans="1:38">
      <c r="A548" s="12">
        <v>547</v>
      </c>
      <c r="B548" s="19">
        <v>44437</v>
      </c>
      <c r="C548" s="12">
        <v>529</v>
      </c>
      <c r="D548" s="23">
        <f t="shared" si="117"/>
        <v>158</v>
      </c>
      <c r="E548" s="12">
        <v>350017</v>
      </c>
      <c r="F548" s="12">
        <v>4007</v>
      </c>
      <c r="G548" s="12">
        <v>340994</v>
      </c>
      <c r="H548" s="23">
        <f t="shared" si="113"/>
        <v>5016</v>
      </c>
      <c r="I548" s="23">
        <f t="shared" si="110"/>
        <v>2057</v>
      </c>
      <c r="J548" s="12">
        <v>1952650</v>
      </c>
      <c r="K548" s="23">
        <f t="shared" si="112"/>
        <v>1602633</v>
      </c>
      <c r="L548" s="23">
        <f t="shared" si="118"/>
        <v>261</v>
      </c>
      <c r="M548" s="14">
        <f t="shared" si="114"/>
        <v>1.1448015382110013E-2</v>
      </c>
      <c r="N548" s="14">
        <f t="shared" si="124"/>
        <v>7.6810889645114247E-2</v>
      </c>
      <c r="O548" s="12"/>
      <c r="P548" s="12"/>
      <c r="Q548" s="12"/>
      <c r="R548" s="23">
        <f t="shared" si="115"/>
        <v>345001</v>
      </c>
      <c r="S548" s="25">
        <f>(((H548+R548)/(H547+R547))-1)+detalle!$D$1</f>
        <v>7.1880181934518089E-2</v>
      </c>
      <c r="T548" s="25">
        <f t="shared" si="119"/>
        <v>1.0063225470832533</v>
      </c>
      <c r="U548" s="10">
        <f t="shared" si="116"/>
        <v>0.97422125211061172</v>
      </c>
      <c r="V548" s="21">
        <f t="shared" si="123"/>
        <v>85.09957574245071</v>
      </c>
      <c r="W548" s="15">
        <f>J548/detalle!$D$2</f>
        <v>178153.06008775681</v>
      </c>
      <c r="X548" s="15">
        <f>E548/detalle!$D$2</f>
        <v>31934.345444773189</v>
      </c>
      <c r="Y548" s="15">
        <f>F548/detalle!$D$2</f>
        <v>365.58487786937826</v>
      </c>
      <c r="AA548" s="14">
        <f>E548/(detalle!$D$2*1000000)</f>
        <v>3.1934345444773193E-2</v>
      </c>
      <c r="AB548" s="14">
        <f>F548/(detalle!$D$2*1000000)</f>
        <v>3.6558487786937828E-4</v>
      </c>
      <c r="AC548" s="31">
        <f>136/608</f>
        <v>0.22368421052631579</v>
      </c>
      <c r="AD548" s="31">
        <f>427/2604</f>
        <v>0.16397849462365591</v>
      </c>
      <c r="AE548" s="31">
        <f>82/519</f>
        <v>0.15799614643545279</v>
      </c>
      <c r="AF548" s="22">
        <f t="shared" si="120"/>
        <v>0</v>
      </c>
      <c r="AG548" s="12">
        <v>5792064</v>
      </c>
      <c r="AH548" s="12">
        <v>4629910</v>
      </c>
      <c r="AI548" s="12">
        <v>653540</v>
      </c>
      <c r="AJ548" s="23">
        <f t="shared" si="121"/>
        <v>4672</v>
      </c>
      <c r="AK548" s="23">
        <f t="shared" si="122"/>
        <v>11075514</v>
      </c>
      <c r="AL548" s="28">
        <f>AK548/detalle!$D$2</f>
        <v>1010491.7476991737</v>
      </c>
    </row>
    <row r="549" spans="1:38">
      <c r="A549" s="12">
        <v>548</v>
      </c>
      <c r="B549" s="19">
        <v>44438</v>
      </c>
      <c r="C549" s="12">
        <v>530</v>
      </c>
      <c r="D549" s="23">
        <f t="shared" si="117"/>
        <v>156</v>
      </c>
      <c r="E549" s="12">
        <v>350173</v>
      </c>
      <c r="F549" s="12">
        <v>4008</v>
      </c>
      <c r="G549" s="12">
        <v>341187</v>
      </c>
      <c r="H549" s="23">
        <f t="shared" si="113"/>
        <v>4978</v>
      </c>
      <c r="I549" s="23">
        <f t="shared" si="110"/>
        <v>2409</v>
      </c>
      <c r="J549" s="12">
        <v>1955059</v>
      </c>
      <c r="K549" s="23">
        <f t="shared" si="112"/>
        <v>1604886</v>
      </c>
      <c r="L549" s="23">
        <f t="shared" si="118"/>
        <v>193</v>
      </c>
      <c r="M549" s="14">
        <f t="shared" si="114"/>
        <v>1.1445771090289656E-2</v>
      </c>
      <c r="N549" s="14">
        <f t="shared" si="124"/>
        <v>6.4757160647571602E-2</v>
      </c>
      <c r="O549" s="12"/>
      <c r="P549" s="12"/>
      <c r="Q549" s="12"/>
      <c r="R549" s="23">
        <f t="shared" si="115"/>
        <v>345195</v>
      </c>
      <c r="S549" s="25">
        <f>(((H549+R549)/(H548+R548))-1)+detalle!$D$1</f>
        <v>7.187426406635769E-2</v>
      </c>
      <c r="T549" s="25">
        <f t="shared" si="119"/>
        <v>1.0062396969290077</v>
      </c>
      <c r="U549" s="10">
        <f t="shared" si="116"/>
        <v>0.9743383984487668</v>
      </c>
      <c r="V549" s="21">
        <f t="shared" si="123"/>
        <v>85.126497005988028</v>
      </c>
      <c r="W549" s="15">
        <f>J549/detalle!$D$2</f>
        <v>178372.8489499448</v>
      </c>
      <c r="X549" s="15">
        <f>E549/detalle!$D$2</f>
        <v>31948.578347430448</v>
      </c>
      <c r="Y549" s="15">
        <f>F549/detalle!$D$2</f>
        <v>365.6761144248735</v>
      </c>
      <c r="AA549" s="14">
        <f>E549/(detalle!$D$2*1000000)</f>
        <v>3.1948578347430444E-2</v>
      </c>
      <c r="AB549" s="14">
        <f>F549/(detalle!$D$2*1000000)</f>
        <v>3.6567611442487349E-4</v>
      </c>
      <c r="AC549" s="31">
        <f>136/609</f>
        <v>0.22331691297208539</v>
      </c>
      <c r="AD549" s="31">
        <f>425/2604</f>
        <v>0.16321044546850999</v>
      </c>
      <c r="AE549" s="31">
        <f>84/519</f>
        <v>0.16184971098265896</v>
      </c>
      <c r="AF549" s="22">
        <f t="shared" si="120"/>
        <v>1</v>
      </c>
      <c r="AG549" s="12">
        <v>5802974</v>
      </c>
      <c r="AH549" s="12">
        <v>4643779</v>
      </c>
      <c r="AI549" s="12">
        <v>664795</v>
      </c>
      <c r="AJ549" s="23">
        <f t="shared" si="121"/>
        <v>36034</v>
      </c>
      <c r="AK549" s="23">
        <f t="shared" si="122"/>
        <v>11111548</v>
      </c>
      <c r="AL549" s="28">
        <f>AK549/detalle!$D$2</f>
        <v>1013779.3657398889</v>
      </c>
    </row>
    <row r="550" spans="1:38">
      <c r="A550" s="12">
        <v>549</v>
      </c>
      <c r="B550" s="19">
        <v>44439</v>
      </c>
      <c r="C550" s="12">
        <v>531</v>
      </c>
      <c r="D550" s="23">
        <f t="shared" si="117"/>
        <v>295</v>
      </c>
      <c r="E550" s="12">
        <v>350468</v>
      </c>
      <c r="F550" s="12">
        <v>4008</v>
      </c>
      <c r="G550" s="12">
        <v>341351</v>
      </c>
      <c r="H550" s="23">
        <f t="shared" si="113"/>
        <v>5109</v>
      </c>
      <c r="I550" s="23">
        <f t="shared" si="110"/>
        <v>3249</v>
      </c>
      <c r="J550" s="12">
        <v>1958308</v>
      </c>
      <c r="K550" s="23">
        <f t="shared" si="112"/>
        <v>1607840</v>
      </c>
      <c r="L550" s="23">
        <f t="shared" si="118"/>
        <v>164</v>
      </c>
      <c r="M550" s="14">
        <f t="shared" si="114"/>
        <v>1.1436136822762706E-2</v>
      </c>
      <c r="N550" s="14">
        <f t="shared" si="124"/>
        <v>9.0797168359495223E-2</v>
      </c>
      <c r="O550" s="12"/>
      <c r="P550" s="12"/>
      <c r="Q550" s="12"/>
      <c r="R550" s="23">
        <f t="shared" si="115"/>
        <v>345359</v>
      </c>
      <c r="S550" s="25">
        <f>(((H550+R550)/(H549+R549))-1)+detalle!$D$1</f>
        <v>7.2271012165007448E-2</v>
      </c>
      <c r="T550" s="25">
        <f t="shared" si="119"/>
        <v>1.0117941703101043</v>
      </c>
      <c r="U550" s="10">
        <f t="shared" si="116"/>
        <v>0.9739862127212755</v>
      </c>
      <c r="V550" s="21">
        <f t="shared" si="123"/>
        <v>85.167415169660686</v>
      </c>
      <c r="W550" s="15">
        <f>J550/detalle!$D$2</f>
        <v>178669.27651874881</v>
      </c>
      <c r="X550" s="15">
        <f>E550/detalle!$D$2</f>
        <v>31975.49313130154</v>
      </c>
      <c r="Y550" s="15">
        <f>F550/detalle!$D$2</f>
        <v>365.6761144248735</v>
      </c>
      <c r="AA550" s="14">
        <f>E550/(detalle!$D$2*1000000)</f>
        <v>3.197549313130154E-2</v>
      </c>
      <c r="AB550" s="14">
        <f>F550/(detalle!$D$2*1000000)</f>
        <v>3.6567611442487349E-4</v>
      </c>
      <c r="AC550" s="31">
        <f>138/609</f>
        <v>0.22660098522167488</v>
      </c>
      <c r="AD550" s="31">
        <f>405/2604</f>
        <v>0.15552995391705068</v>
      </c>
      <c r="AE550" s="31">
        <f>90/519</f>
        <v>0.17341040462427745</v>
      </c>
      <c r="AF550" s="22">
        <f t="shared" si="120"/>
        <v>0</v>
      </c>
      <c r="AG550" s="12">
        <v>5815574</v>
      </c>
      <c r="AH550" s="12">
        <v>4658577</v>
      </c>
      <c r="AI550" s="12">
        <v>677893</v>
      </c>
      <c r="AJ550" s="23">
        <f t="shared" si="121"/>
        <v>40496</v>
      </c>
      <c r="AK550" s="23">
        <f t="shared" si="122"/>
        <v>11152044</v>
      </c>
      <c r="AL550" s="28">
        <f>AK550/detalle!$D$2</f>
        <v>1017474.0812912235</v>
      </c>
    </row>
    <row r="551" spans="1:38">
      <c r="A551" s="12">
        <v>550</v>
      </c>
      <c r="B551" s="19">
        <v>44440</v>
      </c>
      <c r="C551" s="12">
        <v>532</v>
      </c>
      <c r="D551" s="23">
        <f t="shared" si="117"/>
        <v>321</v>
      </c>
      <c r="E551" s="12">
        <v>350789</v>
      </c>
      <c r="F551" s="12">
        <v>4009</v>
      </c>
      <c r="G551" s="12">
        <v>341683</v>
      </c>
      <c r="H551" s="23">
        <f t="shared" si="113"/>
        <v>5097</v>
      </c>
      <c r="I551" s="23">
        <f t="shared" si="110"/>
        <v>3896</v>
      </c>
      <c r="J551" s="12">
        <v>1962204</v>
      </c>
      <c r="K551" s="23">
        <f t="shared" si="112"/>
        <v>1611415</v>
      </c>
      <c r="L551" s="23">
        <f t="shared" si="118"/>
        <v>332</v>
      </c>
      <c r="M551" s="14">
        <f t="shared" si="114"/>
        <v>1.1428522559145241E-2</v>
      </c>
      <c r="N551" s="14">
        <f t="shared" si="124"/>
        <v>8.239219712525668E-2</v>
      </c>
      <c r="O551" s="12"/>
      <c r="P551" s="12"/>
      <c r="Q551" s="12"/>
      <c r="R551" s="23">
        <f t="shared" si="115"/>
        <v>345692</v>
      </c>
      <c r="S551" s="25">
        <f>(((H551+R551)/(H550+R550))-1)+detalle!$D$1</f>
        <v>7.2344489572310683E-2</v>
      </c>
      <c r="T551" s="25">
        <f t="shared" si="119"/>
        <v>1.0128228540123496</v>
      </c>
      <c r="U551" s="10">
        <f t="shared" si="116"/>
        <v>0.9740413752996816</v>
      </c>
      <c r="V551" s="21">
        <f t="shared" si="123"/>
        <v>85.228984784235465</v>
      </c>
      <c r="W551" s="15">
        <f>J551/detalle!$D$2</f>
        <v>179024.73413895821</v>
      </c>
      <c r="X551" s="15">
        <f>E551/detalle!$D$2</f>
        <v>32004.780065615509</v>
      </c>
      <c r="Y551" s="15">
        <f>F551/detalle!$D$2</f>
        <v>365.76735098036875</v>
      </c>
      <c r="AA551" s="14">
        <f>E551/(detalle!$D$2*1000000)</f>
        <v>3.2004780065615503E-2</v>
      </c>
      <c r="AB551" s="14">
        <f>F551/(detalle!$D$2*1000000)</f>
        <v>3.6576735098036871E-4</v>
      </c>
      <c r="AC551" s="31">
        <f>137/609</f>
        <v>0.22495894909688013</v>
      </c>
      <c r="AD551" s="31">
        <f>399/2604</f>
        <v>0.15322580645161291</v>
      </c>
      <c r="AE551" s="31">
        <f>80/519</f>
        <v>0.15414258188824662</v>
      </c>
      <c r="AF551" s="22">
        <f t="shared" si="120"/>
        <v>1</v>
      </c>
      <c r="AG551" s="12">
        <v>5827045</v>
      </c>
      <c r="AH551" s="12">
        <v>4671784</v>
      </c>
      <c r="AI551" s="12">
        <v>690591</v>
      </c>
      <c r="AJ551" s="23">
        <f t="shared" si="121"/>
        <v>37376</v>
      </c>
      <c r="AK551" s="23">
        <f t="shared" si="122"/>
        <v>11189420</v>
      </c>
      <c r="AL551" s="28">
        <f>AK551/detalle!$D$2</f>
        <v>1020884.1387894131</v>
      </c>
    </row>
    <row r="552" spans="1:38">
      <c r="A552" s="12">
        <v>551</v>
      </c>
      <c r="B552" s="19">
        <v>44441</v>
      </c>
      <c r="C552" s="12">
        <v>533</v>
      </c>
      <c r="D552" s="23">
        <f t="shared" si="117"/>
        <v>411</v>
      </c>
      <c r="E552" s="12">
        <v>351200</v>
      </c>
      <c r="F552" s="12">
        <v>4009</v>
      </c>
      <c r="G552" s="12">
        <v>342022</v>
      </c>
      <c r="H552" s="23">
        <f t="shared" si="113"/>
        <v>5169</v>
      </c>
      <c r="I552" s="23">
        <f t="shared" si="110"/>
        <v>4030</v>
      </c>
      <c r="J552" s="12">
        <v>1966234</v>
      </c>
      <c r="K552" s="23">
        <f t="shared" si="112"/>
        <v>1615034</v>
      </c>
      <c r="L552" s="23">
        <f t="shared" si="118"/>
        <v>339</v>
      </c>
      <c r="M552" s="14">
        <f t="shared" si="114"/>
        <v>1.141514806378132E-2</v>
      </c>
      <c r="N552" s="14">
        <f t="shared" si="124"/>
        <v>0.10198511166253102</v>
      </c>
      <c r="O552" s="12"/>
      <c r="P552" s="12"/>
      <c r="Q552" s="12"/>
      <c r="R552" s="23">
        <f t="shared" si="115"/>
        <v>346031</v>
      </c>
      <c r="S552" s="25">
        <f>(((H552+R552)/(H551+R551))-1)+detalle!$D$1</f>
        <v>7.2600215921414774E-2</v>
      </c>
      <c r="T552" s="25">
        <f t="shared" si="119"/>
        <v>1.0164030228998069</v>
      </c>
      <c r="U552" s="10">
        <f t="shared" si="116"/>
        <v>0.97386674259681094</v>
      </c>
      <c r="V552" s="21">
        <f t="shared" si="123"/>
        <v>85.31354452481915</v>
      </c>
      <c r="W552" s="15">
        <f>J552/detalle!$D$2</f>
        <v>179392.41745760397</v>
      </c>
      <c r="X552" s="15">
        <f>E552/detalle!$D$2</f>
        <v>32042.278289924045</v>
      </c>
      <c r="Y552" s="15">
        <f>F552/detalle!$D$2</f>
        <v>365.76735098036875</v>
      </c>
      <c r="AA552" s="14">
        <f>E552/(detalle!$D$2*1000000)</f>
        <v>3.2042278289924044E-2</v>
      </c>
      <c r="AB552" s="14">
        <f>F552/(detalle!$D$2*1000000)</f>
        <v>3.6576735098036871E-4</v>
      </c>
      <c r="AC552" s="31">
        <f>140/609</f>
        <v>0.22988505747126436</v>
      </c>
      <c r="AD552" s="31">
        <f>429/2604</f>
        <v>0.16474654377880185</v>
      </c>
      <c r="AE552" s="31">
        <f>87/519</f>
        <v>0.16763005780346821</v>
      </c>
      <c r="AF552" s="22">
        <f t="shared" si="120"/>
        <v>0</v>
      </c>
      <c r="AG552" s="12">
        <v>5838647</v>
      </c>
      <c r="AH552" s="12">
        <v>4684130</v>
      </c>
      <c r="AI552" s="12">
        <v>704388</v>
      </c>
      <c r="AJ552" s="23">
        <f t="shared" si="121"/>
        <v>37745</v>
      </c>
      <c r="AK552" s="23">
        <f t="shared" si="122"/>
        <v>11227165</v>
      </c>
      <c r="AL552" s="28">
        <f>AK552/detalle!$D$2</f>
        <v>1024327.8625765806</v>
      </c>
    </row>
    <row r="553" spans="1:38">
      <c r="A553" s="12">
        <v>552</v>
      </c>
      <c r="B553" s="19">
        <v>44442</v>
      </c>
      <c r="C553" s="12">
        <v>534</v>
      </c>
      <c r="D553" s="23">
        <f t="shared" si="117"/>
        <v>253</v>
      </c>
      <c r="E553" s="12">
        <v>351453</v>
      </c>
      <c r="F553" s="12">
        <v>4012</v>
      </c>
      <c r="G553" s="12">
        <v>342169</v>
      </c>
      <c r="H553" s="23">
        <f t="shared" si="113"/>
        <v>5272</v>
      </c>
      <c r="I553" s="23">
        <f t="shared" si="110"/>
        <v>3453</v>
      </c>
      <c r="J553" s="12">
        <v>1969687</v>
      </c>
      <c r="K553" s="23">
        <f t="shared" si="112"/>
        <v>1618234</v>
      </c>
      <c r="L553" s="23">
        <f t="shared" si="118"/>
        <v>147</v>
      </c>
      <c r="M553" s="14">
        <f t="shared" si="114"/>
        <v>1.141546664845655E-2</v>
      </c>
      <c r="N553" s="14">
        <f t="shared" si="124"/>
        <v>7.3269620619750939E-2</v>
      </c>
      <c r="O553" s="12"/>
      <c r="P553" s="12"/>
      <c r="Q553" s="12"/>
      <c r="R553" s="23">
        <f t="shared" si="115"/>
        <v>346181</v>
      </c>
      <c r="S553" s="25">
        <f>(((H553+R553)/(H552+R552))-1)+detalle!$D$1</f>
        <v>7.2148958672307223E-2</v>
      </c>
      <c r="T553" s="25">
        <f t="shared" si="119"/>
        <v>1.0100854214123012</v>
      </c>
      <c r="U553" s="10">
        <f t="shared" si="116"/>
        <v>0.97358395005875609</v>
      </c>
      <c r="V553" s="21">
        <f t="shared" si="123"/>
        <v>85.286390827517451</v>
      </c>
      <c r="W553" s="15">
        <f>J553/detalle!$D$2</f>
        <v>179707.45728372899</v>
      </c>
      <c r="X553" s="15">
        <f>E553/detalle!$D$2</f>
        <v>32065.361138464337</v>
      </c>
      <c r="Y553" s="15">
        <f>F553/detalle!$D$2</f>
        <v>366.04106064685442</v>
      </c>
      <c r="AA553" s="14">
        <f>E553/(detalle!$D$2*1000000)</f>
        <v>3.2065361138464338E-2</v>
      </c>
      <c r="AB553" s="14">
        <f>F553/(detalle!$D$2*1000000)</f>
        <v>3.660410606468544E-4</v>
      </c>
      <c r="AC553" s="31">
        <f>142/609</f>
        <v>0.23316912972085385</v>
      </c>
      <c r="AD553" s="31">
        <f>432/2604</f>
        <v>0.16589861751152074</v>
      </c>
      <c r="AE553" s="31">
        <f>88/519</f>
        <v>0.16955684007707128</v>
      </c>
      <c r="AF553" s="22">
        <f t="shared" si="120"/>
        <v>3</v>
      </c>
      <c r="AG553" s="12">
        <v>5848770</v>
      </c>
      <c r="AH553" s="12">
        <v>4694576</v>
      </c>
      <c r="AI553" s="12">
        <v>716746</v>
      </c>
      <c r="AJ553" s="23">
        <f t="shared" si="121"/>
        <v>32927</v>
      </c>
      <c r="AK553" s="23">
        <f t="shared" si="122"/>
        <v>11260092</v>
      </c>
      <c r="AL553" s="28">
        <f>AK553/detalle!$D$2</f>
        <v>1027332.008639372</v>
      </c>
    </row>
    <row r="554" spans="1:38">
      <c r="A554" s="12">
        <v>553</v>
      </c>
      <c r="B554" s="19">
        <v>44443</v>
      </c>
      <c r="C554" s="12">
        <v>535</v>
      </c>
      <c r="D554" s="23">
        <f t="shared" si="117"/>
        <v>285</v>
      </c>
      <c r="E554" s="12">
        <v>351738</v>
      </c>
      <c r="F554" s="12">
        <v>4012</v>
      </c>
      <c r="G554" s="12">
        <v>342500</v>
      </c>
      <c r="H554" s="23">
        <f t="shared" si="113"/>
        <v>5226</v>
      </c>
      <c r="I554" s="23">
        <f t="shared" si="110"/>
        <v>3761</v>
      </c>
      <c r="J554" s="12">
        <v>1973448</v>
      </c>
      <c r="K554" s="23">
        <f t="shared" si="112"/>
        <v>1621710</v>
      </c>
      <c r="L554" s="23">
        <f t="shared" si="118"/>
        <v>331</v>
      </c>
      <c r="M554" s="14">
        <f t="shared" si="114"/>
        <v>1.1406217127521052E-2</v>
      </c>
      <c r="N554" s="14">
        <f t="shared" si="124"/>
        <v>7.5777718691837276E-2</v>
      </c>
      <c r="O554" s="12"/>
      <c r="P554" s="12"/>
      <c r="Q554" s="12"/>
      <c r="R554" s="23">
        <f t="shared" si="115"/>
        <v>346512</v>
      </c>
      <c r="S554" s="25">
        <f>(((H554+R554)/(H553+R553))-1)+detalle!$D$1</f>
        <v>7.223949066955096E-2</v>
      </c>
      <c r="T554" s="25">
        <f t="shared" si="119"/>
        <v>1.0113528693737135</v>
      </c>
      <c r="U554" s="10">
        <f t="shared" si="116"/>
        <v>0.97373613314455643</v>
      </c>
      <c r="V554" s="21">
        <f t="shared" si="123"/>
        <v>85.368893320039874</v>
      </c>
      <c r="W554" s="15">
        <f>J554/detalle!$D$2</f>
        <v>180050.59796894656</v>
      </c>
      <c r="X554" s="15">
        <f>E554/detalle!$D$2</f>
        <v>32091.363556780478</v>
      </c>
      <c r="Y554" s="15">
        <f>F554/detalle!$D$2</f>
        <v>366.04106064685442</v>
      </c>
      <c r="AA554" s="14">
        <f>E554/(detalle!$D$2*1000000)</f>
        <v>3.2091363556780481E-2</v>
      </c>
      <c r="AB554" s="14">
        <f>F554/(detalle!$D$2*1000000)</f>
        <v>3.660410606468544E-4</v>
      </c>
      <c r="AC554" s="31">
        <f>141/609</f>
        <v>0.23152709359605911</v>
      </c>
      <c r="AD554" s="31">
        <f>430/2604</f>
        <v>0.1651305683563748</v>
      </c>
      <c r="AE554" s="31">
        <f>85/519</f>
        <v>0.16377649325626203</v>
      </c>
      <c r="AF554" s="22">
        <f t="shared" si="120"/>
        <v>0</v>
      </c>
      <c r="AG554" s="12">
        <v>5852088</v>
      </c>
      <c r="AH554" s="12">
        <v>4698661</v>
      </c>
      <c r="AI554" s="12">
        <v>721262</v>
      </c>
      <c r="AJ554" s="23">
        <f t="shared" si="121"/>
        <v>11919</v>
      </c>
      <c r="AK554" s="23">
        <f t="shared" si="122"/>
        <v>11272011</v>
      </c>
      <c r="AL554" s="28">
        <f>AK554/detalle!$D$2</f>
        <v>1028419.4571443195</v>
      </c>
    </row>
    <row r="555" spans="1:38">
      <c r="A555" s="12">
        <v>554</v>
      </c>
      <c r="B555" s="19">
        <v>44444</v>
      </c>
      <c r="C555" s="12">
        <v>536</v>
      </c>
      <c r="D555" s="23">
        <f t="shared" si="117"/>
        <v>156</v>
      </c>
      <c r="E555" s="12">
        <v>351894</v>
      </c>
      <c r="F555" s="12">
        <v>4012</v>
      </c>
      <c r="G555" s="12">
        <v>342826</v>
      </c>
      <c r="H555" s="23">
        <f t="shared" si="113"/>
        <v>5056</v>
      </c>
      <c r="I555" s="23">
        <f t="shared" ref="I555:I618" si="125">J555-J554</f>
        <v>1607</v>
      </c>
      <c r="J555" s="12">
        <v>1975055</v>
      </c>
      <c r="K555" s="23">
        <f t="shared" si="112"/>
        <v>1623161</v>
      </c>
      <c r="L555" s="23">
        <f t="shared" si="118"/>
        <v>326</v>
      </c>
      <c r="M555" s="14">
        <f t="shared" si="114"/>
        <v>1.1401160576764593E-2</v>
      </c>
      <c r="N555" s="14">
        <f t="shared" si="124"/>
        <v>9.7075295581829493E-2</v>
      </c>
      <c r="O555" s="12"/>
      <c r="P555" s="12"/>
      <c r="Q555" s="12"/>
      <c r="R555" s="23">
        <f t="shared" si="115"/>
        <v>346838</v>
      </c>
      <c r="S555" s="25">
        <f>(((H555+R555)/(H554+R554))-1)+detalle!$D$1</f>
        <v>7.1872083360748268E-2</v>
      </c>
      <c r="T555" s="25">
        <f t="shared" si="119"/>
        <v>1.0062091670504758</v>
      </c>
      <c r="U555" s="10">
        <f t="shared" si="116"/>
        <v>0.9742308763434443</v>
      </c>
      <c r="V555" s="21">
        <f t="shared" si="123"/>
        <v>85.450149551345959</v>
      </c>
      <c r="W555" s="15">
        <f>J555/detalle!$D$2</f>
        <v>180197.21511362738</v>
      </c>
      <c r="X555" s="15">
        <f>E555/detalle!$D$2</f>
        <v>32105.596459437733</v>
      </c>
      <c r="Y555" s="15">
        <f>F555/detalle!$D$2</f>
        <v>366.04106064685442</v>
      </c>
      <c r="AA555" s="14">
        <f>E555/(detalle!$D$2*1000000)</f>
        <v>3.2105596459437731E-2</v>
      </c>
      <c r="AB555" s="14">
        <f>F555/(detalle!$D$2*1000000)</f>
        <v>3.660410606468544E-4</v>
      </c>
      <c r="AC555" s="31">
        <f>139/609</f>
        <v>0.22824302134646962</v>
      </c>
      <c r="AD555" s="31">
        <f>418/2604</f>
        <v>0.16052227342549924</v>
      </c>
      <c r="AE555" s="31">
        <f>80/519</f>
        <v>0.15414258188824662</v>
      </c>
      <c r="AF555" s="22">
        <f t="shared" si="120"/>
        <v>0</v>
      </c>
      <c r="AG555" s="12">
        <v>5853238</v>
      </c>
      <c r="AH555" s="12">
        <v>4699926</v>
      </c>
      <c r="AI555" s="12">
        <v>722792</v>
      </c>
      <c r="AJ555" s="23">
        <f t="shared" si="121"/>
        <v>3945</v>
      </c>
      <c r="AK555" s="23">
        <f t="shared" si="122"/>
        <v>11275956</v>
      </c>
      <c r="AL555" s="28">
        <f>AK555/detalle!$D$2</f>
        <v>1028779.3853557482</v>
      </c>
    </row>
    <row r="556" spans="1:38">
      <c r="A556" s="12">
        <v>555</v>
      </c>
      <c r="B556" s="19">
        <v>44445</v>
      </c>
      <c r="C556" s="12">
        <v>537</v>
      </c>
      <c r="D556" s="23">
        <f t="shared" si="117"/>
        <v>115</v>
      </c>
      <c r="E556" s="12">
        <v>352009</v>
      </c>
      <c r="F556" s="12">
        <v>4013</v>
      </c>
      <c r="G556" s="12">
        <v>343054</v>
      </c>
      <c r="H556" s="23">
        <f t="shared" si="113"/>
        <v>4942</v>
      </c>
      <c r="I556" s="23">
        <f t="shared" si="125"/>
        <v>1246</v>
      </c>
      <c r="J556" s="12">
        <v>1976301</v>
      </c>
      <c r="K556" s="23">
        <f t="shared" si="112"/>
        <v>1624292</v>
      </c>
      <c r="L556" s="23">
        <f t="shared" si="118"/>
        <v>228</v>
      </c>
      <c r="M556" s="14">
        <f t="shared" si="114"/>
        <v>1.1400276697470802E-2</v>
      </c>
      <c r="N556" s="14">
        <f t="shared" si="124"/>
        <v>9.2295345104333862E-2</v>
      </c>
      <c r="O556" s="12"/>
      <c r="P556" s="12"/>
      <c r="Q556" s="12"/>
      <c r="R556" s="23">
        <f t="shared" si="115"/>
        <v>347067</v>
      </c>
      <c r="S556" s="25">
        <f>(((H556+R556)/(H555+R555))-1)+detalle!$D$1</f>
        <v>7.1755374386280241E-2</v>
      </c>
      <c r="T556" s="25">
        <f t="shared" si="119"/>
        <v>1.0045752414079234</v>
      </c>
      <c r="U556" s="10">
        <f t="shared" si="116"/>
        <v>0.97456030953754025</v>
      </c>
      <c r="V556" s="21">
        <f t="shared" si="123"/>
        <v>85.48567156740593</v>
      </c>
      <c r="W556" s="15">
        <f>J556/detalle!$D$2</f>
        <v>180310.89586177442</v>
      </c>
      <c r="X556" s="15">
        <f>E556/detalle!$D$2</f>
        <v>32116.088663319686</v>
      </c>
      <c r="Y556" s="15">
        <f>F556/detalle!$D$2</f>
        <v>366.13229720234966</v>
      </c>
      <c r="AA556" s="14">
        <f>E556/(detalle!$D$2*1000000)</f>
        <v>3.2116088663319685E-2</v>
      </c>
      <c r="AB556" s="14">
        <f>F556/(detalle!$D$2*1000000)</f>
        <v>3.6613229720234961E-4</v>
      </c>
      <c r="AC556" s="31">
        <f>121/609</f>
        <v>0.19868637110016421</v>
      </c>
      <c r="AD556" s="31">
        <f>400/2604</f>
        <v>0.15360983102918588</v>
      </c>
      <c r="AE556" s="31">
        <f>77/519</f>
        <v>0.14836223506743737</v>
      </c>
      <c r="AF556" s="22">
        <f t="shared" si="120"/>
        <v>1</v>
      </c>
      <c r="AG556" s="12">
        <v>5864778</v>
      </c>
      <c r="AH556" s="12">
        <v>4710022</v>
      </c>
      <c r="AI556" s="12">
        <v>734008</v>
      </c>
      <c r="AJ556" s="23">
        <f t="shared" si="121"/>
        <v>32852</v>
      </c>
      <c r="AK556" s="23">
        <f t="shared" si="122"/>
        <v>11308808</v>
      </c>
      <c r="AL556" s="28">
        <f>AK556/detalle!$D$2</f>
        <v>1031776.6886768774</v>
      </c>
    </row>
    <row r="557" spans="1:38">
      <c r="A557" s="12">
        <v>556</v>
      </c>
      <c r="B557" s="19">
        <v>44446</v>
      </c>
      <c r="C557" s="12">
        <v>538</v>
      </c>
      <c r="D557" s="23">
        <f t="shared" si="117"/>
        <v>192</v>
      </c>
      <c r="E557" s="12">
        <v>352201</v>
      </c>
      <c r="F557" s="12">
        <v>4013</v>
      </c>
      <c r="G557" s="12">
        <v>343113</v>
      </c>
      <c r="H557" s="23">
        <f t="shared" si="113"/>
        <v>5075</v>
      </c>
      <c r="I557" s="23">
        <f t="shared" si="125"/>
        <v>3722</v>
      </c>
      <c r="J557" s="12">
        <v>1980023</v>
      </c>
      <c r="K557" s="23">
        <f t="shared" si="112"/>
        <v>1627822</v>
      </c>
      <c r="L557" s="23">
        <f t="shared" si="118"/>
        <v>59</v>
      </c>
      <c r="M557" s="14">
        <f t="shared" si="114"/>
        <v>1.1394061913509616E-2</v>
      </c>
      <c r="N557" s="14">
        <f t="shared" si="124"/>
        <v>5.1585169263836647E-2</v>
      </c>
      <c r="O557" s="12"/>
      <c r="P557" s="12"/>
      <c r="Q557" s="12"/>
      <c r="R557" s="23">
        <f t="shared" si="115"/>
        <v>347126</v>
      </c>
      <c r="S557" s="25">
        <f>(((H557+R557)/(H556+R556))-1)+detalle!$D$1</f>
        <v>7.1974012028101636E-2</v>
      </c>
      <c r="T557" s="25">
        <f t="shared" si="119"/>
        <v>1.007636168393423</v>
      </c>
      <c r="U557" s="10">
        <f t="shared" si="116"/>
        <v>0.97419655253676163</v>
      </c>
      <c r="V557" s="21">
        <f t="shared" si="123"/>
        <v>85.500373785198107</v>
      </c>
      <c r="W557" s="15">
        <f>J557/detalle!$D$2</f>
        <v>180650.47832132768</v>
      </c>
      <c r="X557" s="15">
        <f>E557/detalle!$D$2</f>
        <v>32133.606081974769</v>
      </c>
      <c r="Y557" s="15">
        <f>F557/detalle!$D$2</f>
        <v>366.13229720234966</v>
      </c>
      <c r="AA557" s="14">
        <f>E557/(detalle!$D$2*1000000)</f>
        <v>3.2133606081974769E-2</v>
      </c>
      <c r="AB557" s="14">
        <f>F557/(detalle!$D$2*1000000)</f>
        <v>3.6613229720234961E-4</v>
      </c>
      <c r="AC557" s="31">
        <f>124/609</f>
        <v>0.20361247947454844</v>
      </c>
      <c r="AD557" s="31">
        <f>397/2604</f>
        <v>0.15245775729646696</v>
      </c>
      <c r="AE557" s="31">
        <f>81/519</f>
        <v>0.15606936416184972</v>
      </c>
      <c r="AF557" s="22">
        <f t="shared" si="120"/>
        <v>0</v>
      </c>
      <c r="AG557" s="12">
        <v>5876522</v>
      </c>
      <c r="AH557" s="12">
        <v>4721182</v>
      </c>
      <c r="AI557" s="12">
        <v>746865</v>
      </c>
      <c r="AJ557" s="23">
        <f t="shared" si="121"/>
        <v>35761</v>
      </c>
      <c r="AK557" s="23">
        <f t="shared" si="122"/>
        <v>11344569</v>
      </c>
      <c r="AL557" s="28">
        <f>AK557/detalle!$D$2</f>
        <v>1035039.3991379424</v>
      </c>
    </row>
    <row r="558" spans="1:38">
      <c r="A558" s="12">
        <v>557</v>
      </c>
      <c r="B558" s="19">
        <v>44447</v>
      </c>
      <c r="C558" s="12">
        <v>539</v>
      </c>
      <c r="D558" s="23">
        <f t="shared" si="117"/>
        <v>240</v>
      </c>
      <c r="E558" s="12">
        <v>352441</v>
      </c>
      <c r="F558" s="12">
        <v>4014</v>
      </c>
      <c r="G558" s="12">
        <v>343403</v>
      </c>
      <c r="H558" s="23">
        <f t="shared" si="113"/>
        <v>5024</v>
      </c>
      <c r="I558" s="23">
        <f t="shared" si="125"/>
        <v>3960</v>
      </c>
      <c r="J558" s="12">
        <v>1983983</v>
      </c>
      <c r="K558" s="23">
        <f t="shared" si="112"/>
        <v>1631542</v>
      </c>
      <c r="L558" s="23">
        <f t="shared" si="118"/>
        <v>290</v>
      </c>
      <c r="M558" s="14">
        <f t="shared" si="114"/>
        <v>1.1389140310009335E-2</v>
      </c>
      <c r="N558" s="14">
        <f t="shared" si="124"/>
        <v>6.0606060606060608E-2</v>
      </c>
      <c r="O558" s="12"/>
      <c r="P558" s="12"/>
      <c r="Q558" s="12"/>
      <c r="R558" s="23">
        <f t="shared" si="115"/>
        <v>347417</v>
      </c>
      <c r="S558" s="25">
        <f>(((H558+R558)/(H557+R557))-1)+detalle!$D$1</f>
        <v>7.2110000498903509E-2</v>
      </c>
      <c r="T558" s="25">
        <f t="shared" si="119"/>
        <v>1.0095400069846492</v>
      </c>
      <c r="U558" s="10">
        <f t="shared" si="116"/>
        <v>0.97435599149928642</v>
      </c>
      <c r="V558" s="21">
        <f t="shared" si="123"/>
        <v>85.551320378674632</v>
      </c>
      <c r="W558" s="15">
        <f>J558/detalle!$D$2</f>
        <v>181011.77508108877</v>
      </c>
      <c r="X558" s="15">
        <f>E558/detalle!$D$2</f>
        <v>32155.502855293624</v>
      </c>
      <c r="Y558" s="15">
        <f>F558/detalle!$D$2</f>
        <v>366.22353375784485</v>
      </c>
      <c r="AA558" s="14">
        <f>E558/(detalle!$D$2*1000000)</f>
        <v>3.2155502855293623E-2</v>
      </c>
      <c r="AB558" s="14">
        <f>F558/(detalle!$D$2*1000000)</f>
        <v>3.6622353375784488E-4</v>
      </c>
      <c r="AC558" s="31">
        <f>126/609</f>
        <v>0.20689655172413793</v>
      </c>
      <c r="AD558" s="31">
        <f>404/2604</f>
        <v>0.15514592933947774</v>
      </c>
      <c r="AE558" s="31">
        <f>81/519</f>
        <v>0.15606936416184972</v>
      </c>
      <c r="AF558" s="22">
        <f t="shared" si="120"/>
        <v>1</v>
      </c>
      <c r="AG558" s="12">
        <v>5888643</v>
      </c>
      <c r="AH558" s="12">
        <v>4733550</v>
      </c>
      <c r="AI558" s="12">
        <v>759932</v>
      </c>
      <c r="AJ558" s="23">
        <f t="shared" si="121"/>
        <v>37556</v>
      </c>
      <c r="AK558" s="23">
        <f t="shared" si="122"/>
        <v>11382125</v>
      </c>
      <c r="AL558" s="28">
        <f>AK558/detalle!$D$2</f>
        <v>1038465.879216121</v>
      </c>
    </row>
    <row r="559" spans="1:38">
      <c r="A559" s="12">
        <v>558</v>
      </c>
      <c r="B559" s="19">
        <v>44448</v>
      </c>
      <c r="C559" s="12">
        <v>540</v>
      </c>
      <c r="D559" s="23">
        <f t="shared" si="117"/>
        <v>321</v>
      </c>
      <c r="E559" s="12">
        <v>352762</v>
      </c>
      <c r="F559" s="12">
        <v>4014</v>
      </c>
      <c r="G559" s="12">
        <v>343620</v>
      </c>
      <c r="H559" s="23">
        <f t="shared" si="113"/>
        <v>5128</v>
      </c>
      <c r="I559" s="23">
        <f t="shared" si="125"/>
        <v>3770</v>
      </c>
      <c r="J559" s="12">
        <v>1987753</v>
      </c>
      <c r="K559" s="23">
        <f t="shared" si="112"/>
        <v>1634991</v>
      </c>
      <c r="L559" s="23">
        <f t="shared" si="118"/>
        <v>217</v>
      </c>
      <c r="M559" s="14">
        <f t="shared" si="114"/>
        <v>1.1378776625600263E-2</v>
      </c>
      <c r="N559" s="14">
        <f t="shared" si="124"/>
        <v>8.5145888594164457E-2</v>
      </c>
      <c r="O559" s="12"/>
      <c r="P559" s="12"/>
      <c r="Q559" s="12"/>
      <c r="R559" s="23">
        <f t="shared" si="115"/>
        <v>347634</v>
      </c>
      <c r="S559" s="25">
        <f>(((H559+R559)/(H558+R558))-1)+detalle!$D$1</f>
        <v>7.2339362170851712E-2</v>
      </c>
      <c r="T559" s="25">
        <f t="shared" si="119"/>
        <v>1.012751070391924</v>
      </c>
      <c r="U559" s="10">
        <f t="shared" si="116"/>
        <v>0.97408451023636333</v>
      </c>
      <c r="V559" s="21">
        <f t="shared" si="123"/>
        <v>85.605381165919283</v>
      </c>
      <c r="W559" s="15">
        <f>J559/detalle!$D$2</f>
        <v>181355.73689530577</v>
      </c>
      <c r="X559" s="15">
        <f>E559/detalle!$D$2</f>
        <v>32184.789789607592</v>
      </c>
      <c r="Y559" s="15">
        <f>F559/detalle!$D$2</f>
        <v>366.22353375784485</v>
      </c>
      <c r="AA559" s="14">
        <f>E559/(detalle!$D$2*1000000)</f>
        <v>3.2184789789607593E-2</v>
      </c>
      <c r="AB559" s="14">
        <f>F559/(detalle!$D$2*1000000)</f>
        <v>3.6622353375784488E-4</v>
      </c>
      <c r="AC559" s="31">
        <f>135/609</f>
        <v>0.22167487684729065</v>
      </c>
      <c r="AD559" s="31">
        <f>397/2604</f>
        <v>0.15245775729646696</v>
      </c>
      <c r="AE559" s="31">
        <f>82/519</f>
        <v>0.15799614643545279</v>
      </c>
      <c r="AF559" s="22">
        <f t="shared" si="120"/>
        <v>0</v>
      </c>
      <c r="AG559" s="12">
        <v>5899155</v>
      </c>
      <c r="AH559" s="12">
        <v>4744602</v>
      </c>
      <c r="AI559" s="12">
        <v>770593</v>
      </c>
      <c r="AJ559" s="23">
        <f t="shared" si="121"/>
        <v>32225</v>
      </c>
      <c r="AK559" s="23">
        <f t="shared" ref="AK559:AK590" si="126">AG559+AH559+AI559</f>
        <v>11414350</v>
      </c>
      <c r="AL559" s="28">
        <f>AK559/detalle!$D$2</f>
        <v>1041405.9772169548</v>
      </c>
    </row>
    <row r="560" spans="1:38">
      <c r="A560" s="12">
        <v>559</v>
      </c>
      <c r="B560" s="19">
        <v>44449</v>
      </c>
      <c r="C560" s="12">
        <v>541</v>
      </c>
      <c r="D560" s="23">
        <f t="shared" si="117"/>
        <v>309</v>
      </c>
      <c r="E560" s="12">
        <v>353071</v>
      </c>
      <c r="F560" s="12">
        <v>4014</v>
      </c>
      <c r="G560" s="12">
        <v>343936</v>
      </c>
      <c r="H560" s="23">
        <f t="shared" si="113"/>
        <v>5121</v>
      </c>
      <c r="I560" s="23">
        <f t="shared" si="125"/>
        <v>3555</v>
      </c>
      <c r="J560" s="12">
        <v>1991308</v>
      </c>
      <c r="K560" s="23">
        <f t="shared" ref="K560:K623" si="127">J560-E560</f>
        <v>1638237</v>
      </c>
      <c r="L560" s="23">
        <f t="shared" si="118"/>
        <v>316</v>
      </c>
      <c r="M560" s="14">
        <f t="shared" si="114"/>
        <v>1.1368818169716573E-2</v>
      </c>
      <c r="N560" s="14">
        <f t="shared" si="124"/>
        <v>8.6919831223628688E-2</v>
      </c>
      <c r="O560" s="12"/>
      <c r="P560" s="12"/>
      <c r="Q560" s="12"/>
      <c r="R560" s="23">
        <f t="shared" si="115"/>
        <v>347950</v>
      </c>
      <c r="S560" s="25">
        <f>(((H560+R560)/(H559+R559))-1)+detalle!$D$1</f>
        <v>7.2304516116491274E-2</v>
      </c>
      <c r="T560" s="25">
        <f t="shared" si="119"/>
        <v>1.0122632256308779</v>
      </c>
      <c r="U560" s="10">
        <f t="shared" si="116"/>
        <v>0.97412701694560022</v>
      </c>
      <c r="V560" s="21">
        <f t="shared" si="123"/>
        <v>85.684105630293971</v>
      </c>
      <c r="W560" s="15">
        <f>J560/detalle!$D$2</f>
        <v>181680.08285009133</v>
      </c>
      <c r="X560" s="15">
        <f>E560/detalle!$D$2</f>
        <v>32212.981885255616</v>
      </c>
      <c r="Y560" s="15">
        <f>F560/detalle!$D$2</f>
        <v>366.22353375784485</v>
      </c>
      <c r="AA560" s="14">
        <f>E560/(detalle!$D$2*1000000)</f>
        <v>3.2212981885255614E-2</v>
      </c>
      <c r="AB560" s="14">
        <f>F560/(detalle!$D$2*1000000)</f>
        <v>3.6622353375784488E-4</v>
      </c>
      <c r="AC560" s="31">
        <f>145/609</f>
        <v>0.23809523809523808</v>
      </c>
      <c r="AD560" s="31">
        <f>381/2604</f>
        <v>0.14631336405529954</v>
      </c>
      <c r="AE560" s="31">
        <f>88/519</f>
        <v>0.16955684007707128</v>
      </c>
      <c r="AF560" s="22">
        <f t="shared" si="120"/>
        <v>0</v>
      </c>
      <c r="AG560" s="12">
        <v>5908816</v>
      </c>
      <c r="AH560" s="12">
        <v>4754536</v>
      </c>
      <c r="AI560" s="12">
        <v>781050</v>
      </c>
      <c r="AJ560" s="23">
        <f t="shared" si="121"/>
        <v>30052</v>
      </c>
      <c r="AK560" s="23">
        <f t="shared" si="126"/>
        <v>11444402</v>
      </c>
      <c r="AL560" s="28">
        <f>AK560/detalle!$D$2</f>
        <v>1044147.8181826974</v>
      </c>
    </row>
    <row r="561" spans="1:38">
      <c r="A561" s="12">
        <v>560</v>
      </c>
      <c r="B561" s="19">
        <v>44450</v>
      </c>
      <c r="C561" s="12">
        <v>542</v>
      </c>
      <c r="D561" s="23">
        <f t="shared" si="117"/>
        <v>232</v>
      </c>
      <c r="E561" s="12">
        <v>353303</v>
      </c>
      <c r="F561" s="12">
        <v>4014</v>
      </c>
      <c r="G561" s="12">
        <v>344231</v>
      </c>
      <c r="H561" s="23">
        <f t="shared" si="113"/>
        <v>5058</v>
      </c>
      <c r="I561" s="23">
        <f t="shared" si="125"/>
        <v>4058</v>
      </c>
      <c r="J561" s="12">
        <v>1995366</v>
      </c>
      <c r="K561" s="23">
        <f t="shared" si="127"/>
        <v>1642063</v>
      </c>
      <c r="L561" s="23">
        <f t="shared" si="118"/>
        <v>295</v>
      </c>
      <c r="M561" s="14">
        <f t="shared" si="114"/>
        <v>1.1361352719903312E-2</v>
      </c>
      <c r="N561" s="14">
        <f t="shared" si="124"/>
        <v>5.7171020206998518E-2</v>
      </c>
      <c r="O561" s="12"/>
      <c r="P561" s="12"/>
      <c r="Q561" s="12"/>
      <c r="R561" s="23">
        <f t="shared" si="115"/>
        <v>348245</v>
      </c>
      <c r="S561" s="25">
        <f>(((H561+R561)/(H560+R560))-1)+detalle!$D$1</f>
        <v>7.2085663061699085E-2</v>
      </c>
      <c r="T561" s="25">
        <f t="shared" si="119"/>
        <v>1.0091992828637872</v>
      </c>
      <c r="U561" s="10">
        <f t="shared" si="116"/>
        <v>0.97432232389761764</v>
      </c>
      <c r="V561" s="21">
        <f t="shared" si="123"/>
        <v>85.757598405580467</v>
      </c>
      <c r="W561" s="15">
        <f>J561/detalle!$D$2</f>
        <v>182050.32079229096</v>
      </c>
      <c r="X561" s="15">
        <f>E561/detalle!$D$2</f>
        <v>32234.148766130511</v>
      </c>
      <c r="Y561" s="15">
        <f>F561/detalle!$D$2</f>
        <v>366.22353375784485</v>
      </c>
      <c r="AA561" s="14">
        <f>E561/(detalle!$D$2*1000000)</f>
        <v>3.223414876613051E-2</v>
      </c>
      <c r="AB561" s="14">
        <f>F561/(detalle!$D$2*1000000)</f>
        <v>3.6622353375784488E-4</v>
      </c>
      <c r="AC561" s="31">
        <f>146/609</f>
        <v>0.23973727422003285</v>
      </c>
      <c r="AD561" s="31">
        <f>398/2604</f>
        <v>0.15284178187403993</v>
      </c>
      <c r="AE561" s="31">
        <f>89/519</f>
        <v>0.17148362235067438</v>
      </c>
      <c r="AF561" s="22">
        <f t="shared" si="120"/>
        <v>0</v>
      </c>
      <c r="AG561" s="12">
        <v>5912118</v>
      </c>
      <c r="AH561" s="12">
        <v>4757982</v>
      </c>
      <c r="AI561" s="12">
        <v>785167</v>
      </c>
      <c r="AJ561" s="23">
        <f t="shared" si="121"/>
        <v>10865</v>
      </c>
      <c r="AK561" s="23">
        <f t="shared" si="126"/>
        <v>11455267</v>
      </c>
      <c r="AL561" s="28">
        <f>AK561/detalle!$D$2</f>
        <v>1045139.103358153</v>
      </c>
    </row>
    <row r="562" spans="1:38">
      <c r="A562" s="12">
        <v>561</v>
      </c>
      <c r="B562" s="19">
        <v>44451</v>
      </c>
      <c r="C562" s="12">
        <v>543</v>
      </c>
      <c r="D562" s="23">
        <f t="shared" si="117"/>
        <v>239</v>
      </c>
      <c r="E562" s="12">
        <v>353542</v>
      </c>
      <c r="F562" s="12">
        <v>4018</v>
      </c>
      <c r="G562" s="12">
        <v>344569</v>
      </c>
      <c r="H562" s="23">
        <f t="shared" si="113"/>
        <v>4955</v>
      </c>
      <c r="I562" s="23">
        <f t="shared" si="125"/>
        <v>3521</v>
      </c>
      <c r="J562" s="12">
        <v>1998887</v>
      </c>
      <c r="K562" s="23">
        <f t="shared" si="127"/>
        <v>1645345</v>
      </c>
      <c r="L562" s="23">
        <f t="shared" si="118"/>
        <v>338</v>
      </c>
      <c r="M562" s="14">
        <f t="shared" si="114"/>
        <v>1.1364986338256841E-2</v>
      </c>
      <c r="N562" s="14">
        <f t="shared" si="124"/>
        <v>6.7878443623970469E-2</v>
      </c>
      <c r="O562" s="12"/>
      <c r="P562" s="12"/>
      <c r="Q562" s="12"/>
      <c r="R562" s="23">
        <f t="shared" si="115"/>
        <v>348587</v>
      </c>
      <c r="S562" s="25">
        <f>(((H562+R562)/(H561+R561))-1)+detalle!$D$1</f>
        <v>7.2105044597494478E-2</v>
      </c>
      <c r="T562" s="25">
        <f t="shared" si="119"/>
        <v>1.0094706243649227</v>
      </c>
      <c r="U562" s="10">
        <f t="shared" si="116"/>
        <v>0.97461970572096102</v>
      </c>
      <c r="V562" s="21">
        <f t="shared" si="123"/>
        <v>85.756346441015424</v>
      </c>
      <c r="W562" s="15">
        <f>J562/detalle!$D$2</f>
        <v>182371.56470418966</v>
      </c>
      <c r="X562" s="15">
        <f>E562/detalle!$D$2</f>
        <v>32255.954302893868</v>
      </c>
      <c r="Y562" s="15">
        <f>F562/detalle!$D$2</f>
        <v>366.58847997982576</v>
      </c>
      <c r="AA562" s="14">
        <f>E562/(detalle!$D$2*1000000)</f>
        <v>3.2255954302893866E-2</v>
      </c>
      <c r="AB562" s="14">
        <f>F562/(detalle!$D$2*1000000)</f>
        <v>3.6658847997982579E-4</v>
      </c>
      <c r="AC562" s="31">
        <f>147/609</f>
        <v>0.2413793103448276</v>
      </c>
      <c r="AD562" s="31">
        <f>397/2604</f>
        <v>0.15245775729646696</v>
      </c>
      <c r="AE562" s="31">
        <f>90/519</f>
        <v>0.17341040462427745</v>
      </c>
      <c r="AF562" s="22">
        <f t="shared" si="120"/>
        <v>4</v>
      </c>
      <c r="AG562" s="12">
        <v>5913137</v>
      </c>
      <c r="AH562" s="12">
        <v>4759116</v>
      </c>
      <c r="AI562" s="12">
        <v>786499</v>
      </c>
      <c r="AJ562" s="23">
        <f t="shared" si="121"/>
        <v>3485</v>
      </c>
      <c r="AK562" s="23">
        <f t="shared" si="126"/>
        <v>11458752</v>
      </c>
      <c r="AL562" s="28">
        <f>AK562/detalle!$D$2</f>
        <v>1045457.062754054</v>
      </c>
    </row>
    <row r="563" spans="1:38">
      <c r="A563" s="12">
        <v>562</v>
      </c>
      <c r="B563" s="19">
        <v>44452</v>
      </c>
      <c r="C563" s="12">
        <v>544</v>
      </c>
      <c r="D563" s="23">
        <f t="shared" si="117"/>
        <v>345</v>
      </c>
      <c r="E563" s="12">
        <v>353887</v>
      </c>
      <c r="F563" s="12">
        <v>4020</v>
      </c>
      <c r="G563" s="12">
        <v>344904</v>
      </c>
      <c r="H563" s="23">
        <f t="shared" si="113"/>
        <v>4963</v>
      </c>
      <c r="I563" s="23">
        <f t="shared" si="125"/>
        <v>3749</v>
      </c>
      <c r="J563" s="12">
        <v>2002636</v>
      </c>
      <c r="K563" s="23">
        <f t="shared" si="127"/>
        <v>1648749</v>
      </c>
      <c r="L563" s="23">
        <f t="shared" si="118"/>
        <v>335</v>
      </c>
      <c r="M563" s="14">
        <f t="shared" si="114"/>
        <v>1.1359558277077146E-2</v>
      </c>
      <c r="N563" s="14">
        <f t="shared" si="124"/>
        <v>9.202453987730061E-2</v>
      </c>
      <c r="O563" s="12"/>
      <c r="P563" s="12"/>
      <c r="Q563" s="12"/>
      <c r="R563" s="23">
        <f t="shared" si="115"/>
        <v>348924</v>
      </c>
      <c r="S563" s="25">
        <f>(((H563+R563)/(H562+R562))-1)+detalle!$D$1</f>
        <v>7.240441022565916E-2</v>
      </c>
      <c r="T563" s="25">
        <f t="shared" si="119"/>
        <v>1.0136617431592283</v>
      </c>
      <c r="U563" s="10">
        <f t="shared" si="116"/>
        <v>0.97461619104403385</v>
      </c>
      <c r="V563" s="21">
        <f t="shared" si="123"/>
        <v>85.797014925373134</v>
      </c>
      <c r="W563" s="15">
        <f>J563/detalle!$D$2</f>
        <v>182713.61055074126</v>
      </c>
      <c r="X563" s="15">
        <f>E563/detalle!$D$2</f>
        <v>32287.430914539724</v>
      </c>
      <c r="Y563" s="15">
        <f>F563/detalle!$D$2</f>
        <v>366.77095309081625</v>
      </c>
      <c r="AA563" s="14">
        <f>E563/(detalle!$D$2*1000000)</f>
        <v>3.2287430914539721E-2</v>
      </c>
      <c r="AB563" s="14">
        <f>F563/(detalle!$D$2*1000000)</f>
        <v>3.6677095309081622E-4</v>
      </c>
      <c r="AC563" s="31">
        <f>130/609</f>
        <v>0.2134646962233169</v>
      </c>
      <c r="AD563" s="31">
        <f>398/2604</f>
        <v>0.15284178187403993</v>
      </c>
      <c r="AE563" s="31">
        <f>77/519</f>
        <v>0.14836223506743737</v>
      </c>
      <c r="AF563" s="22">
        <f t="shared" si="120"/>
        <v>2</v>
      </c>
      <c r="AG563" s="12">
        <v>5923466</v>
      </c>
      <c r="AH563" s="12">
        <v>4769499</v>
      </c>
      <c r="AI563" s="12">
        <v>796147</v>
      </c>
      <c r="AJ563" s="23">
        <f t="shared" si="121"/>
        <v>30360</v>
      </c>
      <c r="AK563" s="23">
        <f t="shared" si="126"/>
        <v>11489112</v>
      </c>
      <c r="AL563" s="28">
        <f>AK563/detalle!$D$2</f>
        <v>1048227.004578889</v>
      </c>
    </row>
    <row r="564" spans="1:38">
      <c r="A564" s="12">
        <v>563</v>
      </c>
      <c r="B564" s="19">
        <v>44453</v>
      </c>
      <c r="C564" s="12">
        <v>545</v>
      </c>
      <c r="D564" s="23">
        <f t="shared" si="117"/>
        <v>282</v>
      </c>
      <c r="E564" s="12">
        <v>354169</v>
      </c>
      <c r="F564" s="12">
        <v>4022</v>
      </c>
      <c r="G564" s="12">
        <v>345232</v>
      </c>
      <c r="H564" s="23">
        <f t="shared" si="113"/>
        <v>4915</v>
      </c>
      <c r="I564" s="23">
        <f t="shared" si="125"/>
        <v>4249</v>
      </c>
      <c r="J564" s="12">
        <v>2006885</v>
      </c>
      <c r="K564" s="23">
        <f t="shared" si="127"/>
        <v>1652716</v>
      </c>
      <c r="L564" s="23">
        <f t="shared" si="118"/>
        <v>328</v>
      </c>
      <c r="M564" s="14">
        <f t="shared" si="114"/>
        <v>1.1356160477060387E-2</v>
      </c>
      <c r="N564" s="14">
        <f t="shared" si="124"/>
        <v>6.6368557307601786E-2</v>
      </c>
      <c r="O564" s="12"/>
      <c r="P564" s="12"/>
      <c r="Q564" s="12"/>
      <c r="R564" s="23">
        <f t="shared" si="115"/>
        <v>349254</v>
      </c>
      <c r="S564" s="25">
        <f>(((H564+R564)/(H563+R563))-1)+detalle!$D$1</f>
        <v>7.2225435964426127E-2</v>
      </c>
      <c r="T564" s="25">
        <f t="shared" si="119"/>
        <v>1.0111561035019658</v>
      </c>
      <c r="U564" s="10">
        <f t="shared" si="116"/>
        <v>0.97476628389271791</v>
      </c>
      <c r="V564" s="21">
        <f t="shared" si="123"/>
        <v>85.835902536051719</v>
      </c>
      <c r="W564" s="15">
        <f>J564/detalle!$D$2</f>
        <v>183101.27467504048</v>
      </c>
      <c r="X564" s="15">
        <f>E564/detalle!$D$2</f>
        <v>32313.159623189378</v>
      </c>
      <c r="Y564" s="15">
        <f>F564/detalle!$D$2</f>
        <v>366.95342620180668</v>
      </c>
      <c r="AA564" s="14">
        <f>E564/(detalle!$D$2*1000000)</f>
        <v>3.2313159623189376E-2</v>
      </c>
      <c r="AB564" s="14">
        <f>F564/(detalle!$D$2*1000000)</f>
        <v>3.669534262018067E-4</v>
      </c>
      <c r="AC564" s="31">
        <f>137/609</f>
        <v>0.22495894909688013</v>
      </c>
      <c r="AD564" s="31">
        <f>411/2604</f>
        <v>0.15783410138248849</v>
      </c>
      <c r="AE564" s="31">
        <f>78/519</f>
        <v>0.15028901734104047</v>
      </c>
      <c r="AF564" s="22">
        <f t="shared" si="120"/>
        <v>2</v>
      </c>
      <c r="AG564" s="12">
        <v>5934452</v>
      </c>
      <c r="AH564" s="12">
        <v>4780400</v>
      </c>
      <c r="AI564" s="12">
        <v>806404</v>
      </c>
      <c r="AJ564" s="23">
        <f t="shared" si="121"/>
        <v>32144</v>
      </c>
      <c r="AK564" s="23">
        <f t="shared" si="126"/>
        <v>11521256</v>
      </c>
      <c r="AL564" s="28">
        <f>AK564/detalle!$D$2</f>
        <v>1051159.7124187276</v>
      </c>
    </row>
    <row r="565" spans="1:38">
      <c r="A565" s="12">
        <v>564</v>
      </c>
      <c r="B565" s="19">
        <v>44454</v>
      </c>
      <c r="C565" s="12">
        <v>546</v>
      </c>
      <c r="D565" s="23">
        <f t="shared" si="117"/>
        <v>274</v>
      </c>
      <c r="E565" s="12">
        <v>354443</v>
      </c>
      <c r="F565" s="12">
        <v>4025</v>
      </c>
      <c r="G565" s="12">
        <v>345456</v>
      </c>
      <c r="H565" s="23">
        <f t="shared" si="113"/>
        <v>4962</v>
      </c>
      <c r="I565" s="23">
        <f t="shared" si="125"/>
        <v>4014</v>
      </c>
      <c r="J565" s="12">
        <v>2010899</v>
      </c>
      <c r="K565" s="23">
        <f t="shared" si="127"/>
        <v>1656456</v>
      </c>
      <c r="L565" s="23">
        <f t="shared" si="118"/>
        <v>224</v>
      </c>
      <c r="M565" s="14">
        <f t="shared" si="114"/>
        <v>1.1355845650781649E-2</v>
      </c>
      <c r="N565" s="14">
        <f t="shared" si="124"/>
        <v>6.8261086198305926E-2</v>
      </c>
      <c r="O565" s="12"/>
      <c r="P565" s="12"/>
      <c r="Q565" s="12"/>
      <c r="R565" s="23">
        <f t="shared" si="115"/>
        <v>349481</v>
      </c>
      <c r="S565" s="25">
        <f>(((H565+R565)/(H564+R564))-1)+detalle!$D$1</f>
        <v>7.2202213390459652E-2</v>
      </c>
      <c r="T565" s="25">
        <f t="shared" si="119"/>
        <v>1.0108309874664352</v>
      </c>
      <c r="U565" s="10">
        <f t="shared" si="116"/>
        <v>0.97464472425749693</v>
      </c>
      <c r="V565" s="21">
        <f t="shared" si="123"/>
        <v>85.827577639751553</v>
      </c>
      <c r="W565" s="15">
        <f>J565/detalle!$D$2</f>
        <v>183467.49820879832</v>
      </c>
      <c r="X565" s="15">
        <f>E565/detalle!$D$2</f>
        <v>32338.158439395069</v>
      </c>
      <c r="Y565" s="15">
        <f>F565/detalle!$D$2</f>
        <v>367.22713586829241</v>
      </c>
      <c r="AA565" s="14">
        <f>E565/(detalle!$D$2*1000000)</f>
        <v>3.2338158439395068E-2</v>
      </c>
      <c r="AB565" s="14">
        <f>F565/(detalle!$D$2*1000000)</f>
        <v>3.6722713586829239E-4</v>
      </c>
      <c r="AC565" s="31">
        <f>134/609</f>
        <v>0.2200328407224959</v>
      </c>
      <c r="AD565" s="31">
        <f>425/2604</f>
        <v>0.16321044546850999</v>
      </c>
      <c r="AE565" s="31">
        <f>81/519</f>
        <v>0.15606936416184972</v>
      </c>
      <c r="AF565" s="22">
        <f t="shared" si="120"/>
        <v>3</v>
      </c>
      <c r="AG565" s="12">
        <v>5945357</v>
      </c>
      <c r="AH565" s="12">
        <v>4791169</v>
      </c>
      <c r="AI565" s="12">
        <v>816394</v>
      </c>
      <c r="AJ565" s="23">
        <f t="shared" si="121"/>
        <v>31664</v>
      </c>
      <c r="AK565" s="23">
        <f t="shared" si="126"/>
        <v>11552920</v>
      </c>
      <c r="AL565" s="28">
        <f>AK565/detalle!$D$2</f>
        <v>1054048.6267119285</v>
      </c>
    </row>
    <row r="566" spans="1:38">
      <c r="A566" s="12">
        <v>565</v>
      </c>
      <c r="B566" s="19">
        <v>44455</v>
      </c>
      <c r="C566" s="12">
        <v>547</v>
      </c>
      <c r="D566" s="23">
        <f t="shared" si="117"/>
        <v>273</v>
      </c>
      <c r="E566" s="12">
        <v>354716</v>
      </c>
      <c r="F566" s="12">
        <v>4027</v>
      </c>
      <c r="G566" s="12">
        <v>345706</v>
      </c>
      <c r="H566" s="23">
        <f t="shared" si="113"/>
        <v>4983</v>
      </c>
      <c r="I566" s="23">
        <f t="shared" si="125"/>
        <v>3577</v>
      </c>
      <c r="J566" s="12">
        <v>2014476</v>
      </c>
      <c r="K566" s="23">
        <f t="shared" si="127"/>
        <v>1659760</v>
      </c>
      <c r="L566" s="23">
        <f t="shared" si="118"/>
        <v>250</v>
      </c>
      <c r="M566" s="14">
        <f t="shared" si="114"/>
        <v>1.1352744167164718E-2</v>
      </c>
      <c r="N566" s="14">
        <f t="shared" si="124"/>
        <v>7.6320939334637961E-2</v>
      </c>
      <c r="O566" s="12"/>
      <c r="P566" s="12"/>
      <c r="Q566" s="12"/>
      <c r="R566" s="23">
        <f t="shared" si="115"/>
        <v>349733</v>
      </c>
      <c r="S566" s="25">
        <f>(((H566+R566)/(H565+R565))-1)+detalle!$D$1</f>
        <v>7.2198794003146133E-2</v>
      </c>
      <c r="T566" s="25">
        <f t="shared" si="119"/>
        <v>1.0107831160440459</v>
      </c>
      <c r="U566" s="10">
        <f t="shared" si="116"/>
        <v>0.97459939782812166</v>
      </c>
      <c r="V566" s="21">
        <f t="shared" si="123"/>
        <v>85.847032530419668</v>
      </c>
      <c r="W566" s="15">
        <f>J566/detalle!$D$2</f>
        <v>183793.85136780475</v>
      </c>
      <c r="X566" s="15">
        <f>E566/detalle!$D$2</f>
        <v>32363.066019045265</v>
      </c>
      <c r="Y566" s="15">
        <f>F566/detalle!$D$2</f>
        <v>367.40960897928284</v>
      </c>
      <c r="AA566" s="14">
        <f>E566/(detalle!$D$2*1000000)</f>
        <v>3.2363066019045268E-2</v>
      </c>
      <c r="AB566" s="14">
        <f>F566/(detalle!$D$2*1000000)</f>
        <v>3.6740960897928282E-4</v>
      </c>
      <c r="AC566" s="31">
        <f>139/609</f>
        <v>0.22824302134646962</v>
      </c>
      <c r="AD566" s="31">
        <f>428/2604</f>
        <v>0.16436251920122888</v>
      </c>
      <c r="AE566" s="31">
        <f>79/519</f>
        <v>0.15221579961464354</v>
      </c>
      <c r="AF566" s="22">
        <f t="shared" si="120"/>
        <v>2</v>
      </c>
      <c r="AG566" s="12">
        <v>5957432</v>
      </c>
      <c r="AH566" s="12">
        <v>4802290</v>
      </c>
      <c r="AI566" s="12">
        <v>825991</v>
      </c>
      <c r="AJ566" s="23">
        <f t="shared" si="121"/>
        <v>32793</v>
      </c>
      <c r="AK566" s="23">
        <f t="shared" si="126"/>
        <v>11585713</v>
      </c>
      <c r="AL566" s="28">
        <f>AK566/detalle!$D$2</f>
        <v>1057040.5470762835</v>
      </c>
    </row>
    <row r="567" spans="1:38">
      <c r="A567" s="12">
        <v>566</v>
      </c>
      <c r="B567" s="19">
        <v>44456</v>
      </c>
      <c r="C567" s="12">
        <v>548</v>
      </c>
      <c r="D567" s="23">
        <f t="shared" si="117"/>
        <v>297</v>
      </c>
      <c r="E567" s="12">
        <v>355013</v>
      </c>
      <c r="F567" s="12">
        <v>4027</v>
      </c>
      <c r="G567" s="12">
        <v>345996</v>
      </c>
      <c r="H567" s="23">
        <f t="shared" si="113"/>
        <v>4990</v>
      </c>
      <c r="I567" s="23">
        <f t="shared" si="125"/>
        <v>5257</v>
      </c>
      <c r="J567" s="12">
        <v>2019733</v>
      </c>
      <c r="K567" s="23">
        <f t="shared" si="127"/>
        <v>1664720</v>
      </c>
      <c r="L567" s="23">
        <f t="shared" si="118"/>
        <v>290</v>
      </c>
      <c r="M567" s="14">
        <f t="shared" si="114"/>
        <v>1.1343246585336312E-2</v>
      </c>
      <c r="N567" s="14">
        <f t="shared" si="124"/>
        <v>5.6496100437511888E-2</v>
      </c>
      <c r="O567" s="12"/>
      <c r="P567" s="12"/>
      <c r="Q567" s="12"/>
      <c r="R567" s="23">
        <f t="shared" si="115"/>
        <v>350023</v>
      </c>
      <c r="S567" s="25">
        <f>(((H567+R567)/(H566+R566))-1)+detalle!$D$1</f>
        <v>7.2265860978521196E-2</v>
      </c>
      <c r="T567" s="25">
        <f t="shared" si="119"/>
        <v>1.0117220536992968</v>
      </c>
      <c r="U567" s="10">
        <f t="shared" si="116"/>
        <v>0.97460093010678484</v>
      </c>
      <c r="V567" s="21">
        <f t="shared" si="123"/>
        <v>85.919046436553259</v>
      </c>
      <c r="W567" s="15">
        <f>J567/detalle!$D$2</f>
        <v>184273.48194004316</v>
      </c>
      <c r="X567" s="15">
        <f>E567/detalle!$D$2</f>
        <v>32390.16327602735</v>
      </c>
      <c r="Y567" s="15">
        <f>F567/detalle!$D$2</f>
        <v>367.40960897928284</v>
      </c>
      <c r="AA567" s="14">
        <f>E567/(detalle!$D$2*1000000)</f>
        <v>3.2390163276027346E-2</v>
      </c>
      <c r="AB567" s="14">
        <f>F567/(detalle!$D$2*1000000)</f>
        <v>3.6740960897928282E-4</v>
      </c>
      <c r="AC567" s="31">
        <f>141/609</f>
        <v>0.23152709359605911</v>
      </c>
      <c r="AD567" s="31">
        <f>442/2604</f>
        <v>0.16973886328725038</v>
      </c>
      <c r="AE567" s="31">
        <f>82/519</f>
        <v>0.15799614643545279</v>
      </c>
      <c r="AF567" s="22">
        <f t="shared" si="120"/>
        <v>0</v>
      </c>
      <c r="AG567" s="12">
        <v>5970547</v>
      </c>
      <c r="AH567" s="12">
        <v>4813036</v>
      </c>
      <c r="AI567" s="12">
        <v>837004</v>
      </c>
      <c r="AJ567" s="23">
        <f t="shared" si="121"/>
        <v>34874</v>
      </c>
      <c r="AK567" s="23">
        <f t="shared" si="126"/>
        <v>11620587</v>
      </c>
      <c r="AL567" s="28">
        <f>AK567/detalle!$D$2</f>
        <v>1060222.3307126241</v>
      </c>
    </row>
    <row r="568" spans="1:38">
      <c r="A568" s="12">
        <v>567</v>
      </c>
      <c r="B568" s="19">
        <v>44457</v>
      </c>
      <c r="C568" s="12">
        <v>549</v>
      </c>
      <c r="D568" s="23">
        <f t="shared" si="117"/>
        <v>137</v>
      </c>
      <c r="E568" s="12">
        <v>355150</v>
      </c>
      <c r="F568" s="12">
        <v>4028</v>
      </c>
      <c r="G568" s="12">
        <v>346326</v>
      </c>
      <c r="H568" s="23">
        <f t="shared" si="113"/>
        <v>4796</v>
      </c>
      <c r="I568" s="23">
        <f t="shared" si="125"/>
        <v>1680</v>
      </c>
      <c r="J568" s="12">
        <v>2021413</v>
      </c>
      <c r="K568" s="23">
        <f t="shared" si="127"/>
        <v>1666263</v>
      </c>
      <c r="L568" s="23">
        <f t="shared" si="118"/>
        <v>330</v>
      </c>
      <c r="M568" s="14">
        <f t="shared" si="114"/>
        <v>1.1341686611291004E-2</v>
      </c>
      <c r="N568" s="14">
        <f t="shared" si="124"/>
        <v>8.1547619047619049E-2</v>
      </c>
      <c r="O568" s="12"/>
      <c r="P568" s="12"/>
      <c r="Q568" s="12"/>
      <c r="R568" s="23">
        <f t="shared" si="115"/>
        <v>350354</v>
      </c>
      <c r="S568" s="25">
        <f>(((H568+R568)/(H567+R567))-1)+detalle!$D$1</f>
        <v>7.1814472789929945E-2</v>
      </c>
      <c r="T568" s="25">
        <f t="shared" si="119"/>
        <v>1.0054026190590193</v>
      </c>
      <c r="U568" s="10">
        <f t="shared" si="116"/>
        <v>0.97515416021399404</v>
      </c>
      <c r="V568" s="21">
        <f t="shared" si="123"/>
        <v>85.979642502482619</v>
      </c>
      <c r="W568" s="15">
        <f>J568/detalle!$D$2</f>
        <v>184426.75935327515</v>
      </c>
      <c r="X568" s="15">
        <f>E568/detalle!$D$2</f>
        <v>32402.662684130195</v>
      </c>
      <c r="Y568" s="15">
        <f>F568/detalle!$D$2</f>
        <v>367.50084553477808</v>
      </c>
      <c r="AA568" s="14">
        <f>E568/(detalle!$D$2*1000000)</f>
        <v>3.2402662684130196E-2</v>
      </c>
      <c r="AB568" s="14">
        <f>F568/(detalle!$D$2*1000000)</f>
        <v>3.6750084553477803E-4</v>
      </c>
      <c r="AC568" s="31">
        <f>153/609</f>
        <v>0.25123152709359609</v>
      </c>
      <c r="AD568" s="31">
        <f>439/2604</f>
        <v>0.16858678955453149</v>
      </c>
      <c r="AE568" s="31">
        <f>92/519</f>
        <v>0.17726396917148363</v>
      </c>
      <c r="AF568" s="22">
        <f t="shared" si="120"/>
        <v>1</v>
      </c>
      <c r="AG568" s="12">
        <v>5974744</v>
      </c>
      <c r="AH568" s="12">
        <v>4816740</v>
      </c>
      <c r="AI568" s="12">
        <v>841220</v>
      </c>
      <c r="AJ568" s="23">
        <f t="shared" si="121"/>
        <v>12117</v>
      </c>
      <c r="AK568" s="23">
        <f t="shared" si="126"/>
        <v>11632704</v>
      </c>
      <c r="AL568" s="28">
        <f>AK568/detalle!$D$2</f>
        <v>1061327.8440555597</v>
      </c>
    </row>
    <row r="569" spans="1:38">
      <c r="A569" s="12">
        <v>568</v>
      </c>
      <c r="B569" s="19">
        <v>44458</v>
      </c>
      <c r="C569" s="12">
        <v>550</v>
      </c>
      <c r="D569" s="23">
        <f t="shared" si="117"/>
        <v>228</v>
      </c>
      <c r="E569" s="12">
        <v>355378</v>
      </c>
      <c r="F569" s="12">
        <v>4029</v>
      </c>
      <c r="G569" s="12">
        <v>346648</v>
      </c>
      <c r="H569" s="23">
        <f t="shared" si="113"/>
        <v>4701</v>
      </c>
      <c r="I569" s="23">
        <f t="shared" si="125"/>
        <v>2304</v>
      </c>
      <c r="J569" s="12">
        <v>2023717</v>
      </c>
      <c r="K569" s="23">
        <f t="shared" si="127"/>
        <v>1668339</v>
      </c>
      <c r="L569" s="23">
        <f t="shared" si="118"/>
        <v>322</v>
      </c>
      <c r="M569" s="14">
        <f t="shared" si="114"/>
        <v>1.1337224026248108E-2</v>
      </c>
      <c r="N569" s="14">
        <f t="shared" si="124"/>
        <v>9.8958333333333329E-2</v>
      </c>
      <c r="O569" s="12"/>
      <c r="P569" s="12"/>
      <c r="Q569" s="12"/>
      <c r="R569" s="23">
        <f t="shared" si="115"/>
        <v>350677</v>
      </c>
      <c r="S569" s="25">
        <f>(((H569+R569)/(H568+R568))-1)+detalle!$D$1</f>
        <v>7.2070553689587841E-2</v>
      </c>
      <c r="T569" s="25">
        <f t="shared" si="119"/>
        <v>1.0089877516542298</v>
      </c>
      <c r="U569" s="10">
        <f t="shared" si="116"/>
        <v>0.9754346076571988</v>
      </c>
      <c r="V569" s="21">
        <f t="shared" si="123"/>
        <v>86.038222884090345</v>
      </c>
      <c r="W569" s="15">
        <f>J569/detalle!$D$2</f>
        <v>184636.96837713616</v>
      </c>
      <c r="X569" s="15">
        <f>E569/detalle!$D$2</f>
        <v>32423.464618783109</v>
      </c>
      <c r="Y569" s="15">
        <f>F569/detalle!$D$2</f>
        <v>367.59208209027327</v>
      </c>
      <c r="AA569" s="14">
        <f>E569/(detalle!$D$2*1000000)</f>
        <v>3.2423464618783107E-2</v>
      </c>
      <c r="AB569" s="14">
        <f>F569/(detalle!$D$2*1000000)</f>
        <v>3.675920820902733E-4</v>
      </c>
      <c r="AC569" s="31">
        <f>153/609</f>
        <v>0.25123152709359609</v>
      </c>
      <c r="AD569" s="31">
        <f>443/2604</f>
        <v>0.17012288786482335</v>
      </c>
      <c r="AE569" s="31">
        <f>91/519</f>
        <v>0.17533718689788053</v>
      </c>
      <c r="AF569" s="22">
        <f t="shared" si="120"/>
        <v>1</v>
      </c>
      <c r="AG569" s="12">
        <v>5976376</v>
      </c>
      <c r="AH569" s="12">
        <v>4818161</v>
      </c>
      <c r="AI569" s="12">
        <v>842873</v>
      </c>
      <c r="AJ569" s="23">
        <f t="shared" si="121"/>
        <v>4706</v>
      </c>
      <c r="AK569" s="23">
        <f t="shared" si="126"/>
        <v>11637410</v>
      </c>
      <c r="AL569" s="28">
        <f>AK569/detalle!$D$2</f>
        <v>1061757.2032857204</v>
      </c>
    </row>
    <row r="570" spans="1:38">
      <c r="A570" s="12">
        <v>569</v>
      </c>
      <c r="B570" s="19">
        <v>44459</v>
      </c>
      <c r="C570" s="12">
        <v>551</v>
      </c>
      <c r="D570" s="23">
        <f t="shared" si="117"/>
        <v>343</v>
      </c>
      <c r="E570" s="12">
        <v>355721</v>
      </c>
      <c r="F570" s="12">
        <v>4029</v>
      </c>
      <c r="G570" s="12">
        <v>346756</v>
      </c>
      <c r="H570" s="23">
        <f t="shared" si="113"/>
        <v>4936</v>
      </c>
      <c r="I570" s="23">
        <f t="shared" si="125"/>
        <v>4067</v>
      </c>
      <c r="J570" s="12">
        <v>2027784</v>
      </c>
      <c r="K570" s="23">
        <f t="shared" si="127"/>
        <v>1672063</v>
      </c>
      <c r="L570" s="23">
        <f t="shared" si="118"/>
        <v>108</v>
      </c>
      <c r="M570" s="14">
        <f t="shared" si="114"/>
        <v>1.1326292234644568E-2</v>
      </c>
      <c r="N570" s="14">
        <f t="shared" si="124"/>
        <v>8.4337349397590355E-2</v>
      </c>
      <c r="O570" s="12"/>
      <c r="P570" s="12"/>
      <c r="Q570" s="12"/>
      <c r="R570" s="23">
        <f t="shared" si="115"/>
        <v>350785</v>
      </c>
      <c r="S570" s="25">
        <f>(((H570+R570)/(H569+R569))-1)+detalle!$D$1</f>
        <v>7.2393740910081245E-2</v>
      </c>
      <c r="T570" s="25">
        <f t="shared" si="119"/>
        <v>1.0135123727411375</v>
      </c>
      <c r="U570" s="10">
        <f t="shared" si="116"/>
        <v>0.97479766446175509</v>
      </c>
      <c r="V570" s="21">
        <f t="shared" si="123"/>
        <v>86.065028543062795</v>
      </c>
      <c r="W570" s="15">
        <f>J570/detalle!$D$2</f>
        <v>185008.02744833526</v>
      </c>
      <c r="X570" s="15">
        <f>E570/detalle!$D$2</f>
        <v>32454.75875731797</v>
      </c>
      <c r="Y570" s="15">
        <f>F570/detalle!$D$2</f>
        <v>367.59208209027327</v>
      </c>
      <c r="AA570" s="14">
        <f>E570/(detalle!$D$2*1000000)</f>
        <v>3.2454758757317972E-2</v>
      </c>
      <c r="AB570" s="14">
        <f>F570/(detalle!$D$2*1000000)</f>
        <v>3.675920820902733E-4</v>
      </c>
      <c r="AC570" s="31">
        <f>159/609</f>
        <v>0.26108374384236455</v>
      </c>
      <c r="AD570" s="31">
        <f>446/2604</f>
        <v>0.17127496159754224</v>
      </c>
      <c r="AE570" s="31">
        <f>88/519</f>
        <v>0.16955684007707128</v>
      </c>
      <c r="AF570" s="22">
        <f t="shared" si="120"/>
        <v>0</v>
      </c>
      <c r="AG570" s="12">
        <v>5990085</v>
      </c>
      <c r="AH570" s="12">
        <v>4828158</v>
      </c>
      <c r="AI570" s="12">
        <v>853964</v>
      </c>
      <c r="AJ570" s="23">
        <f t="shared" si="121"/>
        <v>34797</v>
      </c>
      <c r="AK570" s="23">
        <f t="shared" si="126"/>
        <v>11672207</v>
      </c>
      <c r="AL570" s="28">
        <f>AK570/detalle!$D$2</f>
        <v>1064931.9617072877</v>
      </c>
    </row>
    <row r="571" spans="1:38">
      <c r="A571" s="12">
        <v>570</v>
      </c>
      <c r="B571" s="19">
        <v>44460</v>
      </c>
      <c r="C571" s="12">
        <v>552</v>
      </c>
      <c r="D571" s="23">
        <f t="shared" si="117"/>
        <v>321</v>
      </c>
      <c r="E571" s="12">
        <v>356042</v>
      </c>
      <c r="F571" s="12">
        <v>4031</v>
      </c>
      <c r="G571" s="12">
        <v>347077</v>
      </c>
      <c r="H571" s="23">
        <f t="shared" si="113"/>
        <v>4934</v>
      </c>
      <c r="I571" s="23">
        <f t="shared" si="125"/>
        <v>4112</v>
      </c>
      <c r="J571" s="12">
        <v>2031896</v>
      </c>
      <c r="K571" s="23">
        <f t="shared" si="127"/>
        <v>1675854</v>
      </c>
      <c r="L571" s="23">
        <f t="shared" si="118"/>
        <v>321</v>
      </c>
      <c r="M571" s="14">
        <f t="shared" si="114"/>
        <v>1.1321698001921121E-2</v>
      </c>
      <c r="N571" s="14">
        <f t="shared" si="124"/>
        <v>7.806420233463035E-2</v>
      </c>
      <c r="O571" s="12"/>
      <c r="P571" s="12"/>
      <c r="Q571" s="12"/>
      <c r="R571" s="23">
        <f t="shared" si="115"/>
        <v>351108</v>
      </c>
      <c r="S571" s="25">
        <f>(((H571+R571)/(H570+R570))-1)+detalle!$D$1</f>
        <v>7.2330964034012207E-2</v>
      </c>
      <c r="T571" s="25">
        <f t="shared" si="119"/>
        <v>1.012633496476171</v>
      </c>
      <c r="U571" s="10">
        <f t="shared" si="116"/>
        <v>0.97482038635891266</v>
      </c>
      <c r="V571" s="21">
        <f t="shared" si="123"/>
        <v>86.101959811461171</v>
      </c>
      <c r="W571" s="15">
        <f>J571/detalle!$D$2</f>
        <v>185383.19216453162</v>
      </c>
      <c r="X571" s="15">
        <f>E571/detalle!$D$2</f>
        <v>32484.045691631938</v>
      </c>
      <c r="Y571" s="15">
        <f>F571/detalle!$D$2</f>
        <v>367.77455520126375</v>
      </c>
      <c r="AA571" s="14">
        <f>E571/(detalle!$D$2*1000000)</f>
        <v>3.2484045691631935E-2</v>
      </c>
      <c r="AB571" s="14">
        <f>F571/(detalle!$D$2*1000000)</f>
        <v>3.6777455520126373E-4</v>
      </c>
      <c r="AC571" s="31">
        <f>156/609</f>
        <v>0.25615763546798032</v>
      </c>
      <c r="AD571" s="31">
        <f>435/2604</f>
        <v>0.16705069124423963</v>
      </c>
      <c r="AE571" s="31">
        <f>91/519</f>
        <v>0.17533718689788053</v>
      </c>
      <c r="AF571" s="22">
        <f t="shared" si="120"/>
        <v>2</v>
      </c>
      <c r="AG571" s="12">
        <v>6002963</v>
      </c>
      <c r="AH571" s="12">
        <v>4839454</v>
      </c>
      <c r="AI571" s="12">
        <v>866236</v>
      </c>
      <c r="AJ571" s="23">
        <f t="shared" si="121"/>
        <v>36446</v>
      </c>
      <c r="AK571" s="23">
        <f t="shared" si="126"/>
        <v>11708653</v>
      </c>
      <c r="AL571" s="28">
        <f>AK571/detalle!$D$2</f>
        <v>1068257.1692088668</v>
      </c>
    </row>
    <row r="572" spans="1:38">
      <c r="A572" s="12">
        <v>571</v>
      </c>
      <c r="B572" s="19">
        <v>44461</v>
      </c>
      <c r="C572" s="12">
        <v>553</v>
      </c>
      <c r="D572" s="23">
        <f t="shared" si="117"/>
        <v>279</v>
      </c>
      <c r="E572" s="12">
        <v>356321</v>
      </c>
      <c r="F572" s="12">
        <v>4031</v>
      </c>
      <c r="G572" s="12">
        <v>347511</v>
      </c>
      <c r="H572" s="23">
        <f t="shared" si="113"/>
        <v>4779</v>
      </c>
      <c r="I572" s="23">
        <f t="shared" si="125"/>
        <v>3927</v>
      </c>
      <c r="J572" s="12">
        <v>2035823</v>
      </c>
      <c r="K572" s="23">
        <f t="shared" si="127"/>
        <v>1679502</v>
      </c>
      <c r="L572" s="23">
        <f t="shared" si="118"/>
        <v>434</v>
      </c>
      <c r="M572" s="14">
        <f t="shared" si="114"/>
        <v>1.1312833091510183E-2</v>
      </c>
      <c r="N572" s="14">
        <f t="shared" si="124"/>
        <v>7.1046600458365167E-2</v>
      </c>
      <c r="O572" s="12"/>
      <c r="P572" s="12"/>
      <c r="Q572" s="12"/>
      <c r="R572" s="23">
        <f t="shared" si="115"/>
        <v>351542</v>
      </c>
      <c r="S572" s="25">
        <f>(((H572+R572)/(H571+R571))-1)+detalle!$D$1</f>
        <v>7.2212186844730103E-2</v>
      </c>
      <c r="T572" s="25">
        <f t="shared" si="119"/>
        <v>1.0109706158262215</v>
      </c>
      <c r="U572" s="10">
        <f t="shared" si="116"/>
        <v>0.97527510306717824</v>
      </c>
      <c r="V572" s="21">
        <f t="shared" si="123"/>
        <v>86.20962540312577</v>
      </c>
      <c r="W572" s="15">
        <f>J572/detalle!$D$2</f>
        <v>185741.47811796138</v>
      </c>
      <c r="X572" s="15">
        <f>E572/detalle!$D$2</f>
        <v>32509.500690615107</v>
      </c>
      <c r="Y572" s="15">
        <f>F572/detalle!$D$2</f>
        <v>367.77455520126375</v>
      </c>
      <c r="AA572" s="14">
        <f>E572/(detalle!$D$2*1000000)</f>
        <v>3.2509500690615104E-2</v>
      </c>
      <c r="AB572" s="14">
        <f>F572/(detalle!$D$2*1000000)</f>
        <v>3.6777455520126373E-4</v>
      </c>
      <c r="AC572" s="31">
        <f>169/609</f>
        <v>0.27750410509031198</v>
      </c>
      <c r="AD572" s="31">
        <f>448/2604</f>
        <v>0.17204301075268819</v>
      </c>
      <c r="AE572" s="31">
        <f>98/519</f>
        <v>0.18882466281310212</v>
      </c>
      <c r="AF572" s="22">
        <f t="shared" si="120"/>
        <v>0</v>
      </c>
      <c r="AG572" s="12">
        <v>6014185</v>
      </c>
      <c r="AH572" s="12">
        <v>4849827</v>
      </c>
      <c r="AI572" s="12">
        <v>877668</v>
      </c>
      <c r="AJ572" s="23">
        <f t="shared" si="121"/>
        <v>33027</v>
      </c>
      <c r="AK572" s="23">
        <f t="shared" si="126"/>
        <v>11741680</v>
      </c>
      <c r="AL572" s="28">
        <f>AK572/detalle!$D$2</f>
        <v>1071270.4389272078</v>
      </c>
    </row>
    <row r="573" spans="1:38">
      <c r="A573" s="12">
        <v>572</v>
      </c>
      <c r="B573" s="19">
        <v>44462</v>
      </c>
      <c r="C573" s="12">
        <v>554</v>
      </c>
      <c r="D573" s="23">
        <f t="shared" si="117"/>
        <v>373</v>
      </c>
      <c r="E573" s="12">
        <v>356694</v>
      </c>
      <c r="F573" s="12">
        <v>4035</v>
      </c>
      <c r="G573" s="12">
        <v>347769</v>
      </c>
      <c r="H573" s="23">
        <f t="shared" si="113"/>
        <v>4890</v>
      </c>
      <c r="I573" s="23">
        <f t="shared" si="125"/>
        <v>3738</v>
      </c>
      <c r="J573" s="12">
        <v>2039561</v>
      </c>
      <c r="K573" s="23">
        <f t="shared" si="127"/>
        <v>1682867</v>
      </c>
      <c r="L573" s="23">
        <f t="shared" si="118"/>
        <v>258</v>
      </c>
      <c r="M573" s="14">
        <f t="shared" si="114"/>
        <v>1.1312217194570135E-2</v>
      </c>
      <c r="N573" s="14">
        <f t="shared" si="124"/>
        <v>9.9785981808453716E-2</v>
      </c>
      <c r="O573" s="12"/>
      <c r="P573" s="12"/>
      <c r="Q573" s="12"/>
      <c r="R573" s="23">
        <f t="shared" si="115"/>
        <v>351804</v>
      </c>
      <c r="S573" s="25">
        <f>(((H573+R573)/(H572+R572))-1)+detalle!$D$1</f>
        <v>7.2475380345250501E-2</v>
      </c>
      <c r="T573" s="25">
        <f t="shared" si="119"/>
        <v>1.0146553248335071</v>
      </c>
      <c r="U573" s="10">
        <f t="shared" si="116"/>
        <v>0.97497855304546754</v>
      </c>
      <c r="V573" s="21">
        <f t="shared" si="123"/>
        <v>86.188104089219337</v>
      </c>
      <c r="W573" s="15">
        <f>J573/detalle!$D$2</f>
        <v>186082.52036240255</v>
      </c>
      <c r="X573" s="15">
        <f>E573/detalle!$D$2</f>
        <v>32543.531925814827</v>
      </c>
      <c r="Y573" s="15">
        <f>F573/detalle!$D$2</f>
        <v>368.13950142324467</v>
      </c>
      <c r="AA573" s="14">
        <f>E573/(detalle!$D$2*1000000)</f>
        <v>3.2543531925814828E-2</v>
      </c>
      <c r="AB573" s="14">
        <f>F573/(detalle!$D$2*1000000)</f>
        <v>3.6813950142324463E-4</v>
      </c>
      <c r="AC573" s="31">
        <f>166/609</f>
        <v>0.27257799671592775</v>
      </c>
      <c r="AD573" s="31">
        <f>461/2604</f>
        <v>0.17703533026113671</v>
      </c>
      <c r="AE573" s="31">
        <f>95/519</f>
        <v>0.18304431599229287</v>
      </c>
      <c r="AF573" s="22">
        <f t="shared" si="120"/>
        <v>4</v>
      </c>
      <c r="AG573" s="12">
        <v>6024702</v>
      </c>
      <c r="AH573" s="12">
        <v>4860422</v>
      </c>
      <c r="AI573" s="12">
        <v>888939</v>
      </c>
      <c r="AJ573" s="23">
        <f t="shared" si="121"/>
        <v>32383</v>
      </c>
      <c r="AK573" s="23">
        <f t="shared" si="126"/>
        <v>11774063</v>
      </c>
      <c r="AL573" s="28">
        <f>AK573/detalle!$D$2</f>
        <v>1074224.9523038098</v>
      </c>
    </row>
    <row r="574" spans="1:38">
      <c r="A574" s="12">
        <v>573</v>
      </c>
      <c r="B574" s="19">
        <v>44463</v>
      </c>
      <c r="C574" s="12">
        <v>555</v>
      </c>
      <c r="D574" s="23">
        <f t="shared" si="117"/>
        <v>240</v>
      </c>
      <c r="E574" s="12">
        <v>356934</v>
      </c>
      <c r="F574" s="12">
        <v>4038</v>
      </c>
      <c r="G574" s="12">
        <v>348057</v>
      </c>
      <c r="H574" s="23">
        <f t="shared" si="113"/>
        <v>4839</v>
      </c>
      <c r="I574" s="23">
        <f t="shared" si="125"/>
        <v>3589</v>
      </c>
      <c r="J574" s="12">
        <v>2043150</v>
      </c>
      <c r="K574" s="23">
        <f t="shared" si="127"/>
        <v>1686216</v>
      </c>
      <c r="L574" s="23">
        <f t="shared" si="118"/>
        <v>288</v>
      </c>
      <c r="M574" s="14">
        <f t="shared" si="114"/>
        <v>1.1313015851670057E-2</v>
      </c>
      <c r="N574" s="14">
        <f t="shared" si="124"/>
        <v>6.6870994706046252E-2</v>
      </c>
      <c r="O574" s="12"/>
      <c r="P574" s="12"/>
      <c r="Q574" s="12"/>
      <c r="R574" s="23">
        <f t="shared" si="115"/>
        <v>352095</v>
      </c>
      <c r="S574" s="25">
        <f>(((H574+R574)/(H573+R573))-1)+detalle!$D$1</f>
        <v>7.2101417060962208E-2</v>
      </c>
      <c r="T574" s="25">
        <f t="shared" si="119"/>
        <v>1.009419838853471</v>
      </c>
      <c r="U574" s="10">
        <f t="shared" si="116"/>
        <v>0.97512985593975354</v>
      </c>
      <c r="V574" s="21">
        <f t="shared" si="123"/>
        <v>86.195393759286773</v>
      </c>
      <c r="W574" s="15">
        <f>J574/detalle!$D$2</f>
        <v>186409.96836007491</v>
      </c>
      <c r="X574" s="15">
        <f>E574/detalle!$D$2</f>
        <v>32565.428699133681</v>
      </c>
      <c r="Y574" s="15">
        <f>F574/detalle!$D$2</f>
        <v>368.41321108973034</v>
      </c>
      <c r="AA574" s="14">
        <f>E574/(detalle!$D$2*1000000)</f>
        <v>3.2565428699133682E-2</v>
      </c>
      <c r="AB574" s="14">
        <f>F574/(detalle!$D$2*1000000)</f>
        <v>3.6841321108973033E-4</v>
      </c>
      <c r="AC574" s="31">
        <f>174/609</f>
        <v>0.2857142857142857</v>
      </c>
      <c r="AD574" s="31">
        <f>462/2604</f>
        <v>0.17741935483870969</v>
      </c>
      <c r="AE574" s="31">
        <f>97/519</f>
        <v>0.18689788053949905</v>
      </c>
      <c r="AF574" s="22">
        <f t="shared" si="120"/>
        <v>3</v>
      </c>
      <c r="AG574" s="12">
        <v>6027322</v>
      </c>
      <c r="AH574" s="12">
        <v>4862748</v>
      </c>
      <c r="AI574" s="12">
        <v>892755</v>
      </c>
      <c r="AJ574" s="23">
        <f t="shared" si="121"/>
        <v>8762</v>
      </c>
      <c r="AK574" s="23">
        <f t="shared" si="126"/>
        <v>11782825</v>
      </c>
      <c r="AL574" s="28">
        <f>AK574/detalle!$D$2</f>
        <v>1075024.367003059</v>
      </c>
    </row>
    <row r="575" spans="1:38">
      <c r="A575" s="12">
        <v>574</v>
      </c>
      <c r="B575" s="19">
        <v>44464</v>
      </c>
      <c r="C575" s="12">
        <v>556</v>
      </c>
      <c r="D575" s="23">
        <f t="shared" si="117"/>
        <v>215</v>
      </c>
      <c r="E575" s="12">
        <v>357149</v>
      </c>
      <c r="F575" s="12">
        <f>4039</f>
        <v>4039</v>
      </c>
      <c r="G575" s="12">
        <v>348347</v>
      </c>
      <c r="H575" s="23">
        <f t="shared" si="113"/>
        <v>4763</v>
      </c>
      <c r="I575" s="23">
        <f t="shared" si="125"/>
        <v>3083</v>
      </c>
      <c r="J575" s="12">
        <v>2046233</v>
      </c>
      <c r="K575" s="23">
        <f t="shared" si="127"/>
        <v>1689084</v>
      </c>
      <c r="L575" s="23">
        <f t="shared" si="118"/>
        <v>290</v>
      </c>
      <c r="M575" s="14">
        <f t="shared" si="114"/>
        <v>1.1309005485105656E-2</v>
      </c>
      <c r="N575" s="14">
        <f t="shared" si="124"/>
        <v>6.9737268893934473E-2</v>
      </c>
      <c r="O575" s="12"/>
      <c r="P575" s="12"/>
      <c r="Q575" s="12"/>
      <c r="R575" s="23">
        <f t="shared" si="115"/>
        <v>352386</v>
      </c>
      <c r="S575" s="25">
        <f>(((H575+R575)/(H574+R574))-1)+detalle!$D$1</f>
        <v>7.203092368417055E-2</v>
      </c>
      <c r="T575" s="25">
        <f t="shared" si="119"/>
        <v>1.0084329315783878</v>
      </c>
      <c r="U575" s="10">
        <f t="shared" si="116"/>
        <v>0.97535482389702899</v>
      </c>
      <c r="V575" s="21">
        <f t="shared" si="123"/>
        <v>86.245852933894525</v>
      </c>
      <c r="W575" s="15">
        <f>J575/detalle!$D$2</f>
        <v>186691.2506606667</v>
      </c>
      <c r="X575" s="15">
        <f>E575/detalle!$D$2</f>
        <v>32585.044558565158</v>
      </c>
      <c r="Y575" s="15">
        <f>F575/detalle!$D$2</f>
        <v>368.50444764522558</v>
      </c>
      <c r="AA575" s="14">
        <f>E575/(detalle!$D$2*1000000)</f>
        <v>3.2585044558565153E-2</v>
      </c>
      <c r="AB575" s="14">
        <f>F575/(detalle!$D$2*1000000)</f>
        <v>3.6850444764522554E-4</v>
      </c>
      <c r="AC575" s="31">
        <f>170/609</f>
        <v>0.27914614121510672</v>
      </c>
      <c r="AD575" s="31">
        <f>466/2604</f>
        <v>0.17895545314900155</v>
      </c>
      <c r="AE575" s="31">
        <f>98/519</f>
        <v>0.18882466281310212</v>
      </c>
      <c r="AF575" s="22">
        <f t="shared" si="120"/>
        <v>1</v>
      </c>
      <c r="AG575" s="12">
        <v>6030532</v>
      </c>
      <c r="AH575" s="12">
        <v>4866030</v>
      </c>
      <c r="AI575" s="12">
        <f>896931</f>
        <v>896931</v>
      </c>
      <c r="AJ575" s="23">
        <f t="shared" si="121"/>
        <v>10668</v>
      </c>
      <c r="AK575" s="23">
        <f t="shared" si="126"/>
        <v>11793493</v>
      </c>
      <c r="AL575" s="28">
        <f>AK575/detalle!$D$2</f>
        <v>1075997.678577082</v>
      </c>
    </row>
    <row r="576" spans="1:38">
      <c r="A576" s="12">
        <v>575</v>
      </c>
      <c r="B576" s="19">
        <v>44465</v>
      </c>
      <c r="C576" s="12">
        <v>557</v>
      </c>
      <c r="D576" s="23">
        <f t="shared" si="117"/>
        <v>368</v>
      </c>
      <c r="E576" s="12">
        <v>357517</v>
      </c>
      <c r="F576" s="12">
        <f>4041</f>
        <v>4041</v>
      </c>
      <c r="G576" s="12">
        <v>348606</v>
      </c>
      <c r="H576" s="23">
        <f t="shared" si="113"/>
        <v>4870</v>
      </c>
      <c r="I576" s="23">
        <f t="shared" si="125"/>
        <v>3388</v>
      </c>
      <c r="J576" s="12">
        <v>2049621</v>
      </c>
      <c r="K576" s="23">
        <f t="shared" si="127"/>
        <v>1692104</v>
      </c>
      <c r="L576" s="23">
        <f t="shared" si="118"/>
        <v>259</v>
      </c>
      <c r="M576" s="14">
        <f t="shared" si="114"/>
        <v>1.1302959020130511E-2</v>
      </c>
      <c r="N576" s="14">
        <f t="shared" si="124"/>
        <v>0.10861865407319952</v>
      </c>
      <c r="O576" s="12"/>
      <c r="P576" s="12"/>
      <c r="Q576" s="12"/>
      <c r="R576" s="23">
        <f t="shared" si="115"/>
        <v>352647</v>
      </c>
      <c r="S576" s="25">
        <f>(((H576+R576)/(H575+R575))-1)+detalle!$D$1</f>
        <v>7.2458953705996337E-2</v>
      </c>
      <c r="T576" s="25">
        <f t="shared" si="119"/>
        <v>1.0144253518839488</v>
      </c>
      <c r="U576" s="10">
        <f t="shared" si="116"/>
        <v>0.97507531110408741</v>
      </c>
      <c r="V576" s="21">
        <f t="shared" si="123"/>
        <v>86.267260579064583</v>
      </c>
      <c r="W576" s="15">
        <f>J576/detalle!$D$2</f>
        <v>187000.36011068453</v>
      </c>
      <c r="X576" s="15">
        <f>E576/detalle!$D$2</f>
        <v>32618.6196109874</v>
      </c>
      <c r="Y576" s="15">
        <f>F576/detalle!$D$2</f>
        <v>368.68692075621601</v>
      </c>
      <c r="AA576" s="14">
        <f>E576/(detalle!$D$2*1000000)</f>
        <v>3.2618619610987401E-2</v>
      </c>
      <c r="AB576" s="14">
        <f>F576/(detalle!$D$2*1000000)</f>
        <v>3.6868692075621602E-4</v>
      </c>
      <c r="AC576" s="31">
        <f>171/609</f>
        <v>0.28078817733990147</v>
      </c>
      <c r="AD576" s="31">
        <f>443/2604</f>
        <v>0.17012288786482335</v>
      </c>
      <c r="AE576" s="31">
        <f>96/519</f>
        <v>0.18497109826589594</v>
      </c>
      <c r="AF576" s="22">
        <f t="shared" si="120"/>
        <v>2</v>
      </c>
      <c r="AG576" s="12">
        <v>6032542</v>
      </c>
      <c r="AH576" s="12">
        <v>4867470</v>
      </c>
      <c r="AI576" s="12">
        <v>898921</v>
      </c>
      <c r="AJ576" s="23">
        <f t="shared" si="121"/>
        <v>5440</v>
      </c>
      <c r="AK576" s="23">
        <f t="shared" si="126"/>
        <v>11798933</v>
      </c>
      <c r="AL576" s="28">
        <f>AK576/detalle!$D$2</f>
        <v>1076494.005438976</v>
      </c>
    </row>
    <row r="577" spans="1:38">
      <c r="A577" s="12">
        <v>576</v>
      </c>
      <c r="B577" s="19">
        <v>44466</v>
      </c>
      <c r="C577" s="12">
        <v>558</v>
      </c>
      <c r="D577" s="23">
        <f t="shared" si="117"/>
        <v>465</v>
      </c>
      <c r="E577" s="12">
        <v>357982</v>
      </c>
      <c r="F577" s="12">
        <f>4041</f>
        <v>4041</v>
      </c>
      <c r="G577" s="12">
        <v>348865</v>
      </c>
      <c r="H577" s="23">
        <f t="shared" si="113"/>
        <v>5076</v>
      </c>
      <c r="I577" s="23">
        <f t="shared" si="125"/>
        <v>3700</v>
      </c>
      <c r="J577" s="12">
        <v>2053321</v>
      </c>
      <c r="K577" s="23">
        <f t="shared" si="127"/>
        <v>1695339</v>
      </c>
      <c r="L577" s="23">
        <f t="shared" si="118"/>
        <v>259</v>
      </c>
      <c r="M577" s="14">
        <f t="shared" si="114"/>
        <v>1.1288277064209932E-2</v>
      </c>
      <c r="N577" s="14">
        <f t="shared" si="124"/>
        <v>0.12567567567567567</v>
      </c>
      <c r="O577" s="12"/>
      <c r="P577" s="12"/>
      <c r="Q577" s="12"/>
      <c r="R577" s="23">
        <f t="shared" si="115"/>
        <v>352906</v>
      </c>
      <c r="S577" s="25">
        <f>(((H577+R577)/(H576+R576))-1)+detalle!$D$1</f>
        <v>7.2729208880776525E-2</v>
      </c>
      <c r="T577" s="25">
        <f t="shared" si="119"/>
        <v>1.0182089243308714</v>
      </c>
      <c r="U577" s="10">
        <f t="shared" si="116"/>
        <v>0.97453223905112552</v>
      </c>
      <c r="V577" s="21">
        <f t="shared" si="123"/>
        <v>86.331353625340256</v>
      </c>
      <c r="W577" s="15">
        <f>J577/detalle!$D$2</f>
        <v>187337.9353660169</v>
      </c>
      <c r="X577" s="15">
        <f>E577/detalle!$D$2</f>
        <v>32661.044609292683</v>
      </c>
      <c r="Y577" s="15">
        <f>F577/detalle!$D$2</f>
        <v>368.68692075621601</v>
      </c>
      <c r="AA577" s="14">
        <f>E577/(detalle!$D$2*1000000)</f>
        <v>3.2661044609292679E-2</v>
      </c>
      <c r="AB577" s="14">
        <f>F577/(detalle!$D$2*1000000)</f>
        <v>3.6868692075621602E-4</v>
      </c>
      <c r="AC577" s="31">
        <f>156/609</f>
        <v>0.25615763546798032</v>
      </c>
      <c r="AD577" s="31">
        <f>440/2604</f>
        <v>0.16897081413210446</v>
      </c>
      <c r="AE577" s="31">
        <f>98/519</f>
        <v>0.18882466281310212</v>
      </c>
      <c r="AF577" s="22">
        <f t="shared" si="120"/>
        <v>0</v>
      </c>
      <c r="AG577" s="12">
        <v>6042570</v>
      </c>
      <c r="AH577" s="12">
        <f>4877470</f>
        <v>4877470</v>
      </c>
      <c r="AI577" s="12">
        <v>908786</v>
      </c>
      <c r="AJ577" s="23">
        <f t="shared" si="121"/>
        <v>29893</v>
      </c>
      <c r="AK577" s="23">
        <f t="shared" si="126"/>
        <v>11828826</v>
      </c>
      <c r="AL577" s="28">
        <f>AK577/detalle!$D$2</f>
        <v>1079221.339792395</v>
      </c>
    </row>
    <row r="578" spans="1:38">
      <c r="A578" s="12">
        <v>577</v>
      </c>
      <c r="B578" s="19">
        <v>44467</v>
      </c>
      <c r="C578" s="12">
        <v>559</v>
      </c>
      <c r="D578" s="23">
        <f t="shared" si="117"/>
        <v>473</v>
      </c>
      <c r="E578" s="12">
        <v>358455</v>
      </c>
      <c r="F578" s="12">
        <f>4046</f>
        <v>4046</v>
      </c>
      <c r="G578" s="12">
        <v>349169</v>
      </c>
      <c r="H578" s="23">
        <f t="shared" ref="H578:H641" si="128">E578-F578-G578</f>
        <v>5240</v>
      </c>
      <c r="I578" s="23">
        <f t="shared" si="125"/>
        <v>3446</v>
      </c>
      <c r="J578" s="12">
        <v>2056767</v>
      </c>
      <c r="K578" s="23">
        <f t="shared" si="127"/>
        <v>1698312</v>
      </c>
      <c r="L578" s="23">
        <f t="shared" si="118"/>
        <v>304</v>
      </c>
      <c r="M578" s="14">
        <f t="shared" ref="M578:M641" si="129">F578/E578</f>
        <v>1.1287330348300345E-2</v>
      </c>
      <c r="N578" s="14">
        <f t="shared" si="124"/>
        <v>0.13726059199071386</v>
      </c>
      <c r="O578" s="12"/>
      <c r="P578" s="12"/>
      <c r="Q578" s="12"/>
      <c r="R578" s="23">
        <f t="shared" ref="R578:R641" si="130">F578+G578</f>
        <v>353215</v>
      </c>
      <c r="S578" s="25">
        <f>(((H578+R578)/(H577+R577))-1)+detalle!$D$1</f>
        <v>7.2749866912701827E-2</v>
      </c>
      <c r="T578" s="25">
        <f t="shared" si="119"/>
        <v>1.0184981367778256</v>
      </c>
      <c r="U578" s="10">
        <f t="shared" ref="U578:U641" si="131">G578/E578</f>
        <v>0.97409437725795422</v>
      </c>
      <c r="V578" s="21">
        <f t="shared" si="123"/>
        <v>86.299802273850716</v>
      </c>
      <c r="W578" s="15">
        <f>J578/detalle!$D$2</f>
        <v>187652.33653625345</v>
      </c>
      <c r="X578" s="15">
        <f>E578/detalle!$D$2</f>
        <v>32704.199500041923</v>
      </c>
      <c r="Y578" s="15">
        <f>F578/detalle!$D$2</f>
        <v>369.14310353369217</v>
      </c>
      <c r="AA578" s="14">
        <f>E578/(detalle!$D$2*1000000)</f>
        <v>3.2704199500041921E-2</v>
      </c>
      <c r="AB578" s="14">
        <f>F578/(detalle!$D$2*1000000)</f>
        <v>3.6914310353369214E-4</v>
      </c>
      <c r="AC578" s="31">
        <f>166/609</f>
        <v>0.27257799671592775</v>
      </c>
      <c r="AD578" s="31">
        <f>475/2604</f>
        <v>0.18241167434715821</v>
      </c>
      <c r="AE578" s="31">
        <f>104/519</f>
        <v>0.20038535645472061</v>
      </c>
      <c r="AF578" s="22">
        <f t="shared" si="120"/>
        <v>5</v>
      </c>
      <c r="AG578" s="12">
        <v>6052230</v>
      </c>
      <c r="AH578" s="12">
        <v>4887765</v>
      </c>
      <c r="AI578" s="12">
        <v>919807</v>
      </c>
      <c r="AJ578" s="23">
        <f t="shared" si="121"/>
        <v>30976</v>
      </c>
      <c r="AK578" s="23">
        <f t="shared" si="126"/>
        <v>11859802</v>
      </c>
      <c r="AL578" s="28">
        <f>AK578/detalle!$D$2</f>
        <v>1082047.4833354151</v>
      </c>
    </row>
    <row r="579" spans="1:38">
      <c r="A579" s="12">
        <v>578</v>
      </c>
      <c r="B579" s="19">
        <v>44468</v>
      </c>
      <c r="C579" s="12">
        <v>560</v>
      </c>
      <c r="D579" s="23">
        <f t="shared" ref="D579:D642" si="132">E579-E578</f>
        <v>592</v>
      </c>
      <c r="E579" s="12">
        <v>359047</v>
      </c>
      <c r="F579" s="12">
        <f>4046</f>
        <v>4046</v>
      </c>
      <c r="G579" s="12">
        <v>349404</v>
      </c>
      <c r="H579" s="23">
        <f t="shared" si="128"/>
        <v>5597</v>
      </c>
      <c r="I579" s="23">
        <f t="shared" si="125"/>
        <v>4172</v>
      </c>
      <c r="J579" s="12">
        <v>2060939</v>
      </c>
      <c r="K579" s="23">
        <f t="shared" si="127"/>
        <v>1701892</v>
      </c>
      <c r="L579" s="23">
        <f t="shared" ref="L579:L599" si="133">G579-G578</f>
        <v>235</v>
      </c>
      <c r="M579" s="14">
        <f t="shared" si="129"/>
        <v>1.1268719694079048E-2</v>
      </c>
      <c r="N579" s="14">
        <f t="shared" si="124"/>
        <v>0.14189837008628955</v>
      </c>
      <c r="O579" s="12"/>
      <c r="P579" s="12"/>
      <c r="Q579" s="12"/>
      <c r="R579" s="23">
        <f t="shared" si="130"/>
        <v>353450</v>
      </c>
      <c r="S579" s="25">
        <f>(((H579+R579)/(H578+R578))-1)+detalle!$D$1</f>
        <v>7.3080103699009885E-2</v>
      </c>
      <c r="T579" s="25">
        <f t="shared" ref="T579:T642" si="134">S579*14</f>
        <v>1.0231214517861384</v>
      </c>
      <c r="U579" s="10">
        <f t="shared" si="131"/>
        <v>0.97314279189075525</v>
      </c>
      <c r="V579" s="21">
        <f t="shared" si="123"/>
        <v>86.357884330202666</v>
      </c>
      <c r="W579" s="15">
        <f>J579/detalle!$D$2</f>
        <v>188032.97544577954</v>
      </c>
      <c r="X579" s="15">
        <f>E579/detalle!$D$2</f>
        <v>32758.211540895099</v>
      </c>
      <c r="Y579" s="15">
        <f>F579/detalle!$D$2</f>
        <v>369.14310353369217</v>
      </c>
      <c r="AA579" s="14">
        <f>E579/(detalle!$D$2*1000000)</f>
        <v>3.2758211540895095E-2</v>
      </c>
      <c r="AB579" s="14">
        <f>F579/(detalle!$D$2*1000000)</f>
        <v>3.6914310353369214E-4</v>
      </c>
      <c r="AC579" s="31">
        <f>178/609</f>
        <v>0.29228243021346467</v>
      </c>
      <c r="AD579" s="31">
        <f>488/2604</f>
        <v>0.18740399385560677</v>
      </c>
      <c r="AE579" s="31">
        <f>100/519</f>
        <v>0.19267822736030829</v>
      </c>
      <c r="AF579" s="22">
        <f t="shared" ref="AF579:AF642" si="135">F579-F578</f>
        <v>0</v>
      </c>
      <c r="AG579" s="12">
        <v>6060747</v>
      </c>
      <c r="AH579" s="12">
        <v>4897590</v>
      </c>
      <c r="AI579" s="12">
        <v>930928</v>
      </c>
      <c r="AJ579" s="23">
        <f t="shared" ref="AJ579:AJ642" si="136">AK579-AK578</f>
        <v>29463</v>
      </c>
      <c r="AK579" s="23">
        <f t="shared" si="126"/>
        <v>11889265</v>
      </c>
      <c r="AL579" s="28">
        <f>AK579/detalle!$D$2</f>
        <v>1084735.585969971</v>
      </c>
    </row>
    <row r="580" spans="1:38">
      <c r="A580" s="12">
        <v>579</v>
      </c>
      <c r="B580" s="19">
        <v>44469</v>
      </c>
      <c r="C580" s="12">
        <v>561</v>
      </c>
      <c r="D580" s="23">
        <f t="shared" si="132"/>
        <v>550</v>
      </c>
      <c r="E580" s="12">
        <v>359597</v>
      </c>
      <c r="F580" s="12">
        <f>4049</f>
        <v>4049</v>
      </c>
      <c r="G580" s="12">
        <v>349768</v>
      </c>
      <c r="H580" s="23">
        <f t="shared" si="128"/>
        <v>5780</v>
      </c>
      <c r="I580" s="23">
        <f t="shared" si="125"/>
        <v>2911</v>
      </c>
      <c r="J580" s="12">
        <v>2063850</v>
      </c>
      <c r="K580" s="23">
        <f t="shared" si="127"/>
        <v>1704253</v>
      </c>
      <c r="L580" s="23">
        <f t="shared" si="133"/>
        <v>364</v>
      </c>
      <c r="M580" s="14">
        <f t="shared" si="129"/>
        <v>1.1259826972972523E-2</v>
      </c>
      <c r="N580" s="14">
        <f t="shared" si="124"/>
        <v>0.1889385091034009</v>
      </c>
      <c r="O580" s="12"/>
      <c r="P580" s="12"/>
      <c r="Q580" s="12"/>
      <c r="R580" s="23">
        <f t="shared" si="130"/>
        <v>353817</v>
      </c>
      <c r="S580" s="25">
        <f>(((H580+R580)/(H579+R579))-1)+detalle!$D$1</f>
        <v>7.2960404308389376E-2</v>
      </c>
      <c r="T580" s="25">
        <f t="shared" si="134"/>
        <v>1.0214456603174513</v>
      </c>
      <c r="U580" s="10">
        <f t="shared" si="131"/>
        <v>0.97266662402634063</v>
      </c>
      <c r="V580" s="21">
        <f t="shared" si="123"/>
        <v>86.383798468757718</v>
      </c>
      <c r="W580" s="15">
        <f>J580/detalle!$D$2</f>
        <v>188298.56505882615</v>
      </c>
      <c r="X580" s="15">
        <f>E580/detalle!$D$2</f>
        <v>32808.391646417476</v>
      </c>
      <c r="Y580" s="15">
        <f>F580/detalle!$D$2</f>
        <v>369.41681320017784</v>
      </c>
      <c r="AA580" s="14">
        <f>E580/(detalle!$D$2*1000000)</f>
        <v>3.2808391646417474E-2</v>
      </c>
      <c r="AB580" s="14">
        <f>F580/(detalle!$D$2*1000000)</f>
        <v>3.6941681320017784E-4</v>
      </c>
      <c r="AC580" s="31">
        <f>176/609</f>
        <v>0.28899835796387519</v>
      </c>
      <c r="AD580" s="31">
        <f>473/2604</f>
        <v>0.1816436251920123</v>
      </c>
      <c r="AE580" s="31">
        <f>106/519</f>
        <v>0.20423892100192678</v>
      </c>
      <c r="AF580" s="22">
        <f t="shared" si="135"/>
        <v>3</v>
      </c>
      <c r="AG580" s="12">
        <v>6069351</v>
      </c>
      <c r="AH580" s="12">
        <v>4907894</v>
      </c>
      <c r="AI580" s="12">
        <v>942398</v>
      </c>
      <c r="AJ580" s="23">
        <f t="shared" si="136"/>
        <v>30378</v>
      </c>
      <c r="AK580" s="23">
        <f t="shared" si="126"/>
        <v>11919643</v>
      </c>
      <c r="AL580" s="28">
        <f>AK580/detalle!$D$2</f>
        <v>1087507.170052805</v>
      </c>
    </row>
    <row r="581" spans="1:38">
      <c r="A581" s="12">
        <v>580</v>
      </c>
      <c r="B581" s="19">
        <v>44470</v>
      </c>
      <c r="C581" s="12">
        <v>562</v>
      </c>
      <c r="D581" s="23">
        <f t="shared" si="132"/>
        <v>660</v>
      </c>
      <c r="E581" s="12">
        <v>360257</v>
      </c>
      <c r="F581" s="12">
        <v>4055</v>
      </c>
      <c r="G581" s="12">
        <v>350098</v>
      </c>
      <c r="H581" s="23">
        <f t="shared" si="128"/>
        <v>6104</v>
      </c>
      <c r="I581" s="23">
        <f t="shared" si="125"/>
        <v>4961</v>
      </c>
      <c r="J581" s="12">
        <v>2068811</v>
      </c>
      <c r="K581" s="23">
        <f t="shared" si="127"/>
        <v>1708554</v>
      </c>
      <c r="L581" s="23">
        <f t="shared" si="133"/>
        <v>330</v>
      </c>
      <c r="M581" s="14">
        <f t="shared" si="129"/>
        <v>1.1255853460168714E-2</v>
      </c>
      <c r="N581" s="14">
        <f t="shared" si="124"/>
        <v>0.13303769401330376</v>
      </c>
      <c r="O581" s="12"/>
      <c r="P581" s="12"/>
      <c r="Q581" s="12"/>
      <c r="R581" s="23">
        <f t="shared" si="130"/>
        <v>354153</v>
      </c>
      <c r="S581" s="25">
        <f>(((H581+R581)/(H580+R580))-1)+detalle!$D$1</f>
        <v>7.3263959376746818E-2</v>
      </c>
      <c r="T581" s="25">
        <f t="shared" si="134"/>
        <v>1.0256954312744555</v>
      </c>
      <c r="U581" s="10">
        <f t="shared" si="131"/>
        <v>0.97180068673197195</v>
      </c>
      <c r="V581" s="21">
        <f t="shared" si="123"/>
        <v>86.337361282367453</v>
      </c>
      <c r="W581" s="15">
        <f>J581/detalle!$D$2</f>
        <v>188751.18961063796</v>
      </c>
      <c r="X581" s="15">
        <f>E581/detalle!$D$2</f>
        <v>32868.607773044328</v>
      </c>
      <c r="Y581" s="15">
        <f>F581/detalle!$D$2</f>
        <v>369.96423253314924</v>
      </c>
      <c r="AA581" s="14">
        <f>E581/(detalle!$D$2*1000000)</f>
        <v>3.2868607773044324E-2</v>
      </c>
      <c r="AB581" s="14">
        <f>F581/(detalle!$D$2*1000000)</f>
        <v>3.6996423253314923E-4</v>
      </c>
      <c r="AC581" s="31">
        <f>183/609</f>
        <v>0.30049261083743845</v>
      </c>
      <c r="AD581" s="31">
        <f>480/2604</f>
        <v>0.18433179723502305</v>
      </c>
      <c r="AE581" s="31">
        <f>114/519</f>
        <v>0.21965317919075145</v>
      </c>
      <c r="AF581" s="22">
        <f t="shared" si="135"/>
        <v>6</v>
      </c>
      <c r="AG581" s="12">
        <v>6077562</v>
      </c>
      <c r="AH581" s="12">
        <v>4916798</v>
      </c>
      <c r="AI581" s="12">
        <v>952448</v>
      </c>
      <c r="AJ581" s="23">
        <f t="shared" si="136"/>
        <v>27165</v>
      </c>
      <c r="AK581" s="23">
        <f t="shared" si="126"/>
        <v>11946808</v>
      </c>
      <c r="AL581" s="28">
        <f>AK581/detalle!$D$2</f>
        <v>1089985.6110828328</v>
      </c>
    </row>
    <row r="582" spans="1:38">
      <c r="A582" s="12">
        <v>581</v>
      </c>
      <c r="B582" s="19">
        <v>44471</v>
      </c>
      <c r="C582" s="12">
        <v>563</v>
      </c>
      <c r="D582" s="23">
        <f t="shared" si="132"/>
        <v>573</v>
      </c>
      <c r="E582" s="12">
        <v>360830</v>
      </c>
      <c r="F582" s="12">
        <v>4055</v>
      </c>
      <c r="G582" s="12">
        <v>350748</v>
      </c>
      <c r="H582" s="23">
        <f t="shared" si="128"/>
        <v>6027</v>
      </c>
      <c r="I582" s="23">
        <f t="shared" si="125"/>
        <v>4913</v>
      </c>
      <c r="J582" s="12">
        <v>2073724</v>
      </c>
      <c r="K582" s="23">
        <f t="shared" si="127"/>
        <v>1712894</v>
      </c>
      <c r="L582" s="23">
        <f t="shared" si="133"/>
        <v>650</v>
      </c>
      <c r="M582" s="14">
        <f t="shared" si="129"/>
        <v>1.1237979103733061E-2</v>
      </c>
      <c r="N582" s="14">
        <f t="shared" si="124"/>
        <v>0.11662935070221861</v>
      </c>
      <c r="O582" s="12"/>
      <c r="P582" s="12"/>
      <c r="Q582" s="12"/>
      <c r="R582" s="23">
        <f t="shared" si="130"/>
        <v>354803</v>
      </c>
      <c r="S582" s="25">
        <f>(((H582+R582)/(H581+R581))-1)+detalle!$D$1</f>
        <v>7.3019102632684102E-2</v>
      </c>
      <c r="T582" s="25">
        <f t="shared" si="134"/>
        <v>1.0222674368575775</v>
      </c>
      <c r="U582" s="10">
        <f t="shared" si="131"/>
        <v>0.97205886428512045</v>
      </c>
      <c r="V582" s="21">
        <f t="shared" si="123"/>
        <v>86.497657213316899</v>
      </c>
      <c r="W582" s="15">
        <f>J582/detalle!$D$2</f>
        <v>189199.43480778602</v>
      </c>
      <c r="X582" s="15">
        <f>E582/detalle!$D$2</f>
        <v>32920.886319343088</v>
      </c>
      <c r="Y582" s="15">
        <f>F582/detalle!$D$2</f>
        <v>369.96423253314924</v>
      </c>
      <c r="AA582" s="14">
        <f>E582/(detalle!$D$2*1000000)</f>
        <v>3.292088631934309E-2</v>
      </c>
      <c r="AB582" s="14">
        <f>F582/(detalle!$D$2*1000000)</f>
        <v>3.6996423253314923E-4</v>
      </c>
      <c r="AC582" s="31">
        <f>187/609</f>
        <v>0.30706075533661742</v>
      </c>
      <c r="AD582" s="31">
        <f>484/2604</f>
        <v>0.18586789554531491</v>
      </c>
      <c r="AE582" s="31">
        <f>113/519</f>
        <v>0.21772639691714837</v>
      </c>
      <c r="AF582" s="22">
        <f t="shared" si="135"/>
        <v>0</v>
      </c>
      <c r="AG582" s="12">
        <v>6080965</v>
      </c>
      <c r="AH582" s="12">
        <v>4920361</v>
      </c>
      <c r="AI582" s="12">
        <v>956903</v>
      </c>
      <c r="AJ582" s="23">
        <f t="shared" si="136"/>
        <v>11421</v>
      </c>
      <c r="AK582" s="23">
        <f t="shared" si="126"/>
        <v>11958229</v>
      </c>
      <c r="AL582" s="28">
        <f>AK582/detalle!$D$2</f>
        <v>1091027.6237831439</v>
      </c>
    </row>
    <row r="583" spans="1:38">
      <c r="A583" s="12">
        <v>582</v>
      </c>
      <c r="B583" s="19">
        <v>44472</v>
      </c>
      <c r="C583" s="12">
        <v>564</v>
      </c>
      <c r="D583" s="23">
        <f t="shared" si="132"/>
        <v>572</v>
      </c>
      <c r="E583" s="12">
        <v>361402</v>
      </c>
      <c r="F583" s="12">
        <v>4055</v>
      </c>
      <c r="G583" s="12">
        <v>351241</v>
      </c>
      <c r="H583" s="23">
        <f t="shared" si="128"/>
        <v>6106</v>
      </c>
      <c r="I583" s="23">
        <f t="shared" si="125"/>
        <v>4893</v>
      </c>
      <c r="J583" s="12">
        <v>2078617</v>
      </c>
      <c r="K583" s="23">
        <f t="shared" si="127"/>
        <v>1717215</v>
      </c>
      <c r="L583" s="23">
        <f t="shared" si="133"/>
        <v>493</v>
      </c>
      <c r="M583" s="14">
        <f t="shared" si="129"/>
        <v>1.1220192472648187E-2</v>
      </c>
      <c r="N583" s="14">
        <f t="shared" si="124"/>
        <v>0.11690169630083794</v>
      </c>
      <c r="O583" s="12"/>
      <c r="P583" s="12"/>
      <c r="Q583" s="12"/>
      <c r="R583" s="23">
        <f t="shared" si="130"/>
        <v>355296</v>
      </c>
      <c r="S583" s="25">
        <f>(((H583+R583)/(H582+R582))-1)+detalle!$D$1</f>
        <v>7.3013805472303989E-2</v>
      </c>
      <c r="T583" s="25">
        <f t="shared" si="134"/>
        <v>1.0221932766122559</v>
      </c>
      <c r="U583" s="10">
        <f t="shared" si="131"/>
        <v>0.97188449427507317</v>
      </c>
      <c r="V583" s="21">
        <f t="shared" si="123"/>
        <v>86.619235511713939</v>
      </c>
      <c r="W583" s="15">
        <f>J583/detalle!$D$2</f>
        <v>189645.85527382419</v>
      </c>
      <c r="X583" s="15">
        <f>E583/detalle!$D$2</f>
        <v>32973.073629086364</v>
      </c>
      <c r="Y583" s="15">
        <f>F583/detalle!$D$2</f>
        <v>369.96423253314924</v>
      </c>
      <c r="AA583" s="14">
        <f>E583/(detalle!$D$2*1000000)</f>
        <v>3.2973073629086358E-2</v>
      </c>
      <c r="AB583" s="14">
        <f>F583/(detalle!$D$2*1000000)</f>
        <v>3.6996423253314923E-4</v>
      </c>
      <c r="AC583" s="31">
        <f>189/609</f>
        <v>0.31034482758620691</v>
      </c>
      <c r="AD583" s="31">
        <f>501/2604</f>
        <v>0.1923963133640553</v>
      </c>
      <c r="AE583" s="31">
        <f>117/519</f>
        <v>0.22543352601156069</v>
      </c>
      <c r="AF583" s="22">
        <f t="shared" si="135"/>
        <v>0</v>
      </c>
      <c r="AG583" s="12">
        <v>6082093</v>
      </c>
      <c r="AH583" s="12">
        <v>4921450</v>
      </c>
      <c r="AI583" s="12">
        <v>958491</v>
      </c>
      <c r="AJ583" s="23">
        <f t="shared" si="136"/>
        <v>3805</v>
      </c>
      <c r="AK583" s="23">
        <f t="shared" si="126"/>
        <v>11962034</v>
      </c>
      <c r="AL583" s="28">
        <f>AK583/detalle!$D$2</f>
        <v>1091374.7788768031</v>
      </c>
    </row>
    <row r="584" spans="1:38">
      <c r="A584" s="12">
        <v>583</v>
      </c>
      <c r="B584" s="19">
        <v>44473</v>
      </c>
      <c r="C584" s="12">
        <v>565</v>
      </c>
      <c r="D584" s="23">
        <f t="shared" si="132"/>
        <v>701</v>
      </c>
      <c r="E584" s="12">
        <v>362103</v>
      </c>
      <c r="F584" s="12">
        <v>4056</v>
      </c>
      <c r="G584" s="12">
        <v>351334</v>
      </c>
      <c r="H584" s="23">
        <f t="shared" si="128"/>
        <v>6713</v>
      </c>
      <c r="I584" s="23">
        <f t="shared" si="125"/>
        <v>5723</v>
      </c>
      <c r="J584" s="12">
        <v>2084340</v>
      </c>
      <c r="K584" s="23">
        <f t="shared" si="127"/>
        <v>1722237</v>
      </c>
      <c r="L584" s="23">
        <f t="shared" si="133"/>
        <v>93</v>
      </c>
      <c r="M584" s="14">
        <f t="shared" si="129"/>
        <v>1.1201232798402664E-2</v>
      </c>
      <c r="N584" s="14">
        <f t="shared" si="124"/>
        <v>0.12248820548663289</v>
      </c>
      <c r="O584" s="12"/>
      <c r="P584" s="12"/>
      <c r="Q584" s="12"/>
      <c r="R584" s="23">
        <f t="shared" si="130"/>
        <v>355390</v>
      </c>
      <c r="S584" s="25">
        <f>(((H584+R584)/(H583+R583))-1)+detalle!$D$1</f>
        <v>7.3368239720390555E-2</v>
      </c>
      <c r="T584" s="25">
        <f t="shared" si="134"/>
        <v>1.0271553560854678</v>
      </c>
      <c r="U584" s="10">
        <f t="shared" si="131"/>
        <v>0.97025984319378744</v>
      </c>
      <c r="V584" s="21">
        <f t="shared" si="123"/>
        <v>86.620808678500993</v>
      </c>
      <c r="W584" s="15">
        <f>J584/detalle!$D$2</f>
        <v>190168.00208092335</v>
      </c>
      <c r="X584" s="15">
        <f>E584/detalle!$D$2</f>
        <v>33037.030454488515</v>
      </c>
      <c r="Y584" s="15">
        <f>F584/detalle!$D$2</f>
        <v>370.05546908864443</v>
      </c>
      <c r="AA584" s="14">
        <f>E584/(detalle!$D$2*1000000)</f>
        <v>3.3037030454488511E-2</v>
      </c>
      <c r="AB584" s="14">
        <f>F584/(detalle!$D$2*1000000)</f>
        <v>3.7005546908864444E-4</v>
      </c>
      <c r="AC584" s="31">
        <f>0.32512315270936</f>
        <v>0.32512315270935999</v>
      </c>
      <c r="AD584" s="31">
        <f>530/2604</f>
        <v>0.20353302611367127</v>
      </c>
      <c r="AE584" s="31">
        <f>120/519</f>
        <v>0.23121387283236994</v>
      </c>
      <c r="AF584" s="22">
        <f t="shared" si="135"/>
        <v>1</v>
      </c>
      <c r="AG584" s="12">
        <v>6089400</v>
      </c>
      <c r="AH584" s="12">
        <v>4928726</v>
      </c>
      <c r="AI584" s="12">
        <v>966671</v>
      </c>
      <c r="AJ584" s="23">
        <f t="shared" si="136"/>
        <v>22763</v>
      </c>
      <c r="AK584" s="23">
        <f t="shared" si="126"/>
        <v>11984797</v>
      </c>
      <c r="AL584" s="28">
        <f>AK584/detalle!$D$2</f>
        <v>1093451.5965895411</v>
      </c>
    </row>
    <row r="585" spans="1:38">
      <c r="A585" s="12">
        <v>584</v>
      </c>
      <c r="B585" s="19">
        <v>44474</v>
      </c>
      <c r="C585" s="12">
        <v>566</v>
      </c>
      <c r="D585" s="23">
        <f t="shared" si="132"/>
        <v>746</v>
      </c>
      <c r="E585" s="12">
        <v>362849</v>
      </c>
      <c r="F585" s="12">
        <v>4056</v>
      </c>
      <c r="G585" s="12">
        <v>351738</v>
      </c>
      <c r="H585" s="23">
        <f t="shared" si="128"/>
        <v>7055</v>
      </c>
      <c r="I585" s="23">
        <f t="shared" si="125"/>
        <v>4992</v>
      </c>
      <c r="J585" s="12">
        <v>2089332</v>
      </c>
      <c r="K585" s="23">
        <f t="shared" si="127"/>
        <v>1726483</v>
      </c>
      <c r="L585" s="23">
        <f t="shared" si="133"/>
        <v>404</v>
      </c>
      <c r="M585" s="14">
        <f t="shared" si="129"/>
        <v>1.1178203605356499E-2</v>
      </c>
      <c r="N585" s="14">
        <f t="shared" si="124"/>
        <v>0.14943910256410256</v>
      </c>
      <c r="O585" s="12"/>
      <c r="P585" s="12"/>
      <c r="Q585" s="12"/>
      <c r="R585" s="23">
        <f t="shared" si="130"/>
        <v>355794</v>
      </c>
      <c r="S585" s="25">
        <f>(((H585+R585)/(H584+R584))-1)+detalle!$D$1</f>
        <v>7.348875872334662E-2</v>
      </c>
      <c r="T585" s="25">
        <f t="shared" si="134"/>
        <v>1.0288426221268527</v>
      </c>
      <c r="U585" s="10">
        <f t="shared" si="131"/>
        <v>0.9693784466816775</v>
      </c>
      <c r="V585" s="21">
        <f t="shared" si="123"/>
        <v>86.720414201183431</v>
      </c>
      <c r="W585" s="15">
        <f>J585/detalle!$D$2</f>
        <v>190623.45496595555</v>
      </c>
      <c r="X585" s="15">
        <f>E585/detalle!$D$2</f>
        <v>33105.092924887955</v>
      </c>
      <c r="Y585" s="15">
        <f>F585/detalle!$D$2</f>
        <v>370.05546908864443</v>
      </c>
      <c r="AA585" s="14">
        <f>E585/(detalle!$D$2*1000000)</f>
        <v>3.3105092924887954E-2</v>
      </c>
      <c r="AB585" s="14">
        <f>F585/(detalle!$D$2*1000000)</f>
        <v>3.7005546908864444E-4</v>
      </c>
      <c r="AC585" s="31">
        <f>196/609</f>
        <v>0.32183908045977011</v>
      </c>
      <c r="AD585" s="31">
        <f>524/2604</f>
        <v>0.20122887864823349</v>
      </c>
      <c r="AE585" s="31">
        <f>121/519</f>
        <v>0.23314065510597304</v>
      </c>
      <c r="AF585" s="22">
        <f t="shared" si="135"/>
        <v>0</v>
      </c>
      <c r="AG585" s="12">
        <v>6098359</v>
      </c>
      <c r="AH585" s="12">
        <v>4938094</v>
      </c>
      <c r="AI585" s="12">
        <v>978059</v>
      </c>
      <c r="AJ585" s="23">
        <f t="shared" si="136"/>
        <v>29715</v>
      </c>
      <c r="AK585" s="23">
        <f t="shared" si="126"/>
        <v>12014512</v>
      </c>
      <c r="AL585" s="28">
        <f>AK585/detalle!$D$2</f>
        <v>1096162.6908360817</v>
      </c>
    </row>
    <row r="586" spans="1:38">
      <c r="A586" s="12">
        <v>585</v>
      </c>
      <c r="B586" s="19">
        <v>44475</v>
      </c>
      <c r="C586" s="12">
        <v>567</v>
      </c>
      <c r="D586" s="23">
        <f t="shared" si="132"/>
        <v>886</v>
      </c>
      <c r="E586" s="12">
        <v>363735</v>
      </c>
      <c r="F586" s="12">
        <v>4063</v>
      </c>
      <c r="G586" s="12">
        <v>352073</v>
      </c>
      <c r="H586" s="23">
        <f t="shared" si="128"/>
        <v>7599</v>
      </c>
      <c r="I586" s="23">
        <f t="shared" si="125"/>
        <v>4827</v>
      </c>
      <c r="J586" s="12">
        <v>2094159</v>
      </c>
      <c r="K586" s="23">
        <f t="shared" si="127"/>
        <v>1730424</v>
      </c>
      <c r="L586" s="23">
        <f t="shared" si="133"/>
        <v>335</v>
      </c>
      <c r="M586" s="14">
        <f t="shared" si="129"/>
        <v>1.1170220077803895E-2</v>
      </c>
      <c r="N586" s="14">
        <f t="shared" si="124"/>
        <v>0.18355085974725502</v>
      </c>
      <c r="O586" s="12"/>
      <c r="P586" s="12"/>
      <c r="Q586" s="12"/>
      <c r="R586" s="23">
        <f t="shared" si="130"/>
        <v>356136</v>
      </c>
      <c r="S586" s="25">
        <f>(((H586+R586)/(H585+R585))-1)+detalle!$D$1</f>
        <v>7.3870358508045159E-2</v>
      </c>
      <c r="T586" s="25">
        <f t="shared" si="134"/>
        <v>1.0341850191126323</v>
      </c>
      <c r="U586" s="10">
        <f t="shared" si="131"/>
        <v>0.96793819676412773</v>
      </c>
      <c r="V586" s="21">
        <f t="shared" si="123"/>
        <v>86.653458035934037</v>
      </c>
      <c r="W586" s="15">
        <f>J586/detalle!$D$2</f>
        <v>191063.85381933101</v>
      </c>
      <c r="X586" s="15">
        <f>E586/detalle!$D$2</f>
        <v>33185.92851305673</v>
      </c>
      <c r="Y586" s="15">
        <f>F586/detalle!$D$2</f>
        <v>370.69412497711102</v>
      </c>
      <c r="AA586" s="14">
        <f>E586/(detalle!$D$2*1000000)</f>
        <v>3.3185928513056726E-2</v>
      </c>
      <c r="AB586" s="14">
        <f>F586/(detalle!$D$2*1000000)</f>
        <v>3.7069412497711104E-4</v>
      </c>
      <c r="AC586" s="31">
        <f>185/609</f>
        <v>0.30377668308702793</v>
      </c>
      <c r="AD586" s="31">
        <f>517/2604</f>
        <v>0.19854070660522274</v>
      </c>
      <c r="AE586" s="31">
        <f>113/519</f>
        <v>0.21772639691714837</v>
      </c>
      <c r="AF586" s="22">
        <f t="shared" si="135"/>
        <v>7</v>
      </c>
      <c r="AG586" s="12">
        <v>6107063</v>
      </c>
      <c r="AH586" s="12">
        <v>4947154</v>
      </c>
      <c r="AI586" s="12">
        <v>989151</v>
      </c>
      <c r="AJ586" s="23">
        <f t="shared" si="136"/>
        <v>28856</v>
      </c>
      <c r="AK586" s="23">
        <f t="shared" si="126"/>
        <v>12043368</v>
      </c>
      <c r="AL586" s="28">
        <f>AK586/detalle!$D$2</f>
        <v>1098795.4128814521</v>
      </c>
    </row>
    <row r="587" spans="1:38">
      <c r="A587" s="12">
        <v>586</v>
      </c>
      <c r="B587" s="19">
        <v>44476</v>
      </c>
      <c r="C587" s="12">
        <v>568</v>
      </c>
      <c r="D587" s="23">
        <f t="shared" si="132"/>
        <v>517</v>
      </c>
      <c r="E587" s="12">
        <v>364252</v>
      </c>
      <c r="F587" s="12">
        <v>4065</v>
      </c>
      <c r="G587" s="12">
        <v>352734</v>
      </c>
      <c r="H587" s="23">
        <f t="shared" si="128"/>
        <v>7453</v>
      </c>
      <c r="I587" s="23">
        <f t="shared" si="125"/>
        <v>3593</v>
      </c>
      <c r="J587" s="12">
        <v>2097752</v>
      </c>
      <c r="K587" s="23">
        <f t="shared" si="127"/>
        <v>1733500</v>
      </c>
      <c r="L587" s="23">
        <f t="shared" si="133"/>
        <v>661</v>
      </c>
      <c r="M587" s="14">
        <f t="shared" si="129"/>
        <v>1.115985636317714E-2</v>
      </c>
      <c r="N587" s="14">
        <f t="shared" si="124"/>
        <v>0.14389089897021987</v>
      </c>
      <c r="O587" s="12"/>
      <c r="P587" s="12"/>
      <c r="Q587" s="12"/>
      <c r="R587" s="23">
        <f t="shared" si="130"/>
        <v>356799</v>
      </c>
      <c r="S587" s="25">
        <f>(((H587+R587)/(H586+R586))-1)+detalle!$D$1</f>
        <v>7.2849935883463141E-2</v>
      </c>
      <c r="T587" s="25">
        <f t="shared" si="134"/>
        <v>1.019899102368484</v>
      </c>
      <c r="U587" s="10">
        <f t="shared" si="131"/>
        <v>0.96837903429493866</v>
      </c>
      <c r="V587" s="21">
        <f t="shared" si="123"/>
        <v>86.773431734317342</v>
      </c>
      <c r="W587" s="15">
        <f>J587/detalle!$D$2</f>
        <v>191391.66676322537</v>
      </c>
      <c r="X587" s="15">
        <f>E587/detalle!$D$2</f>
        <v>33233.097812247761</v>
      </c>
      <c r="Y587" s="15">
        <f>F587/detalle!$D$2</f>
        <v>370.8765980881015</v>
      </c>
      <c r="AA587" s="14">
        <f>E587/(detalle!$D$2*1000000)</f>
        <v>3.3233097812247758E-2</v>
      </c>
      <c r="AB587" s="14">
        <f>F587/(detalle!$D$2*1000000)</f>
        <v>3.7087659808810147E-4</v>
      </c>
      <c r="AC587" s="31">
        <f>184/609</f>
        <v>0.30213464696223319</v>
      </c>
      <c r="AD587" s="31">
        <f>552/2604</f>
        <v>0.2119815668202765</v>
      </c>
      <c r="AE587" s="31">
        <f>121/519</f>
        <v>0.23314065510597304</v>
      </c>
      <c r="AF587" s="22">
        <f t="shared" si="135"/>
        <v>2</v>
      </c>
      <c r="AG587" s="12">
        <v>6115991</v>
      </c>
      <c r="AH587" s="12">
        <v>4956157</v>
      </c>
      <c r="AI587" s="12">
        <v>1000259</v>
      </c>
      <c r="AJ587" s="23">
        <f t="shared" si="136"/>
        <v>29039</v>
      </c>
      <c r="AK587" s="23">
        <f t="shared" si="126"/>
        <v>12072407</v>
      </c>
      <c r="AL587" s="28">
        <f>AK587/detalle!$D$2</f>
        <v>1101444.831216478</v>
      </c>
    </row>
    <row r="588" spans="1:38">
      <c r="A588" s="12">
        <v>587</v>
      </c>
      <c r="B588" s="19">
        <v>44477</v>
      </c>
      <c r="C588" s="12">
        <v>569</v>
      </c>
      <c r="D588" s="23">
        <f t="shared" si="132"/>
        <v>811</v>
      </c>
      <c r="E588" s="12">
        <f>365063</f>
        <v>365063</v>
      </c>
      <c r="F588" s="12">
        <f>4067</f>
        <v>4067</v>
      </c>
      <c r="G588" s="12">
        <f>353098</f>
        <v>353098</v>
      </c>
      <c r="H588" s="23">
        <f t="shared" si="128"/>
        <v>7898</v>
      </c>
      <c r="I588" s="23">
        <f t="shared" si="125"/>
        <v>5155</v>
      </c>
      <c r="J588" s="12">
        <v>2102907</v>
      </c>
      <c r="K588" s="23">
        <f t="shared" si="127"/>
        <v>1737844</v>
      </c>
      <c r="L588" s="23">
        <f t="shared" si="133"/>
        <v>364</v>
      </c>
      <c r="M588" s="14">
        <f t="shared" si="129"/>
        <v>1.1140542865204089E-2</v>
      </c>
      <c r="N588" s="14">
        <f t="shared" si="124"/>
        <v>0.15732298739088263</v>
      </c>
      <c r="O588" s="12"/>
      <c r="P588" s="12"/>
      <c r="Q588" s="12"/>
      <c r="R588" s="23">
        <f t="shared" si="130"/>
        <v>357165</v>
      </c>
      <c r="S588" s="25">
        <f>(((H588+R588)/(H587+R587))-1)+detalle!$D$1</f>
        <v>7.3655051996969229E-2</v>
      </c>
      <c r="T588" s="25">
        <f t="shared" si="134"/>
        <v>1.0311707279575693</v>
      </c>
      <c r="U588" s="10">
        <f t="shared" si="131"/>
        <v>0.96722483516543722</v>
      </c>
      <c r="V588" s="21">
        <f t="shared" si="123"/>
        <v>86.820260634374236</v>
      </c>
      <c r="W588" s="15">
        <f>J588/detalle!$D$2</f>
        <v>191861.99120680327</v>
      </c>
      <c r="X588" s="15">
        <f>E588/detalle!$D$2</f>
        <v>33307.090658754387</v>
      </c>
      <c r="Y588" s="15">
        <f>F588/detalle!$D$2</f>
        <v>371.05907119909193</v>
      </c>
      <c r="AA588" s="14">
        <f>E588/(detalle!$D$2*1000000)</f>
        <v>3.3307090658754389E-2</v>
      </c>
      <c r="AB588" s="14">
        <f>F588/(detalle!$D$2*1000000)</f>
        <v>3.7105907119909195E-4</v>
      </c>
      <c r="AC588" s="31">
        <f>195/609</f>
        <v>0.32019704433497537</v>
      </c>
      <c r="AD588" s="31">
        <f>555/2604</f>
        <v>0.21313364055299538</v>
      </c>
      <c r="AE588" s="31">
        <f>122/519</f>
        <v>0.23506743737957611</v>
      </c>
      <c r="AF588" s="22">
        <f t="shared" si="135"/>
        <v>2</v>
      </c>
      <c r="AG588" s="12">
        <v>6123862</v>
      </c>
      <c r="AH588" s="12">
        <v>4964932</v>
      </c>
      <c r="AI588" s="12">
        <v>1009910</v>
      </c>
      <c r="AJ588" s="23">
        <f t="shared" si="136"/>
        <v>26297</v>
      </c>
      <c r="AK588" s="23">
        <f t="shared" si="126"/>
        <v>12098704</v>
      </c>
      <c r="AL588" s="28">
        <f>AK588/detalle!$D$2</f>
        <v>1103844.0789163359</v>
      </c>
    </row>
    <row r="589" spans="1:38">
      <c r="A589" s="12">
        <v>588</v>
      </c>
      <c r="B589" s="19">
        <v>44478</v>
      </c>
      <c r="C589" s="12">
        <v>570</v>
      </c>
      <c r="D589" s="23">
        <f t="shared" si="132"/>
        <v>495</v>
      </c>
      <c r="E589" s="12">
        <v>365558</v>
      </c>
      <c r="F589" s="12">
        <v>4067</v>
      </c>
      <c r="G589" s="12">
        <v>353981</v>
      </c>
      <c r="H589" s="23">
        <f t="shared" si="128"/>
        <v>7510</v>
      </c>
      <c r="I589" s="23">
        <f t="shared" si="125"/>
        <v>4397</v>
      </c>
      <c r="J589" s="12">
        <v>2107304</v>
      </c>
      <c r="K589" s="23">
        <f t="shared" si="127"/>
        <v>1741746</v>
      </c>
      <c r="L589" s="23">
        <f t="shared" si="133"/>
        <v>883</v>
      </c>
      <c r="M589" s="14">
        <f t="shared" si="129"/>
        <v>1.112545751973695E-2</v>
      </c>
      <c r="N589" s="14">
        <f t="shared" si="124"/>
        <v>0.1125767568796907</v>
      </c>
      <c r="O589" s="12"/>
      <c r="P589" s="12"/>
      <c r="Q589" s="12"/>
      <c r="R589" s="23">
        <f t="shared" si="130"/>
        <v>358048</v>
      </c>
      <c r="S589" s="25">
        <f>(((H589+R589)/(H588+R588))-1)+detalle!$D$1</f>
        <v>7.2784501774840332E-2</v>
      </c>
      <c r="T589" s="25">
        <f t="shared" si="134"/>
        <v>1.0189830248477647</v>
      </c>
      <c r="U589" s="10">
        <f t="shared" si="131"/>
        <v>0.96833060690779571</v>
      </c>
      <c r="V589" s="21">
        <f t="shared" si="123"/>
        <v>87.037373985738867</v>
      </c>
      <c r="W589" s="15">
        <f>J589/detalle!$D$2</f>
        <v>192263.15834131578</v>
      </c>
      <c r="X589" s="15">
        <f>E589/detalle!$D$2</f>
        <v>33352.252753724526</v>
      </c>
      <c r="Y589" s="15">
        <f>F589/detalle!$D$2</f>
        <v>371.05907119909193</v>
      </c>
      <c r="AA589" s="14">
        <f>E589/(detalle!$D$2*1000000)</f>
        <v>3.3352252753724526E-2</v>
      </c>
      <c r="AB589" s="14">
        <f>F589/(detalle!$D$2*1000000)</f>
        <v>3.7105907119909195E-4</v>
      </c>
      <c r="AC589" s="31">
        <v>0.33333333333333331</v>
      </c>
      <c r="AD589" s="31">
        <v>0.21505376344086022</v>
      </c>
      <c r="AE589" s="31">
        <v>0.24084778420038536</v>
      </c>
      <c r="AF589" s="22">
        <f t="shared" si="135"/>
        <v>0</v>
      </c>
      <c r="AG589" s="12">
        <v>6130558</v>
      </c>
      <c r="AH589" s="12">
        <v>4970581</v>
      </c>
      <c r="AI589" s="12">
        <v>1015433</v>
      </c>
      <c r="AJ589" s="23">
        <f t="shared" si="136"/>
        <v>17868</v>
      </c>
      <c r="AK589" s="23">
        <f t="shared" si="126"/>
        <v>12116572</v>
      </c>
      <c r="AL589" s="28">
        <f>AK589/detalle!$D$2</f>
        <v>1105474.2936899248</v>
      </c>
    </row>
    <row r="590" spans="1:38">
      <c r="A590" s="12">
        <v>589</v>
      </c>
      <c r="B590" s="19">
        <v>44479</v>
      </c>
      <c r="C590" s="12">
        <v>571</v>
      </c>
      <c r="D590" s="23">
        <f t="shared" si="132"/>
        <v>633</v>
      </c>
      <c r="E590" s="12">
        <v>366191</v>
      </c>
      <c r="F590" s="12">
        <v>4067</v>
      </c>
      <c r="G590" s="12">
        <v>354332</v>
      </c>
      <c r="H590" s="23">
        <f t="shared" si="128"/>
        <v>7792</v>
      </c>
      <c r="I590" s="23">
        <f t="shared" si="125"/>
        <v>4351</v>
      </c>
      <c r="J590" s="12">
        <v>2111655</v>
      </c>
      <c r="K590" s="23">
        <f t="shared" si="127"/>
        <v>1745464</v>
      </c>
      <c r="L590" s="23">
        <f t="shared" si="133"/>
        <v>351</v>
      </c>
      <c r="M590" s="14">
        <f t="shared" si="129"/>
        <v>1.1106225985892608E-2</v>
      </c>
      <c r="N590" s="14">
        <f t="shared" si="124"/>
        <v>0.14548379682831533</v>
      </c>
      <c r="O590" s="12"/>
      <c r="P590" s="12"/>
      <c r="Q590" s="12"/>
      <c r="R590" s="23">
        <f t="shared" si="130"/>
        <v>358399</v>
      </c>
      <c r="S590" s="25">
        <f>(((H590+R590)/(H589+R589))-1)+detalle!$D$1</f>
        <v>7.3160170791736673E-2</v>
      </c>
      <c r="T590" s="25">
        <f t="shared" si="134"/>
        <v>1.0242423910843135</v>
      </c>
      <c r="U590" s="10">
        <f t="shared" si="131"/>
        <v>0.96761526088844352</v>
      </c>
      <c r="V590" s="21">
        <f t="shared" si="123"/>
        <v>87.123678387017463</v>
      </c>
      <c r="W590" s="15">
        <f>J590/detalle!$D$2</f>
        <v>192660.12859427551</v>
      </c>
      <c r="X590" s="15">
        <f>E590/detalle!$D$2</f>
        <v>33410.005493353005</v>
      </c>
      <c r="Y590" s="15">
        <f>F590/detalle!$D$2</f>
        <v>371.05907119909193</v>
      </c>
      <c r="AA590" s="14">
        <f>E590/(detalle!$D$2*1000000)</f>
        <v>3.3410005493353004E-2</v>
      </c>
      <c r="AB590" s="14">
        <f>F590/(detalle!$D$2*1000000)</f>
        <v>3.7105907119909195E-4</v>
      </c>
      <c r="AC590" s="31">
        <f>201/609</f>
        <v>0.33004926108374383</v>
      </c>
      <c r="AD590" s="31">
        <f>575/2604</f>
        <v>0.22081413210445469</v>
      </c>
      <c r="AE590" s="31">
        <f>126/519</f>
        <v>0.24277456647398843</v>
      </c>
      <c r="AF590" s="22">
        <f t="shared" si="135"/>
        <v>0</v>
      </c>
      <c r="AG590" s="12">
        <v>6134235</v>
      </c>
      <c r="AH590" s="12">
        <v>4973191</v>
      </c>
      <c r="AI590" s="12">
        <v>1017795</v>
      </c>
      <c r="AJ590" s="23">
        <f t="shared" si="136"/>
        <v>8649</v>
      </c>
      <c r="AK590" s="23">
        <f t="shared" si="126"/>
        <v>12125221</v>
      </c>
      <c r="AL590" s="28">
        <f>AK590/detalle!$D$2</f>
        <v>1106263.398658403</v>
      </c>
    </row>
    <row r="591" spans="1:38">
      <c r="A591" s="12">
        <v>590</v>
      </c>
      <c r="B591" s="19">
        <v>44480</v>
      </c>
      <c r="C591" s="12">
        <v>572</v>
      </c>
      <c r="D591" s="23">
        <f t="shared" si="132"/>
        <v>520</v>
      </c>
      <c r="E591" s="12">
        <v>366711</v>
      </c>
      <c r="F591" s="12">
        <v>4072</v>
      </c>
      <c r="G591" s="12">
        <v>355023</v>
      </c>
      <c r="H591" s="23">
        <f t="shared" si="128"/>
        <v>7616</v>
      </c>
      <c r="I591" s="23">
        <f t="shared" si="125"/>
        <v>3530</v>
      </c>
      <c r="J591" s="12">
        <v>2115185</v>
      </c>
      <c r="K591" s="23">
        <f t="shared" si="127"/>
        <v>1748474</v>
      </c>
      <c r="L591" s="23">
        <f t="shared" si="133"/>
        <v>691</v>
      </c>
      <c r="M591" s="14">
        <f t="shared" si="129"/>
        <v>1.1104111957372426E-2</v>
      </c>
      <c r="N591" s="14">
        <f t="shared" si="124"/>
        <v>0.14730878186968838</v>
      </c>
      <c r="O591" s="12"/>
      <c r="P591" s="12"/>
      <c r="Q591" s="12"/>
      <c r="R591" s="23">
        <f t="shared" si="130"/>
        <v>359095</v>
      </c>
      <c r="S591" s="25">
        <f>(((H591+R591)/(H590+R590))-1)+detalle!$D$1</f>
        <v>7.284859540513014E-2</v>
      </c>
      <c r="T591" s="25">
        <f t="shared" si="134"/>
        <v>1.019880335671822</v>
      </c>
      <c r="U591" s="10">
        <f t="shared" si="131"/>
        <v>0.96812749003984067</v>
      </c>
      <c r="V591" s="21">
        <f t="shared" si="123"/>
        <v>87.186394891944985</v>
      </c>
      <c r="W591" s="15">
        <f>J591/detalle!$D$2</f>
        <v>192982.19363517367</v>
      </c>
      <c r="X591" s="15">
        <f>E591/detalle!$D$2</f>
        <v>33457.448502210529</v>
      </c>
      <c r="Y591" s="15">
        <f>F591/detalle!$D$2</f>
        <v>371.51525397656809</v>
      </c>
      <c r="AA591" s="14">
        <f>E591/(detalle!$D$2*1000000)</f>
        <v>3.3457448502210524E-2</v>
      </c>
      <c r="AB591" s="14">
        <f>F591/(detalle!$D$2*1000000)</f>
        <v>3.7151525397656807E-4</v>
      </c>
      <c r="AC591" s="31">
        <f>207/609</f>
        <v>0.33990147783251229</v>
      </c>
      <c r="AD591" s="31">
        <f>606/2604</f>
        <v>0.23271889400921658</v>
      </c>
      <c r="AE591" s="31">
        <f>134/519</f>
        <v>0.25818882466281312</v>
      </c>
      <c r="AF591" s="22">
        <f t="shared" si="135"/>
        <v>5</v>
      </c>
      <c r="AG591" s="12">
        <v>6155094</v>
      </c>
      <c r="AH591" s="12">
        <v>4988709</v>
      </c>
      <c r="AI591" s="12">
        <v>1030729</v>
      </c>
      <c r="AJ591" s="23">
        <f t="shared" si="136"/>
        <v>49311</v>
      </c>
      <c r="AK591" s="23">
        <f t="shared" ref="AK591:AK622" si="137">AG591+AH591+AI591</f>
        <v>12174532</v>
      </c>
      <c r="AL591" s="28">
        <f>AK591/detalle!$D$2</f>
        <v>1110762.3644464281</v>
      </c>
    </row>
    <row r="592" spans="1:38">
      <c r="A592" s="12">
        <v>591</v>
      </c>
      <c r="B592" s="19">
        <v>44481</v>
      </c>
      <c r="C592" s="12">
        <v>573</v>
      </c>
      <c r="D592" s="23">
        <f t="shared" si="132"/>
        <v>668</v>
      </c>
      <c r="E592" s="12">
        <v>367379</v>
      </c>
      <c r="F592" s="12">
        <v>4077</v>
      </c>
      <c r="G592" s="12">
        <v>356013</v>
      </c>
      <c r="H592" s="23">
        <f t="shared" si="128"/>
        <v>7289</v>
      </c>
      <c r="I592" s="23">
        <f t="shared" si="125"/>
        <v>5306</v>
      </c>
      <c r="J592" s="12">
        <v>2120491</v>
      </c>
      <c r="K592" s="23">
        <f t="shared" si="127"/>
        <v>1753112</v>
      </c>
      <c r="L592" s="23">
        <f t="shared" si="133"/>
        <v>990</v>
      </c>
      <c r="M592" s="14">
        <f t="shared" si="129"/>
        <v>1.1097531432117785E-2</v>
      </c>
      <c r="N592" s="14">
        <f t="shared" si="124"/>
        <v>0.12589521296645306</v>
      </c>
      <c r="O592" s="12"/>
      <c r="P592" s="12"/>
      <c r="Q592" s="12"/>
      <c r="R592" s="23">
        <f t="shared" si="130"/>
        <v>360090</v>
      </c>
      <c r="S592" s="25">
        <f>(((H592+R592)/(H591+R591))-1)+detalle!$D$1</f>
        <v>7.3250169362639311E-2</v>
      </c>
      <c r="T592" s="25">
        <f t="shared" si="134"/>
        <v>1.0255023710769504</v>
      </c>
      <c r="U592" s="10">
        <f t="shared" si="131"/>
        <v>0.96906192242888134</v>
      </c>
      <c r="V592" s="21">
        <f t="shared" si="123"/>
        <v>87.322295805739515</v>
      </c>
      <c r="W592" s="15">
        <f>J592/detalle!$D$2</f>
        <v>193466.29479863134</v>
      </c>
      <c r="X592" s="15">
        <f>E592/detalle!$D$2</f>
        <v>33518.394521281341</v>
      </c>
      <c r="Y592" s="15">
        <f>F592/detalle!$D$2</f>
        <v>371.97143675404425</v>
      </c>
      <c r="AA592" s="14">
        <f>E592/(detalle!$D$2*1000000)</f>
        <v>3.3518394521281338E-2</v>
      </c>
      <c r="AB592" s="14">
        <f>F592/(detalle!$D$2*1000000)</f>
        <v>3.7197143675404425E-4</v>
      </c>
      <c r="AC592" s="31">
        <f>207/609</f>
        <v>0.33990147783251229</v>
      </c>
      <c r="AD592" s="31">
        <f>614/2604</f>
        <v>0.2357910906298003</v>
      </c>
      <c r="AE592" s="31">
        <f>133/519</f>
        <v>0.25626204238921002</v>
      </c>
      <c r="AF592" s="22">
        <f t="shared" si="135"/>
        <v>5</v>
      </c>
      <c r="AG592" s="12">
        <v>6177844</v>
      </c>
      <c r="AH592" s="12">
        <v>5006400</v>
      </c>
      <c r="AI592" s="12">
        <v>1045536</v>
      </c>
      <c r="AJ592" s="23">
        <f t="shared" si="136"/>
        <v>55248</v>
      </c>
      <c r="AK592" s="23">
        <f t="shared" si="137"/>
        <v>12229780</v>
      </c>
      <c r="AL592" s="28">
        <f>AK592/detalle!$D$2</f>
        <v>1115803.0016644285</v>
      </c>
    </row>
    <row r="593" spans="1:38">
      <c r="A593" s="12">
        <v>592</v>
      </c>
      <c r="B593" s="19">
        <v>44482</v>
      </c>
      <c r="C593" s="12">
        <v>574</v>
      </c>
      <c r="D593" s="23">
        <f t="shared" si="132"/>
        <v>752</v>
      </c>
      <c r="E593" s="12">
        <v>368131</v>
      </c>
      <c r="F593" s="12">
        <v>4082</v>
      </c>
      <c r="G593" s="12">
        <v>356774</v>
      </c>
      <c r="H593" s="23">
        <f t="shared" si="128"/>
        <v>7275</v>
      </c>
      <c r="I593" s="23">
        <f t="shared" si="125"/>
        <v>5998</v>
      </c>
      <c r="J593" s="12">
        <v>2126489</v>
      </c>
      <c r="K593" s="23">
        <f t="shared" si="127"/>
        <v>1758358</v>
      </c>
      <c r="L593" s="23">
        <f t="shared" si="133"/>
        <v>761</v>
      </c>
      <c r="M593" s="14">
        <f t="shared" si="129"/>
        <v>1.1088444059315842E-2</v>
      </c>
      <c r="N593" s="14">
        <f t="shared" si="124"/>
        <v>0.12537512504168055</v>
      </c>
      <c r="O593" s="12"/>
      <c r="P593" s="12"/>
      <c r="Q593" s="12"/>
      <c r="R593" s="23">
        <f t="shared" si="130"/>
        <v>360856</v>
      </c>
      <c r="S593" s="25">
        <f>(((H593+R593)/(H592+R592))-1)+detalle!$D$1</f>
        <v>7.3475503887966226E-2</v>
      </c>
      <c r="T593" s="25">
        <f t="shared" si="134"/>
        <v>1.0286570544315272</v>
      </c>
      <c r="U593" s="10">
        <f t="shared" si="131"/>
        <v>0.96914956903928218</v>
      </c>
      <c r="V593" s="21">
        <f t="shared" ref="V593:V658" si="138">G593/F593</f>
        <v>87.401763841254294</v>
      </c>
      <c r="W593" s="15">
        <f>J593/detalle!$D$2</f>
        <v>194013.53165849173</v>
      </c>
      <c r="X593" s="15">
        <f>E593/detalle!$D$2</f>
        <v>33587.004411013746</v>
      </c>
      <c r="Y593" s="15">
        <f>F593/detalle!$D$2</f>
        <v>372.42761953152035</v>
      </c>
      <c r="AA593" s="14">
        <f>E593/(detalle!$D$2*1000000)</f>
        <v>3.3587004411013748E-2</v>
      </c>
      <c r="AB593" s="14">
        <f>F593/(detalle!$D$2*1000000)</f>
        <v>3.7242761953152037E-4</v>
      </c>
      <c r="AC593" s="31">
        <f>203/609</f>
        <v>0.33333333333333331</v>
      </c>
      <c r="AD593" s="31">
        <f>610/2604</f>
        <v>0.23425499231950844</v>
      </c>
      <c r="AE593" s="31">
        <f>129/519</f>
        <v>0.24855491329479767</v>
      </c>
      <c r="AF593" s="22">
        <f t="shared" si="135"/>
        <v>5</v>
      </c>
      <c r="AG593" s="12">
        <v>6202706</v>
      </c>
      <c r="AH593" s="12">
        <v>5027184</v>
      </c>
      <c r="AI593" s="12">
        <v>1061855</v>
      </c>
      <c r="AJ593" s="23">
        <f t="shared" si="136"/>
        <v>61965</v>
      </c>
      <c r="AK593" s="23">
        <f t="shared" si="137"/>
        <v>12291745</v>
      </c>
      <c r="AL593" s="28">
        <f>AK593/detalle!$D$2</f>
        <v>1121456.4748256903</v>
      </c>
    </row>
    <row r="594" spans="1:38">
      <c r="A594" s="12">
        <v>593</v>
      </c>
      <c r="B594" s="19">
        <v>44483</v>
      </c>
      <c r="C594" s="12">
        <v>575</v>
      </c>
      <c r="D594" s="23">
        <f t="shared" si="132"/>
        <v>699</v>
      </c>
      <c r="E594" s="12">
        <v>368830</v>
      </c>
      <c r="F594" s="12">
        <v>4082</v>
      </c>
      <c r="G594" s="12">
        <v>357463</v>
      </c>
      <c r="H594" s="23">
        <f t="shared" si="128"/>
        <v>7285</v>
      </c>
      <c r="I594" s="23">
        <f t="shared" si="125"/>
        <v>5106</v>
      </c>
      <c r="J594" s="12">
        <v>2131595</v>
      </c>
      <c r="K594" s="23">
        <f t="shared" si="127"/>
        <v>1762765</v>
      </c>
      <c r="L594" s="23">
        <f t="shared" si="133"/>
        <v>689</v>
      </c>
      <c r="M594" s="14">
        <f t="shared" si="129"/>
        <v>1.1067429439036955E-2</v>
      </c>
      <c r="N594" s="14">
        <f t="shared" si="124"/>
        <v>0.13689776733254994</v>
      </c>
      <c r="O594" s="12"/>
      <c r="P594" s="12"/>
      <c r="Q594" s="12"/>
      <c r="R594" s="23">
        <f t="shared" si="130"/>
        <v>361545</v>
      </c>
      <c r="S594" s="25">
        <f>(((H594+R594)/(H593+R593))-1)+detalle!$D$1</f>
        <v>7.3327352025695874E-2</v>
      </c>
      <c r="T594" s="25">
        <f t="shared" si="134"/>
        <v>1.0265829283597423</v>
      </c>
      <c r="U594" s="10">
        <f t="shared" si="131"/>
        <v>0.96918092346067297</v>
      </c>
      <c r="V594" s="21">
        <f t="shared" si="138"/>
        <v>87.57055365017149</v>
      </c>
      <c r="W594" s="15">
        <f>J594/detalle!$D$2</f>
        <v>194479.38551085035</v>
      </c>
      <c r="X594" s="15">
        <f>E594/detalle!$D$2</f>
        <v>33650.778763304916</v>
      </c>
      <c r="Y594" s="15">
        <f>F594/detalle!$D$2</f>
        <v>372.42761953152035</v>
      </c>
      <c r="AA594" s="14">
        <f>E594/(detalle!$D$2*1000000)</f>
        <v>3.3650778763304912E-2</v>
      </c>
      <c r="AB594" s="14">
        <f>F594/(detalle!$D$2*1000000)</f>
        <v>3.7242761953152037E-4</v>
      </c>
      <c r="AC594" s="31">
        <f>215/609</f>
        <v>0.35303776683087029</v>
      </c>
      <c r="AD594" s="31">
        <f>639/2604</f>
        <v>0.24539170506912442</v>
      </c>
      <c r="AE594" s="31">
        <f>130/519</f>
        <v>0.25048169556840078</v>
      </c>
      <c r="AF594" s="22">
        <f t="shared" si="135"/>
        <v>0</v>
      </c>
      <c r="AG594" s="12">
        <v>6234415</v>
      </c>
      <c r="AH594" s="12">
        <v>5050180</v>
      </c>
      <c r="AI594" s="12">
        <v>1078828</v>
      </c>
      <c r="AJ594" s="23">
        <f t="shared" si="136"/>
        <v>71678</v>
      </c>
      <c r="AK594" s="23">
        <f t="shared" si="137"/>
        <v>12363423</v>
      </c>
      <c r="AL594" s="28">
        <f>AK594/detalle!$D$2</f>
        <v>1127996.1286504772</v>
      </c>
    </row>
    <row r="595" spans="1:38">
      <c r="A595" s="12">
        <v>594</v>
      </c>
      <c r="B595" s="19">
        <v>44484</v>
      </c>
      <c r="C595" s="12">
        <v>576</v>
      </c>
      <c r="D595" s="23">
        <f t="shared" si="132"/>
        <v>870</v>
      </c>
      <c r="E595" s="12">
        <v>369700</v>
      </c>
      <c r="F595" s="12">
        <v>4084</v>
      </c>
      <c r="G595" s="12">
        <v>357939</v>
      </c>
      <c r="H595" s="23">
        <f t="shared" si="128"/>
        <v>7677</v>
      </c>
      <c r="I595" s="23">
        <f t="shared" si="125"/>
        <v>5134</v>
      </c>
      <c r="J595" s="12">
        <v>2136729</v>
      </c>
      <c r="K595" s="23">
        <f t="shared" si="127"/>
        <v>1767029</v>
      </c>
      <c r="L595" s="23">
        <f t="shared" si="133"/>
        <v>476</v>
      </c>
      <c r="M595" s="14">
        <f t="shared" si="129"/>
        <v>1.1046794698404111E-2</v>
      </c>
      <c r="N595" s="14">
        <f t="shared" si="124"/>
        <v>0.16945851188157382</v>
      </c>
      <c r="O595" s="12"/>
      <c r="P595" s="12"/>
      <c r="Q595" s="12"/>
      <c r="R595" s="23">
        <f t="shared" si="130"/>
        <v>362023</v>
      </c>
      <c r="S595" s="25">
        <f>(((H595+R595)/(H594+R594))-1)+detalle!$D$1</f>
        <v>7.378738172057589E-2</v>
      </c>
      <c r="T595" s="25">
        <f t="shared" si="134"/>
        <v>1.0330233440880625</v>
      </c>
      <c r="U595" s="10">
        <f t="shared" si="131"/>
        <v>0.96818771977278872</v>
      </c>
      <c r="V595" s="21">
        <f t="shared" si="138"/>
        <v>87.644221351616068</v>
      </c>
      <c r="W595" s="15">
        <f>J595/detalle!$D$2</f>
        <v>194947.79398676284</v>
      </c>
      <c r="X595" s="15">
        <f>E595/detalle!$D$2</f>
        <v>33730.154566585763</v>
      </c>
      <c r="Y595" s="15">
        <f>F595/detalle!$D$2</f>
        <v>372.61009264251084</v>
      </c>
      <c r="AA595" s="14">
        <f>E595/(detalle!$D$2*1000000)</f>
        <v>3.3730154566585763E-2</v>
      </c>
      <c r="AB595" s="14">
        <f>F595/(detalle!$D$2*1000000)</f>
        <v>3.7261009264251079E-4</v>
      </c>
      <c r="AC595" s="31">
        <f>222/609</f>
        <v>0.3645320197044335</v>
      </c>
      <c r="AD595" s="31">
        <f>646/2604</f>
        <v>0.24807987711213517</v>
      </c>
      <c r="AE595" s="31">
        <f>128/519</f>
        <v>0.2466281310211946</v>
      </c>
      <c r="AF595" s="22">
        <f t="shared" si="135"/>
        <v>2</v>
      </c>
      <c r="AG595" s="12">
        <v>6270413</v>
      </c>
      <c r="AH595" s="12">
        <v>5071130</v>
      </c>
      <c r="AI595" s="12">
        <v>1093069</v>
      </c>
      <c r="AJ595" s="23">
        <f t="shared" si="136"/>
        <v>71189</v>
      </c>
      <c r="AK595" s="23">
        <f t="shared" si="137"/>
        <v>12434612</v>
      </c>
      <c r="AL595" s="28">
        <f>AK595/detalle!$D$2</f>
        <v>1134491.1677996269</v>
      </c>
    </row>
    <row r="596" spans="1:38">
      <c r="A596" s="12">
        <v>595</v>
      </c>
      <c r="B596" s="19">
        <v>44485</v>
      </c>
      <c r="C596" s="12">
        <v>577</v>
      </c>
      <c r="D596" s="23">
        <f t="shared" si="132"/>
        <v>751</v>
      </c>
      <c r="E596" s="12">
        <v>370451</v>
      </c>
      <c r="F596" s="12">
        <v>4087</v>
      </c>
      <c r="G596" s="12">
        <v>358777</v>
      </c>
      <c r="H596" s="23">
        <f t="shared" si="128"/>
        <v>7587</v>
      </c>
      <c r="I596" s="23">
        <f t="shared" si="125"/>
        <v>5065</v>
      </c>
      <c r="J596" s="12">
        <v>2141794</v>
      </c>
      <c r="K596" s="23">
        <f t="shared" si="127"/>
        <v>1771343</v>
      </c>
      <c r="L596" s="23">
        <f t="shared" si="133"/>
        <v>838</v>
      </c>
      <c r="M596" s="14">
        <f t="shared" si="129"/>
        <v>1.1032498225136389E-2</v>
      </c>
      <c r="N596" s="14">
        <f t="shared" ref="N596:N658" si="139">D596/I596</f>
        <v>0.14827245804540967</v>
      </c>
      <c r="O596" s="12"/>
      <c r="P596" s="12"/>
      <c r="Q596" s="12"/>
      <c r="R596" s="23">
        <f t="shared" si="130"/>
        <v>362864</v>
      </c>
      <c r="S596" s="25">
        <f>(((H596+R596)/(H595+R595))-1)+detalle!$D$1</f>
        <v>7.3459948220564925E-2</v>
      </c>
      <c r="T596" s="25">
        <f t="shared" si="134"/>
        <v>1.028439275087909</v>
      </c>
      <c r="U596" s="10">
        <f t="shared" si="131"/>
        <v>0.96848706036695809</v>
      </c>
      <c r="V596" s="21">
        <f t="shared" si="138"/>
        <v>87.784927819916803</v>
      </c>
      <c r="W596" s="15">
        <f>J596/detalle!$D$2</f>
        <v>195409.90714034619</v>
      </c>
      <c r="X596" s="15">
        <f>E596/detalle!$D$2</f>
        <v>33798.673219762677</v>
      </c>
      <c r="Y596" s="15">
        <f>F596/detalle!$D$2</f>
        <v>372.88380230899651</v>
      </c>
      <c r="AA596" s="14">
        <f>E596/(detalle!$D$2*1000000)</f>
        <v>3.3798673219762675E-2</v>
      </c>
      <c r="AB596" s="14">
        <f>F596/(detalle!$D$2*1000000)</f>
        <v>3.7288380230899649E-4</v>
      </c>
      <c r="AC596" s="31">
        <f>223/609</f>
        <v>0.36617405582922824</v>
      </c>
      <c r="AD596" s="31">
        <f>639/2604</f>
        <v>0.24539170506912442</v>
      </c>
      <c r="AE596" s="31">
        <f>134/519</f>
        <v>0.25818882466281312</v>
      </c>
      <c r="AF596" s="22">
        <f t="shared" si="135"/>
        <v>3</v>
      </c>
      <c r="AG596" s="12">
        <v>6290568</v>
      </c>
      <c r="AH596" s="12">
        <v>5082077</v>
      </c>
      <c r="AI596" s="12">
        <v>1099481</v>
      </c>
      <c r="AJ596" s="23">
        <f t="shared" si="136"/>
        <v>37514</v>
      </c>
      <c r="AK596" s="23">
        <f t="shared" si="137"/>
        <v>12472126</v>
      </c>
      <c r="AL596" s="28">
        <f>AK596/detalle!$D$2</f>
        <v>1137913.8159424751</v>
      </c>
    </row>
    <row r="597" spans="1:38">
      <c r="A597" s="12">
        <v>596</v>
      </c>
      <c r="B597" s="19">
        <v>44486</v>
      </c>
      <c r="C597" s="12">
        <v>578</v>
      </c>
      <c r="D597" s="23">
        <f t="shared" si="132"/>
        <v>996</v>
      </c>
      <c r="E597" s="12">
        <v>371447</v>
      </c>
      <c r="F597" s="12">
        <v>4090</v>
      </c>
      <c r="G597" s="12">
        <v>361289</v>
      </c>
      <c r="H597" s="23">
        <f t="shared" si="128"/>
        <v>6068</v>
      </c>
      <c r="I597" s="23">
        <f t="shared" si="125"/>
        <v>5622</v>
      </c>
      <c r="J597" s="12">
        <v>2147416</v>
      </c>
      <c r="K597" s="23">
        <f t="shared" si="127"/>
        <v>1775969</v>
      </c>
      <c r="L597" s="23">
        <f t="shared" si="133"/>
        <v>2512</v>
      </c>
      <c r="M597" s="14">
        <f t="shared" si="129"/>
        <v>1.1010992146928095E-2</v>
      </c>
      <c r="N597" s="14">
        <f t="shared" si="139"/>
        <v>0.17716115261472787</v>
      </c>
      <c r="O597" s="12"/>
      <c r="P597" s="12"/>
      <c r="Q597" s="12"/>
      <c r="R597" s="23">
        <f t="shared" si="130"/>
        <v>365379</v>
      </c>
      <c r="S597" s="25">
        <f>(((H597+R597)/(H596+R596))-1)+detalle!$D$1</f>
        <v>7.4117186117153705E-2</v>
      </c>
      <c r="T597" s="25">
        <f t="shared" si="134"/>
        <v>1.0376406056401519</v>
      </c>
      <c r="U597" s="10">
        <f t="shared" si="131"/>
        <v>0.97265289529865628</v>
      </c>
      <c r="V597" s="21">
        <f t="shared" si="138"/>
        <v>88.334718826405862</v>
      </c>
      <c r="W597" s="15">
        <f>J597/detalle!$D$2</f>
        <v>195922.83905534036</v>
      </c>
      <c r="X597" s="15">
        <f>E597/detalle!$D$2</f>
        <v>33889.544829035927</v>
      </c>
      <c r="Y597" s="15">
        <f>F597/detalle!$D$2</f>
        <v>373.15751197548218</v>
      </c>
      <c r="AA597" s="14">
        <f>E597/(detalle!$D$2*1000000)</f>
        <v>3.3889544829035924E-2</v>
      </c>
      <c r="AB597" s="14">
        <f>F597/(detalle!$D$2*1000000)</f>
        <v>3.7315751197548218E-4</v>
      </c>
      <c r="AC597" s="31">
        <f>228/609</f>
        <v>0.37438423645320196</v>
      </c>
      <c r="AD597" s="31">
        <f>642/2604</f>
        <v>0.24654377880184331</v>
      </c>
      <c r="AE597" s="31">
        <f>140/519</f>
        <v>0.26974951830443161</v>
      </c>
      <c r="AF597" s="22">
        <f t="shared" si="135"/>
        <v>3</v>
      </c>
      <c r="AG597" s="12">
        <v>6304282</v>
      </c>
      <c r="AH597" s="12">
        <v>5088396</v>
      </c>
      <c r="AI597" s="12">
        <v>1102337</v>
      </c>
      <c r="AJ597" s="23">
        <f t="shared" si="136"/>
        <v>22889</v>
      </c>
      <c r="AK597" s="23">
        <f t="shared" si="137"/>
        <v>12495015</v>
      </c>
      <c r="AL597" s="28">
        <f>AK597/detalle!$D$2</f>
        <v>1140002.1294612053</v>
      </c>
    </row>
    <row r="598" spans="1:38">
      <c r="A598" s="12">
        <v>597</v>
      </c>
      <c r="B598" s="19">
        <v>44487</v>
      </c>
      <c r="C598" s="12">
        <v>579</v>
      </c>
      <c r="D598" s="23">
        <f t="shared" si="132"/>
        <v>630</v>
      </c>
      <c r="E598" s="12">
        <v>372077</v>
      </c>
      <c r="F598" s="12">
        <v>4093</v>
      </c>
      <c r="G598" s="12">
        <v>362054</v>
      </c>
      <c r="H598" s="23">
        <f t="shared" si="128"/>
        <v>5930</v>
      </c>
      <c r="I598" s="23">
        <f t="shared" si="125"/>
        <v>5596</v>
      </c>
      <c r="J598" s="12">
        <v>2153012</v>
      </c>
      <c r="K598" s="23">
        <f t="shared" si="127"/>
        <v>1780935</v>
      </c>
      <c r="L598" s="23">
        <f t="shared" si="133"/>
        <v>765</v>
      </c>
      <c r="M598" s="14">
        <f t="shared" si="129"/>
        <v>1.1000411205207524E-2</v>
      </c>
      <c r="N598" s="14">
        <f t="shared" si="139"/>
        <v>0.11258041458184417</v>
      </c>
      <c r="O598" s="12"/>
      <c r="P598" s="12"/>
      <c r="Q598" s="12"/>
      <c r="R598" s="23">
        <f t="shared" si="130"/>
        <v>366147</v>
      </c>
      <c r="S598" s="25">
        <f>(((H598+R598)/(H597+R597))-1)+detalle!$D$1</f>
        <v>7.3124641123575113E-2</v>
      </c>
      <c r="T598" s="25">
        <f t="shared" si="134"/>
        <v>1.0237449757300516</v>
      </c>
      <c r="U598" s="10">
        <f t="shared" si="131"/>
        <v>0.97306202748355852</v>
      </c>
      <c r="V598" s="21">
        <f t="shared" si="138"/>
        <v>88.456877595895435</v>
      </c>
      <c r="W598" s="15">
        <f>J598/detalle!$D$2</f>
        <v>196433.39881989165</v>
      </c>
      <c r="X598" s="15">
        <f>E598/detalle!$D$2</f>
        <v>33947.02385899792</v>
      </c>
      <c r="Y598" s="15">
        <f>F598/detalle!$D$2</f>
        <v>373.43122164196785</v>
      </c>
      <c r="AA598" s="14">
        <f>E598/(detalle!$D$2*1000000)</f>
        <v>3.3947023858997921E-2</v>
      </c>
      <c r="AB598" s="14">
        <f>F598/(detalle!$D$2*1000000)</f>
        <v>3.7343122164196788E-4</v>
      </c>
      <c r="AC598" s="31">
        <f>244/609</f>
        <v>0.40065681444991791</v>
      </c>
      <c r="AD598" s="31">
        <f>628/2604</f>
        <v>0.2411674347158218</v>
      </c>
      <c r="AE598" s="31">
        <f>154/519</f>
        <v>0.29672447013487474</v>
      </c>
      <c r="AF598" s="22">
        <f t="shared" si="135"/>
        <v>3</v>
      </c>
      <c r="AG598" s="12">
        <v>6372529</v>
      </c>
      <c r="AH598" s="12">
        <v>5121120</v>
      </c>
      <c r="AI598" s="12">
        <v>1117112</v>
      </c>
      <c r="AJ598" s="23">
        <f t="shared" si="136"/>
        <v>115746</v>
      </c>
      <c r="AK598" s="23">
        <f t="shared" si="137"/>
        <v>12610761</v>
      </c>
      <c r="AL598" s="28">
        <f>AK598/detalle!$D$2</f>
        <v>1150562.3958135559</v>
      </c>
    </row>
    <row r="599" spans="1:38">
      <c r="A599" s="12">
        <v>598</v>
      </c>
      <c r="B599" s="19">
        <v>44488</v>
      </c>
      <c r="C599" s="12">
        <v>580</v>
      </c>
      <c r="D599" s="23">
        <f t="shared" si="132"/>
        <v>963</v>
      </c>
      <c r="E599" s="12">
        <v>373040</v>
      </c>
      <c r="F599" s="12">
        <v>4095</v>
      </c>
      <c r="G599" s="12">
        <v>362793</v>
      </c>
      <c r="H599" s="23">
        <f t="shared" si="128"/>
        <v>6152</v>
      </c>
      <c r="I599" s="23">
        <f t="shared" si="125"/>
        <v>5091</v>
      </c>
      <c r="J599" s="12">
        <v>2158103</v>
      </c>
      <c r="K599" s="23">
        <f t="shared" si="127"/>
        <v>1785063</v>
      </c>
      <c r="L599" s="23">
        <f t="shared" si="133"/>
        <v>739</v>
      </c>
      <c r="M599" s="14">
        <f t="shared" si="129"/>
        <v>1.0977375080420329E-2</v>
      </c>
      <c r="N599" s="14">
        <f t="shared" si="139"/>
        <v>0.18915733647613436</v>
      </c>
      <c r="O599" s="12"/>
      <c r="P599" s="12"/>
      <c r="Q599" s="12"/>
      <c r="R599" s="23">
        <f t="shared" si="130"/>
        <v>366888</v>
      </c>
      <c r="S599" s="25">
        <f>(((H599+R599)/(H598+R598))-1)+detalle!$D$1</f>
        <v>7.4016745381812382E-2</v>
      </c>
      <c r="T599" s="25">
        <f t="shared" si="134"/>
        <v>1.0362344353453734</v>
      </c>
      <c r="U599" s="10">
        <f t="shared" si="131"/>
        <v>0.9725310958610337</v>
      </c>
      <c r="V599" s="21">
        <f t="shared" si="138"/>
        <v>88.594139194139188</v>
      </c>
      <c r="W599" s="15">
        <f>J599/detalle!$D$2</f>
        <v>196897.88412391787</v>
      </c>
      <c r="X599" s="15">
        <f>E599/detalle!$D$2</f>
        <v>34034.884661939825</v>
      </c>
      <c r="Y599" s="15">
        <f>F599/detalle!$D$2</f>
        <v>373.61369475295834</v>
      </c>
      <c r="AA599" s="14">
        <f>E599/(detalle!$D$2*1000000)</f>
        <v>3.4034884661939824E-2</v>
      </c>
      <c r="AB599" s="14">
        <f>F599/(detalle!$D$2*1000000)</f>
        <v>3.736136947529583E-4</v>
      </c>
      <c r="AC599" s="31">
        <f>234/609</f>
        <v>0.38423645320197042</v>
      </c>
      <c r="AD599" s="31">
        <f>634/2604</f>
        <v>0.24347158218125961</v>
      </c>
      <c r="AE599" s="31">
        <f>152/519</f>
        <v>0.2928709055876686</v>
      </c>
      <c r="AF599" s="22">
        <f t="shared" si="135"/>
        <v>2</v>
      </c>
      <c r="AG599" s="12">
        <v>6449174</v>
      </c>
      <c r="AH599" s="12">
        <v>5158185</v>
      </c>
      <c r="AI599" s="12">
        <v>1131030</v>
      </c>
      <c r="AJ599" s="23">
        <f t="shared" si="136"/>
        <v>127628</v>
      </c>
      <c r="AK599" s="23">
        <f t="shared" si="137"/>
        <v>12738389</v>
      </c>
      <c r="AL599" s="28">
        <f>AK599/detalle!$D$2</f>
        <v>1162206.734918301</v>
      </c>
    </row>
    <row r="600" spans="1:38">
      <c r="A600" s="12">
        <v>599</v>
      </c>
      <c r="B600" s="19">
        <v>44489</v>
      </c>
      <c r="C600" s="12">
        <v>581</v>
      </c>
      <c r="D600" s="23">
        <f t="shared" si="132"/>
        <v>889</v>
      </c>
      <c r="E600" s="12">
        <v>373929</v>
      </c>
      <c r="F600" s="12">
        <v>4097</v>
      </c>
      <c r="G600" s="12">
        <v>363580</v>
      </c>
      <c r="H600" s="23">
        <f t="shared" si="128"/>
        <v>6252</v>
      </c>
      <c r="I600" s="23">
        <f t="shared" si="125"/>
        <v>4881</v>
      </c>
      <c r="J600" s="12">
        <v>2162984</v>
      </c>
      <c r="K600" s="23">
        <f t="shared" si="127"/>
        <v>1789055</v>
      </c>
      <c r="L600" s="23">
        <f>G600-G599</f>
        <v>787</v>
      </c>
      <c r="M600" s="14">
        <f t="shared" si="129"/>
        <v>1.0956625455634627E-2</v>
      </c>
      <c r="N600" s="14">
        <f t="shared" si="139"/>
        <v>0.18213480844089325</v>
      </c>
      <c r="O600" s="12"/>
      <c r="P600" s="12"/>
      <c r="Q600" s="12"/>
      <c r="R600" s="23">
        <f t="shared" si="130"/>
        <v>367677</v>
      </c>
      <c r="S600" s="25">
        <f>(((H600+R600)/(H599+R599))-1)+detalle!$D$1</f>
        <v>7.381169388192757E-2</v>
      </c>
      <c r="T600" s="25">
        <f t="shared" si="134"/>
        <v>1.033363714346986</v>
      </c>
      <c r="U600" s="10">
        <f t="shared" si="131"/>
        <v>0.97232362293376551</v>
      </c>
      <c r="V600" s="21">
        <f t="shared" si="138"/>
        <v>88.742982670246519</v>
      </c>
      <c r="W600" s="15">
        <f>J600/detalle!$D$2</f>
        <v>197343.20975129007</v>
      </c>
      <c r="X600" s="15">
        <f>E600/detalle!$D$2</f>
        <v>34115.993959775078</v>
      </c>
      <c r="Y600" s="15">
        <f>F600/detalle!$D$2</f>
        <v>373.79616786394877</v>
      </c>
      <c r="AA600" s="14">
        <f>E600/(detalle!$D$2*1000000)</f>
        <v>3.4115993959775083E-2</v>
      </c>
      <c r="AB600" s="14">
        <f>F600/(detalle!$D$2*1000000)</f>
        <v>3.7379616786394879E-4</v>
      </c>
      <c r="AC600" s="31">
        <f>239/609</f>
        <v>0.39244663382594419</v>
      </c>
      <c r="AD600" s="31">
        <f>630/2604</f>
        <v>0.24193548387096775</v>
      </c>
      <c r="AE600" s="31">
        <f>164/519</f>
        <v>0.31599229287090558</v>
      </c>
      <c r="AF600" s="22">
        <f t="shared" si="135"/>
        <v>2</v>
      </c>
      <c r="AG600" s="12">
        <v>6515080</v>
      </c>
      <c r="AH600" s="12">
        <v>5190840</v>
      </c>
      <c r="AI600" s="12">
        <v>1146729</v>
      </c>
      <c r="AJ600" s="23">
        <f t="shared" si="136"/>
        <v>114260</v>
      </c>
      <c r="AK600" s="23">
        <f t="shared" si="137"/>
        <v>12852649</v>
      </c>
      <c r="AL600" s="28">
        <f>AK600/detalle!$D$2</f>
        <v>1172631.4237491856</v>
      </c>
    </row>
    <row r="601" spans="1:38">
      <c r="A601" s="12">
        <v>600</v>
      </c>
      <c r="B601" s="19">
        <v>44490</v>
      </c>
      <c r="C601" s="12">
        <v>582</v>
      </c>
      <c r="D601" s="23">
        <f t="shared" si="132"/>
        <v>793</v>
      </c>
      <c r="E601" s="12">
        <v>374722</v>
      </c>
      <c r="F601" s="12">
        <v>4100</v>
      </c>
      <c r="G601" s="12">
        <v>364203</v>
      </c>
      <c r="H601" s="23">
        <f t="shared" si="128"/>
        <v>6419</v>
      </c>
      <c r="I601" s="23">
        <f t="shared" si="125"/>
        <v>4869</v>
      </c>
      <c r="J601" s="12">
        <v>2167853</v>
      </c>
      <c r="K601" s="23">
        <f t="shared" si="127"/>
        <v>1793131</v>
      </c>
      <c r="L601" s="23">
        <f t="shared" ref="L601:L663" si="140">G601-G600</f>
        <v>623</v>
      </c>
      <c r="M601" s="14">
        <f>F601/E601</f>
        <v>1.0941444590923404E-2</v>
      </c>
      <c r="N601" s="14">
        <f t="shared" si="139"/>
        <v>0.16286711850482646</v>
      </c>
      <c r="O601" s="12"/>
      <c r="P601" s="12"/>
      <c r="Q601" s="12"/>
      <c r="R601" s="23">
        <f t="shared" si="130"/>
        <v>368303</v>
      </c>
      <c r="S601" s="25">
        <f>(((H601+R601)/(H600+R600))-1)+detalle!$D$1</f>
        <v>7.3549294881419397E-2</v>
      </c>
      <c r="T601" s="25">
        <f t="shared" si="134"/>
        <v>1.0296901283398716</v>
      </c>
      <c r="U601" s="10">
        <f t="shared" si="131"/>
        <v>0.97192852301172605</v>
      </c>
      <c r="V601" s="21">
        <f t="shared" si="138"/>
        <v>88.83</v>
      </c>
      <c r="W601" s="15">
        <f>J601/detalle!$D$2</f>
        <v>197787.44053999634</v>
      </c>
      <c r="X601" s="15">
        <f>E601/detalle!$D$2</f>
        <v>34188.344548282796</v>
      </c>
      <c r="Y601" s="15">
        <f>F601/detalle!$D$2</f>
        <v>374.0698775304345</v>
      </c>
      <c r="AA601" s="14">
        <f>E601/(detalle!$D$2*1000000)</f>
        <v>3.4188344548282797E-2</v>
      </c>
      <c r="AB601" s="14">
        <f>F601/(detalle!$D$2*1000000)</f>
        <v>3.7406987753043448E-4</v>
      </c>
      <c r="AC601" s="31">
        <f>234/609</f>
        <v>0.38423645320197042</v>
      </c>
      <c r="AD601" s="31">
        <f>669/2604</f>
        <v>0.25691244239631339</v>
      </c>
      <c r="AE601" s="31">
        <f>163/519</f>
        <v>0.31406551059730248</v>
      </c>
      <c r="AF601" s="22">
        <f t="shared" si="135"/>
        <v>3</v>
      </c>
      <c r="AG601" s="12">
        <v>6566518</v>
      </c>
      <c r="AH601" s="12">
        <f>5220779</f>
        <v>5220779</v>
      </c>
      <c r="AI601" s="12">
        <v>1160916</v>
      </c>
      <c r="AJ601" s="23">
        <f t="shared" si="136"/>
        <v>95564</v>
      </c>
      <c r="AK601" s="23">
        <f t="shared" si="137"/>
        <v>12948213</v>
      </c>
      <c r="AL601" s="28">
        <f>AK601/detalle!$D$2</f>
        <v>1181350.3539385316</v>
      </c>
    </row>
    <row r="602" spans="1:38">
      <c r="A602" s="12">
        <v>601</v>
      </c>
      <c r="B602" s="19">
        <v>44491</v>
      </c>
      <c r="C602" s="12">
        <v>583</v>
      </c>
      <c r="D602" s="23">
        <f t="shared" si="132"/>
        <v>823</v>
      </c>
      <c r="E602" s="12">
        <v>375545</v>
      </c>
      <c r="F602" s="12">
        <v>4106</v>
      </c>
      <c r="G602" s="12">
        <v>365149</v>
      </c>
      <c r="H602" s="23">
        <f t="shared" si="128"/>
        <v>6290</v>
      </c>
      <c r="I602" s="23">
        <f t="shared" si="125"/>
        <v>5063</v>
      </c>
      <c r="J602" s="12">
        <v>2172916</v>
      </c>
      <c r="K602" s="23">
        <f t="shared" si="127"/>
        <v>1797371</v>
      </c>
      <c r="L602" s="23">
        <f t="shared" si="140"/>
        <v>946</v>
      </c>
      <c r="M602" s="14">
        <f t="shared" si="129"/>
        <v>1.0933443395598397E-2</v>
      </c>
      <c r="N602" s="14">
        <f t="shared" si="139"/>
        <v>0.16255184673118706</v>
      </c>
      <c r="O602" s="12"/>
      <c r="P602" s="12"/>
      <c r="Q602" s="12"/>
      <c r="R602" s="23">
        <f t="shared" si="130"/>
        <v>369255</v>
      </c>
      <c r="S602" s="25">
        <f>(((H602+R602)/(H601+R601))-1)+detalle!$D$1</f>
        <v>7.362486628182266E-2</v>
      </c>
      <c r="T602" s="25">
        <f t="shared" si="134"/>
        <v>1.0307481279455173</v>
      </c>
      <c r="U602" s="10">
        <f t="shared" si="131"/>
        <v>0.97231756513866519</v>
      </c>
      <c r="V602" s="21">
        <f t="shared" si="138"/>
        <v>88.930589381393077</v>
      </c>
      <c r="W602" s="15">
        <f>J602/detalle!$D$2</f>
        <v>198249.37122046866</v>
      </c>
      <c r="X602" s="15">
        <f>E602/detalle!$D$2</f>
        <v>34263.432233455373</v>
      </c>
      <c r="Y602" s="15">
        <f>F602/detalle!$D$2</f>
        <v>374.61729686340584</v>
      </c>
      <c r="AA602" s="14">
        <f>E602/(detalle!$D$2*1000000)</f>
        <v>3.426343223345537E-2</v>
      </c>
      <c r="AB602" s="14">
        <f>F602/(detalle!$D$2*1000000)</f>
        <v>3.7461729686340581E-4</v>
      </c>
      <c r="AC602" s="31">
        <f>236/609</f>
        <v>0.38752052545155996</v>
      </c>
      <c r="AD602" s="31">
        <f>673/2604</f>
        <v>0.25844854070660522</v>
      </c>
      <c r="AE602" s="31">
        <f>156/519</f>
        <v>0.30057803468208094</v>
      </c>
      <c r="AF602" s="22">
        <f t="shared" si="135"/>
        <v>6</v>
      </c>
      <c r="AG602" s="12">
        <v>6605259</v>
      </c>
      <c r="AH602" s="12">
        <v>5242777</v>
      </c>
      <c r="AI602" s="12">
        <v>1172794</v>
      </c>
      <c r="AJ602" s="23">
        <f t="shared" si="136"/>
        <v>72617</v>
      </c>
      <c r="AK602" s="23">
        <f t="shared" si="137"/>
        <v>13020830</v>
      </c>
      <c r="AL602" s="28">
        <f>AK602/detalle!$D$2</f>
        <v>1187975.6788889286</v>
      </c>
    </row>
    <row r="603" spans="1:38">
      <c r="A603" s="12">
        <v>602</v>
      </c>
      <c r="B603" s="19">
        <v>44492</v>
      </c>
      <c r="C603" s="12">
        <v>584</v>
      </c>
      <c r="D603" s="23">
        <f t="shared" si="132"/>
        <v>727</v>
      </c>
      <c r="E603" s="12">
        <v>376272</v>
      </c>
      <c r="F603" s="12">
        <v>4108</v>
      </c>
      <c r="G603" s="12">
        <v>366109</v>
      </c>
      <c r="H603" s="23">
        <f t="shared" si="128"/>
        <v>6055</v>
      </c>
      <c r="I603" s="23">
        <f t="shared" si="125"/>
        <v>5478</v>
      </c>
      <c r="J603" s="12">
        <v>2178394</v>
      </c>
      <c r="K603" s="23">
        <f t="shared" si="127"/>
        <v>1802122</v>
      </c>
      <c r="L603" s="23">
        <f t="shared" si="140"/>
        <v>960</v>
      </c>
      <c r="M603" s="14">
        <f t="shared" si="129"/>
        <v>1.0917634051962411E-2</v>
      </c>
      <c r="N603" s="14">
        <f t="shared" si="139"/>
        <v>0.13271266885724717</v>
      </c>
      <c r="O603" s="12"/>
      <c r="P603" s="12"/>
      <c r="Q603" s="12"/>
      <c r="R603" s="23">
        <f t="shared" si="130"/>
        <v>370217</v>
      </c>
      <c r="S603" s="25">
        <f>(((H603+R603)/(H602+R602))-1)+detalle!$D$1</f>
        <v>7.3364424655215449E-2</v>
      </c>
      <c r="T603" s="25">
        <f t="shared" si="134"/>
        <v>1.0271019451730163</v>
      </c>
      <c r="U603" s="10">
        <f t="shared" si="131"/>
        <v>0.97299028362461193</v>
      </c>
      <c r="V603" s="21">
        <f t="shared" si="138"/>
        <v>89.120983446932811</v>
      </c>
      <c r="W603" s="15">
        <f>J603/detalle!$D$2</f>
        <v>198749.16507147154</v>
      </c>
      <c r="X603" s="15">
        <f>E603/detalle!$D$2</f>
        <v>34329.761209300399</v>
      </c>
      <c r="Y603" s="15">
        <f>F603/detalle!$D$2</f>
        <v>374.79976997439627</v>
      </c>
      <c r="AA603" s="14">
        <f>E603/(detalle!$D$2*1000000)</f>
        <v>3.4329761209300397E-2</v>
      </c>
      <c r="AB603" s="14">
        <f>F603/(detalle!$D$2*1000000)</f>
        <v>3.747997699743963E-4</v>
      </c>
      <c r="AC603" s="31">
        <f>240/609</f>
        <v>0.39408866995073893</v>
      </c>
      <c r="AD603" s="31">
        <f>673/2604</f>
        <v>0.25844854070660522</v>
      </c>
      <c r="AE603" s="31">
        <f>156/519</f>
        <v>0.30057803468208094</v>
      </c>
      <c r="AF603" s="22">
        <f t="shared" si="135"/>
        <v>2</v>
      </c>
      <c r="AG603" s="12">
        <v>6618207</v>
      </c>
      <c r="AH603" s="12">
        <v>5250652</v>
      </c>
      <c r="AI603" s="12">
        <v>1177640</v>
      </c>
      <c r="AJ603" s="23">
        <f t="shared" si="136"/>
        <v>25669</v>
      </c>
      <c r="AK603" s="23">
        <f t="shared" si="137"/>
        <v>13046499</v>
      </c>
      <c r="AL603" s="28">
        <f>AK603/detalle!$D$2</f>
        <v>1190317.6300319356</v>
      </c>
    </row>
    <row r="604" spans="1:38">
      <c r="A604" s="12">
        <v>603</v>
      </c>
      <c r="B604" s="19">
        <v>44493</v>
      </c>
      <c r="C604" s="12">
        <v>585</v>
      </c>
      <c r="D604" s="23">
        <f t="shared" si="132"/>
        <v>464</v>
      </c>
      <c r="E604" s="12">
        <v>376736</v>
      </c>
      <c r="F604" s="12">
        <v>4110</v>
      </c>
      <c r="G604" s="12">
        <v>366884</v>
      </c>
      <c r="H604" s="23">
        <f t="shared" si="128"/>
        <v>5742</v>
      </c>
      <c r="I604" s="23">
        <f t="shared" si="125"/>
        <v>4206</v>
      </c>
      <c r="J604" s="12">
        <v>2182600</v>
      </c>
      <c r="K604" s="23">
        <f t="shared" si="127"/>
        <v>1805864</v>
      </c>
      <c r="L604" s="23">
        <f t="shared" si="140"/>
        <v>775</v>
      </c>
      <c r="M604" s="14">
        <f t="shared" si="129"/>
        <v>1.0909496305104901E-2</v>
      </c>
      <c r="N604" s="14">
        <f t="shared" si="139"/>
        <v>0.11031859248692344</v>
      </c>
      <c r="O604" s="12"/>
      <c r="P604" s="12"/>
      <c r="Q604" s="12"/>
      <c r="R604" s="23">
        <f t="shared" si="130"/>
        <v>370994</v>
      </c>
      <c r="S604" s="25">
        <f>(((H604+R604)/(H603+R603))-1)+detalle!$D$1</f>
        <v>7.2661721915453309E-2</v>
      </c>
      <c r="T604" s="25">
        <f t="shared" si="134"/>
        <v>1.0172641068163464</v>
      </c>
      <c r="U604" s="10">
        <f t="shared" si="131"/>
        <v>0.9738490614117048</v>
      </c>
      <c r="V604" s="21">
        <f t="shared" si="138"/>
        <v>89.266180048661795</v>
      </c>
      <c r="W604" s="15">
        <f>J604/detalle!$D$2</f>
        <v>199132.90602388445</v>
      </c>
      <c r="X604" s="15">
        <f>E604/detalle!$D$2</f>
        <v>34372.094971050188</v>
      </c>
      <c r="Y604" s="15">
        <f>F604/detalle!$D$2</f>
        <v>374.98224308538676</v>
      </c>
      <c r="AA604" s="14">
        <f>E604/(detalle!$D$2*1000000)</f>
        <v>3.4372094971050184E-2</v>
      </c>
      <c r="AB604" s="14">
        <f>F604/(detalle!$D$2*1000000)</f>
        <v>3.7498224308538672E-4</v>
      </c>
      <c r="AC604" s="31">
        <f>241/609</f>
        <v>0.39573070607553368</v>
      </c>
      <c r="AD604" s="31">
        <f>680/2604</f>
        <v>0.26113671274961597</v>
      </c>
      <c r="AE604" s="31">
        <f>159/519</f>
        <v>0.30635838150289019</v>
      </c>
      <c r="AF604" s="22">
        <f t="shared" si="135"/>
        <v>2</v>
      </c>
      <c r="AG604" s="12">
        <v>6623121</v>
      </c>
      <c r="AH604" s="12">
        <v>5253400</v>
      </c>
      <c r="AI604" s="12">
        <v>1179426</v>
      </c>
      <c r="AJ604" s="23">
        <f t="shared" si="136"/>
        <v>9448</v>
      </c>
      <c r="AK604" s="23">
        <f t="shared" si="137"/>
        <v>13055947</v>
      </c>
      <c r="AL604" s="28">
        <f>AK604/detalle!$D$2</f>
        <v>1191179.6330082545</v>
      </c>
    </row>
    <row r="605" spans="1:38">
      <c r="A605" s="12">
        <v>604</v>
      </c>
      <c r="B605" s="19">
        <v>44494</v>
      </c>
      <c r="C605" s="12">
        <v>586</v>
      </c>
      <c r="D605" s="23">
        <f t="shared" si="132"/>
        <v>649</v>
      </c>
      <c r="E605" s="12">
        <v>377385</v>
      </c>
      <c r="F605" s="12">
        <v>4114</v>
      </c>
      <c r="G605" s="12">
        <v>367642</v>
      </c>
      <c r="H605" s="23">
        <f t="shared" si="128"/>
        <v>5629</v>
      </c>
      <c r="I605" s="23">
        <f t="shared" si="125"/>
        <v>4512</v>
      </c>
      <c r="J605" s="12">
        <v>2187112</v>
      </c>
      <c r="K605" s="23">
        <f t="shared" si="127"/>
        <v>1809727</v>
      </c>
      <c r="L605" s="23">
        <f t="shared" si="140"/>
        <v>758</v>
      </c>
      <c r="M605" s="14">
        <f t="shared" si="129"/>
        <v>1.0901334181273765E-2</v>
      </c>
      <c r="N605" s="14">
        <f t="shared" si="139"/>
        <v>0.14383865248226951</v>
      </c>
      <c r="O605" s="12"/>
      <c r="P605" s="12"/>
      <c r="Q605" s="12"/>
      <c r="R605" s="23">
        <f t="shared" si="130"/>
        <v>371756</v>
      </c>
      <c r="S605" s="25">
        <f>(((H605+R605)/(H604+R604))-1)+detalle!$D$1</f>
        <v>7.3151263180885967E-2</v>
      </c>
      <c r="T605" s="25">
        <f t="shared" si="134"/>
        <v>1.0241176845324036</v>
      </c>
      <c r="U605" s="10">
        <f t="shared" si="131"/>
        <v>0.97418286365382833</v>
      </c>
      <c r="V605" s="21">
        <f t="shared" si="138"/>
        <v>89.36363636363636</v>
      </c>
      <c r="W605" s="15">
        <f>J605/detalle!$D$2</f>
        <v>199544.56536227893</v>
      </c>
      <c r="X605" s="15">
        <f>E605/detalle!$D$2</f>
        <v>34431.307495566587</v>
      </c>
      <c r="Y605" s="15">
        <f>F605/detalle!$D$2</f>
        <v>375.34718930736767</v>
      </c>
      <c r="AA605" s="14">
        <f>E605/(detalle!$D$2*1000000)</f>
        <v>3.4431307495566589E-2</v>
      </c>
      <c r="AB605" s="14">
        <f>F605/(detalle!$D$2*1000000)</f>
        <v>3.7534718930736763E-4</v>
      </c>
      <c r="AC605" s="31">
        <f>247/587</f>
        <v>0.42078364565587734</v>
      </c>
      <c r="AD605" s="31">
        <f>687/2266</f>
        <v>0.3031774051191527</v>
      </c>
      <c r="AE605" s="31">
        <f>168/500</f>
        <v>0.33600000000000002</v>
      </c>
      <c r="AF605" s="22">
        <f t="shared" si="135"/>
        <v>4</v>
      </c>
      <c r="AG605" s="12">
        <v>6651836</v>
      </c>
      <c r="AH605" s="12">
        <v>5269681</v>
      </c>
      <c r="AI605" s="12">
        <v>1188866</v>
      </c>
      <c r="AJ605" s="23">
        <f t="shared" si="136"/>
        <v>54436</v>
      </c>
      <c r="AK605" s="23">
        <f t="shared" si="137"/>
        <v>13110383</v>
      </c>
      <c r="AL605" s="28">
        <f>AK605/detalle!$D$2</f>
        <v>1196146.1861431927</v>
      </c>
    </row>
    <row r="606" spans="1:38">
      <c r="A606" s="12">
        <v>605</v>
      </c>
      <c r="B606" s="19">
        <v>44495</v>
      </c>
      <c r="C606" s="12">
        <v>587</v>
      </c>
      <c r="D606" s="23">
        <f t="shared" si="132"/>
        <v>849</v>
      </c>
      <c r="E606" s="12">
        <v>378234</v>
      </c>
      <c r="F606" s="12">
        <v>4118</v>
      </c>
      <c r="G606" s="12">
        <v>368306</v>
      </c>
      <c r="H606" s="23">
        <f t="shared" si="128"/>
        <v>5810</v>
      </c>
      <c r="I606" s="23">
        <f t="shared" si="125"/>
        <v>4770</v>
      </c>
      <c r="J606" s="12">
        <v>2191882</v>
      </c>
      <c r="K606" s="23">
        <f t="shared" si="127"/>
        <v>1813648</v>
      </c>
      <c r="L606" s="23">
        <f t="shared" si="140"/>
        <v>664</v>
      </c>
      <c r="M606" s="14">
        <f t="shared" si="129"/>
        <v>1.0887440050339208E-2</v>
      </c>
      <c r="N606" s="14">
        <f t="shared" si="139"/>
        <v>0.17798742138364779</v>
      </c>
      <c r="O606" s="12"/>
      <c r="P606" s="12"/>
      <c r="Q606" s="12"/>
      <c r="R606" s="23">
        <f t="shared" si="130"/>
        <v>372424</v>
      </c>
      <c r="S606" s="25">
        <f>(((H606+R606)/(H605+R605))-1)+detalle!$D$1</f>
        <v>7.3678263387711357E-2</v>
      </c>
      <c r="T606" s="25">
        <f t="shared" si="134"/>
        <v>1.0314956874279591</v>
      </c>
      <c r="U606" s="10">
        <f t="shared" si="131"/>
        <v>0.97375169868388356</v>
      </c>
      <c r="V606" s="21">
        <f t="shared" si="138"/>
        <v>89.438076736279754</v>
      </c>
      <c r="W606" s="15">
        <f>J606/detalle!$D$2</f>
        <v>199979.76373199117</v>
      </c>
      <c r="X606" s="15">
        <f>E606/detalle!$D$2</f>
        <v>34508.76733118204</v>
      </c>
      <c r="Y606" s="15">
        <f>F606/detalle!$D$2</f>
        <v>375.71213552934859</v>
      </c>
      <c r="AA606" s="14">
        <f>E606/(detalle!$D$2*1000000)</f>
        <v>3.4508767331182036E-2</v>
      </c>
      <c r="AB606" s="14">
        <f>F606/(detalle!$D$2*1000000)</f>
        <v>3.7571213552934859E-4</v>
      </c>
      <c r="AC606" s="31">
        <f>248/587</f>
        <v>0.42248722316865417</v>
      </c>
      <c r="AD606" s="31">
        <f>687/2266</f>
        <v>0.3031774051191527</v>
      </c>
      <c r="AE606" s="31">
        <f>162/500</f>
        <v>0.32400000000000001</v>
      </c>
      <c r="AF606" s="22">
        <f t="shared" si="135"/>
        <v>4</v>
      </c>
      <c r="AG606" s="12">
        <v>6676563</v>
      </c>
      <c r="AH606" s="12">
        <v>5286037</v>
      </c>
      <c r="AI606" s="12">
        <v>1198506</v>
      </c>
      <c r="AJ606" s="23">
        <f t="shared" si="136"/>
        <v>50723</v>
      </c>
      <c r="AK606" s="23">
        <f t="shared" si="137"/>
        <v>13161106</v>
      </c>
      <c r="AL606" s="28">
        <f>AK606/detalle!$D$2</f>
        <v>1200773.9779475771</v>
      </c>
    </row>
    <row r="607" spans="1:38">
      <c r="A607" s="12">
        <v>606</v>
      </c>
      <c r="B607" s="19">
        <v>44496</v>
      </c>
      <c r="C607" s="12">
        <v>588</v>
      </c>
      <c r="D607" s="23">
        <f t="shared" si="132"/>
        <v>1102</v>
      </c>
      <c r="E607" s="12">
        <v>379336</v>
      </c>
      <c r="F607" s="12">
        <v>4124</v>
      </c>
      <c r="G607" s="12">
        <v>369087</v>
      </c>
      <c r="H607" s="23">
        <f t="shared" si="128"/>
        <v>6125</v>
      </c>
      <c r="I607" s="23">
        <f t="shared" si="125"/>
        <v>5765</v>
      </c>
      <c r="J607" s="12">
        <v>2197647</v>
      </c>
      <c r="K607" s="23">
        <f t="shared" si="127"/>
        <v>1818311</v>
      </c>
      <c r="L607" s="23">
        <f t="shared" si="140"/>
        <v>781</v>
      </c>
      <c r="M607" s="14">
        <f t="shared" si="129"/>
        <v>1.0871628318957336E-2</v>
      </c>
      <c r="N607" s="14">
        <f t="shared" si="139"/>
        <v>0.19115351257588897</v>
      </c>
      <c r="O607" s="12"/>
      <c r="P607" s="12"/>
      <c r="Q607" s="12"/>
      <c r="R607" s="23">
        <f t="shared" si="130"/>
        <v>373211</v>
      </c>
      <c r="S607" s="25">
        <f>(((H607+R607)/(H606+R606))-1)+detalle!$D$1</f>
        <v>7.4342111723732646E-2</v>
      </c>
      <c r="T607" s="25">
        <f t="shared" si="134"/>
        <v>1.0407895641322571</v>
      </c>
      <c r="U607" s="10">
        <f t="shared" si="131"/>
        <v>0.97298173650800346</v>
      </c>
      <c r="V607" s="21">
        <f t="shared" si="138"/>
        <v>89.497332686711928</v>
      </c>
      <c r="W607" s="15">
        <f>J607/detalle!$D$2</f>
        <v>200505.74247442116</v>
      </c>
      <c r="X607" s="15">
        <f>E607/detalle!$D$2</f>
        <v>34609.310015337782</v>
      </c>
      <c r="Y607" s="15">
        <f>F607/detalle!$D$2</f>
        <v>376.25955486231993</v>
      </c>
      <c r="AA607" s="14">
        <f>E607/(detalle!$D$2*1000000)</f>
        <v>3.4609310015337777E-2</v>
      </c>
      <c r="AB607" s="14">
        <f>F607/(detalle!$D$2*1000000)</f>
        <v>3.7625955486231993E-4</v>
      </c>
      <c r="AC607" s="31">
        <f>254/587</f>
        <v>0.43270868824531517</v>
      </c>
      <c r="AD607" s="31">
        <f>672/2266</f>
        <v>0.29655781112091789</v>
      </c>
      <c r="AE607" s="31">
        <f>157/500</f>
        <v>0.314</v>
      </c>
      <c r="AF607" s="22">
        <f t="shared" si="135"/>
        <v>6</v>
      </c>
      <c r="AG607" s="12">
        <v>6695112</v>
      </c>
      <c r="AH607" s="12">
        <v>5299671</v>
      </c>
      <c r="AI607" s="12">
        <v>1206947</v>
      </c>
      <c r="AJ607" s="23">
        <f t="shared" si="136"/>
        <v>40624</v>
      </c>
      <c r="AK607" s="23">
        <f t="shared" si="137"/>
        <v>13201730</v>
      </c>
      <c r="AL607" s="28">
        <f>AK607/detalle!$D$2</f>
        <v>1204480.3717780153</v>
      </c>
    </row>
    <row r="608" spans="1:38">
      <c r="A608" s="12">
        <v>607</v>
      </c>
      <c r="B608" s="19">
        <v>44497</v>
      </c>
      <c r="C608" s="12">
        <v>589</v>
      </c>
      <c r="D608" s="23">
        <f t="shared" si="132"/>
        <v>879</v>
      </c>
      <c r="E608" s="12">
        <v>380215</v>
      </c>
      <c r="F608" s="12">
        <v>4126</v>
      </c>
      <c r="G608" s="12">
        <v>369867</v>
      </c>
      <c r="H608" s="23">
        <f t="shared" si="128"/>
        <v>6222</v>
      </c>
      <c r="I608" s="23">
        <f t="shared" si="125"/>
        <v>7456</v>
      </c>
      <c r="J608" s="12">
        <v>2205103</v>
      </c>
      <c r="K608" s="23">
        <f t="shared" si="127"/>
        <v>1824888</v>
      </c>
      <c r="L608" s="23">
        <f t="shared" si="140"/>
        <v>780</v>
      </c>
      <c r="M608" s="14">
        <f t="shared" si="129"/>
        <v>1.0851754928132767E-2</v>
      </c>
      <c r="N608" s="14">
        <f t="shared" si="139"/>
        <v>0.11789163090128756</v>
      </c>
      <c r="O608" s="12"/>
      <c r="P608" s="12"/>
      <c r="Q608" s="12"/>
      <c r="R608" s="23">
        <f t="shared" si="130"/>
        <v>373993</v>
      </c>
      <c r="S608" s="25">
        <f>(((H608+R608)/(H607+R607))-1)+detalle!$D$1</f>
        <v>7.3745778337485995E-2</v>
      </c>
      <c r="T608" s="25">
        <f t="shared" si="134"/>
        <v>1.032440896724804</v>
      </c>
      <c r="U608" s="10">
        <f t="shared" si="131"/>
        <v>0.97278381968096994</v>
      </c>
      <c r="V608" s="21">
        <f t="shared" si="138"/>
        <v>89.642995637421237</v>
      </c>
      <c r="W608" s="15">
        <f>J608/detalle!$D$2</f>
        <v>201186.00223219357</v>
      </c>
      <c r="X608" s="15">
        <f>E608/detalle!$D$2</f>
        <v>34689.506947618087</v>
      </c>
      <c r="Y608" s="15">
        <f>F608/detalle!$D$2</f>
        <v>376.44202797331042</v>
      </c>
      <c r="AA608" s="14">
        <f>E608/(detalle!$D$2*1000000)</f>
        <v>3.4689506947618083E-2</v>
      </c>
      <c r="AB608" s="14">
        <f>F608/(detalle!$D$2*1000000)</f>
        <v>3.7644202797331041E-4</v>
      </c>
      <c r="AC608" s="31">
        <f>255/587</f>
        <v>0.434412265758092</v>
      </c>
      <c r="AD608" s="31">
        <f>626/2266</f>
        <v>0.2762577228596646</v>
      </c>
      <c r="AE608" s="31">
        <f>169/500</f>
        <v>0.33800000000000002</v>
      </c>
      <c r="AF608" s="22">
        <f t="shared" si="135"/>
        <v>2</v>
      </c>
      <c r="AG608" s="12">
        <v>6710320</v>
      </c>
      <c r="AH608" s="12">
        <v>5311756</v>
      </c>
      <c r="AI608" s="12">
        <v>1214501</v>
      </c>
      <c r="AJ608" s="23">
        <f t="shared" si="136"/>
        <v>34847</v>
      </c>
      <c r="AK608" s="23">
        <f t="shared" si="137"/>
        <v>13236577</v>
      </c>
      <c r="AL608" s="28">
        <f>AK608/detalle!$D$2</f>
        <v>1207659.6920273574</v>
      </c>
    </row>
    <row r="609" spans="1:38">
      <c r="A609" s="12">
        <v>608</v>
      </c>
      <c r="B609" s="19">
        <v>44498</v>
      </c>
      <c r="C609" s="12">
        <v>590</v>
      </c>
      <c r="D609" s="23">
        <f t="shared" si="132"/>
        <v>759</v>
      </c>
      <c r="E609" s="12">
        <v>380974</v>
      </c>
      <c r="F609" s="12">
        <v>4129</v>
      </c>
      <c r="G609" s="12">
        <v>370177</v>
      </c>
      <c r="H609" s="23">
        <f t="shared" si="128"/>
        <v>6668</v>
      </c>
      <c r="I609" s="23">
        <f t="shared" si="125"/>
        <v>5425</v>
      </c>
      <c r="J609" s="12">
        <v>2210528</v>
      </c>
      <c r="K609" s="23">
        <f t="shared" si="127"/>
        <v>1829554</v>
      </c>
      <c r="L609" s="23">
        <f t="shared" si="140"/>
        <v>310</v>
      </c>
      <c r="M609" s="14">
        <f t="shared" si="129"/>
        <v>1.0838009942935739E-2</v>
      </c>
      <c r="N609" s="14">
        <f t="shared" si="139"/>
        <v>0.13990783410138249</v>
      </c>
      <c r="O609" s="12"/>
      <c r="P609" s="12"/>
      <c r="Q609" s="12"/>
      <c r="R609" s="23">
        <f t="shared" si="130"/>
        <v>374306</v>
      </c>
      <c r="S609" s="25">
        <f>(((H609+R609)/(H608+R608))-1)+detalle!$D$1</f>
        <v>7.3424810398627943E-2</v>
      </c>
      <c r="T609" s="25">
        <f t="shared" si="134"/>
        <v>1.0279473455807913</v>
      </c>
      <c r="U609" s="10">
        <f t="shared" si="131"/>
        <v>0.97165948332432139</v>
      </c>
      <c r="V609" s="21">
        <f t="shared" si="138"/>
        <v>89.652942601114077</v>
      </c>
      <c r="W609" s="15">
        <f>J609/detalle!$D$2</f>
        <v>201680.9605457552</v>
      </c>
      <c r="X609" s="15">
        <f>E609/detalle!$D$2</f>
        <v>34758.755493238961</v>
      </c>
      <c r="Y609" s="15">
        <f>F609/detalle!$D$2</f>
        <v>376.71573763979609</v>
      </c>
      <c r="AA609" s="14">
        <f>E609/(detalle!$D$2*1000000)</f>
        <v>3.4758755493238959E-2</v>
      </c>
      <c r="AB609" s="14">
        <f>F609/(detalle!$D$2*1000000)</f>
        <v>3.7671573763979605E-4</v>
      </c>
      <c r="AC609" s="31">
        <f>255/587</f>
        <v>0.434412265758092</v>
      </c>
      <c r="AD609" s="31">
        <f>665/2266</f>
        <v>0.29346866725507503</v>
      </c>
      <c r="AE609" s="31">
        <f>164/500</f>
        <v>0.32800000000000001</v>
      </c>
      <c r="AF609" s="22">
        <f t="shared" si="135"/>
        <v>3</v>
      </c>
      <c r="AG609" s="12">
        <v>6722034</v>
      </c>
      <c r="AH609" s="12">
        <v>5320460</v>
      </c>
      <c r="AI609" s="12">
        <v>1220089</v>
      </c>
      <c r="AJ609" s="23">
        <f t="shared" si="136"/>
        <v>26006</v>
      </c>
      <c r="AK609" s="23">
        <f t="shared" si="137"/>
        <v>13262583</v>
      </c>
      <c r="AL609" s="28">
        <f>AK609/detalle!$D$2</f>
        <v>1210032.3898895665</v>
      </c>
    </row>
    <row r="610" spans="1:38">
      <c r="A610" s="12">
        <v>609</v>
      </c>
      <c r="B610" s="19">
        <v>44499</v>
      </c>
      <c r="C610" s="12">
        <v>591</v>
      </c>
      <c r="D610" s="23">
        <f t="shared" si="132"/>
        <v>693</v>
      </c>
      <c r="E610" s="12">
        <v>381667</v>
      </c>
      <c r="F610" s="12">
        <v>4130</v>
      </c>
      <c r="G610" s="12">
        <v>371100</v>
      </c>
      <c r="H610" s="23">
        <f t="shared" si="128"/>
        <v>6437</v>
      </c>
      <c r="I610" s="23">
        <f t="shared" si="125"/>
        <v>5826</v>
      </c>
      <c r="J610" s="12">
        <v>2216354</v>
      </c>
      <c r="K610" s="23">
        <f t="shared" si="127"/>
        <v>1834687</v>
      </c>
      <c r="L610" s="23">
        <f t="shared" si="140"/>
        <v>923</v>
      </c>
      <c r="M610" s="14">
        <f t="shared" si="129"/>
        <v>1.0820951248077512E-2</v>
      </c>
      <c r="N610" s="14">
        <f t="shared" si="139"/>
        <v>0.11894953656024716</v>
      </c>
      <c r="O610" s="12"/>
      <c r="P610" s="12"/>
      <c r="Q610" s="12"/>
      <c r="R610" s="23">
        <f t="shared" si="130"/>
        <v>375230</v>
      </c>
      <c r="S610" s="25">
        <f>(((H610+R610)/(H609+R609))-1)+detalle!$D$1</f>
        <v>7.3247593199085942E-2</v>
      </c>
      <c r="T610" s="25">
        <f t="shared" si="134"/>
        <v>1.0254663047872032</v>
      </c>
      <c r="U610" s="10">
        <f t="shared" si="131"/>
        <v>0.97231356129819979</v>
      </c>
      <c r="V610" s="21">
        <f t="shared" si="138"/>
        <v>89.854721549636807</v>
      </c>
      <c r="W610" s="15">
        <f>J610/detalle!$D$2</f>
        <v>202212.50471807038</v>
      </c>
      <c r="X610" s="15">
        <f>E610/detalle!$D$2</f>
        <v>34821.982426197152</v>
      </c>
      <c r="Y610" s="15">
        <f>F610/detalle!$D$2</f>
        <v>376.80697419529133</v>
      </c>
      <c r="AA610" s="14">
        <f>E610/(detalle!$D$2*1000000)</f>
        <v>3.4821982426197155E-2</v>
      </c>
      <c r="AB610" s="14">
        <f>F610/(detalle!$D$2*1000000)</f>
        <v>3.7680697419529131E-4</v>
      </c>
      <c r="AC610" s="31">
        <f>256/587</f>
        <v>0.43611584327086883</v>
      </c>
      <c r="AD610" s="31">
        <f>636/2266</f>
        <v>0.28067078552515445</v>
      </c>
      <c r="AE610" s="31">
        <f>161/500</f>
        <v>0.32200000000000001</v>
      </c>
      <c r="AF610" s="22">
        <f t="shared" si="135"/>
        <v>1</v>
      </c>
      <c r="AG610" s="12">
        <v>6726548</v>
      </c>
      <c r="AH610" s="12">
        <v>5324573</v>
      </c>
      <c r="AI610" s="12">
        <v>1222684</v>
      </c>
      <c r="AJ610" s="23">
        <f t="shared" si="136"/>
        <v>11222</v>
      </c>
      <c r="AK610" s="23">
        <f t="shared" si="137"/>
        <v>13273805</v>
      </c>
      <c r="AL610" s="28">
        <f>AK610/detalle!$D$2</f>
        <v>1211056.2465153339</v>
      </c>
    </row>
    <row r="611" spans="1:38">
      <c r="A611" s="12">
        <v>610</v>
      </c>
      <c r="B611" s="19">
        <v>44500</v>
      </c>
      <c r="C611" s="12">
        <v>592</v>
      </c>
      <c r="D611" s="23">
        <f t="shared" si="132"/>
        <v>809</v>
      </c>
      <c r="E611" s="12">
        <v>382476</v>
      </c>
      <c r="F611" s="12">
        <v>4133</v>
      </c>
      <c r="G611" s="12">
        <v>371808</v>
      </c>
      <c r="H611" s="23">
        <f t="shared" si="128"/>
        <v>6535</v>
      </c>
      <c r="I611" s="23">
        <f t="shared" si="125"/>
        <v>5496</v>
      </c>
      <c r="J611" s="12">
        <v>2221850</v>
      </c>
      <c r="K611" s="23">
        <f t="shared" si="127"/>
        <v>1839374</v>
      </c>
      <c r="L611" s="23">
        <f t="shared" si="140"/>
        <v>708</v>
      </c>
      <c r="M611" s="14">
        <f t="shared" si="129"/>
        <v>1.0805906775849987E-2</v>
      </c>
      <c r="N611" s="14">
        <f t="shared" si="139"/>
        <v>0.14719796215429404</v>
      </c>
      <c r="O611" s="12"/>
      <c r="P611" s="12"/>
      <c r="Q611" s="12"/>
      <c r="R611" s="23">
        <f t="shared" si="130"/>
        <v>375941</v>
      </c>
      <c r="S611" s="25">
        <f>(((H611+R611)/(H610+R610))-1)+detalle!$D$1</f>
        <v>7.3548220232371647E-2</v>
      </c>
      <c r="T611" s="25">
        <f t="shared" si="134"/>
        <v>1.0296750832532031</v>
      </c>
      <c r="U611" s="10">
        <f t="shared" si="131"/>
        <v>0.97210805383867227</v>
      </c>
      <c r="V611" s="21">
        <f t="shared" si="138"/>
        <v>89.960803290587947</v>
      </c>
      <c r="W611" s="15">
        <f>J611/detalle!$D$2</f>
        <v>202713.94082707216</v>
      </c>
      <c r="X611" s="15">
        <f>E611/detalle!$D$2</f>
        <v>34895.792799592797</v>
      </c>
      <c r="Y611" s="15">
        <f>F611/detalle!$D$2</f>
        <v>377.080683861777</v>
      </c>
      <c r="AA611" s="14">
        <f>E611/(detalle!$D$2*1000000)</f>
        <v>3.489579279959279E-2</v>
      </c>
      <c r="AB611" s="14">
        <f>F611/(detalle!$D$2*1000000)</f>
        <v>3.7708068386177701E-4</v>
      </c>
      <c r="AC611" s="31">
        <f>252/587</f>
        <v>0.4293015332197615</v>
      </c>
      <c r="AD611" s="31">
        <f>628/2266</f>
        <v>0.27714033539276256</v>
      </c>
      <c r="AE611" s="31">
        <f>164/500</f>
        <v>0.32800000000000001</v>
      </c>
      <c r="AF611" s="22">
        <f t="shared" si="135"/>
        <v>3</v>
      </c>
      <c r="AG611" s="12">
        <v>6728113</v>
      </c>
      <c r="AH611" s="12">
        <v>5326123</v>
      </c>
      <c r="AI611" s="12">
        <v>1223723</v>
      </c>
      <c r="AJ611" s="23">
        <f t="shared" si="136"/>
        <v>4154</v>
      </c>
      <c r="AK611" s="23">
        <f t="shared" si="137"/>
        <v>13277959</v>
      </c>
      <c r="AL611" s="28">
        <f>AK611/detalle!$D$2</f>
        <v>1211435.2431668611</v>
      </c>
    </row>
    <row r="612" spans="1:38">
      <c r="A612" s="12">
        <v>611</v>
      </c>
      <c r="B612" s="19">
        <v>44501</v>
      </c>
      <c r="C612" s="12">
        <v>593</v>
      </c>
      <c r="D612" s="23">
        <f t="shared" si="132"/>
        <v>841</v>
      </c>
      <c r="E612" s="12">
        <v>383317</v>
      </c>
      <c r="F612" s="12">
        <v>4138</v>
      </c>
      <c r="G612" s="12">
        <v>373682</v>
      </c>
      <c r="H612" s="23">
        <f t="shared" si="128"/>
        <v>5497</v>
      </c>
      <c r="I612" s="23">
        <f t="shared" si="125"/>
        <v>6032</v>
      </c>
      <c r="J612" s="12">
        <v>2227882</v>
      </c>
      <c r="K612" s="23">
        <f t="shared" si="127"/>
        <v>1844565</v>
      </c>
      <c r="L612" s="23">
        <f t="shared" si="140"/>
        <v>1874</v>
      </c>
      <c r="M612" s="14">
        <f t="shared" si="129"/>
        <v>1.0795242579901231E-2</v>
      </c>
      <c r="N612" s="14">
        <f t="shared" si="139"/>
        <v>0.13942307692307693</v>
      </c>
      <c r="O612" s="11"/>
      <c r="P612" s="12"/>
      <c r="Q612" s="12"/>
      <c r="R612" s="23">
        <f t="shared" si="130"/>
        <v>377820</v>
      </c>
      <c r="S612" s="25">
        <f>(((H612+R612)/(H611+R611))-1)+detalle!$D$1</f>
        <v>7.3627402204881537E-2</v>
      </c>
      <c r="T612" s="25">
        <f t="shared" si="134"/>
        <v>1.0307836308683416</v>
      </c>
      <c r="U612" s="10">
        <f t="shared" si="131"/>
        <v>0.97486414638536767</v>
      </c>
      <c r="V612" s="21">
        <f t="shared" si="138"/>
        <v>90.304978250362495</v>
      </c>
      <c r="W612" s="15">
        <f>J612/detalle!$D$2</f>
        <v>203264.27972981936</v>
      </c>
      <c r="X612" s="15">
        <f>E612/detalle!$D$2</f>
        <v>34972.522742764282</v>
      </c>
      <c r="Y612" s="15">
        <f>F612/detalle!$D$2</f>
        <v>377.53686663925316</v>
      </c>
      <c r="AA612" s="14">
        <f>E612/(detalle!$D$2*1000000)</f>
        <v>3.497252274276428E-2</v>
      </c>
      <c r="AB612" s="14">
        <f>F612/(detalle!$D$2*1000000)</f>
        <v>3.7753686663925313E-4</v>
      </c>
      <c r="AC612" s="31">
        <f>261/587</f>
        <v>0.44463373083475299</v>
      </c>
      <c r="AD612" s="31">
        <f>654/2266</f>
        <v>0.2886142983230362</v>
      </c>
      <c r="AE612" s="31">
        <f>165/500</f>
        <v>0.33</v>
      </c>
      <c r="AF612" s="22">
        <f t="shared" si="135"/>
        <v>5</v>
      </c>
      <c r="AG612" s="12">
        <v>6740194</v>
      </c>
      <c r="AH612" s="12">
        <v>5336379</v>
      </c>
      <c r="AI612" s="12">
        <v>1229385</v>
      </c>
      <c r="AJ612" s="23">
        <f t="shared" si="136"/>
        <v>27999</v>
      </c>
      <c r="AK612" s="23">
        <f t="shared" si="137"/>
        <v>13305958</v>
      </c>
      <c r="AL612" s="28">
        <f>AK612/detalle!$D$2</f>
        <v>1213989.7754841719</v>
      </c>
    </row>
    <row r="613" spans="1:38">
      <c r="A613" s="12">
        <v>612</v>
      </c>
      <c r="B613" s="19">
        <v>44502</v>
      </c>
      <c r="C613" s="12">
        <v>594</v>
      </c>
      <c r="D613" s="23">
        <f t="shared" si="132"/>
        <v>891</v>
      </c>
      <c r="E613" s="12">
        <v>384208</v>
      </c>
      <c r="F613" s="12">
        <v>4144</v>
      </c>
      <c r="G613" s="12">
        <v>375207</v>
      </c>
      <c r="H613" s="23">
        <f t="shared" si="128"/>
        <v>4857</v>
      </c>
      <c r="I613" s="23">
        <f t="shared" si="125"/>
        <v>5845</v>
      </c>
      <c r="J613" s="12">
        <v>2233727</v>
      </c>
      <c r="K613" s="23">
        <f t="shared" si="127"/>
        <v>1849519</v>
      </c>
      <c r="L613" s="23">
        <f t="shared" si="140"/>
        <v>1525</v>
      </c>
      <c r="M613" s="14">
        <f t="shared" si="129"/>
        <v>1.078582434514638E-2</v>
      </c>
      <c r="N613" s="14">
        <f t="shared" si="139"/>
        <v>0.15243798118049615</v>
      </c>
      <c r="O613" s="12"/>
      <c r="P613" s="12"/>
      <c r="Q613" s="12"/>
      <c r="R613" s="23">
        <f t="shared" si="130"/>
        <v>379351</v>
      </c>
      <c r="S613" s="25">
        <f>(((H613+R613)/(H612+R612))-1)+detalle!$D$1</f>
        <v>7.3753018296307565E-2</v>
      </c>
      <c r="T613" s="25">
        <f t="shared" si="134"/>
        <v>1.032542256148306</v>
      </c>
      <c r="U613" s="10">
        <f t="shared" si="131"/>
        <v>0.97657258568275518</v>
      </c>
      <c r="V613" s="21">
        <f t="shared" si="138"/>
        <v>90.542229729729726</v>
      </c>
      <c r="W613" s="15">
        <f>J613/detalle!$D$2</f>
        <v>203797.55739668896</v>
      </c>
      <c r="X613" s="15">
        <f>E613/detalle!$D$2</f>
        <v>35053.814513710531</v>
      </c>
      <c r="Y613" s="15">
        <f>F613/detalle!$D$2</f>
        <v>378.08428597222451</v>
      </c>
      <c r="AA613" s="14">
        <f>E613/(detalle!$D$2*1000000)</f>
        <v>3.5053814513710528E-2</v>
      </c>
      <c r="AB613" s="14">
        <f>F613/(detalle!$D$2*1000000)</f>
        <v>3.7808428597222446E-4</v>
      </c>
      <c r="AC613" s="31">
        <f>269/587</f>
        <v>0.45826235093696766</v>
      </c>
      <c r="AD613" s="31">
        <f>662/2266</f>
        <v>0.29214474845542809</v>
      </c>
      <c r="AE613" s="31">
        <f>174/500</f>
        <v>0.34799999999999998</v>
      </c>
      <c r="AF613" s="22">
        <f t="shared" si="135"/>
        <v>6</v>
      </c>
      <c r="AG613" s="12">
        <v>6751310</v>
      </c>
      <c r="AH613" s="12">
        <v>5348254</v>
      </c>
      <c r="AI613" s="12">
        <v>1235875</v>
      </c>
      <c r="AJ613" s="23">
        <f t="shared" si="136"/>
        <v>29481</v>
      </c>
      <c r="AK613" s="23">
        <f t="shared" si="137"/>
        <v>13335439</v>
      </c>
      <c r="AL613" s="28">
        <f>AK613/detalle!$D$2</f>
        <v>1216679.5203767268</v>
      </c>
    </row>
    <row r="614" spans="1:38">
      <c r="A614" s="12">
        <v>613</v>
      </c>
      <c r="B614" s="19">
        <v>44503</v>
      </c>
      <c r="C614" s="12">
        <v>595</v>
      </c>
      <c r="D614" s="23">
        <f t="shared" si="132"/>
        <v>973</v>
      </c>
      <c r="E614" s="12">
        <v>385181</v>
      </c>
      <c r="F614" s="12">
        <v>4146</v>
      </c>
      <c r="G614" s="12">
        <v>376577</v>
      </c>
      <c r="H614" s="23">
        <f t="shared" si="128"/>
        <v>4458</v>
      </c>
      <c r="I614" s="23">
        <f t="shared" si="125"/>
        <v>6502</v>
      </c>
      <c r="J614" s="12">
        <v>2240229</v>
      </c>
      <c r="K614" s="23">
        <f t="shared" si="127"/>
        <v>1855048</v>
      </c>
      <c r="L614" s="23">
        <f t="shared" si="140"/>
        <v>1370</v>
      </c>
      <c r="M614" s="14">
        <f t="shared" si="129"/>
        <v>1.0763770798663485E-2</v>
      </c>
      <c r="N614" s="14">
        <f t="shared" si="139"/>
        <v>0.14964626268840356</v>
      </c>
      <c r="O614" s="12"/>
      <c r="P614" s="12"/>
      <c r="Q614" s="12"/>
      <c r="R614" s="23">
        <f t="shared" si="130"/>
        <v>380723</v>
      </c>
      <c r="S614" s="25">
        <f>(((H614+R614)/(H613+R613))-1)+detalle!$D$1</f>
        <v>7.3961053833935281E-2</v>
      </c>
      <c r="T614" s="25">
        <f t="shared" si="134"/>
        <v>1.035454753675094</v>
      </c>
      <c r="U614" s="10">
        <f t="shared" si="131"/>
        <v>0.97766244960161586</v>
      </c>
      <c r="V614" s="21">
        <f t="shared" si="138"/>
        <v>90.828991799324655</v>
      </c>
      <c r="W614" s="15">
        <f>J614/detalle!$D$2</f>
        <v>204390.77748051894</v>
      </c>
      <c r="X614" s="15">
        <f>E614/detalle!$D$2</f>
        <v>35142.587682207384</v>
      </c>
      <c r="Y614" s="15">
        <f>F614/detalle!$D$2</f>
        <v>378.26675908321494</v>
      </c>
      <c r="AA614" s="14">
        <f>E614/(detalle!$D$2*1000000)</f>
        <v>3.5142587682207384E-2</v>
      </c>
      <c r="AB614" s="14">
        <f>F614/(detalle!$D$2*1000000)</f>
        <v>3.7826675908321495E-4</v>
      </c>
      <c r="AC614" s="31">
        <f>263/587</f>
        <v>0.44804088586030666</v>
      </c>
      <c r="AD614" s="31">
        <f>639/2266</f>
        <v>0.28199470432480139</v>
      </c>
      <c r="AE614" s="31">
        <f>170/500</f>
        <v>0.34</v>
      </c>
      <c r="AF614" s="22">
        <f t="shared" si="135"/>
        <v>2</v>
      </c>
      <c r="AG614" s="12">
        <v>6760871</v>
      </c>
      <c r="AH614" s="12">
        <v>5359699</v>
      </c>
      <c r="AI614" s="12">
        <v>1242001</v>
      </c>
      <c r="AJ614" s="23">
        <f t="shared" si="136"/>
        <v>27132</v>
      </c>
      <c r="AK614" s="23">
        <f t="shared" si="137"/>
        <v>13362571</v>
      </c>
      <c r="AL614" s="28">
        <f>AK614/detalle!$D$2</f>
        <v>1219154.9506004232</v>
      </c>
    </row>
    <row r="615" spans="1:38">
      <c r="A615" s="12">
        <v>614</v>
      </c>
      <c r="B615" s="19">
        <v>44504</v>
      </c>
      <c r="C615" s="12">
        <v>596</v>
      </c>
      <c r="D615" s="23">
        <f t="shared" si="132"/>
        <v>1104</v>
      </c>
      <c r="E615" s="12">
        <v>386285</v>
      </c>
      <c r="F615" s="12">
        <v>4148</v>
      </c>
      <c r="G615" s="12">
        <v>377688</v>
      </c>
      <c r="H615" s="23">
        <f t="shared" si="128"/>
        <v>4449</v>
      </c>
      <c r="I615" s="23">
        <f t="shared" si="125"/>
        <v>8642</v>
      </c>
      <c r="J615" s="12">
        <v>2248871</v>
      </c>
      <c r="K615" s="23">
        <f t="shared" si="127"/>
        <v>1862586</v>
      </c>
      <c r="L615" s="23">
        <f t="shared" si="140"/>
        <v>1111</v>
      </c>
      <c r="M615" s="14">
        <f t="shared" si="129"/>
        <v>1.0738185536585681E-2</v>
      </c>
      <c r="N615" s="14">
        <f t="shared" si="139"/>
        <v>0.12774820643369592</v>
      </c>
      <c r="O615" s="12"/>
      <c r="P615" s="12"/>
      <c r="Q615" s="12"/>
      <c r="R615" s="23">
        <f t="shared" si="130"/>
        <v>381836</v>
      </c>
      <c r="S615" s="25">
        <f>(((H615+R615)/(H614+R614))-1)+detalle!$D$1</f>
        <v>7.4294756416927649E-2</v>
      </c>
      <c r="T615" s="25">
        <f t="shared" si="134"/>
        <v>1.0401265898369871</v>
      </c>
      <c r="U615" s="10">
        <f t="shared" si="131"/>
        <v>0.97774441150963665</v>
      </c>
      <c r="V615" s="21">
        <f t="shared" si="138"/>
        <v>91.053037608486022</v>
      </c>
      <c r="W615" s="15">
        <f>J615/detalle!$D$2</f>
        <v>205179.2437931087</v>
      </c>
      <c r="X615" s="15">
        <f>E615/detalle!$D$2</f>
        <v>35243.312839474114</v>
      </c>
      <c r="Y615" s="15">
        <f>F615/detalle!$D$2</f>
        <v>378.44923219420542</v>
      </c>
      <c r="AA615" s="14">
        <f>E615/(detalle!$D$2*1000000)</f>
        <v>3.5243312839474114E-2</v>
      </c>
      <c r="AB615" s="14">
        <f>F615/(detalle!$D$2*1000000)</f>
        <v>3.7844923219420543E-4</v>
      </c>
      <c r="AC615" s="31">
        <f>255/587</f>
        <v>0.434412265758092</v>
      </c>
      <c r="AD615" s="31">
        <f>645/2266</f>
        <v>0.28464254192409533</v>
      </c>
      <c r="AE615" s="31">
        <f>166/500</f>
        <v>0.33200000000000002</v>
      </c>
      <c r="AF615" s="22">
        <f t="shared" si="135"/>
        <v>2</v>
      </c>
      <c r="AG615" s="12">
        <v>6769430</v>
      </c>
      <c r="AH615" s="12">
        <v>5371508</v>
      </c>
      <c r="AI615" s="12">
        <v>1248116</v>
      </c>
      <c r="AJ615" s="23">
        <f t="shared" si="136"/>
        <v>26483</v>
      </c>
      <c r="AK615" s="23">
        <f t="shared" si="137"/>
        <v>13389054</v>
      </c>
      <c r="AL615" s="28">
        <f>AK615/detalle!$D$2</f>
        <v>1221571.1682996033</v>
      </c>
    </row>
    <row r="616" spans="1:38">
      <c r="A616" s="12">
        <v>615</v>
      </c>
      <c r="B616" s="19">
        <v>44505</v>
      </c>
      <c r="C616" s="12">
        <v>597</v>
      </c>
      <c r="D616" s="23">
        <f t="shared" si="132"/>
        <v>984</v>
      </c>
      <c r="E616" s="12">
        <v>387269</v>
      </c>
      <c r="F616" s="12">
        <v>4150</v>
      </c>
      <c r="G616" s="12">
        <v>378687</v>
      </c>
      <c r="H616" s="23">
        <f t="shared" si="128"/>
        <v>4432</v>
      </c>
      <c r="I616" s="23">
        <f t="shared" si="125"/>
        <v>8844</v>
      </c>
      <c r="J616" s="12">
        <v>2257715</v>
      </c>
      <c r="K616" s="23">
        <f t="shared" si="127"/>
        <v>1870446</v>
      </c>
      <c r="L616" s="23">
        <f t="shared" si="140"/>
        <v>999</v>
      </c>
      <c r="M616" s="14">
        <f t="shared" si="129"/>
        <v>1.0716065577156963E-2</v>
      </c>
      <c r="N616" s="14">
        <f t="shared" si="139"/>
        <v>0.1112618724559023</v>
      </c>
      <c r="O616" s="12"/>
      <c r="P616" s="12"/>
      <c r="Q616" s="12"/>
      <c r="R616" s="23">
        <f t="shared" si="130"/>
        <v>382837</v>
      </c>
      <c r="S616" s="25">
        <f>(((H616+R616)/(H615+R615))-1)+detalle!$D$1</f>
        <v>7.3975913416999745E-2</v>
      </c>
      <c r="T616" s="25">
        <f t="shared" si="134"/>
        <v>1.0356627878379965</v>
      </c>
      <c r="U616" s="10">
        <f t="shared" si="131"/>
        <v>0.97783969282333472</v>
      </c>
      <c r="V616" s="21">
        <f t="shared" si="138"/>
        <v>91.249879518072291</v>
      </c>
      <c r="W616" s="15">
        <f>J616/detalle!$D$2</f>
        <v>205986.13988990852</v>
      </c>
      <c r="X616" s="15">
        <f>E616/detalle!$D$2</f>
        <v>35333.089610081421</v>
      </c>
      <c r="Y616" s="15">
        <f>F616/detalle!$D$2</f>
        <v>378.63170530519585</v>
      </c>
      <c r="AA616" s="14">
        <f>E616/(detalle!$D$2*1000000)</f>
        <v>3.5333089610081421E-2</v>
      </c>
      <c r="AB616" s="14">
        <f>F616/(detalle!$D$2*1000000)</f>
        <v>3.7863170530519585E-4</v>
      </c>
      <c r="AC616" s="31">
        <f>254/585</f>
        <v>0.4341880341880342</v>
      </c>
      <c r="AD616" s="31">
        <f>655/2261</f>
        <v>0.28969482529854046</v>
      </c>
      <c r="AE616" s="31">
        <f>169/469</f>
        <v>0.36034115138592748</v>
      </c>
      <c r="AF616" s="22">
        <f t="shared" si="135"/>
        <v>2</v>
      </c>
      <c r="AG616" s="12">
        <v>6776919</v>
      </c>
      <c r="AH616" s="12">
        <v>5382559</v>
      </c>
      <c r="AI616" s="12">
        <v>1253295</v>
      </c>
      <c r="AJ616" s="23">
        <f t="shared" si="136"/>
        <v>23719</v>
      </c>
      <c r="AK616" s="23">
        <f t="shared" si="137"/>
        <v>13412773</v>
      </c>
      <c r="AL616" s="28">
        <f>AK616/detalle!$D$2</f>
        <v>1223735.2081593946</v>
      </c>
    </row>
    <row r="617" spans="1:38">
      <c r="A617" s="12">
        <v>616</v>
      </c>
      <c r="B617" s="19">
        <v>44506</v>
      </c>
      <c r="C617" s="12">
        <v>598</v>
      </c>
      <c r="D617" s="23">
        <f t="shared" si="132"/>
        <v>896</v>
      </c>
      <c r="E617" s="12">
        <v>388165</v>
      </c>
      <c r="F617" s="12">
        <v>4150</v>
      </c>
      <c r="G617" s="12">
        <v>379992</v>
      </c>
      <c r="H617" s="23">
        <f t="shared" si="128"/>
        <v>4023</v>
      </c>
      <c r="I617" s="23">
        <f t="shared" si="125"/>
        <v>7991</v>
      </c>
      <c r="J617" s="12">
        <v>2265706</v>
      </c>
      <c r="K617" s="23">
        <f t="shared" si="127"/>
        <v>1877541</v>
      </c>
      <c r="L617" s="23">
        <f t="shared" si="140"/>
        <v>1305</v>
      </c>
      <c r="M617" s="14">
        <f t="shared" si="129"/>
        <v>1.0691329718032281E-2</v>
      </c>
      <c r="N617" s="14">
        <f t="shared" si="139"/>
        <v>0.11212614190964836</v>
      </c>
      <c r="O617" s="12"/>
      <c r="P617" s="12"/>
      <c r="Q617" s="12"/>
      <c r="R617" s="23">
        <f t="shared" si="130"/>
        <v>384142</v>
      </c>
      <c r="S617" s="25">
        <f>(((H617+R617)/(H616+R616))-1)+detalle!$D$1</f>
        <v>7.3742208719446839E-2</v>
      </c>
      <c r="T617" s="25">
        <f t="shared" si="134"/>
        <v>1.0323909220722558</v>
      </c>
      <c r="U617" s="10">
        <f t="shared" si="131"/>
        <v>0.97894452101554752</v>
      </c>
      <c r="V617" s="21">
        <f t="shared" si="138"/>
        <v>91.56433734939759</v>
      </c>
      <c r="W617" s="15">
        <f>J617/detalle!$D$2</f>
        <v>206715.21120487087</v>
      </c>
      <c r="X617" s="15">
        <f>E617/detalle!$D$2</f>
        <v>35414.837563805144</v>
      </c>
      <c r="Y617" s="15">
        <f>F617/detalle!$D$2</f>
        <v>378.63170530519585</v>
      </c>
      <c r="AA617" s="14">
        <f>E617/(detalle!$D$2*1000000)</f>
        <v>3.5414837563805146E-2</v>
      </c>
      <c r="AB617" s="14">
        <f>F617/(detalle!$D$2*1000000)</f>
        <v>3.7863170530519585E-4</v>
      </c>
      <c r="AC617" s="31">
        <f>250/585</f>
        <v>0.42735042735042733</v>
      </c>
      <c r="AD617" s="31">
        <f>653/2261</f>
        <v>0.28881026094648388</v>
      </c>
      <c r="AE617" s="31">
        <f>164/469</f>
        <v>0.34968017057569295</v>
      </c>
      <c r="AF617" s="22">
        <f t="shared" si="135"/>
        <v>0</v>
      </c>
      <c r="AG617" s="12">
        <v>6778584</v>
      </c>
      <c r="AH617" s="12">
        <v>5385106</v>
      </c>
      <c r="AI617" s="12">
        <v>1254648</v>
      </c>
      <c r="AJ617" s="23">
        <f t="shared" si="136"/>
        <v>5565</v>
      </c>
      <c r="AK617" s="23">
        <f t="shared" si="137"/>
        <v>13418338</v>
      </c>
      <c r="AL617" s="28">
        <f>AK617/detalle!$D$2</f>
        <v>1224242.9395907256</v>
      </c>
    </row>
    <row r="618" spans="1:38">
      <c r="A618" s="12">
        <v>617</v>
      </c>
      <c r="B618" s="19">
        <v>44507</v>
      </c>
      <c r="C618" s="12">
        <v>599</v>
      </c>
      <c r="D618" s="23">
        <f t="shared" si="132"/>
        <v>925</v>
      </c>
      <c r="E618" s="12">
        <v>389090</v>
      </c>
      <c r="F618" s="12">
        <v>4153</v>
      </c>
      <c r="G618" s="12">
        <v>380119</v>
      </c>
      <c r="H618" s="23">
        <f t="shared" si="128"/>
        <v>4818</v>
      </c>
      <c r="I618" s="23">
        <f t="shared" si="125"/>
        <v>7281</v>
      </c>
      <c r="J618" s="12">
        <v>2272987</v>
      </c>
      <c r="K618" s="23">
        <f t="shared" si="127"/>
        <v>1883897</v>
      </c>
      <c r="L618" s="23">
        <f t="shared" si="140"/>
        <v>127</v>
      </c>
      <c r="M618" s="14">
        <f t="shared" si="129"/>
        <v>1.0673623069212778E-2</v>
      </c>
      <c r="N618" s="14">
        <f t="shared" si="139"/>
        <v>0.12704298860046698</v>
      </c>
      <c r="O618" s="12"/>
      <c r="P618" s="12"/>
      <c r="Q618" s="12"/>
      <c r="R618" s="23">
        <f t="shared" si="130"/>
        <v>384272</v>
      </c>
      <c r="S618" s="25">
        <f>(((H618+R618)/(H617+R617))-1)+detalle!$D$1</f>
        <v>7.3811578654879889E-2</v>
      </c>
      <c r="T618" s="25">
        <f t="shared" si="134"/>
        <v>1.0333621011683185</v>
      </c>
      <c r="U618" s="10">
        <f t="shared" si="131"/>
        <v>0.97694363771877968</v>
      </c>
      <c r="V618" s="21">
        <f t="shared" si="138"/>
        <v>91.528774379966293</v>
      </c>
      <c r="W618" s="15">
        <f>J618/detalle!$D$2</f>
        <v>207379.50456543162</v>
      </c>
      <c r="X618" s="15">
        <f>E618/detalle!$D$2</f>
        <v>35499.231377638229</v>
      </c>
      <c r="Y618" s="15">
        <f>F618/detalle!$D$2</f>
        <v>378.90541497168158</v>
      </c>
      <c r="AA618" s="14">
        <f>E618/(detalle!$D$2*1000000)</f>
        <v>3.5499231377638232E-2</v>
      </c>
      <c r="AB618" s="14">
        <f>F618/(detalle!$D$2*1000000)</f>
        <v>3.7890541497168155E-4</v>
      </c>
      <c r="AC618" s="31">
        <f>250/585</f>
        <v>0.42735042735042733</v>
      </c>
      <c r="AD618" s="31">
        <f>655/2261</f>
        <v>0.28969482529854046</v>
      </c>
      <c r="AE618" s="31">
        <f>166/469</f>
        <v>0.35394456289978676</v>
      </c>
      <c r="AF618" s="22">
        <f t="shared" si="135"/>
        <v>3</v>
      </c>
      <c r="AG618" s="12">
        <v>6779553</v>
      </c>
      <c r="AH618" s="12">
        <v>5386906</v>
      </c>
      <c r="AI618" s="12">
        <v>1255463</v>
      </c>
      <c r="AJ618" s="23">
        <f t="shared" si="136"/>
        <v>3584</v>
      </c>
      <c r="AK618" s="23">
        <f t="shared" si="137"/>
        <v>13421922</v>
      </c>
      <c r="AL618" s="28">
        <f>AK618/detalle!$D$2</f>
        <v>1224569.9314056204</v>
      </c>
    </row>
    <row r="619" spans="1:38">
      <c r="A619" s="12">
        <v>618</v>
      </c>
      <c r="B619" s="19">
        <v>44508</v>
      </c>
      <c r="C619" s="12">
        <v>600</v>
      </c>
      <c r="D619" s="23">
        <f t="shared" si="132"/>
        <v>968</v>
      </c>
      <c r="E619" s="12">
        <v>390058</v>
      </c>
      <c r="F619" s="12">
        <v>4154</v>
      </c>
      <c r="G619" s="12">
        <v>381384</v>
      </c>
      <c r="H619" s="23">
        <f t="shared" si="128"/>
        <v>4520</v>
      </c>
      <c r="I619" s="23">
        <f t="shared" ref="I619:I659" si="141">J619-J618</f>
        <v>6889</v>
      </c>
      <c r="J619" s="12">
        <v>2279876</v>
      </c>
      <c r="K619" s="23">
        <f t="shared" si="127"/>
        <v>1889818</v>
      </c>
      <c r="L619" s="23">
        <f t="shared" si="140"/>
        <v>1265</v>
      </c>
      <c r="M619" s="14">
        <f t="shared" si="129"/>
        <v>1.0649698250003845E-2</v>
      </c>
      <c r="N619" s="14">
        <f t="shared" si="139"/>
        <v>0.1405138626796342</v>
      </c>
      <c r="O619" s="12"/>
      <c r="P619" s="12"/>
      <c r="Q619" s="12"/>
      <c r="R619" s="23">
        <f t="shared" si="130"/>
        <v>385538</v>
      </c>
      <c r="S619" s="25">
        <f>(((H619+R619)/(H618+R618))-1)+detalle!$D$1</f>
        <v>7.3916427708609539E-2</v>
      </c>
      <c r="T619" s="25">
        <f t="shared" si="134"/>
        <v>1.0348299879205336</v>
      </c>
      <c r="U619" s="10">
        <f t="shared" si="131"/>
        <v>0.97776228150685285</v>
      </c>
      <c r="V619" s="21">
        <f t="shared" si="138"/>
        <v>91.811266249398173</v>
      </c>
      <c r="W619" s="15">
        <f>J619/detalle!$D$2</f>
        <v>208008.03319623825</v>
      </c>
      <c r="X619" s="15">
        <f>E619/detalle!$D$2</f>
        <v>35587.548363357615</v>
      </c>
      <c r="Y619" s="15">
        <f>F619/detalle!$D$2</f>
        <v>378.99665152717677</v>
      </c>
      <c r="AA619" s="14">
        <f>E619/(detalle!$D$2*1000000)</f>
        <v>3.5587548363357611E-2</v>
      </c>
      <c r="AB619" s="14">
        <f>F619/(detalle!$D$2*1000000)</f>
        <v>3.7899665152717676E-4</v>
      </c>
      <c r="AC619" s="31">
        <f>244/585</f>
        <v>0.41709401709401711</v>
      </c>
      <c r="AD619" s="31">
        <f>668/2261</f>
        <v>0.29544449358690844</v>
      </c>
      <c r="AE619" s="31">
        <f>155/469</f>
        <v>0.33049040511727079</v>
      </c>
      <c r="AF619" s="22">
        <f t="shared" si="135"/>
        <v>1</v>
      </c>
      <c r="AG619" s="12">
        <v>6788320</v>
      </c>
      <c r="AH619" s="12">
        <v>5401661</v>
      </c>
      <c r="AI619" s="12">
        <v>1260470</v>
      </c>
      <c r="AJ619" s="23">
        <f t="shared" si="136"/>
        <v>28529</v>
      </c>
      <c r="AK619" s="23">
        <f t="shared" si="137"/>
        <v>13450451</v>
      </c>
      <c r="AL619" s="28">
        <f>AK619/detalle!$D$2</f>
        <v>1227172.8190973438</v>
      </c>
    </row>
    <row r="620" spans="1:38">
      <c r="A620" s="12">
        <v>619</v>
      </c>
      <c r="B620" s="19">
        <v>44509</v>
      </c>
      <c r="C620" s="12">
        <v>601</v>
      </c>
      <c r="D620" s="23">
        <f t="shared" si="132"/>
        <v>1046</v>
      </c>
      <c r="E620" s="12">
        <v>391104</v>
      </c>
      <c r="F620" s="12">
        <v>4157</v>
      </c>
      <c r="G620" s="12">
        <v>382901</v>
      </c>
      <c r="H620" s="23">
        <f t="shared" si="128"/>
        <v>4046</v>
      </c>
      <c r="I620" s="23">
        <f t="shared" si="141"/>
        <v>7051</v>
      </c>
      <c r="J620" s="12">
        <v>2286927</v>
      </c>
      <c r="K620" s="23">
        <f t="shared" si="127"/>
        <v>1895823</v>
      </c>
      <c r="L620" s="23">
        <f t="shared" si="140"/>
        <v>1517</v>
      </c>
      <c r="M620" s="14">
        <f t="shared" si="129"/>
        <v>1.0628886434298806E-2</v>
      </c>
      <c r="N620" s="14">
        <f t="shared" si="139"/>
        <v>0.14834775209190185</v>
      </c>
      <c r="O620" s="12"/>
      <c r="P620" s="12"/>
      <c r="Q620" s="12"/>
      <c r="R620" s="23">
        <f t="shared" si="130"/>
        <v>387058</v>
      </c>
      <c r="S620" s="25">
        <f>(((H620+R620)/(H619+R619))-1)+detalle!$D$1</f>
        <v>7.4110223900767852E-2</v>
      </c>
      <c r="T620" s="25">
        <f t="shared" si="134"/>
        <v>1.03754313461075</v>
      </c>
      <c r="U620" s="10">
        <f t="shared" si="131"/>
        <v>0.97902603910980202</v>
      </c>
      <c r="V620" s="21">
        <f t="shared" si="138"/>
        <v>92.109935049314416</v>
      </c>
      <c r="W620" s="15">
        <f>J620/detalle!$D$2</f>
        <v>208651.3421490351</v>
      </c>
      <c r="X620" s="15">
        <f>E620/detalle!$D$2</f>
        <v>35682.981800405621</v>
      </c>
      <c r="Y620" s="15">
        <f>F620/detalle!$D$2</f>
        <v>379.27036119366244</v>
      </c>
      <c r="AA620" s="14">
        <f>E620/(detalle!$D$2*1000000)</f>
        <v>3.5682981800405619E-2</v>
      </c>
      <c r="AB620" s="14">
        <f>F620/(detalle!$D$2*1000000)</f>
        <v>3.7927036119366246E-4</v>
      </c>
      <c r="AC620" s="31">
        <f>243/585</f>
        <v>0.41538461538461541</v>
      </c>
      <c r="AD620" s="31">
        <f>676/2261</f>
        <v>0.29898275099513488</v>
      </c>
      <c r="AE620" s="31">
        <f>157/469</f>
        <v>0.3347547974413646</v>
      </c>
      <c r="AF620" s="22">
        <f t="shared" si="135"/>
        <v>3</v>
      </c>
      <c r="AG620" s="12">
        <v>6796631</v>
      </c>
      <c r="AH620" s="12">
        <v>5417869</v>
      </c>
      <c r="AI620" s="12">
        <v>1265735</v>
      </c>
      <c r="AJ620" s="23">
        <f t="shared" si="136"/>
        <v>29784</v>
      </c>
      <c r="AK620" s="23">
        <f t="shared" si="137"/>
        <v>13480235</v>
      </c>
      <c r="AL620" s="28">
        <f>AK620/detalle!$D$2</f>
        <v>1229890.2086662138</v>
      </c>
    </row>
    <row r="621" spans="1:38">
      <c r="A621" s="12">
        <v>620</v>
      </c>
      <c r="B621" s="19">
        <v>44510</v>
      </c>
      <c r="C621" s="12">
        <v>602</v>
      </c>
      <c r="D621" s="23">
        <f t="shared" si="132"/>
        <v>1119</v>
      </c>
      <c r="E621" s="12">
        <v>392223</v>
      </c>
      <c r="F621" s="12">
        <v>4158</v>
      </c>
      <c r="G621" s="12">
        <v>384180</v>
      </c>
      <c r="H621" s="23">
        <f t="shared" si="128"/>
        <v>3885</v>
      </c>
      <c r="I621" s="23">
        <f t="shared" si="141"/>
        <v>10033</v>
      </c>
      <c r="J621" s="12">
        <v>2296960</v>
      </c>
      <c r="K621" s="23">
        <f t="shared" si="127"/>
        <v>1904737</v>
      </c>
      <c r="L621" s="23">
        <f t="shared" si="140"/>
        <v>1279</v>
      </c>
      <c r="M621" s="14">
        <f t="shared" si="129"/>
        <v>1.060111212244055E-2</v>
      </c>
      <c r="N621" s="14">
        <f t="shared" si="139"/>
        <v>0.1115319445828765</v>
      </c>
      <c r="O621" s="12"/>
      <c r="P621" s="12"/>
      <c r="Q621" s="12"/>
      <c r="R621" s="23">
        <f t="shared" si="130"/>
        <v>388338</v>
      </c>
      <c r="S621" s="25">
        <f>(((H621+R621)/(H620+R620))-1)+detalle!$D$1</f>
        <v>7.4289702994599943E-2</v>
      </c>
      <c r="T621" s="25">
        <f t="shared" si="134"/>
        <v>1.0400558419243993</v>
      </c>
      <c r="U621" s="10">
        <f t="shared" si="131"/>
        <v>0.97949380836921851</v>
      </c>
      <c r="V621" s="21">
        <f t="shared" si="138"/>
        <v>92.395382395382398</v>
      </c>
      <c r="W621" s="15">
        <f>J621/detalle!$D$2</f>
        <v>209566.71851031872</v>
      </c>
      <c r="X621" s="15">
        <f>E621/detalle!$D$2</f>
        <v>35785.075506004781</v>
      </c>
      <c r="Y621" s="15">
        <f>F621/detalle!$D$2</f>
        <v>379.36159774915768</v>
      </c>
      <c r="AA621" s="14">
        <f>E621/(detalle!$D$2*1000000)</f>
        <v>3.5785075506004779E-2</v>
      </c>
      <c r="AB621" s="14">
        <f>F621/(detalle!$D$2*1000000)</f>
        <v>3.7936159774915767E-4</v>
      </c>
      <c r="AC621" s="31">
        <f>247/585</f>
        <v>0.42222222222222222</v>
      </c>
      <c r="AD621" s="31">
        <f>666/2261</f>
        <v>0.29455992923485186</v>
      </c>
      <c r="AE621" s="31">
        <f>158/469</f>
        <v>0.33688699360341151</v>
      </c>
      <c r="AF621" s="22">
        <f t="shared" si="135"/>
        <v>1</v>
      </c>
      <c r="AG621" s="12">
        <v>6803863</v>
      </c>
      <c r="AH621" s="12">
        <v>5433312</v>
      </c>
      <c r="AI621" s="12">
        <v>1270688</v>
      </c>
      <c r="AJ621" s="23">
        <f t="shared" si="136"/>
        <v>27628</v>
      </c>
      <c r="AK621" s="23">
        <f t="shared" si="137"/>
        <v>13507863</v>
      </c>
      <c r="AL621" s="28">
        <f>AK621/detalle!$D$2</f>
        <v>1232410.8922214359</v>
      </c>
    </row>
    <row r="622" spans="1:38">
      <c r="A622" s="12">
        <v>621</v>
      </c>
      <c r="B622" s="19">
        <v>44511</v>
      </c>
      <c r="C622" s="12">
        <v>603</v>
      </c>
      <c r="D622" s="23">
        <f t="shared" si="132"/>
        <v>1160</v>
      </c>
      <c r="E622" s="12">
        <v>393383</v>
      </c>
      <c r="F622" s="12">
        <v>4165</v>
      </c>
      <c r="G622" s="12">
        <v>385107</v>
      </c>
      <c r="H622" s="23">
        <f t="shared" si="128"/>
        <v>4111</v>
      </c>
      <c r="I622" s="23">
        <f t="shared" si="141"/>
        <v>11129</v>
      </c>
      <c r="J622" s="12">
        <v>2308089</v>
      </c>
      <c r="K622" s="23">
        <f t="shared" si="127"/>
        <v>1914706</v>
      </c>
      <c r="L622" s="23">
        <f t="shared" si="140"/>
        <v>927</v>
      </c>
      <c r="M622" s="14">
        <f t="shared" si="129"/>
        <v>1.0587646136208224E-2</v>
      </c>
      <c r="N622" s="14">
        <f t="shared" si="139"/>
        <v>0.10423218618024979</v>
      </c>
      <c r="O622" s="12"/>
      <c r="P622" s="12"/>
      <c r="Q622" s="12"/>
      <c r="R622" s="23">
        <f t="shared" si="130"/>
        <v>389272</v>
      </c>
      <c r="S622" s="25">
        <f>(((H622+R622)/(H621+R621))-1)+detalle!$D$1</f>
        <v>7.4386072645991091E-2</v>
      </c>
      <c r="T622" s="25">
        <f t="shared" si="134"/>
        <v>1.0414050170438753</v>
      </c>
      <c r="U622" s="10">
        <f t="shared" si="131"/>
        <v>0.97896197852982969</v>
      </c>
      <c r="V622" s="21">
        <f t="shared" si="138"/>
        <v>92.462665066026418</v>
      </c>
      <c r="W622" s="15">
        <f>J622/detalle!$D$2</f>
        <v>210582.0901364251</v>
      </c>
      <c r="X622" s="15">
        <f>E622/detalle!$D$2</f>
        <v>35890.909910379247</v>
      </c>
      <c r="Y622" s="15">
        <f>F622/detalle!$D$2</f>
        <v>380.00025363762427</v>
      </c>
      <c r="AA622" s="14">
        <f>E622/(detalle!$D$2*1000000)</f>
        <v>3.5890909910379243E-2</v>
      </c>
      <c r="AB622" s="14">
        <f>F622/(detalle!$D$2*1000000)</f>
        <v>3.8000025363762427E-4</v>
      </c>
      <c r="AC622" s="31">
        <f>250/585</f>
        <v>0.42735042735042733</v>
      </c>
      <c r="AD622" s="31">
        <f>634/2261</f>
        <v>0.28040689960194604</v>
      </c>
      <c r="AE622" s="31">
        <f>160/469</f>
        <v>0.34115138592750532</v>
      </c>
      <c r="AF622" s="22">
        <f t="shared" si="135"/>
        <v>7</v>
      </c>
      <c r="AG622" s="12">
        <v>6810375</v>
      </c>
      <c r="AH622" s="12">
        <v>5448530</v>
      </c>
      <c r="AI622" s="12">
        <v>1275486</v>
      </c>
      <c r="AJ622" s="23">
        <f t="shared" si="136"/>
        <v>26528</v>
      </c>
      <c r="AK622" s="23">
        <f t="shared" si="137"/>
        <v>13534391</v>
      </c>
      <c r="AL622" s="28">
        <f>AK622/detalle!$D$2</f>
        <v>1234831.2155656132</v>
      </c>
    </row>
    <row r="623" spans="1:38">
      <c r="A623" s="12">
        <v>622</v>
      </c>
      <c r="B623" s="19">
        <v>44512</v>
      </c>
      <c r="C623" s="12">
        <v>604</v>
      </c>
      <c r="D623" s="23">
        <f t="shared" si="132"/>
        <v>1225</v>
      </c>
      <c r="E623" s="12">
        <v>394608</v>
      </c>
      <c r="F623" s="12">
        <v>4166</v>
      </c>
      <c r="G623" s="12">
        <v>386219</v>
      </c>
      <c r="H623" s="23">
        <f t="shared" si="128"/>
        <v>4223</v>
      </c>
      <c r="I623" s="23">
        <f t="shared" si="141"/>
        <v>10572</v>
      </c>
      <c r="J623" s="12">
        <v>2318661</v>
      </c>
      <c r="K623" s="23">
        <f t="shared" si="127"/>
        <v>1924053</v>
      </c>
      <c r="L623" s="23">
        <f t="shared" si="140"/>
        <v>1112</v>
      </c>
      <c r="M623" s="14">
        <f t="shared" si="129"/>
        <v>1.0557312573490654E-2</v>
      </c>
      <c r="N623" s="14">
        <f t="shared" si="139"/>
        <v>0.11587211502080969</v>
      </c>
      <c r="O623" s="12"/>
      <c r="P623" s="12"/>
      <c r="Q623" s="12"/>
      <c r="R623" s="23">
        <f t="shared" si="130"/>
        <v>390385</v>
      </c>
      <c r="S623" s="25">
        <f>(((H623+R623)/(H622+R622))-1)+detalle!$D$1</f>
        <v>7.4542584998044364E-2</v>
      </c>
      <c r="T623" s="25">
        <f t="shared" si="134"/>
        <v>1.0435961899726212</v>
      </c>
      <c r="U623" s="10">
        <f t="shared" si="131"/>
        <v>0.97874092770546972</v>
      </c>
      <c r="V623" s="21">
        <f t="shared" si="138"/>
        <v>92.707393182909271</v>
      </c>
      <c r="W623" s="15">
        <f>J623/detalle!$D$2</f>
        <v>211546.64300112065</v>
      </c>
      <c r="X623" s="15">
        <f>E623/detalle!$D$2</f>
        <v>36002.674690860898</v>
      </c>
      <c r="Y623" s="15">
        <f>F623/detalle!$D$2</f>
        <v>380.09149019311951</v>
      </c>
      <c r="AA623" s="14">
        <f>E623/(detalle!$D$2*1000000)</f>
        <v>3.6002674690860895E-2</v>
      </c>
      <c r="AB623" s="14">
        <f>F623/(detalle!$D$2*1000000)</f>
        <v>3.8009149019311948E-4</v>
      </c>
      <c r="AC623" s="31">
        <f>243/585</f>
        <v>0.41538461538461541</v>
      </c>
      <c r="AD623" s="31">
        <f>634/2261</f>
        <v>0.28040689960194604</v>
      </c>
      <c r="AE623" s="31">
        <f>155/469</f>
        <v>0.33049040511727079</v>
      </c>
      <c r="AF623" s="22">
        <f t="shared" si="135"/>
        <v>1</v>
      </c>
      <c r="AG623" s="12">
        <v>6816238</v>
      </c>
      <c r="AH623" s="12">
        <v>5460820</v>
      </c>
      <c r="AI623" s="12">
        <v>1279731</v>
      </c>
      <c r="AJ623" s="23">
        <f t="shared" si="136"/>
        <v>22398</v>
      </c>
      <c r="AK623" s="23">
        <f t="shared" ref="AK623:AK658" si="142">AG623+AH623+AI623</f>
        <v>13556789</v>
      </c>
      <c r="AL623" s="28">
        <f>AK623/detalle!$D$2</f>
        <v>1236874.7319355954</v>
      </c>
    </row>
    <row r="624" spans="1:38">
      <c r="A624" s="12">
        <v>623</v>
      </c>
      <c r="B624" s="19">
        <v>44513</v>
      </c>
      <c r="C624" s="12">
        <v>605</v>
      </c>
      <c r="D624" s="23">
        <f t="shared" si="132"/>
        <v>1248</v>
      </c>
      <c r="E624" s="12">
        <v>395856</v>
      </c>
      <c r="F624" s="12">
        <v>4170</v>
      </c>
      <c r="G624" s="12">
        <v>387191</v>
      </c>
      <c r="H624" s="23">
        <f t="shared" si="128"/>
        <v>4495</v>
      </c>
      <c r="I624" s="23">
        <f t="shared" si="141"/>
        <v>10026</v>
      </c>
      <c r="J624" s="12">
        <v>2328687</v>
      </c>
      <c r="K624" s="23">
        <f t="shared" ref="K624:K658" si="143">J624-E624</f>
        <v>1932831</v>
      </c>
      <c r="L624" s="23">
        <f t="shared" si="140"/>
        <v>972</v>
      </c>
      <c r="M624" s="14">
        <f t="shared" si="129"/>
        <v>1.0534133624348248E-2</v>
      </c>
      <c r="N624" s="14">
        <f t="shared" si="139"/>
        <v>0.12447636146020347</v>
      </c>
      <c r="O624" s="12"/>
      <c r="P624" s="12"/>
      <c r="Q624" s="12"/>
      <c r="R624" s="23">
        <f t="shared" si="130"/>
        <v>391361</v>
      </c>
      <c r="S624" s="25">
        <f>(((H624+R624)/(H623+R623))-1)+detalle!$D$1</f>
        <v>7.4591203711748683E-2</v>
      </c>
      <c r="T624" s="25">
        <f t="shared" si="134"/>
        <v>1.0442768519644816</v>
      </c>
      <c r="U624" s="10">
        <f t="shared" si="131"/>
        <v>0.97811072713309888</v>
      </c>
      <c r="V624" s="21">
        <f t="shared" si="138"/>
        <v>92.851558752997605</v>
      </c>
      <c r="W624" s="15">
        <f>J624/detalle!$D$2</f>
        <v>212461.38070651583</v>
      </c>
      <c r="X624" s="15">
        <f>E624/detalle!$D$2</f>
        <v>36116.537912118947</v>
      </c>
      <c r="Y624" s="15">
        <f>F624/detalle!$D$2</f>
        <v>380.45643641510043</v>
      </c>
      <c r="AA624" s="14">
        <f>E624/(detalle!$D$2*1000000)</f>
        <v>3.611653791211894E-2</v>
      </c>
      <c r="AB624" s="14">
        <f>F624/(detalle!$D$2*1000000)</f>
        <v>3.8045643641510039E-4</v>
      </c>
      <c r="AC624" s="31">
        <f>243/585</f>
        <v>0.41538461538461541</v>
      </c>
      <c r="AD624" s="31">
        <f>630/2261</f>
        <v>0.27863777089783281</v>
      </c>
      <c r="AE624" s="31">
        <f>154/469</f>
        <v>0.32835820895522388</v>
      </c>
      <c r="AF624" s="22">
        <f t="shared" si="135"/>
        <v>4</v>
      </c>
      <c r="AG624" s="12">
        <v>6818418</v>
      </c>
      <c r="AH624" s="12">
        <v>5465964</v>
      </c>
      <c r="AI624" s="12">
        <v>1281616</v>
      </c>
      <c r="AJ624" s="23">
        <f t="shared" si="136"/>
        <v>9209</v>
      </c>
      <c r="AK624" s="23">
        <f t="shared" si="142"/>
        <v>13565998</v>
      </c>
      <c r="AL624" s="28">
        <f>AK624/detalle!$D$2</f>
        <v>1237714.9293751509</v>
      </c>
    </row>
    <row r="625" spans="1:38">
      <c r="A625" s="12">
        <v>624</v>
      </c>
      <c r="B625" s="19">
        <v>44514</v>
      </c>
      <c r="C625" s="12">
        <v>606</v>
      </c>
      <c r="D625" s="23">
        <f t="shared" si="132"/>
        <v>1160</v>
      </c>
      <c r="E625" s="12">
        <v>397016</v>
      </c>
      <c r="F625" s="12">
        <v>4170</v>
      </c>
      <c r="G625" s="12">
        <v>388077</v>
      </c>
      <c r="H625" s="23">
        <f t="shared" si="128"/>
        <v>4769</v>
      </c>
      <c r="I625" s="23">
        <f t="shared" si="141"/>
        <v>7977</v>
      </c>
      <c r="J625" s="12">
        <v>2336664</v>
      </c>
      <c r="K625" s="23">
        <f t="shared" si="143"/>
        <v>1939648</v>
      </c>
      <c r="L625" s="23">
        <f t="shared" si="140"/>
        <v>886</v>
      </c>
      <c r="M625" s="14">
        <f t="shared" si="129"/>
        <v>1.0503355028512705E-2</v>
      </c>
      <c r="N625" s="14">
        <f t="shared" si="139"/>
        <v>0.14541807697129247</v>
      </c>
      <c r="O625" s="12"/>
      <c r="P625" s="12"/>
      <c r="Q625" s="12"/>
      <c r="R625" s="23">
        <f t="shared" si="130"/>
        <v>392247</v>
      </c>
      <c r="S625" s="25">
        <f>(((H625+R625)/(H624+R624))-1)+detalle!$D$1</f>
        <v>7.4358929942778512E-2</v>
      </c>
      <c r="T625" s="25">
        <f t="shared" si="134"/>
        <v>1.0410250191988992</v>
      </c>
      <c r="U625" s="10">
        <f t="shared" si="131"/>
        <v>0.9774845346283273</v>
      </c>
      <c r="V625" s="21">
        <f t="shared" si="138"/>
        <v>93.064028776978418</v>
      </c>
      <c r="W625" s="15">
        <f>J625/detalle!$D$2</f>
        <v>213189.17470970124</v>
      </c>
      <c r="X625" s="15">
        <f>E625/detalle!$D$2</f>
        <v>36222.372316493405</v>
      </c>
      <c r="Y625" s="15">
        <f>F625/detalle!$D$2</f>
        <v>380.45643641510043</v>
      </c>
      <c r="AA625" s="14">
        <f>E625/(detalle!$D$2*1000000)</f>
        <v>3.6222372316493404E-2</v>
      </c>
      <c r="AB625" s="14">
        <f>F625/(detalle!$D$2*1000000)</f>
        <v>3.8045643641510039E-4</v>
      </c>
      <c r="AC625" s="31">
        <f>243/585</f>
        <v>0.41538461538461541</v>
      </c>
      <c r="AD625" s="31">
        <f>604/2261</f>
        <v>0.26713843432109685</v>
      </c>
      <c r="AE625" s="31">
        <f>155/469</f>
        <v>0.33049040511727079</v>
      </c>
      <c r="AF625" s="22">
        <f t="shared" si="135"/>
        <v>0</v>
      </c>
      <c r="AG625" s="12">
        <v>6819570</v>
      </c>
      <c r="AH625" s="12">
        <v>5467873</v>
      </c>
      <c r="AI625" s="12">
        <v>1282423</v>
      </c>
      <c r="AJ625" s="23">
        <f t="shared" si="136"/>
        <v>3868</v>
      </c>
      <c r="AK625" s="23">
        <f t="shared" si="142"/>
        <v>13569866</v>
      </c>
      <c r="AL625" s="28">
        <f>AK625/detalle!$D$2</f>
        <v>1238067.8323718065</v>
      </c>
    </row>
    <row r="626" spans="1:38">
      <c r="A626" s="12">
        <v>625</v>
      </c>
      <c r="B626" s="19">
        <v>44515</v>
      </c>
      <c r="C626" s="12">
        <v>607</v>
      </c>
      <c r="D626" s="23">
        <f t="shared" si="132"/>
        <v>1002</v>
      </c>
      <c r="E626" s="12">
        <v>398018</v>
      </c>
      <c r="F626" s="12">
        <v>4174</v>
      </c>
      <c r="G626" s="12">
        <v>388999</v>
      </c>
      <c r="H626" s="23">
        <f t="shared" si="128"/>
        <v>4845</v>
      </c>
      <c r="I626" s="23">
        <f t="shared" si="141"/>
        <v>9680</v>
      </c>
      <c r="J626" s="12">
        <v>2346344</v>
      </c>
      <c r="K626" s="23">
        <f t="shared" si="143"/>
        <v>1948326</v>
      </c>
      <c r="L626" s="23">
        <f t="shared" si="140"/>
        <v>922</v>
      </c>
      <c r="M626" s="14">
        <f t="shared" si="129"/>
        <v>1.0486962901175324E-2</v>
      </c>
      <c r="N626" s="14">
        <f t="shared" si="139"/>
        <v>0.10351239669421487</v>
      </c>
      <c r="O626" s="12"/>
      <c r="P626" s="12"/>
      <c r="Q626" s="12"/>
      <c r="R626" s="23">
        <f t="shared" si="130"/>
        <v>393173</v>
      </c>
      <c r="S626" s="25">
        <f>(((H626+R626)/(H625+R625))-1)+detalle!$D$1</f>
        <v>7.3952399183624201E-2</v>
      </c>
      <c r="T626" s="25">
        <f t="shared" si="134"/>
        <v>1.0353335885707389</v>
      </c>
      <c r="U626" s="10">
        <f t="shared" si="131"/>
        <v>0.97734022079403449</v>
      </c>
      <c r="V626" s="21">
        <f t="shared" si="138"/>
        <v>93.195735505510299</v>
      </c>
      <c r="W626" s="15">
        <f>J626/detalle!$D$2</f>
        <v>214072.34456689507</v>
      </c>
      <c r="X626" s="15">
        <f>E626/detalle!$D$2</f>
        <v>36313.791345099628</v>
      </c>
      <c r="Y626" s="15">
        <f>F626/detalle!$D$2</f>
        <v>380.82138263708134</v>
      </c>
      <c r="AA626" s="14">
        <f>E626/(detalle!$D$2*1000000)</f>
        <v>3.6313791345099627E-2</v>
      </c>
      <c r="AB626" s="14">
        <f>F626/(detalle!$D$2*1000000)</f>
        <v>3.8082138263708135E-4</v>
      </c>
      <c r="AC626" s="31">
        <f>239/585</f>
        <v>0.40854700854700854</v>
      </c>
      <c r="AD626" s="31">
        <f>570/2261</f>
        <v>0.25210084033613445</v>
      </c>
      <c r="AE626" s="31">
        <f>143/469</f>
        <v>0.30490405117270791</v>
      </c>
      <c r="AF626" s="22">
        <f t="shared" si="135"/>
        <v>4</v>
      </c>
      <c r="AG626" s="12">
        <v>6826229</v>
      </c>
      <c r="AH626" s="12">
        <v>5481481</v>
      </c>
      <c r="AI626" s="12">
        <v>1286773</v>
      </c>
      <c r="AJ626" s="23">
        <f t="shared" si="136"/>
        <v>24617</v>
      </c>
      <c r="AK626" s="23">
        <f t="shared" si="142"/>
        <v>13594483</v>
      </c>
      <c r="AL626" s="28">
        <f>AK626/detalle!$D$2</f>
        <v>1240313.8026584326</v>
      </c>
    </row>
    <row r="627" spans="1:38">
      <c r="A627" s="12">
        <v>626</v>
      </c>
      <c r="B627" s="19">
        <v>44516</v>
      </c>
      <c r="C627" s="12">
        <v>608</v>
      </c>
      <c r="D627" s="23">
        <f t="shared" si="132"/>
        <v>862</v>
      </c>
      <c r="E627" s="12">
        <v>398880</v>
      </c>
      <c r="F627" s="12">
        <v>4178</v>
      </c>
      <c r="G627" s="12">
        <v>390169</v>
      </c>
      <c r="H627" s="23">
        <f t="shared" si="128"/>
        <v>4533</v>
      </c>
      <c r="I627" s="23">
        <f t="shared" si="141"/>
        <v>7431</v>
      </c>
      <c r="J627" s="12">
        <v>2353775</v>
      </c>
      <c r="K627" s="23">
        <f t="shared" si="143"/>
        <v>1954895</v>
      </c>
      <c r="L627" s="23">
        <f t="shared" si="140"/>
        <v>1170</v>
      </c>
      <c r="M627" s="14">
        <f t="shared" si="129"/>
        <v>1.0474328118732451E-2</v>
      </c>
      <c r="N627" s="14">
        <f t="shared" si="139"/>
        <v>0.11600053828556049</v>
      </c>
      <c r="O627" s="12"/>
      <c r="P627" s="12"/>
      <c r="Q627" s="12"/>
      <c r="R627" s="23">
        <f t="shared" si="130"/>
        <v>394347</v>
      </c>
      <c r="S627" s="25">
        <f>(((H627+R627)/(H626+R626))-1)+detalle!$D$1</f>
        <v>7.359430262665792E-2</v>
      </c>
      <c r="T627" s="25">
        <f t="shared" si="134"/>
        <v>1.0303202367732109</v>
      </c>
      <c r="U627" s="10">
        <f t="shared" si="131"/>
        <v>0.97816135178499797</v>
      </c>
      <c r="V627" s="21">
        <f t="shared" si="138"/>
        <v>93.386548587841077</v>
      </c>
      <c r="W627" s="15">
        <f>J627/detalle!$D$2</f>
        <v>214750.32341078011</v>
      </c>
      <c r="X627" s="15">
        <f>E627/detalle!$D$2</f>
        <v>36392.437255936515</v>
      </c>
      <c r="Y627" s="15">
        <f>F627/detalle!$D$2</f>
        <v>381.18632885906226</v>
      </c>
      <c r="AA627" s="14">
        <f>E627/(detalle!$D$2*1000000)</f>
        <v>3.6392437255936515E-2</v>
      </c>
      <c r="AB627" s="14">
        <f>F627/(detalle!$D$2*1000000)</f>
        <v>3.8118632885906226E-4</v>
      </c>
      <c r="AC627" s="31">
        <f>238/585</f>
        <v>0.40683760683760684</v>
      </c>
      <c r="AD627" s="31">
        <f>569/2261</f>
        <v>0.25165855816010613</v>
      </c>
      <c r="AE627" s="31">
        <f>143/469</f>
        <v>0.30490405117270791</v>
      </c>
      <c r="AF627" s="22">
        <f t="shared" si="135"/>
        <v>4</v>
      </c>
      <c r="AG627" s="12">
        <v>6832340</v>
      </c>
      <c r="AH627" s="12">
        <v>5497449</v>
      </c>
      <c r="AI627" s="12">
        <v>1291857</v>
      </c>
      <c r="AJ627" s="23">
        <f t="shared" si="136"/>
        <v>27163</v>
      </c>
      <c r="AK627" s="23">
        <f t="shared" si="142"/>
        <v>13621646</v>
      </c>
      <c r="AL627" s="28">
        <f>AK627/detalle!$D$2</f>
        <v>1242792.0612153495</v>
      </c>
    </row>
    <row r="628" spans="1:38">
      <c r="A628" s="12">
        <v>627</v>
      </c>
      <c r="B628" s="19">
        <v>44517</v>
      </c>
      <c r="C628" s="12">
        <v>609</v>
      </c>
      <c r="D628" s="23">
        <f t="shared" si="132"/>
        <v>893</v>
      </c>
      <c r="E628" s="12">
        <v>399773</v>
      </c>
      <c r="F628" s="12">
        <v>4182</v>
      </c>
      <c r="G628" s="12">
        <v>390544</v>
      </c>
      <c r="H628" s="23">
        <f t="shared" si="128"/>
        <v>5047</v>
      </c>
      <c r="I628" s="23">
        <f t="shared" si="141"/>
        <v>10179</v>
      </c>
      <c r="J628" s="12">
        <v>2363954</v>
      </c>
      <c r="K628" s="23">
        <f t="shared" si="143"/>
        <v>1964181</v>
      </c>
      <c r="L628" s="23">
        <f t="shared" si="140"/>
        <v>375</v>
      </c>
      <c r="M628" s="14">
        <f t="shared" si="129"/>
        <v>1.0460936581510007E-2</v>
      </c>
      <c r="N628" s="14">
        <f t="shared" si="139"/>
        <v>8.7729639453777389E-2</v>
      </c>
      <c r="O628" s="12"/>
      <c r="P628" s="12"/>
      <c r="Q628" s="12"/>
      <c r="R628" s="23">
        <f t="shared" si="130"/>
        <v>394726</v>
      </c>
      <c r="S628" s="25">
        <f>(((H628+R628)/(H627+R627))-1)+detalle!$D$1</f>
        <v>7.3667339980516805E-2</v>
      </c>
      <c r="T628" s="25">
        <f t="shared" si="134"/>
        <v>1.0313427597272353</v>
      </c>
      <c r="U628" s="10">
        <f t="shared" si="131"/>
        <v>0.97691439892138787</v>
      </c>
      <c r="V628" s="21">
        <f t="shared" si="138"/>
        <v>93.386896221903399</v>
      </c>
      <c r="W628" s="15">
        <f>J628/detalle!$D$2</f>
        <v>215679.02030916602</v>
      </c>
      <c r="X628" s="15">
        <f>E628/detalle!$D$2</f>
        <v>36473.911499993752</v>
      </c>
      <c r="Y628" s="15">
        <f>F628/detalle!$D$2</f>
        <v>381.55127508104317</v>
      </c>
      <c r="AA628" s="14">
        <f>E628/(detalle!$D$2*1000000)</f>
        <v>3.6473911499993752E-2</v>
      </c>
      <c r="AB628" s="14">
        <f>F628/(detalle!$D$2*1000000)</f>
        <v>3.8155127508104317E-4</v>
      </c>
      <c r="AC628" s="31">
        <f>217/585</f>
        <v>0.37094017094017095</v>
      </c>
      <c r="AD628" s="31">
        <f>552/2261</f>
        <v>0.24413976116762495</v>
      </c>
      <c r="AE628" s="31">
        <f>128/469</f>
        <v>0.27292110874200426</v>
      </c>
      <c r="AF628" s="22">
        <f t="shared" si="135"/>
        <v>4</v>
      </c>
      <c r="AG628" s="12">
        <v>6838668</v>
      </c>
      <c r="AH628" s="12">
        <f>5510323</f>
        <v>5510323</v>
      </c>
      <c r="AI628" s="12">
        <v>1296426</v>
      </c>
      <c r="AJ628" s="23">
        <f t="shared" si="136"/>
        <v>23771</v>
      </c>
      <c r="AK628" s="23">
        <f t="shared" si="142"/>
        <v>13645417</v>
      </c>
      <c r="AL628" s="28">
        <f>AK628/detalle!$D$2</f>
        <v>1244960.8453760266</v>
      </c>
    </row>
    <row r="629" spans="1:38">
      <c r="A629" s="12">
        <v>628</v>
      </c>
      <c r="B629" s="19">
        <v>44518</v>
      </c>
      <c r="C629" s="12">
        <v>610</v>
      </c>
      <c r="D629" s="23">
        <f t="shared" si="132"/>
        <v>1073</v>
      </c>
      <c r="E629" s="12">
        <v>400846</v>
      </c>
      <c r="F629" s="12">
        <v>4183</v>
      </c>
      <c r="G629" s="12">
        <v>391416</v>
      </c>
      <c r="H629" s="23">
        <f t="shared" si="128"/>
        <v>5247</v>
      </c>
      <c r="I629" s="23">
        <f t="shared" si="141"/>
        <v>11686</v>
      </c>
      <c r="J629" s="12">
        <v>2375640</v>
      </c>
      <c r="K629" s="23">
        <f t="shared" si="143"/>
        <v>1974794</v>
      </c>
      <c r="L629" s="23">
        <f t="shared" si="140"/>
        <v>872</v>
      </c>
      <c r="M629" s="14">
        <f t="shared" si="129"/>
        <v>1.0435429067522191E-2</v>
      </c>
      <c r="N629" s="14">
        <f t="shared" si="139"/>
        <v>9.181927092247133E-2</v>
      </c>
      <c r="O629" s="12"/>
      <c r="P629" s="12"/>
      <c r="Q629" s="12"/>
      <c r="R629" s="23">
        <f t="shared" si="130"/>
        <v>395599</v>
      </c>
      <c r="S629" s="25">
        <f>(((H629+R629)/(H628+R628))-1)+detalle!$D$1</f>
        <v>7.4112594611727839E-2</v>
      </c>
      <c r="T629" s="25">
        <f t="shared" si="134"/>
        <v>1.0375763245641898</v>
      </c>
      <c r="U629" s="10">
        <f t="shared" si="131"/>
        <v>0.97647475589128996</v>
      </c>
      <c r="V629" s="21">
        <f t="shared" si="138"/>
        <v>93.573033707865164</v>
      </c>
      <c r="W629" s="15">
        <f>J629/detalle!$D$2</f>
        <v>216745.21069668327</v>
      </c>
      <c r="X629" s="15">
        <f>E629/detalle!$D$2</f>
        <v>36571.808324040132</v>
      </c>
      <c r="Y629" s="15">
        <f>F629/detalle!$D$2</f>
        <v>381.64251163653842</v>
      </c>
      <c r="AA629" s="14">
        <f>E629/(detalle!$D$2*1000000)</f>
        <v>3.6571808324040132E-2</v>
      </c>
      <c r="AB629" s="14">
        <f>F629/(detalle!$D$2*1000000)</f>
        <v>3.8164251163653838E-4</v>
      </c>
      <c r="AC629" s="31">
        <f>224/585</f>
        <v>0.38290598290598293</v>
      </c>
      <c r="AD629" s="31">
        <f>543/2261</f>
        <v>0.24015922158337019</v>
      </c>
      <c r="AE629" s="31">
        <f>135/469</f>
        <v>0.2878464818763326</v>
      </c>
      <c r="AF629" s="22">
        <f t="shared" si="135"/>
        <v>1</v>
      </c>
      <c r="AG629" s="12">
        <v>6837441</v>
      </c>
      <c r="AH629" s="12">
        <v>5518624</v>
      </c>
      <c r="AI629" s="12">
        <v>1300871</v>
      </c>
      <c r="AJ629" s="23">
        <f t="shared" si="136"/>
        <v>11519</v>
      </c>
      <c r="AK629" s="23">
        <f t="shared" si="142"/>
        <v>13656936</v>
      </c>
      <c r="AL629" s="28">
        <f>AK629/detalle!$D$2</f>
        <v>1246011.799258776</v>
      </c>
    </row>
    <row r="630" spans="1:38">
      <c r="A630" s="12">
        <v>629</v>
      </c>
      <c r="B630" s="19">
        <v>44519</v>
      </c>
      <c r="C630" s="12">
        <v>611</v>
      </c>
      <c r="D630" s="23">
        <f t="shared" si="132"/>
        <v>1068</v>
      </c>
      <c r="E630" s="12">
        <v>401914</v>
      </c>
      <c r="F630" s="12">
        <v>4186</v>
      </c>
      <c r="G630" s="12">
        <v>392604</v>
      </c>
      <c r="H630" s="23">
        <f t="shared" si="128"/>
        <v>5124</v>
      </c>
      <c r="I630" s="23">
        <f t="shared" si="141"/>
        <v>11546</v>
      </c>
      <c r="J630" s="12">
        <v>2387186</v>
      </c>
      <c r="K630" s="23">
        <f t="shared" si="143"/>
        <v>1985272</v>
      </c>
      <c r="L630" s="23">
        <f t="shared" si="140"/>
        <v>1188</v>
      </c>
      <c r="M630" s="14">
        <f t="shared" si="129"/>
        <v>1.0415163442925601E-2</v>
      </c>
      <c r="N630" s="14">
        <f t="shared" si="139"/>
        <v>9.2499566949592937E-2</v>
      </c>
      <c r="O630" s="12"/>
      <c r="P630" s="12"/>
      <c r="Q630" s="12"/>
      <c r="R630" s="23">
        <f t="shared" si="130"/>
        <v>396790</v>
      </c>
      <c r="S630" s="25">
        <f>(((H630+R630)/(H629+R629))-1)+detalle!$D$1</f>
        <v>7.4092936296874995E-2</v>
      </c>
      <c r="T630" s="25">
        <f t="shared" si="134"/>
        <v>1.03730110815625</v>
      </c>
      <c r="U630" s="10">
        <f t="shared" si="131"/>
        <v>0.97683584050319228</v>
      </c>
      <c r="V630" s="21">
        <f t="shared" si="138"/>
        <v>93.789775441949359</v>
      </c>
      <c r="W630" s="15">
        <f>J630/detalle!$D$2</f>
        <v>217798.62796643114</v>
      </c>
      <c r="X630" s="15">
        <f>E630/detalle!$D$2</f>
        <v>36669.248965309038</v>
      </c>
      <c r="Y630" s="15">
        <f>F630/detalle!$D$2</f>
        <v>381.91622130302409</v>
      </c>
      <c r="AA630" s="14">
        <f>E630/(detalle!$D$2*1000000)</f>
        <v>3.6669248965309036E-2</v>
      </c>
      <c r="AB630" s="14">
        <f>F630/(detalle!$D$2*1000000)</f>
        <v>3.8191622130302408E-4</v>
      </c>
      <c r="AC630" s="31">
        <f>212/585</f>
        <v>0.36239316239316238</v>
      </c>
      <c r="AD630" s="31">
        <f>529/2261</f>
        <v>0.23396727111897392</v>
      </c>
      <c r="AE630" s="31">
        <f>131/469</f>
        <v>0.27931769722814498</v>
      </c>
      <c r="AF630" s="22">
        <f t="shared" si="135"/>
        <v>3</v>
      </c>
      <c r="AG630" s="12">
        <v>6842495</v>
      </c>
      <c r="AH630" s="12">
        <v>5529473</v>
      </c>
      <c r="AI630" s="12">
        <v>1304599</v>
      </c>
      <c r="AJ630" s="23">
        <f t="shared" si="136"/>
        <v>19631</v>
      </c>
      <c r="AK630" s="23">
        <f t="shared" si="142"/>
        <v>13676567</v>
      </c>
      <c r="AL630" s="28">
        <f>AK630/detalle!$D$2</f>
        <v>1247802.8640797029</v>
      </c>
    </row>
    <row r="631" spans="1:38">
      <c r="A631" s="12">
        <v>630</v>
      </c>
      <c r="B631" s="19">
        <v>44520</v>
      </c>
      <c r="C631" s="12">
        <v>612</v>
      </c>
      <c r="D631" s="23">
        <f t="shared" si="132"/>
        <v>817</v>
      </c>
      <c r="E631" s="12">
        <v>402731</v>
      </c>
      <c r="F631" s="12">
        <v>4186</v>
      </c>
      <c r="G631" s="12">
        <v>393968</v>
      </c>
      <c r="H631" s="23">
        <f t="shared" si="128"/>
        <v>4577</v>
      </c>
      <c r="I631" s="23">
        <f t="shared" si="141"/>
        <v>9532</v>
      </c>
      <c r="J631" s="12">
        <v>2396718</v>
      </c>
      <c r="K631" s="23">
        <f t="shared" si="143"/>
        <v>1993987</v>
      </c>
      <c r="L631" s="23">
        <f t="shared" si="140"/>
        <v>1364</v>
      </c>
      <c r="M631" s="14">
        <f t="shared" si="129"/>
        <v>1.0394034727895294E-2</v>
      </c>
      <c r="N631" s="14">
        <f t="shared" si="139"/>
        <v>8.5711288292068824E-2</v>
      </c>
      <c r="O631" s="12"/>
      <c r="P631" s="12"/>
      <c r="Q631" s="12"/>
      <c r="R631" s="23">
        <f t="shared" si="130"/>
        <v>398154</v>
      </c>
      <c r="S631" s="25">
        <f>(((H631+R631)/(H630+R630))-1)+detalle!$D$1</f>
        <v>7.3461344608903439E-2</v>
      </c>
      <c r="T631" s="25">
        <f t="shared" si="134"/>
        <v>1.0284588245246482</v>
      </c>
      <c r="U631" s="10">
        <f t="shared" si="131"/>
        <v>0.97824105916852688</v>
      </c>
      <c r="V631" s="21">
        <f t="shared" si="138"/>
        <v>94.115623506927861</v>
      </c>
      <c r="W631" s="15">
        <f>J631/detalle!$D$2</f>
        <v>218668.29481341166</v>
      </c>
      <c r="X631" s="15">
        <f>E631/detalle!$D$2</f>
        <v>36743.789231148636</v>
      </c>
      <c r="Y631" s="15">
        <f>F631/detalle!$D$2</f>
        <v>381.91622130302409</v>
      </c>
      <c r="AA631" s="14">
        <f>E631/(detalle!$D$2*1000000)</f>
        <v>3.6743789231148634E-2</v>
      </c>
      <c r="AB631" s="14">
        <f>F631/(detalle!$D$2*1000000)</f>
        <v>3.8191622130302408E-4</v>
      </c>
      <c r="AC631" s="31">
        <f>207/585</f>
        <v>0.35384615384615387</v>
      </c>
      <c r="AD631" s="31">
        <f>520/2261</f>
        <v>0.22998673153471916</v>
      </c>
      <c r="AE631" s="31">
        <f>129/469</f>
        <v>0.27505330490405117</v>
      </c>
      <c r="AF631" s="22">
        <f t="shared" si="135"/>
        <v>0</v>
      </c>
      <c r="AG631" s="12">
        <v>6844199</v>
      </c>
      <c r="AH631" s="12">
        <v>5533108</v>
      </c>
      <c r="AI631" s="12">
        <v>1306545</v>
      </c>
      <c r="AJ631" s="23">
        <f t="shared" si="136"/>
        <v>7285</v>
      </c>
      <c r="AK631" s="23">
        <f t="shared" si="142"/>
        <v>13683852</v>
      </c>
      <c r="AL631" s="28">
        <f>AK631/detalle!$D$2</f>
        <v>1248467.5223864855</v>
      </c>
    </row>
    <row r="632" spans="1:38">
      <c r="A632" s="12">
        <v>631</v>
      </c>
      <c r="B632" s="19">
        <v>44521</v>
      </c>
      <c r="C632" s="12">
        <v>613</v>
      </c>
      <c r="D632" s="23">
        <f t="shared" si="132"/>
        <v>707</v>
      </c>
      <c r="E632" s="12">
        <v>403438</v>
      </c>
      <c r="F632" s="12">
        <v>4190</v>
      </c>
      <c r="G632" s="12">
        <v>394891</v>
      </c>
      <c r="H632" s="23">
        <f t="shared" si="128"/>
        <v>4357</v>
      </c>
      <c r="I632" s="23">
        <f t="shared" si="141"/>
        <v>9427</v>
      </c>
      <c r="J632" s="12">
        <v>2406145</v>
      </c>
      <c r="K632" s="23">
        <f t="shared" si="143"/>
        <v>2002707</v>
      </c>
      <c r="L632" s="23">
        <f t="shared" si="140"/>
        <v>923</v>
      </c>
      <c r="M632" s="14">
        <f t="shared" si="129"/>
        <v>1.0385734611018297E-2</v>
      </c>
      <c r="N632" s="14">
        <f t="shared" si="139"/>
        <v>7.4997348042855627E-2</v>
      </c>
      <c r="O632" s="12"/>
      <c r="P632" s="12"/>
      <c r="Q632" s="12"/>
      <c r="R632" s="23">
        <f t="shared" si="130"/>
        <v>399081</v>
      </c>
      <c r="S632" s="25">
        <f>(((H632+R632)/(H631+R631))-1)+detalle!$D$1</f>
        <v>7.3184085655189107E-2</v>
      </c>
      <c r="T632" s="25">
        <f t="shared" si="134"/>
        <v>1.0245771991726476</v>
      </c>
      <c r="U632" s="10">
        <f t="shared" si="131"/>
        <v>0.97881458861088944</v>
      </c>
      <c r="V632" s="21">
        <f t="shared" si="138"/>
        <v>94.246062052505962</v>
      </c>
      <c r="W632" s="15">
        <f>J632/detalle!$D$2</f>
        <v>219528.38182206519</v>
      </c>
      <c r="X632" s="15">
        <f>E632/detalle!$D$2</f>
        <v>36808.293475883758</v>
      </c>
      <c r="Y632" s="15">
        <f>F632/detalle!$D$2</f>
        <v>382.281167525005</v>
      </c>
      <c r="AA632" s="14">
        <f>E632/(detalle!$D$2*1000000)</f>
        <v>3.6808293475883762E-2</v>
      </c>
      <c r="AB632" s="14">
        <f>F632/(detalle!$D$2*1000000)</f>
        <v>3.8228116752500498E-4</v>
      </c>
      <c r="AC632" s="31">
        <f>210/585</f>
        <v>0.35897435897435898</v>
      </c>
      <c r="AD632" s="31">
        <f>512/2261</f>
        <v>0.22644847412649272</v>
      </c>
      <c r="AE632" s="31">
        <f>128/469</f>
        <v>0.27292110874200426</v>
      </c>
      <c r="AF632" s="22">
        <f t="shared" si="135"/>
        <v>4</v>
      </c>
      <c r="AG632" s="12">
        <v>6844994</v>
      </c>
      <c r="AH632" s="12">
        <v>5534706</v>
      </c>
      <c r="AI632" s="12">
        <v>1307560</v>
      </c>
      <c r="AJ632" s="23">
        <f t="shared" si="136"/>
        <v>3408</v>
      </c>
      <c r="AK632" s="23">
        <f t="shared" si="142"/>
        <v>13687260</v>
      </c>
      <c r="AL632" s="28">
        <f>AK632/detalle!$D$2</f>
        <v>1248778.4565676134</v>
      </c>
    </row>
    <row r="633" spans="1:38">
      <c r="A633" s="12">
        <v>632</v>
      </c>
      <c r="B633" s="19">
        <v>44522</v>
      </c>
      <c r="C633" s="12">
        <v>614</v>
      </c>
      <c r="D633" s="23">
        <f t="shared" si="132"/>
        <v>846</v>
      </c>
      <c r="E633" s="12">
        <v>404284</v>
      </c>
      <c r="F633" s="12">
        <v>4194</v>
      </c>
      <c r="G633" s="12">
        <v>396135</v>
      </c>
      <c r="H633" s="23">
        <f t="shared" si="128"/>
        <v>3955</v>
      </c>
      <c r="I633" s="23">
        <f t="shared" si="141"/>
        <v>10338</v>
      </c>
      <c r="J633" s="12">
        <v>2416483</v>
      </c>
      <c r="K633" s="23">
        <f t="shared" si="143"/>
        <v>2012199</v>
      </c>
      <c r="L633" s="23">
        <f t="shared" si="140"/>
        <v>1244</v>
      </c>
      <c r="M633" s="14">
        <f t="shared" si="129"/>
        <v>1.0373895578355809E-2</v>
      </c>
      <c r="N633" s="14">
        <f t="shared" si="139"/>
        <v>8.183401044689495E-2</v>
      </c>
      <c r="O633" s="12"/>
      <c r="P633" s="12"/>
      <c r="Q633" s="12"/>
      <c r="R633" s="23">
        <f t="shared" si="130"/>
        <v>400329</v>
      </c>
      <c r="S633" s="25">
        <f>(((H633+R633)/(H632+R632))-1)+detalle!$D$1</f>
        <v>7.3525547915664929E-2</v>
      </c>
      <c r="T633" s="25">
        <f t="shared" si="134"/>
        <v>1.0293576708193091</v>
      </c>
      <c r="U633" s="10">
        <f t="shared" si="131"/>
        <v>0.97984337742774885</v>
      </c>
      <c r="V633" s="21">
        <f t="shared" si="138"/>
        <v>94.452789699570815</v>
      </c>
      <c r="W633" s="15">
        <f>J633/detalle!$D$2</f>
        <v>220471.58533277485</v>
      </c>
      <c r="X633" s="15">
        <f>E633/detalle!$D$2</f>
        <v>36885.479601832725</v>
      </c>
      <c r="Y633" s="15">
        <f>F633/detalle!$D$2</f>
        <v>382.64611374698592</v>
      </c>
      <c r="AA633" s="14">
        <f>E633/(detalle!$D$2*1000000)</f>
        <v>3.6885479601832721E-2</v>
      </c>
      <c r="AB633" s="14">
        <f>F633/(detalle!$D$2*1000000)</f>
        <v>3.8264611374698589E-4</v>
      </c>
      <c r="AC633" s="31">
        <f>193/585</f>
        <v>0.32991452991452991</v>
      </c>
      <c r="AD633" s="31">
        <f>463/2261</f>
        <v>0.20477664750110572</v>
      </c>
      <c r="AE633" s="31">
        <f>116/469</f>
        <v>0.24733475479744135</v>
      </c>
      <c r="AF633" s="22">
        <f t="shared" si="135"/>
        <v>4</v>
      </c>
      <c r="AG633" s="12">
        <v>6850198</v>
      </c>
      <c r="AH633" s="12">
        <v>5545879</v>
      </c>
      <c r="AI633" s="12">
        <v>1311914</v>
      </c>
      <c r="AJ633" s="23">
        <f t="shared" si="136"/>
        <v>20731</v>
      </c>
      <c r="AK633" s="23">
        <f t="shared" si="142"/>
        <v>13707991</v>
      </c>
      <c r="AL633" s="28">
        <f>AK633/detalle!$D$2</f>
        <v>1250669.8815995848</v>
      </c>
    </row>
    <row r="634" spans="1:38">
      <c r="A634" s="12">
        <v>633</v>
      </c>
      <c r="B634" s="19">
        <v>44523</v>
      </c>
      <c r="C634" s="12">
        <v>615</v>
      </c>
      <c r="D634" s="23">
        <f t="shared" si="132"/>
        <v>470</v>
      </c>
      <c r="E634" s="12">
        <v>404754</v>
      </c>
      <c r="F634" s="12">
        <v>4195</v>
      </c>
      <c r="G634" s="12">
        <v>396603</v>
      </c>
      <c r="H634" s="23">
        <f t="shared" si="128"/>
        <v>3956</v>
      </c>
      <c r="I634" s="23">
        <f t="shared" si="141"/>
        <v>7037</v>
      </c>
      <c r="J634" s="12">
        <v>2423520</v>
      </c>
      <c r="K634" s="23">
        <f t="shared" si="143"/>
        <v>2018766</v>
      </c>
      <c r="L634" s="23">
        <f t="shared" si="140"/>
        <v>468</v>
      </c>
      <c r="M634" s="14">
        <f t="shared" si="129"/>
        <v>1.036432005613286E-2</v>
      </c>
      <c r="N634" s="14">
        <f t="shared" si="139"/>
        <v>6.6789825209606371E-2</v>
      </c>
      <c r="O634" s="12"/>
      <c r="P634" s="12"/>
      <c r="Q634" s="12"/>
      <c r="R634" s="23">
        <f t="shared" si="130"/>
        <v>400798</v>
      </c>
      <c r="S634" s="25">
        <f>(((H634+R634)/(H633+R633))-1)+detalle!$D$1</f>
        <v>7.259112052771946E-2</v>
      </c>
      <c r="T634" s="25">
        <f t="shared" si="134"/>
        <v>1.0162756873880725</v>
      </c>
      <c r="U634" s="10">
        <f t="shared" si="131"/>
        <v>0.97986184200773807</v>
      </c>
      <c r="V634" s="21">
        <f t="shared" si="138"/>
        <v>94.541835518474372</v>
      </c>
      <c r="W634" s="15">
        <f>J634/detalle!$D$2</f>
        <v>221113.61697379476</v>
      </c>
      <c r="X634" s="15">
        <f>E634/detalle!$D$2</f>
        <v>36928.360782915479</v>
      </c>
      <c r="Y634" s="15">
        <f>F634/detalle!$D$2</f>
        <v>382.7373503024811</v>
      </c>
      <c r="AA634" s="14">
        <f>E634/(detalle!$D$2*1000000)</f>
        <v>3.6928360782915483E-2</v>
      </c>
      <c r="AB634" s="14">
        <f>F634/(detalle!$D$2*1000000)</f>
        <v>3.8273735030248111E-4</v>
      </c>
      <c r="AC634" s="31">
        <f>193/585</f>
        <v>0.32991452991452991</v>
      </c>
      <c r="AD634" s="31">
        <f>459/2261</f>
        <v>0.20300751879699247</v>
      </c>
      <c r="AE634" s="31">
        <f>127/469</f>
        <v>0.27078891257995735</v>
      </c>
      <c r="AF634" s="22">
        <f t="shared" si="135"/>
        <v>1</v>
      </c>
      <c r="AG634" s="12">
        <v>6853470</v>
      </c>
      <c r="AH634" s="12">
        <v>5558129</v>
      </c>
      <c r="AI634" s="12">
        <v>1316472</v>
      </c>
      <c r="AJ634" s="23">
        <f t="shared" si="136"/>
        <v>20080</v>
      </c>
      <c r="AK634" s="23">
        <f t="shared" si="142"/>
        <v>13728071</v>
      </c>
      <c r="AL634" s="28">
        <f>AK634/detalle!$D$2</f>
        <v>1252501.911633929</v>
      </c>
    </row>
    <row r="635" spans="1:38">
      <c r="A635" s="12">
        <v>634</v>
      </c>
      <c r="B635" s="19">
        <v>44524</v>
      </c>
      <c r="C635" s="12">
        <v>616</v>
      </c>
      <c r="D635" s="23">
        <f t="shared" si="132"/>
        <v>759</v>
      </c>
      <c r="E635" s="12">
        <v>405513</v>
      </c>
      <c r="F635" s="12">
        <v>4197</v>
      </c>
      <c r="G635" s="12">
        <v>396983</v>
      </c>
      <c r="H635" s="23">
        <f t="shared" si="128"/>
        <v>4333</v>
      </c>
      <c r="I635" s="23">
        <f t="shared" si="141"/>
        <v>8706</v>
      </c>
      <c r="J635" s="12">
        <v>2432226</v>
      </c>
      <c r="K635" s="23">
        <f t="shared" si="143"/>
        <v>2026713</v>
      </c>
      <c r="L635" s="23">
        <f t="shared" si="140"/>
        <v>380</v>
      </c>
      <c r="M635" s="14">
        <f t="shared" si="129"/>
        <v>1.0349853148974263E-2</v>
      </c>
      <c r="N635" s="14">
        <f t="shared" si="139"/>
        <v>8.7181254307374223E-2</v>
      </c>
      <c r="O635" s="12"/>
      <c r="P635" s="12"/>
      <c r="Q635" s="12"/>
      <c r="R635" s="23">
        <f t="shared" si="130"/>
        <v>401180</v>
      </c>
      <c r="S635" s="25">
        <f>(((H635+R635)/(H634+R634))-1)+detalle!$D$1</f>
        <v>7.3303784520968335E-2</v>
      </c>
      <c r="T635" s="25">
        <f t="shared" si="134"/>
        <v>1.0262529832935567</v>
      </c>
      <c r="U635" s="10">
        <f t="shared" si="131"/>
        <v>0.97896491604461511</v>
      </c>
      <c r="V635" s="21">
        <f t="shared" si="138"/>
        <v>94.587324279247085</v>
      </c>
      <c r="W635" s="15">
        <f>J635/detalle!$D$2</f>
        <v>221907.92242593621</v>
      </c>
      <c r="X635" s="15">
        <f>E635/detalle!$D$2</f>
        <v>36997.60932853636</v>
      </c>
      <c r="Y635" s="15">
        <f>F635/detalle!$D$2</f>
        <v>382.91982341347159</v>
      </c>
      <c r="AA635" s="14">
        <f>E635/(detalle!$D$2*1000000)</f>
        <v>3.6997609328536359E-2</v>
      </c>
      <c r="AB635" s="14">
        <f>F635/(detalle!$D$2*1000000)</f>
        <v>3.8291982341347159E-4</v>
      </c>
      <c r="AC635" s="31">
        <f>190/585</f>
        <v>0.3247863247863248</v>
      </c>
      <c r="AD635" s="31">
        <f>432/2261</f>
        <v>0.19106590004422822</v>
      </c>
      <c r="AE635" s="31">
        <f>128/469</f>
        <v>0.27292110874200426</v>
      </c>
      <c r="AF635" s="22">
        <f t="shared" si="135"/>
        <v>2</v>
      </c>
      <c r="AG635" s="12">
        <v>6857695</v>
      </c>
      <c r="AH635" s="12">
        <v>5565330</v>
      </c>
      <c r="AI635" s="12">
        <v>1321084</v>
      </c>
      <c r="AJ635" s="23">
        <f t="shared" si="136"/>
        <v>16038</v>
      </c>
      <c r="AK635" s="23">
        <f t="shared" si="142"/>
        <v>13744109</v>
      </c>
      <c r="AL635" s="28">
        <f>AK635/detalle!$D$2</f>
        <v>1253965.1635109615</v>
      </c>
    </row>
    <row r="636" spans="1:38">
      <c r="A636" s="12">
        <v>635</v>
      </c>
      <c r="B636" s="19">
        <v>44525</v>
      </c>
      <c r="C636" s="12">
        <v>617</v>
      </c>
      <c r="D636" s="23">
        <f t="shared" si="132"/>
        <v>508</v>
      </c>
      <c r="E636" s="12">
        <v>406021</v>
      </c>
      <c r="F636" s="12">
        <v>4202</v>
      </c>
      <c r="G636" s="12">
        <v>397873</v>
      </c>
      <c r="H636" s="23">
        <f t="shared" si="128"/>
        <v>3946</v>
      </c>
      <c r="I636" s="23">
        <f t="shared" si="141"/>
        <v>6127</v>
      </c>
      <c r="J636" s="12">
        <v>2438353</v>
      </c>
      <c r="K636" s="23">
        <f t="shared" si="143"/>
        <v>2032332</v>
      </c>
      <c r="L636" s="23">
        <f t="shared" si="140"/>
        <v>890</v>
      </c>
      <c r="M636" s="14">
        <f t="shared" si="129"/>
        <v>1.0349218390181788E-2</v>
      </c>
      <c r="N636" s="14">
        <f t="shared" si="139"/>
        <v>8.2911702301289372E-2</v>
      </c>
      <c r="O636" s="12"/>
      <c r="P636" s="12"/>
      <c r="Q636" s="12"/>
      <c r="R636" s="23">
        <f t="shared" si="130"/>
        <v>402075</v>
      </c>
      <c r="S636" s="25">
        <f>(((H636+R636)/(H635+R635))-1)+detalle!$D$1</f>
        <v>7.2681305619583886E-2</v>
      </c>
      <c r="T636" s="25">
        <f t="shared" si="134"/>
        <v>1.0175382786741745</v>
      </c>
      <c r="U636" s="10">
        <f t="shared" si="131"/>
        <v>0.97993207247900971</v>
      </c>
      <c r="V636" s="21">
        <f t="shared" si="138"/>
        <v>94.686577820085674</v>
      </c>
      <c r="W636" s="15">
        <f>J636/detalle!$D$2</f>
        <v>222466.92880145548</v>
      </c>
      <c r="X636" s="15">
        <f>E636/detalle!$D$2</f>
        <v>37043.957498727934</v>
      </c>
      <c r="Y636" s="15">
        <f>F636/detalle!$D$2</f>
        <v>383.37600619094775</v>
      </c>
      <c r="AA636" s="14">
        <f>E636/(detalle!$D$2*1000000)</f>
        <v>3.7043957498727936E-2</v>
      </c>
      <c r="AB636" s="14">
        <f>F636/(detalle!$D$2*1000000)</f>
        <v>3.8337600619094771E-4</v>
      </c>
      <c r="AC636" s="31">
        <f>195/585</f>
        <v>0.33333333333333331</v>
      </c>
      <c r="AD636" s="31">
        <f>433/2261</f>
        <v>0.19150818222025653</v>
      </c>
      <c r="AE636" s="31">
        <f>137/469</f>
        <v>0.29211087420042642</v>
      </c>
      <c r="AF636" s="22">
        <f t="shared" si="135"/>
        <v>5</v>
      </c>
      <c r="AG636" s="12">
        <v>6861368</v>
      </c>
      <c r="AH636" s="12">
        <v>5573716</v>
      </c>
      <c r="AI636" s="12">
        <v>1324708</v>
      </c>
      <c r="AJ636" s="23">
        <f t="shared" si="136"/>
        <v>15683</v>
      </c>
      <c r="AK636" s="23">
        <f t="shared" si="142"/>
        <v>13759792</v>
      </c>
      <c r="AL636" s="28">
        <f>AK636/detalle!$D$2</f>
        <v>1255396.0264107932</v>
      </c>
    </row>
    <row r="637" spans="1:38">
      <c r="A637" s="12">
        <v>636</v>
      </c>
      <c r="B637" s="19">
        <v>44526</v>
      </c>
      <c r="C637" s="12">
        <v>618</v>
      </c>
      <c r="D637" s="23">
        <f t="shared" si="132"/>
        <v>490</v>
      </c>
      <c r="E637" s="12">
        <v>406511</v>
      </c>
      <c r="F637" s="12">
        <v>4204</v>
      </c>
      <c r="G637" s="12">
        <v>398726</v>
      </c>
      <c r="H637" s="23">
        <f t="shared" si="128"/>
        <v>3581</v>
      </c>
      <c r="I637" s="23">
        <f t="shared" si="141"/>
        <v>6046</v>
      </c>
      <c r="J637" s="12">
        <v>2444399</v>
      </c>
      <c r="K637" s="23">
        <f t="shared" si="143"/>
        <v>2037888</v>
      </c>
      <c r="L637" s="23">
        <f t="shared" si="140"/>
        <v>853</v>
      </c>
      <c r="M637" s="14">
        <f t="shared" si="129"/>
        <v>1.0341663571219475E-2</v>
      </c>
      <c r="N637" s="14">
        <f t="shared" si="139"/>
        <v>8.1045319219318554E-2</v>
      </c>
      <c r="O637" s="12"/>
      <c r="P637" s="12"/>
      <c r="Q637" s="12"/>
      <c r="R637" s="23">
        <f t="shared" si="130"/>
        <v>402930</v>
      </c>
      <c r="S637" s="25">
        <f>(((H637+R637)/(H636+R636))-1)+detalle!$D$1</f>
        <v>7.2635405557840677E-2</v>
      </c>
      <c r="T637" s="25">
        <f t="shared" si="134"/>
        <v>1.0168956778097695</v>
      </c>
      <c r="U637" s="10">
        <f t="shared" si="131"/>
        <v>0.98084922671219232</v>
      </c>
      <c r="V637" s="21">
        <f t="shared" si="138"/>
        <v>94.844433872502378</v>
      </c>
      <c r="W637" s="15">
        <f>J637/detalle!$D$2</f>
        <v>223018.54501597965</v>
      </c>
      <c r="X637" s="15">
        <f>E637/detalle!$D$2</f>
        <v>37088.663410920599</v>
      </c>
      <c r="Y637" s="15">
        <f>F637/detalle!$D$2</f>
        <v>383.55847930193818</v>
      </c>
      <c r="AA637" s="14">
        <f>E637/(detalle!$D$2*1000000)</f>
        <v>3.7088663410920597E-2</v>
      </c>
      <c r="AB637" s="14">
        <f>F637/(detalle!$D$2*1000000)</f>
        <v>3.8355847930193819E-4</v>
      </c>
      <c r="AC637" s="31">
        <f>201/585</f>
        <v>0.34358974358974359</v>
      </c>
      <c r="AD637" s="31">
        <f>424/2261</f>
        <v>0.18752764263600177</v>
      </c>
      <c r="AE637" s="31">
        <f>133/469</f>
        <v>0.28358208955223879</v>
      </c>
      <c r="AF637" s="22">
        <f t="shared" si="135"/>
        <v>2</v>
      </c>
      <c r="AG637" s="12">
        <v>6864648</v>
      </c>
      <c r="AH637" s="12">
        <v>5580500</v>
      </c>
      <c r="AI637" s="12">
        <v>1327731</v>
      </c>
      <c r="AJ637" s="23">
        <f t="shared" si="136"/>
        <v>13087</v>
      </c>
      <c r="AK637" s="23">
        <f t="shared" si="142"/>
        <v>13772879</v>
      </c>
      <c r="AL637" s="28">
        <f>AK637/detalle!$D$2</f>
        <v>1256590.0392125591</v>
      </c>
    </row>
    <row r="638" spans="1:38">
      <c r="A638" s="12">
        <v>637</v>
      </c>
      <c r="B638" s="19">
        <v>44527</v>
      </c>
      <c r="C638" s="12">
        <v>619</v>
      </c>
      <c r="D638" s="23">
        <f t="shared" si="132"/>
        <v>292</v>
      </c>
      <c r="E638" s="12">
        <v>406803</v>
      </c>
      <c r="F638" s="12">
        <v>4204</v>
      </c>
      <c r="G638" s="12">
        <v>399438</v>
      </c>
      <c r="H638" s="23">
        <f t="shared" si="128"/>
        <v>3161</v>
      </c>
      <c r="I638" s="23">
        <f t="shared" si="141"/>
        <v>4938</v>
      </c>
      <c r="J638" s="12">
        <v>2449337</v>
      </c>
      <c r="K638" s="23">
        <f t="shared" si="143"/>
        <v>2042534</v>
      </c>
      <c r="L638" s="23">
        <f t="shared" si="140"/>
        <v>712</v>
      </c>
      <c r="M638" s="14">
        <f t="shared" si="129"/>
        <v>1.0334240406290022E-2</v>
      </c>
      <c r="N638" s="14">
        <f t="shared" si="139"/>
        <v>5.9133252328878089E-2</v>
      </c>
      <c r="O638" s="12"/>
      <c r="P638" s="12"/>
      <c r="Q638" s="12"/>
      <c r="R638" s="23">
        <f t="shared" si="130"/>
        <v>403642</v>
      </c>
      <c r="S638" s="25">
        <f>(((H638+R638)/(H637+R637))-1)+detalle!$D$1</f>
        <v>7.2146879174241257E-2</v>
      </c>
      <c r="T638" s="25">
        <f t="shared" si="134"/>
        <v>1.0100563084393777</v>
      </c>
      <c r="U638" s="10">
        <f t="shared" si="131"/>
        <v>0.98189541375063605</v>
      </c>
      <c r="V638" s="21">
        <f t="shared" si="138"/>
        <v>95.013796384395818</v>
      </c>
      <c r="W638" s="15">
        <f>J638/detalle!$D$2</f>
        <v>223469.07112701508</v>
      </c>
      <c r="X638" s="15">
        <f>E638/detalle!$D$2</f>
        <v>37115.304485125205</v>
      </c>
      <c r="Y638" s="15">
        <f>F638/detalle!$D$2</f>
        <v>383.55847930193818</v>
      </c>
      <c r="AA638" s="14">
        <f>E638/(detalle!$D$2*1000000)</f>
        <v>3.7115304485125206E-2</v>
      </c>
      <c r="AB638" s="14">
        <f>F638/(detalle!$D$2*1000000)</f>
        <v>3.8355847930193819E-4</v>
      </c>
      <c r="AC638" s="31">
        <f>199/585</f>
        <v>0.34017094017094018</v>
      </c>
      <c r="AD638" s="31">
        <f>403/2261</f>
        <v>0.17823971693940735</v>
      </c>
      <c r="AE638" s="31">
        <f>127/469</f>
        <v>0.27078891257995735</v>
      </c>
      <c r="AF638" s="22">
        <f t="shared" si="135"/>
        <v>0</v>
      </c>
      <c r="AG638" s="12">
        <v>6866072</v>
      </c>
      <c r="AH638" s="12">
        <v>5583029</v>
      </c>
      <c r="AI638" s="12">
        <v>1329249</v>
      </c>
      <c r="AJ638" s="23">
        <f t="shared" si="136"/>
        <v>5471</v>
      </c>
      <c r="AK638" s="23">
        <f t="shared" si="142"/>
        <v>13778350</v>
      </c>
      <c r="AL638" s="28">
        <f>AK638/detalle!$D$2</f>
        <v>1257089.1944076736</v>
      </c>
    </row>
    <row r="639" spans="1:38">
      <c r="A639" s="12">
        <v>638</v>
      </c>
      <c r="B639" s="19">
        <v>44528</v>
      </c>
      <c r="C639" s="12">
        <v>620</v>
      </c>
      <c r="D639" s="23">
        <f t="shared" si="132"/>
        <v>310</v>
      </c>
      <c r="E639" s="12">
        <v>407113</v>
      </c>
      <c r="F639" s="12">
        <v>4204</v>
      </c>
      <c r="G639" s="12">
        <v>399463</v>
      </c>
      <c r="H639" s="23">
        <f t="shared" si="128"/>
        <v>3446</v>
      </c>
      <c r="I639" s="23">
        <f t="shared" si="141"/>
        <v>4143</v>
      </c>
      <c r="J639" s="12">
        <v>2453480</v>
      </c>
      <c r="K639" s="23">
        <f t="shared" si="143"/>
        <v>2046367</v>
      </c>
      <c r="L639" s="23">
        <f t="shared" si="140"/>
        <v>25</v>
      </c>
      <c r="M639" s="14">
        <f t="shared" si="129"/>
        <v>1.0326371302316556E-2</v>
      </c>
      <c r="N639" s="14">
        <f t="shared" si="139"/>
        <v>7.482500603427468E-2</v>
      </c>
      <c r="O639" s="12"/>
      <c r="P639" s="12"/>
      <c r="Q639" s="12"/>
      <c r="R639" s="23">
        <f t="shared" si="130"/>
        <v>403667</v>
      </c>
      <c r="S639" s="25">
        <f>(((H639+R639)/(H638+R638))-1)+detalle!$D$1</f>
        <v>7.219061103988203E-2</v>
      </c>
      <c r="T639" s="25">
        <f t="shared" si="134"/>
        <v>1.0106685545583485</v>
      </c>
      <c r="U639" s="10">
        <f t="shared" si="131"/>
        <v>0.98120914831999961</v>
      </c>
      <c r="V639" s="21">
        <f t="shared" si="138"/>
        <v>95.019743101807805</v>
      </c>
      <c r="W639" s="15">
        <f>J639/detalle!$D$2</f>
        <v>223847.0641764318</v>
      </c>
      <c r="X639" s="15">
        <f>E639/detalle!$D$2</f>
        <v>37143.587817328727</v>
      </c>
      <c r="Y639" s="15">
        <f>F639/detalle!$D$2</f>
        <v>383.55847930193818</v>
      </c>
      <c r="AA639" s="14">
        <f>E639/(detalle!$D$2*1000000)</f>
        <v>3.7143587817328724E-2</v>
      </c>
      <c r="AB639" s="14">
        <f>F639/(detalle!$D$2*1000000)</f>
        <v>3.8355847930193819E-4</v>
      </c>
      <c r="AC639" s="31">
        <f>196/585</f>
        <v>0.33504273504273502</v>
      </c>
      <c r="AD639" s="31">
        <f>396/2261</f>
        <v>0.1751437417072092</v>
      </c>
      <c r="AE639" s="31">
        <f>127/469</f>
        <v>0.27078891257995735</v>
      </c>
      <c r="AF639" s="22">
        <f t="shared" si="135"/>
        <v>0</v>
      </c>
      <c r="AG639" s="12">
        <v>6866632</v>
      </c>
      <c r="AH639" s="12">
        <v>5583974</v>
      </c>
      <c r="AI639" s="12">
        <v>1329906</v>
      </c>
      <c r="AJ639" s="23">
        <f t="shared" si="136"/>
        <v>2162</v>
      </c>
      <c r="AK639" s="23">
        <f t="shared" si="142"/>
        <v>13780512</v>
      </c>
      <c r="AL639" s="28">
        <f>AK639/detalle!$D$2</f>
        <v>1257286.4478406543</v>
      </c>
    </row>
    <row r="640" spans="1:38">
      <c r="A640" s="12">
        <v>639</v>
      </c>
      <c r="B640" s="19">
        <v>44529</v>
      </c>
      <c r="C640" s="12">
        <v>621</v>
      </c>
      <c r="D640" s="23">
        <f t="shared" si="132"/>
        <v>138</v>
      </c>
      <c r="E640" s="12">
        <v>407251</v>
      </c>
      <c r="F640" s="12">
        <v>4204</v>
      </c>
      <c r="G640" s="12">
        <v>399896</v>
      </c>
      <c r="H640" s="23">
        <f t="shared" si="128"/>
        <v>3151</v>
      </c>
      <c r="I640" s="23">
        <f t="shared" si="141"/>
        <v>4769</v>
      </c>
      <c r="J640" s="12">
        <v>2458249</v>
      </c>
      <c r="K640" s="23">
        <f t="shared" si="143"/>
        <v>2050998</v>
      </c>
      <c r="L640" s="23">
        <f t="shared" si="140"/>
        <v>433</v>
      </c>
      <c r="M640" s="14">
        <f t="shared" si="129"/>
        <v>1.0322872135366151E-2</v>
      </c>
      <c r="N640" s="14">
        <f t="shared" si="139"/>
        <v>2.8936884042776265E-2</v>
      </c>
      <c r="O640" s="12"/>
      <c r="P640" s="12"/>
      <c r="Q640" s="12"/>
      <c r="R640" s="23">
        <f t="shared" si="130"/>
        <v>404100</v>
      </c>
      <c r="S640" s="25">
        <f>(((H640+R640)/(H639+R639))-1)+detalle!$D$1</f>
        <v>7.1767543654955662E-2</v>
      </c>
      <c r="T640" s="25">
        <f t="shared" si="134"/>
        <v>1.0047456111693793</v>
      </c>
      <c r="U640" s="10">
        <f t="shared" si="131"/>
        <v>0.98193988473938676</v>
      </c>
      <c r="V640" s="21">
        <f t="shared" si="138"/>
        <v>95.122740247383447</v>
      </c>
      <c r="W640" s="15">
        <f>J640/detalle!$D$2</f>
        <v>224282.17130958854</v>
      </c>
      <c r="X640" s="15">
        <f>E640/detalle!$D$2</f>
        <v>37156.178461987067</v>
      </c>
      <c r="Y640" s="15">
        <f>F640/detalle!$D$2</f>
        <v>383.55847930193818</v>
      </c>
      <c r="AA640" s="14">
        <f>E640/(detalle!$D$2*1000000)</f>
        <v>3.7156178461987065E-2</v>
      </c>
      <c r="AB640" s="14">
        <f>F640/(detalle!$D$2*1000000)</f>
        <v>3.8355847930193819E-4</v>
      </c>
      <c r="AC640" s="31">
        <f>186/585</f>
        <v>0.31794871794871793</v>
      </c>
      <c r="AD640" s="31">
        <f>394/2261</f>
        <v>0.17425917735515259</v>
      </c>
      <c r="AE640" s="31">
        <f>121/469</f>
        <v>0.25799573560767591</v>
      </c>
      <c r="AF640" s="22">
        <f t="shared" si="135"/>
        <v>0</v>
      </c>
      <c r="AG640" s="12">
        <v>6871684</v>
      </c>
      <c r="AH640" s="12">
        <v>5592459</v>
      </c>
      <c r="AI640" s="12">
        <v>1334488</v>
      </c>
      <c r="AJ640" s="23">
        <f t="shared" si="136"/>
        <v>18119</v>
      </c>
      <c r="AK640" s="23">
        <f t="shared" si="142"/>
        <v>13798631</v>
      </c>
      <c r="AL640" s="28">
        <f>AK640/detalle!$D$2</f>
        <v>1258939.5629896724</v>
      </c>
    </row>
    <row r="641" spans="1:38">
      <c r="A641" s="12">
        <v>640</v>
      </c>
      <c r="B641" s="19">
        <v>44530</v>
      </c>
      <c r="C641" s="12">
        <v>622</v>
      </c>
      <c r="D641" s="23">
        <f t="shared" si="132"/>
        <v>223</v>
      </c>
      <c r="E641" s="12">
        <v>407474</v>
      </c>
      <c r="F641" s="12">
        <v>4210</v>
      </c>
      <c r="G641" s="12">
        <v>400650</v>
      </c>
      <c r="H641" s="23">
        <f t="shared" si="128"/>
        <v>2614</v>
      </c>
      <c r="I641" s="23">
        <f t="shared" si="141"/>
        <v>5800</v>
      </c>
      <c r="J641" s="12">
        <v>2464049</v>
      </c>
      <c r="K641" s="23">
        <f t="shared" si="143"/>
        <v>2056575</v>
      </c>
      <c r="L641" s="23">
        <f t="shared" si="140"/>
        <v>754</v>
      </c>
      <c r="M641" s="14">
        <f t="shared" si="129"/>
        <v>1.0331947559844309E-2</v>
      </c>
      <c r="N641" s="14">
        <f t="shared" si="139"/>
        <v>3.8448275862068969E-2</v>
      </c>
      <c r="O641" s="12"/>
      <c r="P641" s="12"/>
      <c r="Q641" s="12"/>
      <c r="R641" s="23">
        <f t="shared" si="130"/>
        <v>404860</v>
      </c>
      <c r="S641" s="25">
        <f>(((H641+R641)/(H640+R640))-1)+detalle!$D$1</f>
        <v>7.1976145283515952E-2</v>
      </c>
      <c r="T641" s="25">
        <f t="shared" si="134"/>
        <v>1.0076660339692234</v>
      </c>
      <c r="U641" s="10">
        <f t="shared" si="131"/>
        <v>0.98325291920466096</v>
      </c>
      <c r="V641" s="21">
        <f t="shared" si="138"/>
        <v>95.166270783847978</v>
      </c>
      <c r="W641" s="15">
        <f>J641/detalle!$D$2</f>
        <v>224811.34333146087</v>
      </c>
      <c r="X641" s="15">
        <f>E641/detalle!$D$2</f>
        <v>37176.524213862504</v>
      </c>
      <c r="Y641" s="15">
        <f>F641/detalle!$D$2</f>
        <v>384.10589863490952</v>
      </c>
      <c r="AA641" s="14">
        <f>E641/(detalle!$D$2*1000000)</f>
        <v>3.71765242138625E-2</v>
      </c>
      <c r="AB641" s="14">
        <f>F641/(detalle!$D$2*1000000)</f>
        <v>3.8410589863490952E-4</v>
      </c>
      <c r="AC641" s="31">
        <f>179/585</f>
        <v>0.30598290598290601</v>
      </c>
      <c r="AD641" s="31">
        <f>379/2261</f>
        <v>0.167624944714728</v>
      </c>
      <c r="AE641" s="31">
        <f>116/469</f>
        <v>0.24733475479744135</v>
      </c>
      <c r="AF641" s="22">
        <f t="shared" si="135"/>
        <v>6</v>
      </c>
      <c r="AG641" s="12">
        <v>6875984</v>
      </c>
      <c r="AH641" s="12">
        <v>5601216</v>
      </c>
      <c r="AI641" s="12">
        <v>1339737</v>
      </c>
      <c r="AJ641" s="23">
        <f t="shared" si="136"/>
        <v>18306</v>
      </c>
      <c r="AK641" s="23">
        <f t="shared" si="142"/>
        <v>13816937</v>
      </c>
      <c r="AL641" s="28">
        <f>AK641/detalle!$D$2</f>
        <v>1260609.739374568</v>
      </c>
    </row>
    <row r="642" spans="1:38">
      <c r="A642" s="12">
        <v>641</v>
      </c>
      <c r="B642" s="19">
        <v>44531</v>
      </c>
      <c r="C642" s="12">
        <v>623</v>
      </c>
      <c r="D642" s="23">
        <f t="shared" si="132"/>
        <v>155</v>
      </c>
      <c r="E642" s="12">
        <v>407629</v>
      </c>
      <c r="F642" s="12">
        <v>4210</v>
      </c>
      <c r="G642" s="12">
        <v>400836</v>
      </c>
      <c r="H642" s="23">
        <f t="shared" ref="H642:H658" si="144">E642-F642-G642</f>
        <v>2583</v>
      </c>
      <c r="I642" s="23">
        <f t="shared" si="141"/>
        <v>3790</v>
      </c>
      <c r="J642" s="12">
        <v>2467839</v>
      </c>
      <c r="K642" s="23">
        <f t="shared" si="143"/>
        <v>2060210</v>
      </c>
      <c r="L642" s="23">
        <f t="shared" si="140"/>
        <v>186</v>
      </c>
      <c r="M642" s="14">
        <f t="shared" ref="M642:M658" si="145">F642/E642</f>
        <v>1.0328018860287173E-2</v>
      </c>
      <c r="N642" s="14">
        <f t="shared" si="139"/>
        <v>4.0897097625329816E-2</v>
      </c>
      <c r="O642" s="12"/>
      <c r="P642" s="12"/>
      <c r="Q642" s="12"/>
      <c r="R642" s="23">
        <f t="shared" ref="R642:R658" si="146">F642+G642</f>
        <v>405046</v>
      </c>
      <c r="S642" s="25">
        <f>(((H642+R642)/(H641+R641))-1)+detalle!$D$1</f>
        <v>7.1808963797164199E-2</v>
      </c>
      <c r="T642" s="25">
        <f t="shared" si="134"/>
        <v>1.0053254931602988</v>
      </c>
      <c r="U642" s="10">
        <f t="shared" ref="U642:U658" si="147">G642/E642</f>
        <v>0.98333533678909013</v>
      </c>
      <c r="V642" s="21">
        <f t="shared" si="138"/>
        <v>95.210451306413304</v>
      </c>
      <c r="W642" s="15">
        <f>J642/detalle!$D$2</f>
        <v>225157.12987678777</v>
      </c>
      <c r="X642" s="15">
        <f>E642/detalle!$D$2</f>
        <v>37190.665879964261</v>
      </c>
      <c r="Y642" s="15">
        <f>F642/detalle!$D$2</f>
        <v>384.10589863490952</v>
      </c>
      <c r="AA642" s="14">
        <f>E642/(detalle!$D$2*1000000)</f>
        <v>3.7190665879964259E-2</v>
      </c>
      <c r="AB642" s="14">
        <f>F642/(detalle!$D$2*1000000)</f>
        <v>3.8410589863490952E-4</v>
      </c>
      <c r="AC642" s="31">
        <f>167/585</f>
        <v>0.28547008547008546</v>
      </c>
      <c r="AD642" s="31">
        <f>357/2261</f>
        <v>0.15789473684210525</v>
      </c>
      <c r="AE642" s="31">
        <f>98/469</f>
        <v>0.20895522388059701</v>
      </c>
      <c r="AF642" s="22">
        <f t="shared" si="135"/>
        <v>0</v>
      </c>
      <c r="AG642" s="12">
        <v>6879735</v>
      </c>
      <c r="AH642" s="12">
        <v>5608755</v>
      </c>
      <c r="AI642" s="12">
        <v>1344161</v>
      </c>
      <c r="AJ642" s="23">
        <f t="shared" si="136"/>
        <v>15714</v>
      </c>
      <c r="AK642" s="23">
        <f t="shared" si="142"/>
        <v>13832651</v>
      </c>
      <c r="AL642" s="28">
        <f>AK642/detalle!$D$2</f>
        <v>1262043.4306076199</v>
      </c>
    </row>
    <row r="643" spans="1:38">
      <c r="A643" s="12">
        <v>642</v>
      </c>
      <c r="B643" s="19">
        <v>44532</v>
      </c>
      <c r="C643" s="12">
        <v>623</v>
      </c>
      <c r="D643" s="23">
        <f t="shared" ref="D643:D659" si="148">E643-E642</f>
        <v>289</v>
      </c>
      <c r="E643" s="12">
        <v>407918</v>
      </c>
      <c r="F643" s="12">
        <v>4212</v>
      </c>
      <c r="G643" s="12">
        <v>401475</v>
      </c>
      <c r="H643" s="23">
        <f t="shared" si="144"/>
        <v>2231</v>
      </c>
      <c r="I643" s="23">
        <f t="shared" si="141"/>
        <v>5254</v>
      </c>
      <c r="J643" s="12">
        <v>2473093</v>
      </c>
      <c r="K643" s="23">
        <f t="shared" si="143"/>
        <v>2065175</v>
      </c>
      <c r="L643" s="23">
        <f t="shared" si="140"/>
        <v>639</v>
      </c>
      <c r="M643" s="14">
        <f t="shared" si="145"/>
        <v>1.0325604655837694E-2</v>
      </c>
      <c r="N643" s="14">
        <f t="shared" si="139"/>
        <v>5.5005709935287403E-2</v>
      </c>
      <c r="O643" s="12"/>
      <c r="P643" s="12"/>
      <c r="Q643" s="12"/>
      <c r="R643" s="23">
        <f t="shared" si="146"/>
        <v>405687</v>
      </c>
      <c r="S643" s="25">
        <f>(((H643+R643)/(H642+R642))-1)+detalle!$D$1</f>
        <v>7.2137549445346477E-2</v>
      </c>
      <c r="T643" s="25">
        <f t="shared" ref="T643:T659" si="149">S643*14</f>
        <v>1.0099256922348507</v>
      </c>
      <c r="U643" s="10">
        <f t="shared" si="147"/>
        <v>0.98420515887997095</v>
      </c>
      <c r="V643" s="21">
        <f t="shared" si="138"/>
        <v>95.316951566951573</v>
      </c>
      <c r="W643" s="15">
        <f>J643/detalle!$D$2</f>
        <v>225636.48673935971</v>
      </c>
      <c r="X643" s="15">
        <f>E643/detalle!$D$2</f>
        <v>37217.033244502381</v>
      </c>
      <c r="Y643" s="15">
        <f>F643/detalle!$D$2</f>
        <v>384.28837174590001</v>
      </c>
      <c r="AA643" s="14">
        <f>E643/(detalle!$D$2*1000000)</f>
        <v>3.721703324450238E-2</v>
      </c>
      <c r="AB643" s="14">
        <f>F643/(detalle!$D$2*1000000)</f>
        <v>3.842883717459E-4</v>
      </c>
      <c r="AC643" s="31">
        <f>165/585</f>
        <v>0.28205128205128205</v>
      </c>
      <c r="AD643" s="31">
        <f>339/2261</f>
        <v>0.14993365767359576</v>
      </c>
      <c r="AE643" s="31">
        <f>96/469</f>
        <v>0.20469083155650319</v>
      </c>
      <c r="AF643" s="22">
        <f t="shared" ref="AF643:AF665" si="150">F643-F642</f>
        <v>2</v>
      </c>
      <c r="AG643" s="12">
        <v>6881125</v>
      </c>
      <c r="AH643" s="12">
        <v>5610578</v>
      </c>
      <c r="AI643" s="12">
        <v>1348899</v>
      </c>
      <c r="AJ643" s="23">
        <f t="shared" ref="AJ643:AJ659" si="151">AK643-AK642</f>
        <v>7951</v>
      </c>
      <c r="AK643" s="23">
        <f t="shared" si="142"/>
        <v>13840602</v>
      </c>
      <c r="AL643" s="28">
        <f>AK643/detalle!$D$2</f>
        <v>1262768.8524603625</v>
      </c>
    </row>
    <row r="644" spans="1:38">
      <c r="A644" s="12">
        <v>643</v>
      </c>
      <c r="B644" s="19">
        <v>44533</v>
      </c>
      <c r="C644" s="12">
        <v>624</v>
      </c>
      <c r="D644" s="23">
        <f t="shared" si="148"/>
        <v>327</v>
      </c>
      <c r="E644" s="12">
        <v>408245</v>
      </c>
      <c r="F644" s="12">
        <v>4212</v>
      </c>
      <c r="G644" s="12">
        <v>401716</v>
      </c>
      <c r="H644" s="23">
        <f t="shared" si="144"/>
        <v>2317</v>
      </c>
      <c r="I644" s="23">
        <f t="shared" si="141"/>
        <v>3966</v>
      </c>
      <c r="J644" s="12">
        <v>2477059</v>
      </c>
      <c r="K644" s="23">
        <f t="shared" si="143"/>
        <v>2068814</v>
      </c>
      <c r="L644" s="23">
        <f t="shared" si="140"/>
        <v>241</v>
      </c>
      <c r="M644" s="14">
        <f t="shared" si="145"/>
        <v>1.0317333953875737E-2</v>
      </c>
      <c r="N644" s="14">
        <f t="shared" si="139"/>
        <v>8.2450832072617247E-2</v>
      </c>
      <c r="O644" s="12"/>
      <c r="P644" s="12"/>
      <c r="Q644" s="12"/>
      <c r="R644" s="23">
        <f t="shared" si="146"/>
        <v>405928</v>
      </c>
      <c r="S644" s="25">
        <f>(((H644+R644)/(H643+R643))-1)+detalle!$D$1</f>
        <v>7.2230203129060283E-2</v>
      </c>
      <c r="T644" s="25">
        <f t="shared" si="149"/>
        <v>1.011222843806844</v>
      </c>
      <c r="U644" s="10">
        <f t="shared" si="147"/>
        <v>0.98400715256769833</v>
      </c>
      <c r="V644" s="21">
        <f t="shared" si="138"/>
        <v>95.37416904083571</v>
      </c>
      <c r="W644" s="15">
        <f>J644/detalle!$D$2</f>
        <v>225998.33091845378</v>
      </c>
      <c r="X644" s="15">
        <f>E644/detalle!$D$2</f>
        <v>37246.867598149322</v>
      </c>
      <c r="Y644" s="15">
        <f>F644/detalle!$D$2</f>
        <v>384.28837174590001</v>
      </c>
      <c r="AA644" s="14">
        <f>E644/(detalle!$D$2*1000000)</f>
        <v>3.7246867598149318E-2</v>
      </c>
      <c r="AB644" s="14">
        <f>F644/(detalle!$D$2*1000000)</f>
        <v>3.842883717459E-4</v>
      </c>
      <c r="AC644" s="31">
        <f>156/585</f>
        <v>0.26666666666666666</v>
      </c>
      <c r="AD644" s="31">
        <f>339/2261</f>
        <v>0.14993365767359576</v>
      </c>
      <c r="AE644" s="31">
        <f>95/469</f>
        <v>0.20255863539445629</v>
      </c>
      <c r="AF644" s="22">
        <f t="shared" si="150"/>
        <v>0</v>
      </c>
      <c r="AG644" s="12">
        <v>6889377</v>
      </c>
      <c r="AH644" s="12">
        <v>5617498</v>
      </c>
      <c r="AI644" s="12">
        <v>1354078</v>
      </c>
      <c r="AJ644" s="23">
        <f t="shared" si="151"/>
        <v>20351</v>
      </c>
      <c r="AK644" s="23">
        <f t="shared" si="142"/>
        <v>13860953</v>
      </c>
      <c r="AL644" s="28">
        <f>AK644/detalle!$D$2</f>
        <v>1264625.6076012459</v>
      </c>
    </row>
    <row r="645" spans="1:38">
      <c r="A645" s="12">
        <v>644</v>
      </c>
      <c r="B645" s="19">
        <v>44534</v>
      </c>
      <c r="C645" s="12">
        <v>625</v>
      </c>
      <c r="D645" s="23">
        <f t="shared" si="148"/>
        <v>271</v>
      </c>
      <c r="E645" s="12">
        <v>408516</v>
      </c>
      <c r="F645" s="12">
        <v>4212</v>
      </c>
      <c r="G645" s="12">
        <v>402191</v>
      </c>
      <c r="H645" s="23">
        <f t="shared" si="144"/>
        <v>2113</v>
      </c>
      <c r="I645" s="23">
        <f t="shared" si="141"/>
        <v>3372</v>
      </c>
      <c r="J645" s="12">
        <v>2480431</v>
      </c>
      <c r="K645" s="23">
        <f t="shared" si="143"/>
        <v>2071915</v>
      </c>
      <c r="L645" s="23">
        <f t="shared" si="140"/>
        <v>475</v>
      </c>
      <c r="M645" s="14">
        <f t="shared" si="145"/>
        <v>1.0310489674823018E-2</v>
      </c>
      <c r="N645" s="14">
        <f t="shared" si="139"/>
        <v>8.0367734282325035E-2</v>
      </c>
      <c r="O645" s="12"/>
      <c r="P645" s="12"/>
      <c r="Q645" s="12"/>
      <c r="R645" s="23">
        <f t="shared" si="146"/>
        <v>406403</v>
      </c>
      <c r="S645" s="25">
        <f>(((H645+R645)/(H644+R644))-1)+detalle!$D$1</f>
        <v>7.2092388499203103E-2</v>
      </c>
      <c r="T645" s="25">
        <f t="shared" si="149"/>
        <v>1.0092934389888435</v>
      </c>
      <c r="U645" s="10">
        <f t="shared" si="147"/>
        <v>0.98451713029599819</v>
      </c>
      <c r="V645" s="21">
        <f t="shared" si="138"/>
        <v>95.486942070275404</v>
      </c>
      <c r="W645" s="15">
        <f>J645/detalle!$D$2</f>
        <v>226305.98058358367</v>
      </c>
      <c r="X645" s="15">
        <f>E645/detalle!$D$2</f>
        <v>37271.592704688526</v>
      </c>
      <c r="Y645" s="15">
        <f>F645/detalle!$D$2</f>
        <v>384.28837174590001</v>
      </c>
      <c r="AA645" s="14">
        <f>E645/(detalle!$D$2*1000000)</f>
        <v>3.7271592704688529E-2</v>
      </c>
      <c r="AB645" s="14">
        <f>F645/(detalle!$D$2*1000000)</f>
        <v>3.842883717459E-4</v>
      </c>
      <c r="AC645" s="31">
        <f>155/585</f>
        <v>0.26495726495726496</v>
      </c>
      <c r="AD645" s="31">
        <f>337/2261</f>
        <v>0.14904909332153915</v>
      </c>
      <c r="AE645" s="31">
        <f>98/469</f>
        <v>0.20895522388059701</v>
      </c>
      <c r="AF645" s="22">
        <f t="shared" si="150"/>
        <v>0</v>
      </c>
      <c r="AG645" s="12">
        <v>6890583</v>
      </c>
      <c r="AH645" s="12">
        <v>5619966</v>
      </c>
      <c r="AI645" s="12">
        <v>1356217</v>
      </c>
      <c r="AJ645" s="23">
        <f t="shared" si="151"/>
        <v>5813</v>
      </c>
      <c r="AK645" s="23">
        <f t="shared" si="142"/>
        <v>13866766</v>
      </c>
      <c r="AL645" s="28">
        <f>AK645/detalle!$D$2</f>
        <v>1265155.9656983397</v>
      </c>
    </row>
    <row r="646" spans="1:38">
      <c r="A646" s="12">
        <v>645</v>
      </c>
      <c r="B646" s="19">
        <v>44535</v>
      </c>
      <c r="C646" s="12">
        <v>626</v>
      </c>
      <c r="D646" s="23">
        <f t="shared" si="148"/>
        <v>232</v>
      </c>
      <c r="E646" s="12">
        <v>408748</v>
      </c>
      <c r="F646" s="12">
        <v>4212</v>
      </c>
      <c r="G646" s="12">
        <v>402627</v>
      </c>
      <c r="H646" s="23">
        <f t="shared" si="144"/>
        <v>1909</v>
      </c>
      <c r="I646" s="23">
        <f t="shared" si="141"/>
        <v>3235</v>
      </c>
      <c r="J646" s="12">
        <v>2483666</v>
      </c>
      <c r="K646" s="23">
        <f t="shared" si="143"/>
        <v>2074918</v>
      </c>
      <c r="L646" s="23">
        <f t="shared" si="140"/>
        <v>436</v>
      </c>
      <c r="M646" s="14">
        <f t="shared" si="145"/>
        <v>1.0304637576208324E-2</v>
      </c>
      <c r="N646" s="14">
        <f t="shared" si="139"/>
        <v>7.1715610510046365E-2</v>
      </c>
      <c r="O646" s="12"/>
      <c r="P646" s="12"/>
      <c r="Q646" s="12"/>
      <c r="R646" s="23">
        <f t="shared" si="146"/>
        <v>406839</v>
      </c>
      <c r="S646" s="25">
        <f>(((H646+R646)/(H645+R645))-1)+detalle!$D$1</f>
        <v>7.1996480641429744E-2</v>
      </c>
      <c r="T646" s="25">
        <f t="shared" si="149"/>
        <v>1.0079507289800165</v>
      </c>
      <c r="U646" s="10">
        <f t="shared" si="147"/>
        <v>0.98502500318044373</v>
      </c>
      <c r="V646" s="21">
        <f t="shared" si="138"/>
        <v>95.590455840455846</v>
      </c>
      <c r="W646" s="15">
        <f>J646/detalle!$D$2</f>
        <v>226601.13084061074</v>
      </c>
      <c r="X646" s="15">
        <f>E646/detalle!$D$2</f>
        <v>37292.759585563421</v>
      </c>
      <c r="Y646" s="15">
        <f>F646/detalle!$D$2</f>
        <v>384.28837174590001</v>
      </c>
      <c r="AA646" s="14">
        <f>E646/(detalle!$D$2*1000000)</f>
        <v>3.7292759585563419E-2</v>
      </c>
      <c r="AB646" s="14">
        <f>F646/(detalle!$D$2*1000000)</f>
        <v>3.842883717459E-4</v>
      </c>
      <c r="AC646" s="31">
        <f>156/585</f>
        <v>0.26666666666666666</v>
      </c>
      <c r="AD646" s="31">
        <f>325/2261</f>
        <v>0.14374170720919946</v>
      </c>
      <c r="AE646" s="31">
        <f>99/469</f>
        <v>0.21108742004264391</v>
      </c>
      <c r="AF646" s="22">
        <f t="shared" si="150"/>
        <v>0</v>
      </c>
      <c r="AG646" s="12">
        <v>6891011</v>
      </c>
      <c r="AH646" s="12">
        <v>5620848</v>
      </c>
      <c r="AI646" s="12">
        <f>1356953</f>
        <v>1356953</v>
      </c>
      <c r="AJ646" s="23">
        <f t="shared" si="151"/>
        <v>2046</v>
      </c>
      <c r="AK646" s="23">
        <f t="shared" si="142"/>
        <v>13868812</v>
      </c>
      <c r="AL646" s="28">
        <f>AK646/detalle!$D$2</f>
        <v>1265342.635690883</v>
      </c>
    </row>
    <row r="647" spans="1:38">
      <c r="A647" s="12">
        <v>646</v>
      </c>
      <c r="B647" s="19">
        <v>44536</v>
      </c>
      <c r="C647" s="12">
        <v>627</v>
      </c>
      <c r="D647" s="23">
        <f t="shared" si="148"/>
        <v>254</v>
      </c>
      <c r="E647" s="12">
        <v>409002</v>
      </c>
      <c r="F647" s="12">
        <v>4212</v>
      </c>
      <c r="G647" s="12">
        <v>403254</v>
      </c>
      <c r="H647" s="23">
        <f t="shared" si="144"/>
        <v>1536</v>
      </c>
      <c r="I647" s="23">
        <f t="shared" si="141"/>
        <v>2674</v>
      </c>
      <c r="J647" s="12">
        <v>2486340</v>
      </c>
      <c r="K647" s="23">
        <f t="shared" si="143"/>
        <v>2077338</v>
      </c>
      <c r="L647" s="23">
        <f t="shared" si="140"/>
        <v>627</v>
      </c>
      <c r="M647" s="14">
        <f t="shared" si="145"/>
        <v>1.0298238150424693E-2</v>
      </c>
      <c r="N647" s="14">
        <f t="shared" si="139"/>
        <v>9.4988780852655191E-2</v>
      </c>
      <c r="O647" s="12"/>
      <c r="P647" s="12"/>
      <c r="Q647" s="12"/>
      <c r="R647" s="23">
        <f t="shared" si="146"/>
        <v>407466</v>
      </c>
      <c r="S647" s="25">
        <f>(((H647+R647)/(H646+R646))-1)+detalle!$D$1</f>
        <v>7.2049981196937313E-2</v>
      </c>
      <c r="T647" s="25">
        <f t="shared" si="149"/>
        <v>1.0086997367571224</v>
      </c>
      <c r="U647" s="10">
        <f t="shared" si="147"/>
        <v>0.98594627899130083</v>
      </c>
      <c r="V647" s="21">
        <f t="shared" si="138"/>
        <v>95.739316239316238</v>
      </c>
      <c r="W647" s="15">
        <f>J647/detalle!$D$2</f>
        <v>226845.09739000499</v>
      </c>
      <c r="X647" s="15">
        <f>E647/detalle!$D$2</f>
        <v>37315.933670659208</v>
      </c>
      <c r="Y647" s="15">
        <f>F647/detalle!$D$2</f>
        <v>384.28837174590001</v>
      </c>
      <c r="AA647" s="14">
        <f>E647/(detalle!$D$2*1000000)</f>
        <v>3.7315933670659211E-2</v>
      </c>
      <c r="AB647" s="14">
        <f>F647/(detalle!$D$2*1000000)</f>
        <v>3.842883717459E-4</v>
      </c>
      <c r="AC647" s="31">
        <f>154/585</f>
        <v>0.26324786324786326</v>
      </c>
      <c r="AD647" s="31">
        <f>326/2261</f>
        <v>0.14418398938522778</v>
      </c>
      <c r="AE647" s="31">
        <f>94/469</f>
        <v>0.20042643923240938</v>
      </c>
      <c r="AF647" s="22">
        <f t="shared" si="150"/>
        <v>0</v>
      </c>
      <c r="AG647" s="12">
        <f>6894668</f>
        <v>6894668</v>
      </c>
      <c r="AH647" s="12">
        <f>5627360</f>
        <v>5627360</v>
      </c>
      <c r="AI647" s="12">
        <v>1362000</v>
      </c>
      <c r="AJ647" s="23">
        <f t="shared" si="151"/>
        <v>15216</v>
      </c>
      <c r="AK647" s="23">
        <f t="shared" si="142"/>
        <v>13884028</v>
      </c>
      <c r="AL647" s="28">
        <f>AK647/detalle!$D$2</f>
        <v>1266730.8911192983</v>
      </c>
    </row>
    <row r="648" spans="1:38">
      <c r="A648" s="12">
        <v>647</v>
      </c>
      <c r="B648" s="19">
        <v>44537</v>
      </c>
      <c r="C648" s="12">
        <v>628</v>
      </c>
      <c r="D648" s="23">
        <f t="shared" si="148"/>
        <v>230</v>
      </c>
      <c r="E648" s="12">
        <v>409232</v>
      </c>
      <c r="F648" s="12">
        <v>4212</v>
      </c>
      <c r="G648" s="12">
        <v>403413</v>
      </c>
      <c r="H648" s="23">
        <f t="shared" si="144"/>
        <v>1607</v>
      </c>
      <c r="I648" s="23">
        <f t="shared" si="141"/>
        <v>2764</v>
      </c>
      <c r="J648" s="12">
        <v>2489104</v>
      </c>
      <c r="K648" s="23">
        <f t="shared" si="143"/>
        <v>2079872</v>
      </c>
      <c r="L648" s="23">
        <f t="shared" si="140"/>
        <v>159</v>
      </c>
      <c r="M648" s="14">
        <f t="shared" si="145"/>
        <v>1.0292450248269931E-2</v>
      </c>
      <c r="N648" s="14">
        <f t="shared" si="139"/>
        <v>8.3212735166425467E-2</v>
      </c>
      <c r="O648" s="12"/>
      <c r="P648" s="12"/>
      <c r="Q648" s="12"/>
      <c r="R648" s="23">
        <f t="shared" si="146"/>
        <v>407625</v>
      </c>
      <c r="S648" s="25">
        <f>(((H648+R648)/(H647+R647))-1)+detalle!$D$1</f>
        <v>7.1990915866984945E-2</v>
      </c>
      <c r="T648" s="25">
        <f t="shared" si="149"/>
        <v>1.0078728221377893</v>
      </c>
      <c r="U648" s="10">
        <f t="shared" si="147"/>
        <v>0.98578068186261092</v>
      </c>
      <c r="V648" s="21">
        <f t="shared" si="138"/>
        <v>95.777065527065531</v>
      </c>
      <c r="W648" s="15">
        <f>J648/detalle!$D$2</f>
        <v>227097.2752293938</v>
      </c>
      <c r="X648" s="15">
        <f>E648/detalle!$D$2</f>
        <v>37336.918078423114</v>
      </c>
      <c r="Y648" s="15">
        <f>F648/detalle!$D$2</f>
        <v>384.28837174590001</v>
      </c>
      <c r="AA648" s="14">
        <f>E648/(detalle!$D$2*1000000)</f>
        <v>3.7336918078423112E-2</v>
      </c>
      <c r="AB648" s="14">
        <f>F648/(detalle!$D$2*1000000)</f>
        <v>3.842883717459E-4</v>
      </c>
      <c r="AC648" s="31">
        <f>139/585</f>
        <v>0.2376068376068376</v>
      </c>
      <c r="AD648" s="31">
        <f>303/2261</f>
        <v>0.13401149933657674</v>
      </c>
      <c r="AE648" s="31">
        <f>96/469</f>
        <v>0.20469083155650319</v>
      </c>
      <c r="AF648" s="22">
        <f t="shared" si="150"/>
        <v>0</v>
      </c>
      <c r="AG648" s="12">
        <v>6898664</v>
      </c>
      <c r="AH648" s="12">
        <v>5633639</v>
      </c>
      <c r="AI648" s="12">
        <v>1366967</v>
      </c>
      <c r="AJ648" s="23">
        <f t="shared" si="151"/>
        <v>15242</v>
      </c>
      <c r="AK648" s="23">
        <f t="shared" si="142"/>
        <v>13899270</v>
      </c>
      <c r="AL648" s="28">
        <f>AK648/detalle!$D$2</f>
        <v>1268121.5186981566</v>
      </c>
    </row>
    <row r="649" spans="1:38">
      <c r="A649" s="12">
        <v>648</v>
      </c>
      <c r="B649" s="19">
        <v>44538</v>
      </c>
      <c r="C649" s="12">
        <v>629</v>
      </c>
      <c r="D649" s="23">
        <f t="shared" si="148"/>
        <v>258</v>
      </c>
      <c r="E649" s="12">
        <v>409490</v>
      </c>
      <c r="F649" s="12">
        <v>4214</v>
      </c>
      <c r="G649" s="12">
        <v>403534</v>
      </c>
      <c r="H649" s="23">
        <f t="shared" si="144"/>
        <v>1742</v>
      </c>
      <c r="I649" s="23">
        <f t="shared" si="141"/>
        <v>2870</v>
      </c>
      <c r="J649" s="12">
        <v>2491974</v>
      </c>
      <c r="K649" s="23">
        <f t="shared" si="143"/>
        <v>2082484</v>
      </c>
      <c r="L649" s="23">
        <f t="shared" si="140"/>
        <v>121</v>
      </c>
      <c r="M649" s="14">
        <f t="shared" si="145"/>
        <v>1.0290849593396665E-2</v>
      </c>
      <c r="N649" s="14">
        <f t="shared" si="139"/>
        <v>8.9895470383275264E-2</v>
      </c>
      <c r="O649" s="12"/>
      <c r="P649" s="12"/>
      <c r="Q649" s="12"/>
      <c r="R649" s="23">
        <f t="shared" si="146"/>
        <v>407748</v>
      </c>
      <c r="S649" s="25">
        <f>(((H649+R649)/(H648+R648))-1)+detalle!$D$1</f>
        <v>7.2059020660303147E-2</v>
      </c>
      <c r="T649" s="25">
        <f t="shared" si="149"/>
        <v>1.0088262892442441</v>
      </c>
      <c r="U649" s="10">
        <f t="shared" si="147"/>
        <v>0.98545507826808953</v>
      </c>
      <c r="V649" s="21">
        <f t="shared" si="138"/>
        <v>95.760322733744658</v>
      </c>
      <c r="W649" s="15">
        <f>J649/detalle!$D$2</f>
        <v>227359.1241436651</v>
      </c>
      <c r="X649" s="15">
        <f>E649/detalle!$D$2</f>
        <v>37360.457109740884</v>
      </c>
      <c r="Y649" s="15">
        <f>F649/detalle!$D$2</f>
        <v>384.47084485689044</v>
      </c>
      <c r="AA649" s="14">
        <f>E649/(detalle!$D$2*1000000)</f>
        <v>3.7360457109740883E-2</v>
      </c>
      <c r="AB649" s="14">
        <f>F649/(detalle!$D$2*1000000)</f>
        <v>3.8447084485689043E-4</v>
      </c>
      <c r="AC649" s="31">
        <f>129/585</f>
        <v>0.22051282051282051</v>
      </c>
      <c r="AD649" s="31">
        <f>292/2261</f>
        <v>0.12914639540026537</v>
      </c>
      <c r="AE649" s="31">
        <f>93/469</f>
        <v>0.19829424307036247</v>
      </c>
      <c r="AF649" s="22">
        <f t="shared" si="150"/>
        <v>2</v>
      </c>
      <c r="AG649" s="12">
        <v>6901796</v>
      </c>
      <c r="AH649" s="12">
        <v>5639648</v>
      </c>
      <c r="AI649" s="12">
        <v>1371547</v>
      </c>
      <c r="AJ649" s="23">
        <f t="shared" si="151"/>
        <v>13721</v>
      </c>
      <c r="AK649" s="23">
        <f t="shared" si="142"/>
        <v>13912991</v>
      </c>
      <c r="AL649" s="28">
        <f>AK649/detalle!$D$2</f>
        <v>1269373.3754761065</v>
      </c>
    </row>
    <row r="650" spans="1:38">
      <c r="A650" s="12">
        <v>649</v>
      </c>
      <c r="B650" s="19">
        <v>44539</v>
      </c>
      <c r="C650" s="12">
        <v>630</v>
      </c>
      <c r="D650" s="23">
        <f t="shared" si="148"/>
        <v>372</v>
      </c>
      <c r="E650" s="12">
        <v>409862</v>
      </c>
      <c r="F650" s="12">
        <v>4218</v>
      </c>
      <c r="G650" s="12">
        <v>403895</v>
      </c>
      <c r="H650" s="23">
        <f t="shared" si="144"/>
        <v>1749</v>
      </c>
      <c r="I650" s="23">
        <f t="shared" si="141"/>
        <v>4377</v>
      </c>
      <c r="J650" s="12">
        <v>2496351</v>
      </c>
      <c r="K650" s="23">
        <f t="shared" si="143"/>
        <v>2086489</v>
      </c>
      <c r="L650" s="23">
        <f t="shared" si="140"/>
        <v>361</v>
      </c>
      <c r="M650" s="14">
        <f t="shared" si="145"/>
        <v>1.0291268768512328E-2</v>
      </c>
      <c r="N650" s="14">
        <f t="shared" si="139"/>
        <v>8.4989718985606574E-2</v>
      </c>
      <c r="O650" s="12"/>
      <c r="P650" s="12"/>
      <c r="Q650" s="12"/>
      <c r="R650" s="23">
        <f t="shared" si="146"/>
        <v>408113</v>
      </c>
      <c r="S650" s="25">
        <f>(((H650+R650)/(H649+R649))-1)+detalle!$D$1</f>
        <v>7.233701852129662E-2</v>
      </c>
      <c r="T650" s="25">
        <f t="shared" si="149"/>
        <v>1.0127182592981527</v>
      </c>
      <c r="U650" s="10">
        <f t="shared" si="147"/>
        <v>0.98544144126559674</v>
      </c>
      <c r="V650" s="21">
        <f t="shared" si="138"/>
        <v>95.75509720246562</v>
      </c>
      <c r="W650" s="15">
        <f>J650/detalle!$D$2</f>
        <v>227758.46654706771</v>
      </c>
      <c r="X650" s="15">
        <f>E650/detalle!$D$2</f>
        <v>37394.397108385107</v>
      </c>
      <c r="Y650" s="15">
        <f>F650/detalle!$D$2</f>
        <v>384.83579107887135</v>
      </c>
      <c r="AA650" s="14">
        <f>E650/(detalle!$D$2*1000000)</f>
        <v>3.7394397108385102E-2</v>
      </c>
      <c r="AB650" s="14">
        <f>F650/(detalle!$D$2*1000000)</f>
        <v>3.8483579107887134E-4</v>
      </c>
      <c r="AC650" s="31">
        <f>116/585</f>
        <v>0.19829059829059828</v>
      </c>
      <c r="AD650" s="31">
        <f>287/2261</f>
        <v>0.12693498452012383</v>
      </c>
      <c r="AE650" s="31">
        <f>85/492</f>
        <v>0.17276422764227642</v>
      </c>
      <c r="AF650" s="22">
        <f t="shared" si="150"/>
        <v>4</v>
      </c>
      <c r="AG650" s="12">
        <v>6904694</v>
      </c>
      <c r="AH650" s="12">
        <v>5645204</v>
      </c>
      <c r="AI650" s="12">
        <v>1375881</v>
      </c>
      <c r="AJ650" s="23">
        <f t="shared" si="151"/>
        <v>12788</v>
      </c>
      <c r="AK650" s="23">
        <f t="shared" si="142"/>
        <v>13925779</v>
      </c>
      <c r="AL650" s="28">
        <f>AK650/detalle!$D$2</f>
        <v>1270540.1085477795</v>
      </c>
    </row>
    <row r="651" spans="1:38">
      <c r="A651" s="12">
        <v>650</v>
      </c>
      <c r="B651" s="19">
        <v>44540</v>
      </c>
      <c r="C651" s="12">
        <v>631</v>
      </c>
      <c r="D651" s="23">
        <f>E651-E650</f>
        <v>225</v>
      </c>
      <c r="E651" s="12">
        <v>410087</v>
      </c>
      <c r="F651" s="12">
        <v>4218</v>
      </c>
      <c r="G651" s="12">
        <v>404173</v>
      </c>
      <c r="H651" s="23">
        <f t="shared" si="144"/>
        <v>1696</v>
      </c>
      <c r="I651" s="23">
        <f t="shared" si="141"/>
        <v>3516</v>
      </c>
      <c r="J651" s="12">
        <v>2499867</v>
      </c>
      <c r="K651" s="23">
        <f t="shared" si="143"/>
        <v>2089780</v>
      </c>
      <c r="L651" s="23">
        <f t="shared" si="140"/>
        <v>278</v>
      </c>
      <c r="M651" s="14">
        <f t="shared" si="145"/>
        <v>1.028562231916642E-2</v>
      </c>
      <c r="N651" s="14">
        <f t="shared" si="139"/>
        <v>6.3993174061433442E-2</v>
      </c>
      <c r="O651" s="12"/>
      <c r="P651" s="12"/>
      <c r="Q651" s="12"/>
      <c r="R651" s="23">
        <f t="shared" si="146"/>
        <v>408391</v>
      </c>
      <c r="S651" s="25">
        <f>(((H651+R651)/(H650+R650))-1)+detalle!$D$1</f>
        <v>7.197753669004972E-2</v>
      </c>
      <c r="T651" s="25">
        <f t="shared" si="149"/>
        <v>1.0076855136606961</v>
      </c>
      <c r="U651" s="10">
        <f t="shared" si="147"/>
        <v>0.98557866989199849</v>
      </c>
      <c r="V651" s="21">
        <f t="shared" si="138"/>
        <v>95.821005215742062</v>
      </c>
      <c r="W651" s="15">
        <f>J651/detalle!$D$2</f>
        <v>228079.25427618893</v>
      </c>
      <c r="X651" s="15">
        <f>E651/detalle!$D$2</f>
        <v>37414.925333371531</v>
      </c>
      <c r="Y651" s="15">
        <f>F651/detalle!$D$2</f>
        <v>384.83579107887135</v>
      </c>
      <c r="AA651" s="14">
        <f>E651/(detalle!$D$2*1000000)</f>
        <v>3.7414925333371533E-2</v>
      </c>
      <c r="AB651" s="14">
        <f>F651/(detalle!$D$2*1000000)</f>
        <v>3.8483579107887134E-4</v>
      </c>
      <c r="AC651" s="31">
        <f>108/585</f>
        <v>0.18461538461538463</v>
      </c>
      <c r="AD651" s="31">
        <f>283/2261</f>
        <v>0.12516585581601061</v>
      </c>
      <c r="AE651" s="31">
        <f>72/487</f>
        <v>0.14784394250513347</v>
      </c>
      <c r="AF651" s="22">
        <f t="shared" si="150"/>
        <v>0</v>
      </c>
      <c r="AG651" s="12">
        <v>6910029</v>
      </c>
      <c r="AH651" s="12">
        <v>5650591</v>
      </c>
      <c r="AI651" s="12">
        <v>1379417</v>
      </c>
      <c r="AJ651" s="23">
        <f t="shared" si="151"/>
        <v>14258</v>
      </c>
      <c r="AK651" s="23">
        <f t="shared" si="142"/>
        <v>13940037</v>
      </c>
      <c r="AL651" s="28">
        <f>AK651/detalle!$D$2</f>
        <v>1271840.9593560304</v>
      </c>
    </row>
    <row r="652" spans="1:38">
      <c r="A652" s="12">
        <v>651</v>
      </c>
      <c r="B652" s="19">
        <v>44541</v>
      </c>
      <c r="C652" s="12">
        <v>632</v>
      </c>
      <c r="D652" s="23">
        <f t="shared" si="148"/>
        <v>178</v>
      </c>
      <c r="E652" s="12">
        <v>410265</v>
      </c>
      <c r="F652" s="12">
        <v>4219</v>
      </c>
      <c r="G652" s="12">
        <v>404389</v>
      </c>
      <c r="H652" s="23">
        <f t="shared" si="144"/>
        <v>1657</v>
      </c>
      <c r="I652" s="23">
        <f>J652-J651</f>
        <v>5357</v>
      </c>
      <c r="J652" s="12">
        <v>2505224</v>
      </c>
      <c r="K652" s="23">
        <f>J652-E652</f>
        <v>2094959</v>
      </c>
      <c r="L652" s="23">
        <f>G652-G651</f>
        <v>216</v>
      </c>
      <c r="M652" s="14">
        <f t="shared" si="145"/>
        <v>1.0283597187183894E-2</v>
      </c>
      <c r="N652" s="14">
        <f t="shared" si="139"/>
        <v>3.3227552734739596E-2</v>
      </c>
      <c r="O652" s="12"/>
      <c r="P652" s="12"/>
      <c r="Q652" s="12"/>
      <c r="R652" s="23">
        <f t="shared" si="146"/>
        <v>408608</v>
      </c>
      <c r="S652" s="25">
        <f>(((H652+R652)/(H651+R651))-1)+detalle!$D$1</f>
        <v>7.1862625665843033E-2</v>
      </c>
      <c r="T652" s="25">
        <f t="shared" si="149"/>
        <v>1.0060767593218025</v>
      </c>
      <c r="U652" s="10">
        <f t="shared" si="147"/>
        <v>0.98567754987629952</v>
      </c>
      <c r="V652" s="21">
        <f t="shared" si="138"/>
        <v>95.849490400568854</v>
      </c>
      <c r="W652" s="15">
        <f>J652/detalle!$D$2</f>
        <v>228568.00850397686</v>
      </c>
      <c r="X652" s="15">
        <f>E652/detalle!$D$2</f>
        <v>37431.165440249686</v>
      </c>
      <c r="Y652" s="15">
        <f>F652/detalle!$D$2</f>
        <v>384.9270276343666</v>
      </c>
      <c r="AA652" s="14">
        <f>E652/(detalle!$D$2*1000000)</f>
        <v>3.7431165440249679E-2</v>
      </c>
      <c r="AB652" s="14">
        <f>F652/(detalle!$D$2*1000000)</f>
        <v>3.8492702763436661E-4</v>
      </c>
      <c r="AC652" s="31">
        <f>110/585</f>
        <v>0.18803418803418803</v>
      </c>
      <c r="AD652" s="31">
        <f>283/2261</f>
        <v>0.12516585581601061</v>
      </c>
      <c r="AE652" s="31">
        <f>73/487</f>
        <v>0.14989733059548255</v>
      </c>
      <c r="AF652" s="22">
        <f t="shared" si="150"/>
        <v>1</v>
      </c>
      <c r="AG652" s="12">
        <v>6910906</v>
      </c>
      <c r="AH652" s="12">
        <v>5651988</v>
      </c>
      <c r="AI652" s="12">
        <v>1380926</v>
      </c>
      <c r="AJ652" s="23">
        <f t="shared" si="151"/>
        <v>3783</v>
      </c>
      <c r="AK652" s="23">
        <f t="shared" si="142"/>
        <v>13943820</v>
      </c>
      <c r="AL652" s="28">
        <f>AK652/detalle!$D$2</f>
        <v>1272186.107245469</v>
      </c>
    </row>
    <row r="653" spans="1:38">
      <c r="A653" s="12">
        <v>652</v>
      </c>
      <c r="B653" s="19">
        <v>44542</v>
      </c>
      <c r="C653" s="12">
        <v>633</v>
      </c>
      <c r="D653" s="23">
        <f t="shared" si="148"/>
        <v>147</v>
      </c>
      <c r="E653" s="12">
        <v>410412</v>
      </c>
      <c r="F653" s="12">
        <v>4219</v>
      </c>
      <c r="G653" s="12">
        <v>404634</v>
      </c>
      <c r="H653" s="23">
        <f t="shared" si="144"/>
        <v>1559</v>
      </c>
      <c r="I653" s="23">
        <f>J653-J652</f>
        <v>4117</v>
      </c>
      <c r="J653" s="12">
        <v>2509341</v>
      </c>
      <c r="K653" s="23">
        <f t="shared" si="143"/>
        <v>2098929</v>
      </c>
      <c r="L653" s="23">
        <f t="shared" si="140"/>
        <v>245</v>
      </c>
      <c r="M653" s="14">
        <f t="shared" si="145"/>
        <v>1.0279913842675166E-2</v>
      </c>
      <c r="N653" s="14">
        <f t="shared" si="139"/>
        <v>3.5705610881709982E-2</v>
      </c>
      <c r="O653" s="12"/>
      <c r="P653" s="12"/>
      <c r="Q653" s="12"/>
      <c r="R653" s="23">
        <f t="shared" si="146"/>
        <v>408853</v>
      </c>
      <c r="S653" s="25">
        <f>(((H653+R653)/(H652+R652))-1)+detalle!$D$1</f>
        <v>7.1786876426560592E-2</v>
      </c>
      <c r="T653" s="25">
        <f t="shared" si="149"/>
        <v>1.0050162699718483</v>
      </c>
      <c r="U653" s="10">
        <f t="shared" si="147"/>
        <v>0.98592146428467009</v>
      </c>
      <c r="V653" s="21">
        <f t="shared" si="138"/>
        <v>95.907561033420237</v>
      </c>
      <c r="W653" s="15">
        <f>J653/detalle!$D$2</f>
        <v>228943.62940295073</v>
      </c>
      <c r="X653" s="15">
        <f>E653/detalle!$D$2</f>
        <v>37444.577213907483</v>
      </c>
      <c r="Y653" s="15">
        <f>F653/detalle!$D$2</f>
        <v>384.9270276343666</v>
      </c>
      <c r="AA653" s="14">
        <f>E653/(detalle!$D$2*1000000)</f>
        <v>3.7444577213907482E-2</v>
      </c>
      <c r="AB653" s="14">
        <f>F653/(detalle!$D$2*1000000)</f>
        <v>3.8492702763436661E-4</v>
      </c>
      <c r="AC653" s="31">
        <f>109/585</f>
        <v>0.18632478632478633</v>
      </c>
      <c r="AD653" s="31">
        <f>280/2261</f>
        <v>0.1238390092879257</v>
      </c>
      <c r="AE653" s="31">
        <f>70/487</f>
        <v>0.14373716632443531</v>
      </c>
      <c r="AF653" s="22">
        <f t="shared" si="150"/>
        <v>0</v>
      </c>
      <c r="AG653" s="12">
        <v>6911177</v>
      </c>
      <c r="AH653" s="12">
        <v>5652556</v>
      </c>
      <c r="AI653" s="12">
        <v>1381462</v>
      </c>
      <c r="AJ653" s="23">
        <f t="shared" si="151"/>
        <v>1375</v>
      </c>
      <c r="AK653" s="23">
        <f t="shared" si="142"/>
        <v>13945195</v>
      </c>
      <c r="AL653" s="28">
        <f>AK653/detalle!$D$2</f>
        <v>1272311.5575092749</v>
      </c>
    </row>
    <row r="654" spans="1:38">
      <c r="A654" s="12">
        <v>653</v>
      </c>
      <c r="B654" s="19">
        <v>44543</v>
      </c>
      <c r="C654" s="12">
        <v>634</v>
      </c>
      <c r="D654" s="23">
        <f t="shared" si="148"/>
        <v>308</v>
      </c>
      <c r="E654" s="12">
        <v>410720</v>
      </c>
      <c r="F654" s="12">
        <v>4220</v>
      </c>
      <c r="G654" s="12">
        <v>404942</v>
      </c>
      <c r="H654" s="23">
        <f t="shared" si="144"/>
        <v>1558</v>
      </c>
      <c r="I654" s="23">
        <f t="shared" si="141"/>
        <v>2946</v>
      </c>
      <c r="J654" s="12">
        <v>2512287</v>
      </c>
      <c r="K654" s="23">
        <f>J654-E654</f>
        <v>2101567</v>
      </c>
      <c r="L654" s="23">
        <f t="shared" si="140"/>
        <v>308</v>
      </c>
      <c r="M654" s="14">
        <f t="shared" si="145"/>
        <v>1.0274639657187378E-2</v>
      </c>
      <c r="N654" s="14">
        <f t="shared" si="139"/>
        <v>0.10454854039375425</v>
      </c>
      <c r="O654" s="12"/>
      <c r="P654" s="12"/>
      <c r="Q654" s="12"/>
      <c r="R654" s="23">
        <f t="shared" si="146"/>
        <v>409162</v>
      </c>
      <c r="S654" s="25">
        <f>(((H654+R654)/(H653+R653))-1)+detalle!$D$1</f>
        <v>7.2179036814573855E-2</v>
      </c>
      <c r="T654" s="25">
        <f t="shared" si="149"/>
        <v>1.010506515404034</v>
      </c>
      <c r="U654" s="10">
        <f t="shared" si="147"/>
        <v>0.98593202181534867</v>
      </c>
      <c r="V654" s="21">
        <f t="shared" si="138"/>
        <v>95.95781990521327</v>
      </c>
      <c r="W654" s="15">
        <f>J654/detalle!$D$2</f>
        <v>229212.41229543966</v>
      </c>
      <c r="X654" s="15">
        <f>E654/detalle!$D$2</f>
        <v>37472.67807300001</v>
      </c>
      <c r="Y654" s="15">
        <f>F654/detalle!$D$2</f>
        <v>385.01826418986184</v>
      </c>
      <c r="AA654" s="14">
        <f>E654/(detalle!$D$2*1000000)</f>
        <v>3.7472678073000011E-2</v>
      </c>
      <c r="AB654" s="14">
        <f>F654/(detalle!$D$2*1000000)</f>
        <v>3.8501826418986182E-4</v>
      </c>
      <c r="AC654" s="31">
        <f>102/585</f>
        <v>0.17435897435897435</v>
      </c>
      <c r="AD654" s="31">
        <f>245/2261</f>
        <v>0.10835913312693499</v>
      </c>
      <c r="AE654" s="31">
        <f>70/484</f>
        <v>0.14462809917355371</v>
      </c>
      <c r="AF654" s="22">
        <f t="shared" si="150"/>
        <v>1</v>
      </c>
      <c r="AG654" s="12">
        <v>6912228</v>
      </c>
      <c r="AH654" s="12">
        <v>5657819</v>
      </c>
      <c r="AI654" s="12">
        <v>1384666</v>
      </c>
      <c r="AJ654" s="23">
        <f t="shared" si="151"/>
        <v>9518</v>
      </c>
      <c r="AK654" s="23">
        <f t="shared" si="142"/>
        <v>13954713</v>
      </c>
      <c r="AL654" s="28">
        <f>AK654/detalle!$D$2</f>
        <v>1273179.9470444785</v>
      </c>
    </row>
    <row r="655" spans="1:38">
      <c r="A655" s="12">
        <v>654</v>
      </c>
      <c r="B655" s="19">
        <v>44544</v>
      </c>
      <c r="C655" s="12">
        <v>635</v>
      </c>
      <c r="D655" s="23">
        <f t="shared" si="148"/>
        <v>206</v>
      </c>
      <c r="E655" s="12">
        <v>410926</v>
      </c>
      <c r="F655" s="12">
        <v>4220</v>
      </c>
      <c r="G655" s="12">
        <v>405078</v>
      </c>
      <c r="H655" s="23">
        <f t="shared" si="144"/>
        <v>1628</v>
      </c>
      <c r="I655" s="23">
        <f t="shared" si="141"/>
        <v>2781</v>
      </c>
      <c r="J655" s="12">
        <v>2515068</v>
      </c>
      <c r="K655" s="23">
        <f t="shared" si="143"/>
        <v>2104142</v>
      </c>
      <c r="L655" s="23">
        <f t="shared" si="140"/>
        <v>136</v>
      </c>
      <c r="M655" s="14">
        <f t="shared" si="145"/>
        <v>1.0269488910412093E-2</v>
      </c>
      <c r="N655" s="14">
        <f t="shared" si="139"/>
        <v>7.407407407407407E-2</v>
      </c>
      <c r="O655" s="12"/>
      <c r="P655" s="12"/>
      <c r="Q655" s="12"/>
      <c r="R655" s="23">
        <f t="shared" si="146"/>
        <v>409298</v>
      </c>
      <c r="S655" s="25">
        <f>(((H655+R655)/(H654+R654))-1)+detalle!$D$1</f>
        <v>7.193012966776105E-2</v>
      </c>
      <c r="T655" s="25">
        <f t="shared" si="149"/>
        <v>1.0070218153486548</v>
      </c>
      <c r="U655" s="10">
        <f t="shared" si="147"/>
        <v>0.98576872721609243</v>
      </c>
      <c r="V655" s="21">
        <f t="shared" si="138"/>
        <v>95.990047393364932</v>
      </c>
      <c r="W655" s="15">
        <f>J655/detalle!$D$2</f>
        <v>229466.14115627189</v>
      </c>
      <c r="X655" s="15">
        <f>E655/detalle!$D$2</f>
        <v>37491.472803432029</v>
      </c>
      <c r="Y655" s="15">
        <f>F655/detalle!$D$2</f>
        <v>385.01826418986184</v>
      </c>
      <c r="AA655" s="14">
        <f>E655/(detalle!$D$2*1000000)</f>
        <v>3.7491472803432027E-2</v>
      </c>
      <c r="AB655" s="14">
        <f>F655/(detalle!$D$2*1000000)</f>
        <v>3.8501826418986182E-4</v>
      </c>
      <c r="AC655" s="31">
        <f>96/585</f>
        <v>0.1641025641025641</v>
      </c>
      <c r="AD655" s="31">
        <f>254/2261</f>
        <v>0.11233967271118973</v>
      </c>
      <c r="AE655" s="31">
        <f>74/478</f>
        <v>0.15481171548117154</v>
      </c>
      <c r="AF655" s="22">
        <f t="shared" si="150"/>
        <v>0</v>
      </c>
      <c r="AG655" s="12">
        <v>6914602</v>
      </c>
      <c r="AH655" s="12">
        <v>5662746</v>
      </c>
      <c r="AI655" s="12">
        <v>1388314</v>
      </c>
      <c r="AJ655" s="23">
        <f t="shared" si="151"/>
        <v>10949</v>
      </c>
      <c r="AK655" s="23">
        <f t="shared" si="142"/>
        <v>13965662</v>
      </c>
      <c r="AL655" s="28">
        <f>AK655/detalle!$D$2</f>
        <v>1274178.8960905958</v>
      </c>
    </row>
    <row r="656" spans="1:38">
      <c r="A656" s="12">
        <v>655</v>
      </c>
      <c r="B656" s="19">
        <v>44545</v>
      </c>
      <c r="C656" s="12">
        <v>636</v>
      </c>
      <c r="D656" s="23">
        <f t="shared" si="148"/>
        <v>88</v>
      </c>
      <c r="E656" s="12">
        <v>411014</v>
      </c>
      <c r="F656" s="12">
        <v>4220</v>
      </c>
      <c r="G656" s="12">
        <v>405155</v>
      </c>
      <c r="H656" s="23">
        <f t="shared" si="144"/>
        <v>1639</v>
      </c>
      <c r="I656" s="23">
        <f t="shared" si="141"/>
        <v>4161</v>
      </c>
      <c r="J656" s="12">
        <v>2519229</v>
      </c>
      <c r="K656" s="23">
        <f t="shared" si="143"/>
        <v>2108215</v>
      </c>
      <c r="L656" s="23">
        <f t="shared" si="140"/>
        <v>77</v>
      </c>
      <c r="M656" s="14">
        <f t="shared" si="145"/>
        <v>1.0267290165298506E-2</v>
      </c>
      <c r="N656" s="14">
        <f t="shared" si="139"/>
        <v>2.114876231675078E-2</v>
      </c>
      <c r="O656" s="12"/>
      <c r="P656" s="12"/>
      <c r="Q656" s="12"/>
      <c r="R656" s="23">
        <f t="shared" si="146"/>
        <v>409375</v>
      </c>
      <c r="S656" s="25">
        <f>(((H656+R656)/(H655+R655))-1)+detalle!$D$1</f>
        <v>7.1642721908219881E-2</v>
      </c>
      <c r="T656" s="25">
        <f t="shared" si="149"/>
        <v>1.0029981067150784</v>
      </c>
      <c r="U656" s="10">
        <f t="shared" si="147"/>
        <v>0.98574501111884272</v>
      </c>
      <c r="V656" s="21">
        <f t="shared" si="138"/>
        <v>96.008293838862556</v>
      </c>
      <c r="W656" s="15">
        <f>J656/detalle!$D$2</f>
        <v>229845.77646368754</v>
      </c>
      <c r="X656" s="15">
        <f>E656/detalle!$D$2</f>
        <v>37499.501620315612</v>
      </c>
      <c r="Y656" s="15">
        <f>F656/detalle!$D$2</f>
        <v>385.01826418986184</v>
      </c>
      <c r="AA656" s="14">
        <f>E656/(detalle!$D$2*1000000)</f>
        <v>3.7499501620315609E-2</v>
      </c>
      <c r="AB656" s="14">
        <f>F656/(detalle!$D$2*1000000)</f>
        <v>3.8501826418986182E-4</v>
      </c>
      <c r="AC656" s="31">
        <f>94/585</f>
        <v>0.1606837606837607</v>
      </c>
      <c r="AD656" s="31">
        <f>247/2261</f>
        <v>0.1092436974789916</v>
      </c>
      <c r="AE656" s="31">
        <f>74/473</f>
        <v>0.15644820295983086</v>
      </c>
      <c r="AF656" s="22">
        <f t="shared" si="150"/>
        <v>0</v>
      </c>
      <c r="AG656" s="12">
        <v>6916929</v>
      </c>
      <c r="AH656" s="12">
        <v>5667100</v>
      </c>
      <c r="AI656" s="12">
        <v>1391524</v>
      </c>
      <c r="AJ656" s="23">
        <f t="shared" si="151"/>
        <v>9891</v>
      </c>
      <c r="AK656" s="23">
        <f t="shared" si="142"/>
        <v>13975553</v>
      </c>
      <c r="AL656" s="28">
        <f>AK656/detalle!$D$2</f>
        <v>1275081.316860999</v>
      </c>
    </row>
    <row r="657" spans="1:38">
      <c r="A657" s="12">
        <v>656</v>
      </c>
      <c r="B657" s="19">
        <v>44546</v>
      </c>
      <c r="C657" s="12">
        <v>637</v>
      </c>
      <c r="D657" s="23">
        <f t="shared" si="148"/>
        <v>252</v>
      </c>
      <c r="E657" s="12">
        <v>411266</v>
      </c>
      <c r="F657" s="12">
        <v>4222</v>
      </c>
      <c r="G657" s="12">
        <v>405494</v>
      </c>
      <c r="H657" s="23">
        <f t="shared" si="144"/>
        <v>1550</v>
      </c>
      <c r="I657" s="23">
        <f t="shared" si="141"/>
        <v>4244</v>
      </c>
      <c r="J657" s="12">
        <v>2523473</v>
      </c>
      <c r="K657" s="23">
        <f t="shared" si="143"/>
        <v>2112207</v>
      </c>
      <c r="L657" s="23">
        <f t="shared" si="140"/>
        <v>339</v>
      </c>
      <c r="M657" s="14">
        <f t="shared" si="145"/>
        <v>1.0265861996858481E-2</v>
      </c>
      <c r="N657" s="14">
        <f t="shared" si="139"/>
        <v>5.937794533459001E-2</v>
      </c>
      <c r="O657" s="12"/>
      <c r="P657" s="12"/>
      <c r="Q657" s="12"/>
      <c r="R657" s="23">
        <f t="shared" si="146"/>
        <v>409716</v>
      </c>
      <c r="S657" s="25">
        <f>(((H657+R657)/(H656+R656))-1)+detalle!$D$1</f>
        <v>7.2041689229911415E-2</v>
      </c>
      <c r="T657" s="25">
        <f t="shared" si="149"/>
        <v>1.0085836492187599</v>
      </c>
      <c r="U657" s="10">
        <f t="shared" si="147"/>
        <v>0.98596528767269842</v>
      </c>
      <c r="V657" s="21">
        <f t="shared" si="138"/>
        <v>96.043107531975366</v>
      </c>
      <c r="W657" s="15">
        <f>J657/detalle!$D$2</f>
        <v>230232.98440520928</v>
      </c>
      <c r="X657" s="15">
        <f>E657/detalle!$D$2</f>
        <v>37522.493232300403</v>
      </c>
      <c r="Y657" s="15">
        <f>F657/detalle!$D$2</f>
        <v>385.20073730085227</v>
      </c>
      <c r="AA657" s="14">
        <f>E657/(detalle!$D$2*1000000)</f>
        <v>3.7522493232300405E-2</v>
      </c>
      <c r="AB657" s="14">
        <f>F657/(detalle!$D$2*1000000)</f>
        <v>3.8520073730085225E-4</v>
      </c>
      <c r="AC657" s="31">
        <f>89/585</f>
        <v>0.15213675213675212</v>
      </c>
      <c r="AD657" s="31">
        <f>240/2261</f>
        <v>0.10614772224679346</v>
      </c>
      <c r="AE657" s="31">
        <f>71/469</f>
        <v>0.1513859275053305</v>
      </c>
      <c r="AF657" s="22">
        <f t="shared" si="150"/>
        <v>2</v>
      </c>
      <c r="AG657" s="12">
        <v>6919616</v>
      </c>
      <c r="AH657" s="12">
        <v>5672049</v>
      </c>
      <c r="AI657" s="12">
        <v>1394728</v>
      </c>
      <c r="AJ657" s="23">
        <f t="shared" si="151"/>
        <v>10840</v>
      </c>
      <c r="AK657" s="23">
        <f t="shared" si="142"/>
        <v>13986393</v>
      </c>
      <c r="AL657" s="28">
        <f>AK657/detalle!$D$2</f>
        <v>1276070.3211225674</v>
      </c>
    </row>
    <row r="658" spans="1:38">
      <c r="A658" s="12">
        <v>657</v>
      </c>
      <c r="B658" s="19">
        <v>44547</v>
      </c>
      <c r="C658" s="12">
        <v>638</v>
      </c>
      <c r="D658" s="23">
        <f t="shared" si="148"/>
        <v>183</v>
      </c>
      <c r="E658" s="12">
        <v>411449</v>
      </c>
      <c r="F658" s="12">
        <v>4223</v>
      </c>
      <c r="G658" s="12">
        <v>405807</v>
      </c>
      <c r="H658" s="23">
        <f t="shared" si="144"/>
        <v>1419</v>
      </c>
      <c r="I658" s="23">
        <f t="shared" si="141"/>
        <v>2160</v>
      </c>
      <c r="J658" s="12">
        <v>2525633</v>
      </c>
      <c r="K658" s="23">
        <f t="shared" si="143"/>
        <v>2114184</v>
      </c>
      <c r="L658" s="23">
        <f t="shared" si="140"/>
        <v>313</v>
      </c>
      <c r="M658" s="14">
        <f t="shared" si="145"/>
        <v>1.0263726488580602E-2</v>
      </c>
      <c r="N658" s="14">
        <f t="shared" si="139"/>
        <v>8.4722222222222227E-2</v>
      </c>
      <c r="O658" s="12"/>
      <c r="P658" s="12"/>
      <c r="Q658" s="12"/>
      <c r="R658" s="23">
        <f t="shared" si="146"/>
        <v>410030</v>
      </c>
      <c r="S658" s="25">
        <f>(((H658+R658)/(H657+R657))-1)+detalle!$D$1</f>
        <v>7.1873538919198038E-2</v>
      </c>
      <c r="T658" s="25">
        <f t="shared" si="149"/>
        <v>1.0062295448687726</v>
      </c>
      <c r="U658" s="10">
        <f t="shared" si="147"/>
        <v>0.98628748641994513</v>
      </c>
      <c r="V658" s="21">
        <f t="shared" si="138"/>
        <v>96.094482595311391</v>
      </c>
      <c r="W658" s="15">
        <f>J658/detalle!$D$2</f>
        <v>230430.05536507897</v>
      </c>
      <c r="X658" s="15">
        <f>E658/detalle!$D$2</f>
        <v>37539.189521956032</v>
      </c>
      <c r="Y658" s="15">
        <f>F658/detalle!$D$2</f>
        <v>385.29197385634751</v>
      </c>
      <c r="AA658" s="14">
        <f>E658/(detalle!$D$2*1000000)</f>
        <v>3.7539189521956035E-2</v>
      </c>
      <c r="AB658" s="14">
        <f>F658/(detalle!$D$2*1000000)</f>
        <v>3.8529197385634751E-4</v>
      </c>
      <c r="AC658" s="31">
        <f>97/585</f>
        <v>0.16581196581196581</v>
      </c>
      <c r="AD658" s="31">
        <f>239/2261</f>
        <v>0.10570544007076514</v>
      </c>
      <c r="AE658" s="31">
        <f>77/469</f>
        <v>0.16417910447761194</v>
      </c>
      <c r="AF658" s="22">
        <f t="shared" si="150"/>
        <v>1</v>
      </c>
      <c r="AG658" s="12">
        <v>6922834</v>
      </c>
      <c r="AH658" s="12">
        <v>5677283</v>
      </c>
      <c r="AI658" s="12">
        <v>1398044</v>
      </c>
      <c r="AJ658" s="23">
        <f t="shared" si="151"/>
        <v>11768</v>
      </c>
      <c r="AK658" s="23">
        <f t="shared" si="142"/>
        <v>13998161</v>
      </c>
      <c r="AL658" s="28">
        <f>AK658/detalle!$D$2</f>
        <v>1277143.9929076352</v>
      </c>
    </row>
    <row r="659" spans="1:38">
      <c r="A659" s="12">
        <v>658</v>
      </c>
      <c r="B659" s="19">
        <v>44548</v>
      </c>
      <c r="C659" s="12">
        <v>639</v>
      </c>
      <c r="D659" s="23">
        <f t="shared" si="148"/>
        <v>272</v>
      </c>
      <c r="E659" s="12">
        <v>411721</v>
      </c>
      <c r="F659" s="12">
        <v>4223</v>
      </c>
      <c r="G659" s="12">
        <v>406041</v>
      </c>
      <c r="H659" s="23">
        <f t="shared" ref="H659" si="152">E659-F659-G659</f>
        <v>1457</v>
      </c>
      <c r="I659" s="23">
        <f t="shared" si="141"/>
        <v>3785</v>
      </c>
      <c r="J659" s="12">
        <v>2529418</v>
      </c>
      <c r="K659" s="23">
        <f t="shared" ref="K659" si="153">J659-E659</f>
        <v>2117697</v>
      </c>
      <c r="L659" s="23">
        <f t="shared" si="140"/>
        <v>234</v>
      </c>
      <c r="M659" s="14">
        <f t="shared" ref="M659" si="154">F659/E659</f>
        <v>1.0256945844394627E-2</v>
      </c>
      <c r="N659" s="14">
        <f t="shared" ref="N659" si="155">D659/I659</f>
        <v>7.1862615587846762E-2</v>
      </c>
      <c r="O659" s="12"/>
      <c r="P659" s="12"/>
      <c r="Q659" s="12"/>
      <c r="R659" s="23">
        <f t="shared" ref="R659" si="156">F659+G659</f>
        <v>410264</v>
      </c>
      <c r="S659" s="25">
        <f>(((H659+R659)/(H658+R658))-1)+detalle!$D$1</f>
        <v>7.2089649715309206E-2</v>
      </c>
      <c r="T659" s="25">
        <f t="shared" si="149"/>
        <v>1.0092550960143289</v>
      </c>
      <c r="U659" s="10">
        <f t="shared" ref="U659" si="157">G659/E659</f>
        <v>0.98620424996538913</v>
      </c>
      <c r="V659" s="21">
        <f t="shared" ref="V659" si="158">G659/F659</f>
        <v>96.149893440681979</v>
      </c>
      <c r="W659" s="15">
        <f>J659/detalle!$D$2</f>
        <v>230775.38572762843</v>
      </c>
      <c r="X659" s="15">
        <f>E659/detalle!$D$2</f>
        <v>37564.005865050734</v>
      </c>
      <c r="Y659" s="15">
        <f>F659/detalle!$D$2</f>
        <v>385.29197385634751</v>
      </c>
      <c r="AA659" s="14">
        <f>E659/(detalle!$D$2*1000000)</f>
        <v>3.7564005865050737E-2</v>
      </c>
      <c r="AB659" s="14">
        <f>F659/(detalle!$D$2*1000000)</f>
        <v>3.8529197385634751E-4</v>
      </c>
      <c r="AC659" s="31">
        <f>94/585</f>
        <v>0.1606837606837607</v>
      </c>
      <c r="AD659" s="31">
        <f>244/2261</f>
        <v>0.10791685095090668</v>
      </c>
      <c r="AE659" s="31">
        <f>79/473</f>
        <v>0.16701902748414377</v>
      </c>
      <c r="AF659" s="22">
        <f t="shared" si="150"/>
        <v>0</v>
      </c>
      <c r="AG659" s="12">
        <v>6923416</v>
      </c>
      <c r="AH659" s="12">
        <v>5678445</v>
      </c>
      <c r="AI659" s="12">
        <v>1399187</v>
      </c>
      <c r="AJ659" s="23">
        <f t="shared" si="151"/>
        <v>2887</v>
      </c>
      <c r="AK659" s="23">
        <f t="shared" ref="AK659" si="159">AG659+AH659+AI659</f>
        <v>14001048</v>
      </c>
      <c r="AL659" s="28">
        <f>AK659/detalle!$D$2</f>
        <v>1277407.3928433498</v>
      </c>
    </row>
    <row r="660" spans="1:38">
      <c r="A660" s="12">
        <v>659</v>
      </c>
      <c r="B660" s="19">
        <v>44549</v>
      </c>
      <c r="C660" s="12">
        <v>640</v>
      </c>
      <c r="D660" s="23">
        <f t="shared" ref="D660" si="160">E660-E659</f>
        <v>162</v>
      </c>
      <c r="E660" s="12">
        <v>411883</v>
      </c>
      <c r="F660" s="12">
        <v>4223</v>
      </c>
      <c r="G660" s="12">
        <v>406256</v>
      </c>
      <c r="H660" s="23">
        <f t="shared" ref="H660" si="161">E660-F660-G660</f>
        <v>1404</v>
      </c>
      <c r="I660" s="23">
        <f t="shared" ref="I660" si="162">J660-J659</f>
        <v>2655</v>
      </c>
      <c r="J660" s="12">
        <v>2532073</v>
      </c>
      <c r="K660" s="23">
        <f t="shared" ref="K660" si="163">J660-E660</f>
        <v>2120190</v>
      </c>
      <c r="L660" s="23">
        <f t="shared" si="140"/>
        <v>215</v>
      </c>
      <c r="M660" s="14">
        <f t="shared" ref="M660" si="164">F660/E660</f>
        <v>1.0252911627816637E-2</v>
      </c>
      <c r="N660" s="14">
        <f t="shared" ref="N660:N665" si="165">D660/I660</f>
        <v>6.1016949152542375E-2</v>
      </c>
      <c r="O660" s="12"/>
      <c r="P660" s="12"/>
      <c r="Q660" s="12"/>
      <c r="R660" s="23">
        <f t="shared" ref="R660" si="166">F660+G660</f>
        <v>410479</v>
      </c>
      <c r="S660" s="25">
        <f>(((H660+R660)/(H659+R659))-1)+detalle!$D$1</f>
        <v>7.1822041764065619E-2</v>
      </c>
      <c r="T660" s="25">
        <f t="shared" ref="T660" si="167">S660*14</f>
        <v>1.0055085846969187</v>
      </c>
      <c r="U660" s="10">
        <f t="shared" ref="U660" si="168">G660/E660</f>
        <v>0.98633835336733977</v>
      </c>
      <c r="V660" s="21">
        <f t="shared" ref="V660" si="169">G660/F660</f>
        <v>96.20080511484727</v>
      </c>
      <c r="W660" s="15">
        <f>J660/detalle!$D$2</f>
        <v>231017.61878246826</v>
      </c>
      <c r="X660" s="15">
        <f>E660/detalle!$D$2</f>
        <v>37578.786187040962</v>
      </c>
      <c r="Y660" s="15">
        <f>F660/detalle!$D$2</f>
        <v>385.29197385634751</v>
      </c>
      <c r="AA660" s="14">
        <f>E660/(detalle!$D$2*1000000)</f>
        <v>3.7578786187040962E-2</v>
      </c>
      <c r="AB660" s="14">
        <f>F660/(detalle!$D$2*1000000)</f>
        <v>3.8529197385634751E-4</v>
      </c>
      <c r="AC660" s="31">
        <f>96/585</f>
        <v>0.1641025641025641</v>
      </c>
      <c r="AD660" s="31">
        <f>243/2261</f>
        <v>0.10747456877487838</v>
      </c>
      <c r="AE660" s="31">
        <f>80/469</f>
        <v>0.17057569296375266</v>
      </c>
      <c r="AF660" s="22">
        <f t="shared" si="150"/>
        <v>0</v>
      </c>
      <c r="AG660" s="12">
        <v>6923711</v>
      </c>
      <c r="AH660" s="12">
        <v>5678863</v>
      </c>
      <c r="AI660" s="12">
        <v>1399659</v>
      </c>
      <c r="AJ660" s="23">
        <f t="shared" ref="AJ660" si="170">AK660-AK659</f>
        <v>1185</v>
      </c>
      <c r="AK660" s="23">
        <f t="shared" ref="AK660" si="171">AG660+AH660+AI660</f>
        <v>14002233</v>
      </c>
      <c r="AL660" s="28">
        <f>AK660/detalle!$D$2</f>
        <v>1277515.5081616116</v>
      </c>
    </row>
    <row r="661" spans="1:38">
      <c r="A661" s="12">
        <v>660</v>
      </c>
      <c r="B661" s="19">
        <v>44550</v>
      </c>
      <c r="C661" s="12">
        <v>641</v>
      </c>
      <c r="D661" s="23">
        <f t="shared" ref="D661" si="172">E661-E660</f>
        <v>139</v>
      </c>
      <c r="E661" s="12">
        <v>412022</v>
      </c>
      <c r="F661" s="12">
        <v>4223</v>
      </c>
      <c r="G661" s="12">
        <v>406509</v>
      </c>
      <c r="H661" s="23">
        <f t="shared" ref="H661" si="173">E661-F661-G661</f>
        <v>1290</v>
      </c>
      <c r="I661" s="23">
        <f t="shared" ref="I661" si="174">J661-J660</f>
        <v>4131</v>
      </c>
      <c r="J661" s="12">
        <v>2536204</v>
      </c>
      <c r="K661" s="23">
        <f t="shared" ref="K661" si="175">J661-E661</f>
        <v>2124182</v>
      </c>
      <c r="L661" s="23">
        <f t="shared" si="140"/>
        <v>253</v>
      </c>
      <c r="M661" s="14">
        <f>F661/E661</f>
        <v>1.0249452699127717E-2</v>
      </c>
      <c r="N661" s="14">
        <f t="shared" si="165"/>
        <v>3.3648027112079398E-2</v>
      </c>
      <c r="O661" s="12"/>
      <c r="P661" s="12"/>
      <c r="Q661" s="12"/>
      <c r="R661" s="23">
        <f t="shared" ref="R661" si="176">F661+G661</f>
        <v>410732</v>
      </c>
      <c r="S661" s="25">
        <f>(((H661+R661)/(H660+R660))-1)+detalle!$D$1</f>
        <v>7.1766045905546721E-2</v>
      </c>
      <c r="T661" s="25">
        <f t="shared" ref="T661" si="177">S661*14</f>
        <v>1.0047246426776542</v>
      </c>
      <c r="U661" s="10">
        <f t="shared" ref="U661" si="178">G661/E661</f>
        <v>0.98661964652372935</v>
      </c>
      <c r="V661" s="21">
        <f t="shared" ref="V661" si="179">G661/F661</f>
        <v>96.260715131423154</v>
      </c>
      <c r="W661" s="15">
        <f>J661/detalle!$D$2</f>
        <v>231394.51699321903</v>
      </c>
      <c r="X661" s="15">
        <f>E661/detalle!$D$2</f>
        <v>37591.468068254799</v>
      </c>
      <c r="Y661" s="15">
        <f>F661/detalle!$D$2</f>
        <v>385.29197385634751</v>
      </c>
      <c r="AA661" s="14">
        <f>E661/(detalle!$D$2*1000000)</f>
        <v>3.7591468068254794E-2</v>
      </c>
      <c r="AB661" s="14">
        <f>F661/(detalle!$D$2*1000000)</f>
        <v>3.8529197385634751E-4</v>
      </c>
      <c r="AC661" s="31">
        <f>90/585</f>
        <v>0.15384615384615385</v>
      </c>
      <c r="AD661" s="31">
        <f>248/2261</f>
        <v>0.1096859796550199</v>
      </c>
      <c r="AE661" s="31">
        <f>72/492</f>
        <v>0.14634146341463414</v>
      </c>
      <c r="AF661" s="22">
        <f t="shared" si="150"/>
        <v>0</v>
      </c>
      <c r="AG661" s="12">
        <v>6925553</v>
      </c>
      <c r="AH661" s="12">
        <v>5681607</v>
      </c>
      <c r="AI661" s="12">
        <v>1403067</v>
      </c>
      <c r="AJ661" s="23">
        <f t="shared" ref="AJ661" si="180">AK661-AK660</f>
        <v>7994</v>
      </c>
      <c r="AK661" s="23">
        <f t="shared" ref="AK661" si="181">AG661+AH661+AI661</f>
        <v>14010227</v>
      </c>
      <c r="AL661" s="28">
        <f>AK661/detalle!$D$2</f>
        <v>1278244.8531862407</v>
      </c>
    </row>
    <row r="662" spans="1:38">
      <c r="A662" s="12">
        <v>661</v>
      </c>
      <c r="B662" s="19">
        <v>44551</v>
      </c>
      <c r="C662" s="12">
        <v>642</v>
      </c>
      <c r="D662" s="23">
        <f>E662-E661</f>
        <v>241</v>
      </c>
      <c r="E662" s="12">
        <v>412263</v>
      </c>
      <c r="F662" s="12">
        <v>4223</v>
      </c>
      <c r="G662" s="12">
        <v>406513</v>
      </c>
      <c r="H662" s="23">
        <f>E662-F662-G662</f>
        <v>1527</v>
      </c>
      <c r="I662" s="23">
        <f>J662-J661</f>
        <v>5614</v>
      </c>
      <c r="J662" s="12">
        <v>2541818</v>
      </c>
      <c r="K662" s="23">
        <f>J662-E662</f>
        <v>2129555</v>
      </c>
      <c r="L662" s="23">
        <f>G662-G661</f>
        <v>4</v>
      </c>
      <c r="M662" s="14">
        <f t="shared" ref="M662" si="182">F662/E662</f>
        <v>1.024346109158474E-2</v>
      </c>
      <c r="N662" s="14">
        <f t="shared" si="165"/>
        <v>4.2928393302458137E-2</v>
      </c>
      <c r="O662" s="12"/>
      <c r="P662" s="12"/>
      <c r="Q662" s="12"/>
      <c r="R662" s="23">
        <f t="shared" ref="R662" si="183">F662+G662</f>
        <v>410736</v>
      </c>
      <c r="S662" s="25">
        <f>(((H662+R662)/(H661+R661))-1)+detalle!$D$1</f>
        <v>7.2013491651278044E-2</v>
      </c>
      <c r="T662" s="25">
        <f t="shared" ref="T662" si="184">S662*14</f>
        <v>1.0081888831178927</v>
      </c>
      <c r="U662" s="10">
        <f t="shared" ref="U662" si="185">G662/E662</f>
        <v>0.98605259264110534</v>
      </c>
      <c r="V662" s="21">
        <f>G662/F662</f>
        <v>96.261662325361115</v>
      </c>
      <c r="W662" s="15">
        <f>J662/detalle!$D$2</f>
        <v>231906.71901576925</v>
      </c>
      <c r="X662" s="15">
        <f>E662/detalle!$D$2</f>
        <v>37613.456078129151</v>
      </c>
      <c r="Y662" s="15">
        <f>F662/detalle!$D$2</f>
        <v>385.29197385634751</v>
      </c>
      <c r="AA662" s="14">
        <f>E662/(detalle!$D$2*1000000)</f>
        <v>3.7613456078129145E-2</v>
      </c>
      <c r="AB662" s="14">
        <f>F662/(detalle!$D$2*1000000)</f>
        <v>3.8529197385634751E-4</v>
      </c>
      <c r="AC662" s="31">
        <f>90/585</f>
        <v>0.15384615384615385</v>
      </c>
      <c r="AD662" s="31">
        <f>247/2261</f>
        <v>0.1092436974789916</v>
      </c>
      <c r="AE662" s="31">
        <f>69/492</f>
        <v>0.1402439024390244</v>
      </c>
      <c r="AF662" s="22">
        <f t="shared" si="150"/>
        <v>0</v>
      </c>
      <c r="AG662" s="12">
        <v>6930203</v>
      </c>
      <c r="AH662" s="12">
        <v>5685417</v>
      </c>
      <c r="AI662" s="12">
        <v>1406271</v>
      </c>
      <c r="AJ662" s="23">
        <f t="shared" ref="AJ662" si="186">AK662-AK661</f>
        <v>11664</v>
      </c>
      <c r="AK662" s="23">
        <f t="shared" ref="AK662" si="187">AG662+AH662+AI662</f>
        <v>14021891</v>
      </c>
      <c r="AL662" s="28">
        <f>AK662/detalle!$D$2</f>
        <v>1279309.036369537</v>
      </c>
    </row>
    <row r="663" spans="1:38">
      <c r="A663" s="12">
        <v>662</v>
      </c>
      <c r="B663" s="19">
        <v>44552</v>
      </c>
      <c r="C663" s="12">
        <v>643</v>
      </c>
      <c r="D663" s="23">
        <f t="shared" ref="D663" si="188">E663-E662</f>
        <v>422</v>
      </c>
      <c r="E663" s="12">
        <v>412685</v>
      </c>
      <c r="F663" s="12">
        <v>4228</v>
      </c>
      <c r="G663" s="12">
        <v>406692</v>
      </c>
      <c r="H663" s="23">
        <f t="shared" ref="H663" si="189">E663-F663-G663</f>
        <v>1765</v>
      </c>
      <c r="I663" s="23">
        <f t="shared" ref="I663" si="190">J663-J662</f>
        <v>5516</v>
      </c>
      <c r="J663" s="12">
        <v>2547334</v>
      </c>
      <c r="K663" s="23">
        <f t="shared" ref="K663" si="191">J663-E663</f>
        <v>2134649</v>
      </c>
      <c r="L663" s="23">
        <f t="shared" si="140"/>
        <v>179</v>
      </c>
      <c r="M663" s="14">
        <f t="shared" ref="M663" si="192">F663/E663</f>
        <v>1.024510219659062E-2</v>
      </c>
      <c r="N663" s="14">
        <f t="shared" si="165"/>
        <v>7.6504713560551121E-2</v>
      </c>
      <c r="O663" s="12"/>
      <c r="P663" s="12"/>
      <c r="Q663" s="12"/>
      <c r="R663" s="23">
        <f t="shared" ref="R663" si="193">F663+G663</f>
        <v>410920</v>
      </c>
      <c r="S663" s="25">
        <f>(((H663+R663)/(H662+R662))-1)+detalle!$D$1</f>
        <v>7.2452189846911069E-2</v>
      </c>
      <c r="T663" s="25">
        <f t="shared" ref="T663" si="194">S663*14</f>
        <v>1.014330657856755</v>
      </c>
      <c r="U663" s="10">
        <f t="shared" ref="U663" si="195">G663/E663</f>
        <v>0.98547802803591111</v>
      </c>
      <c r="V663" s="21">
        <f t="shared" ref="V663" si="196">G663/F663</f>
        <v>96.190160832544933</v>
      </c>
      <c r="W663" s="15">
        <f>J663/detalle!$D$2</f>
        <v>232409.97985588093</v>
      </c>
      <c r="X663" s="15">
        <f>E663/detalle!$D$2</f>
        <v>37651.957904548137</v>
      </c>
      <c r="Y663" s="15">
        <f>F663/detalle!$D$2</f>
        <v>385.74815663382367</v>
      </c>
      <c r="AA663" s="14">
        <f>E663/(detalle!$D$2*1000000)</f>
        <v>3.7651957904548131E-2</v>
      </c>
      <c r="AB663" s="14">
        <f>F663/(detalle!$D$2*1000000)</f>
        <v>3.8574815663382364E-4</v>
      </c>
      <c r="AC663" s="31">
        <f>82/585</f>
        <v>0.14017094017094017</v>
      </c>
      <c r="AD663" s="31">
        <f>266/2261</f>
        <v>0.11764705882352941</v>
      </c>
      <c r="AE663" s="31">
        <f>72/492</f>
        <v>0.14634146341463414</v>
      </c>
      <c r="AF663" s="22">
        <f t="shared" si="150"/>
        <v>5</v>
      </c>
      <c r="AG663" s="12">
        <v>6931885</v>
      </c>
      <c r="AH663" s="12">
        <v>5688369</v>
      </c>
      <c r="AI663" s="12">
        <v>1410524</v>
      </c>
      <c r="AJ663" s="23">
        <f t="shared" ref="AJ663" si="197">AK663-AK662</f>
        <v>8887</v>
      </c>
      <c r="AK663" s="23">
        <f t="shared" ref="AK663" si="198">AG663+AH663+AI663</f>
        <v>14030778</v>
      </c>
      <c r="AL663" s="28">
        <f>AK663/detalle!$D$2</f>
        <v>1280119.855638223</v>
      </c>
    </row>
    <row r="664" spans="1:38">
      <c r="A664" s="12">
        <v>663</v>
      </c>
      <c r="B664" s="19">
        <v>44553</v>
      </c>
      <c r="C664" s="12">
        <v>644</v>
      </c>
      <c r="D664" s="23">
        <f t="shared" ref="D664" si="199">E664-E663</f>
        <v>506</v>
      </c>
      <c r="E664" s="12">
        <v>413191</v>
      </c>
      <c r="F664" s="12">
        <v>4234</v>
      </c>
      <c r="G664" s="12">
        <v>407015</v>
      </c>
      <c r="H664" s="23">
        <f t="shared" ref="H664" si="200">E664-F664-G664</f>
        <v>1942</v>
      </c>
      <c r="I664" s="23">
        <f t="shared" ref="I664" si="201">J664-J663</f>
        <v>3605</v>
      </c>
      <c r="J664" s="12">
        <v>2550939</v>
      </c>
      <c r="K664" s="23">
        <f t="shared" ref="K664" si="202">J664-E664</f>
        <v>2137748</v>
      </c>
      <c r="L664" s="23">
        <f t="shared" ref="L664:L669" si="203">G664-G663</f>
        <v>323</v>
      </c>
      <c r="M664" s="14">
        <f t="shared" ref="M664" si="204">F664/E664</f>
        <v>1.0247077017650433E-2</v>
      </c>
      <c r="N664" s="14">
        <f t="shared" si="165"/>
        <v>0.14036061026352289</v>
      </c>
      <c r="O664" s="12"/>
      <c r="P664" s="12"/>
      <c r="Q664" s="12"/>
      <c r="R664" s="23">
        <f t="shared" ref="R664" si="205">F664+G664</f>
        <v>411249</v>
      </c>
      <c r="S664" s="25">
        <f>(((H664+R664)/(H663+R663))-1)+detalle!$D$1</f>
        <v>7.2654688200443324E-2</v>
      </c>
      <c r="T664" s="25">
        <f t="shared" ref="T664" si="206">S664*14</f>
        <v>1.0171656348062066</v>
      </c>
      <c r="U664" s="10">
        <f t="shared" ref="U664" si="207">G664/E664</f>
        <v>0.98505291741591661</v>
      </c>
      <c r="V664" s="21">
        <f t="shared" ref="V664" si="208">G664/F664</f>
        <v>96.130136986301366</v>
      </c>
      <c r="W664" s="15">
        <f>J664/detalle!$D$2</f>
        <v>232738.88763844123</v>
      </c>
      <c r="X664" s="15">
        <f>E664/detalle!$D$2</f>
        <v>37698.123601628722</v>
      </c>
      <c r="Y664" s="15">
        <f>F664/detalle!$D$2</f>
        <v>386.29557596679501</v>
      </c>
      <c r="AA664" s="14">
        <f>E664/(detalle!$D$2*1000000)</f>
        <v>3.7698123601628719E-2</v>
      </c>
      <c r="AB664" s="14">
        <f>F664/(detalle!$D$2*1000000)</f>
        <v>3.8629557596679502E-4</v>
      </c>
      <c r="AC664" s="31">
        <f>81/585</f>
        <v>0.13846153846153847</v>
      </c>
      <c r="AD664" s="31">
        <f>264/2261</f>
        <v>0.1167624944714728</v>
      </c>
      <c r="AE664" s="31">
        <f>70/469</f>
        <v>0.14925373134328357</v>
      </c>
      <c r="AF664" s="22">
        <f t="shared" si="150"/>
        <v>6</v>
      </c>
      <c r="AG664" s="12">
        <v>6932705</v>
      </c>
      <c r="AH664" s="12">
        <v>5689842</v>
      </c>
      <c r="AI664" s="12">
        <v>1412209</v>
      </c>
      <c r="AJ664" s="23">
        <f t="shared" ref="AJ664" si="209">AK664-AK663</f>
        <v>3978</v>
      </c>
      <c r="AK664" s="23">
        <f t="shared" ref="AK664" si="210">AG664+AH664+AI664</f>
        <v>14034756</v>
      </c>
      <c r="AL664" s="28">
        <f>AK664/detalle!$D$2</f>
        <v>1280482.7946559831</v>
      </c>
    </row>
    <row r="665" spans="1:38">
      <c r="A665" s="12">
        <v>664</v>
      </c>
      <c r="B665" s="19">
        <v>44554</v>
      </c>
      <c r="C665" s="12">
        <v>645</v>
      </c>
      <c r="D665" s="23">
        <f t="shared" ref="D665:D670" si="211">E665-E664</f>
        <v>696</v>
      </c>
      <c r="E665" s="12">
        <v>413887</v>
      </c>
      <c r="F665" s="12">
        <v>4237</v>
      </c>
      <c r="G665" s="12">
        <v>407250</v>
      </c>
      <c r="H665" s="23">
        <f t="shared" ref="H665" si="212">E665-F665-G665</f>
        <v>2400</v>
      </c>
      <c r="I665" s="23">
        <f t="shared" ref="I665:I670" si="213">J665-J664</f>
        <v>3017</v>
      </c>
      <c r="J665" s="12">
        <v>2553956</v>
      </c>
      <c r="K665" s="23">
        <f t="shared" ref="K665" si="214">J665-E665</f>
        <v>2140069</v>
      </c>
      <c r="L665" s="23">
        <f t="shared" si="203"/>
        <v>235</v>
      </c>
      <c r="M665" s="14">
        <f t="shared" ref="M665" si="215">F665/E665</f>
        <v>1.0237093699488024E-2</v>
      </c>
      <c r="N665" s="14">
        <f t="shared" si="165"/>
        <v>0.23069274113357641</v>
      </c>
      <c r="O665" s="12"/>
      <c r="P665" s="12"/>
      <c r="Q665" s="12"/>
      <c r="R665" s="23">
        <f t="shared" ref="R665" si="216">F665+G665</f>
        <v>411487</v>
      </c>
      <c r="S665" s="25">
        <f>(((H665+R665)/(H664+R664))-1)+detalle!$D$1</f>
        <v>7.311302244517151E-2</v>
      </c>
      <c r="T665" s="25">
        <f t="shared" ref="T665" si="217">S665*14</f>
        <v>1.0235823142324012</v>
      </c>
      <c r="U665" s="10">
        <f t="shared" ref="U665" si="218">G665/E665</f>
        <v>0.98396422211859758</v>
      </c>
      <c r="V665" s="21">
        <f t="shared" ref="V665" si="219">G665/F665</f>
        <v>96.117535992447486</v>
      </c>
      <c r="W665" s="15">
        <f>J665/detalle!$D$2</f>
        <v>233014.14832637031</v>
      </c>
      <c r="X665" s="15">
        <f>E665/detalle!$D$2</f>
        <v>37761.624244253399</v>
      </c>
      <c r="Y665" s="15">
        <f>F665/detalle!$D$2</f>
        <v>386.56928563328069</v>
      </c>
      <c r="AA665" s="14">
        <f>E665/(detalle!$D$2*1000000)</f>
        <v>3.7761624244253396E-2</v>
      </c>
      <c r="AB665" s="14">
        <f>F665/(detalle!$D$2*1000000)</f>
        <v>3.8656928563328066E-4</v>
      </c>
      <c r="AC665" s="31">
        <f>78/585</f>
        <v>0.13333333333333333</v>
      </c>
      <c r="AD665" s="31">
        <f>267/2261</f>
        <v>0.11808934099955772</v>
      </c>
      <c r="AE665" s="31">
        <f>69/492</f>
        <v>0.1402439024390244</v>
      </c>
      <c r="AF665" s="22">
        <f t="shared" si="150"/>
        <v>3</v>
      </c>
      <c r="AG665" s="12">
        <v>6932889</v>
      </c>
      <c r="AH665" s="12">
        <v>5690156</v>
      </c>
      <c r="AI665" s="12">
        <v>1412574</v>
      </c>
      <c r="AJ665" s="23">
        <f t="shared" ref="AJ665" si="220">AK665-AK664</f>
        <v>863</v>
      </c>
      <c r="AK665" s="23">
        <f t="shared" ref="AK665" si="221">AG665+AH665+AI665</f>
        <v>14035619</v>
      </c>
      <c r="AL665" s="28">
        <f>AK665/detalle!$D$2</f>
        <v>1280561.5318033753</v>
      </c>
    </row>
    <row r="666" spans="1:38">
      <c r="A666" s="12">
        <v>665</v>
      </c>
      <c r="B666" s="19">
        <v>44555</v>
      </c>
      <c r="C666" s="12">
        <v>646</v>
      </c>
      <c r="D666" s="23">
        <f t="shared" si="211"/>
        <v>339</v>
      </c>
      <c r="E666" s="12">
        <v>414226</v>
      </c>
      <c r="F666" s="12">
        <v>4238</v>
      </c>
      <c r="G666" s="12">
        <v>407230</v>
      </c>
      <c r="H666" s="23">
        <f t="shared" ref="H666" si="222">E666-F666-G666</f>
        <v>2758</v>
      </c>
      <c r="I666" s="23">
        <f t="shared" si="213"/>
        <v>4421</v>
      </c>
      <c r="J666" s="12">
        <v>2558377</v>
      </c>
      <c r="K666" s="23">
        <f t="shared" ref="K666" si="223">J666-E666</f>
        <v>2144151</v>
      </c>
      <c r="L666" s="23">
        <f t="shared" si="203"/>
        <v>-20</v>
      </c>
      <c r="M666" s="14">
        <f t="shared" ref="M666" si="224">F666/E666</f>
        <v>1.0231129866304867E-2</v>
      </c>
      <c r="N666" s="14">
        <f t="shared" ref="N666" si="225">D666/I666</f>
        <v>7.6679484279574758E-2</v>
      </c>
      <c r="O666" s="12"/>
      <c r="P666" s="12"/>
      <c r="Q666" s="12"/>
      <c r="R666" s="23">
        <f t="shared" ref="R666" si="226">F666+G666</f>
        <v>411468</v>
      </c>
      <c r="S666" s="25">
        <f>(((H666+R666)/(H665+R665))-1)+detalle!$D$1</f>
        <v>7.2247635569266749E-2</v>
      </c>
      <c r="T666" s="25">
        <f t="shared" ref="T666" si="227">S666*14</f>
        <v>1.0114668979697345</v>
      </c>
      <c r="U666" s="10">
        <f t="shared" ref="U666" si="228">G666/E666</f>
        <v>0.98311066905505695</v>
      </c>
      <c r="V666" s="21">
        <f t="shared" ref="V666" si="229">G666/F666</f>
        <v>96.090136857008019</v>
      </c>
      <c r="W666" s="15">
        <f>J666/detalle!$D$2</f>
        <v>233417.50513821471</v>
      </c>
      <c r="X666" s="15">
        <f>E666/detalle!$D$2</f>
        <v>37792.553436566282</v>
      </c>
      <c r="Y666" s="15">
        <f>F666/detalle!$D$2</f>
        <v>386.66052218877593</v>
      </c>
      <c r="AA666" s="14">
        <f>E666/(detalle!$D$2*1000000)</f>
        <v>3.7792553436566283E-2</v>
      </c>
      <c r="AB666" s="14">
        <f>F666/(detalle!$D$2*1000000)</f>
        <v>3.8666052218877593E-4</v>
      </c>
      <c r="AC666" s="31">
        <f>74/585</f>
        <v>0.12649572649572649</v>
      </c>
      <c r="AD666" s="31">
        <f>261/2261</f>
        <v>0.11543564794338788</v>
      </c>
      <c r="AE666" s="31">
        <f>65/469</f>
        <v>0.13859275053304904</v>
      </c>
      <c r="AF666" s="22">
        <f t="shared" ref="AF666" si="230">F666-F665</f>
        <v>1</v>
      </c>
      <c r="AG666" s="12">
        <v>6932889</v>
      </c>
      <c r="AH666" s="12">
        <v>5690156</v>
      </c>
      <c r="AI666" s="12">
        <v>1412574</v>
      </c>
      <c r="AJ666" s="23">
        <f t="shared" ref="AJ666" si="231">AK666-AK665</f>
        <v>0</v>
      </c>
      <c r="AK666" s="23">
        <f t="shared" ref="AK666" si="232">AG666+AH666+AI666</f>
        <v>14035619</v>
      </c>
      <c r="AL666" s="28">
        <f>AK666/detalle!$D$2</f>
        <v>1280561.5318033753</v>
      </c>
    </row>
    <row r="667" spans="1:38">
      <c r="A667" s="12">
        <v>666</v>
      </c>
      <c r="B667" s="19">
        <v>44556</v>
      </c>
      <c r="C667" s="12">
        <v>647</v>
      </c>
      <c r="D667" s="23">
        <f t="shared" si="211"/>
        <v>478</v>
      </c>
      <c r="E667" s="12">
        <v>414704</v>
      </c>
      <c r="F667" s="12">
        <v>4238</v>
      </c>
      <c r="G667" s="12">
        <v>407538</v>
      </c>
      <c r="H667" s="23">
        <f t="shared" ref="H667" si="233">E667-F667-G667</f>
        <v>2928</v>
      </c>
      <c r="I667" s="23">
        <f t="shared" si="213"/>
        <v>2810</v>
      </c>
      <c r="J667" s="12">
        <v>2561187</v>
      </c>
      <c r="K667" s="23">
        <f t="shared" ref="K667" si="234">J667-E667</f>
        <v>2146483</v>
      </c>
      <c r="L667" s="23">
        <f t="shared" si="203"/>
        <v>308</v>
      </c>
      <c r="M667" s="14">
        <f t="shared" ref="M667" si="235">F667/E667</f>
        <v>1.0219337165785717E-2</v>
      </c>
      <c r="N667" s="14">
        <f t="shared" ref="N667" si="236">D667/I667</f>
        <v>0.17010676156583629</v>
      </c>
      <c r="O667" s="12"/>
      <c r="P667" s="12"/>
      <c r="Q667" s="12"/>
      <c r="R667" s="23">
        <f t="shared" ref="R667" si="237">F667+G667</f>
        <v>411776</v>
      </c>
      <c r="S667" s="25">
        <f>(((H667+R667)/(H666+R666))-1)+detalle!$D$1</f>
        <v>7.2582530861344835E-2</v>
      </c>
      <c r="T667" s="25">
        <f t="shared" ref="T667" si="238">S667*14</f>
        <v>1.0161554320588277</v>
      </c>
      <c r="U667" s="10">
        <f t="shared" ref="U667" si="239">G667/E667</f>
        <v>0.98272020525483239</v>
      </c>
      <c r="V667" s="21">
        <f t="shared" ref="V667" si="240">G667/F667</f>
        <v>96.162812647475221</v>
      </c>
      <c r="W667" s="15">
        <f>J667/detalle!$D$2</f>
        <v>233673.87985915632</v>
      </c>
      <c r="X667" s="15">
        <f>E667/detalle!$D$2</f>
        <v>37836.164510092996</v>
      </c>
      <c r="Y667" s="15">
        <f>F667/detalle!$D$2</f>
        <v>386.66052218877593</v>
      </c>
      <c r="AA667" s="14">
        <f>E667/(detalle!$D$2*1000000)</f>
        <v>3.7836164510093001E-2</v>
      </c>
      <c r="AB667" s="14">
        <f>F667/(detalle!$D$2*1000000)</f>
        <v>3.8666052218877593E-4</v>
      </c>
      <c r="AC667" s="31">
        <f>71/585</f>
        <v>0.12136752136752137</v>
      </c>
      <c r="AD667" s="31">
        <f>255/2261</f>
        <v>0.11278195488721804</v>
      </c>
      <c r="AE667" s="31">
        <f>64/469</f>
        <v>0.13646055437100213</v>
      </c>
      <c r="AF667" s="22">
        <f t="shared" ref="AF667" si="241">F667-F666</f>
        <v>0</v>
      </c>
      <c r="AG667" s="12">
        <v>6932889</v>
      </c>
      <c r="AH667" s="12">
        <v>5690156</v>
      </c>
      <c r="AI667" s="12">
        <v>1412574</v>
      </c>
      <c r="AJ667" s="23">
        <f t="shared" ref="AJ667" si="242">AK667-AK666</f>
        <v>0</v>
      </c>
      <c r="AK667" s="23">
        <f t="shared" ref="AK667" si="243">AG667+AH667+AI667</f>
        <v>14035619</v>
      </c>
      <c r="AL667" s="28">
        <f>AK667/detalle!$D$2</f>
        <v>1280561.5318033753</v>
      </c>
    </row>
    <row r="668" spans="1:38">
      <c r="A668" s="12">
        <v>667</v>
      </c>
      <c r="B668" s="19">
        <v>44557</v>
      </c>
      <c r="C668" s="12">
        <v>648</v>
      </c>
      <c r="D668" s="23">
        <f t="shared" si="211"/>
        <v>655</v>
      </c>
      <c r="E668" s="12">
        <v>415359</v>
      </c>
      <c r="F668" s="12">
        <v>4243</v>
      </c>
      <c r="G668" s="12">
        <v>407706</v>
      </c>
      <c r="H668" s="23">
        <f t="shared" ref="H668" si="244">E668-F668-G668</f>
        <v>3410</v>
      </c>
      <c r="I668" s="23">
        <f t="shared" si="213"/>
        <v>3803</v>
      </c>
      <c r="J668" s="12">
        <v>2564990</v>
      </c>
      <c r="K668" s="23">
        <f t="shared" ref="K668" si="245">J668-E668</f>
        <v>2149631</v>
      </c>
      <c r="L668" s="23">
        <f t="shared" si="203"/>
        <v>168</v>
      </c>
      <c r="M668" s="14">
        <f t="shared" ref="M668" si="246">F668/E668</f>
        <v>1.0215259570636485E-2</v>
      </c>
      <c r="N668" s="14">
        <f t="shared" ref="N668" si="247">D668/I668</f>
        <v>0.17223244806731527</v>
      </c>
      <c r="O668" s="12"/>
      <c r="P668" s="12"/>
      <c r="Q668" s="12"/>
      <c r="R668" s="23">
        <f t="shared" ref="R668" si="248">F668+G668</f>
        <v>411949</v>
      </c>
      <c r="S668" s="25">
        <f>(((H668+R668)/(H667+R667))-1)+detalle!$D$1</f>
        <v>7.3008011221773278E-2</v>
      </c>
      <c r="T668" s="25">
        <f t="shared" ref="T668" si="249">S668*14</f>
        <v>1.0221121571048259</v>
      </c>
      <c r="U668" s="10">
        <f t="shared" ref="U668" si="250">G668/E668</f>
        <v>0.98157497490123002</v>
      </c>
      <c r="V668" s="21">
        <f t="shared" ref="V668" si="251">G668/F668</f>
        <v>96.089087909497991</v>
      </c>
      <c r="W668" s="15">
        <f>J668/detalle!$D$2</f>
        <v>234020.85247970466</v>
      </c>
      <c r="X668" s="15">
        <f>E668/detalle!$D$2</f>
        <v>37895.924453942374</v>
      </c>
      <c r="Y668" s="15">
        <f>F668/detalle!$D$2</f>
        <v>387.11670496625209</v>
      </c>
      <c r="AA668" s="14">
        <f>E668/(detalle!$D$2*1000000)</f>
        <v>3.7895924453942374E-2</v>
      </c>
      <c r="AB668" s="14">
        <f>F668/(detalle!$D$2*1000000)</f>
        <v>3.8711670496625205E-4</v>
      </c>
      <c r="AC668" s="31">
        <f>76/585</f>
        <v>0.12991452991452992</v>
      </c>
      <c r="AD668" s="31">
        <f>263/2261</f>
        <v>0.11632021229544449</v>
      </c>
      <c r="AE668" s="31">
        <f>63/469</f>
        <v>0.13432835820895522</v>
      </c>
      <c r="AF668" s="22">
        <f t="shared" ref="AF668:AF673" si="252">F668-F667</f>
        <v>5</v>
      </c>
      <c r="AG668" s="12">
        <v>6934218</v>
      </c>
      <c r="AH668" s="12">
        <v>5692235</v>
      </c>
      <c r="AI668" s="12">
        <v>1416207</v>
      </c>
      <c r="AJ668" s="23">
        <f t="shared" ref="AJ668" si="253">AK668-AK667</f>
        <v>7041</v>
      </c>
      <c r="AK668" s="23">
        <f t="shared" ref="AK668" si="254">AG668+AH668+AI668</f>
        <v>14042660</v>
      </c>
      <c r="AL668" s="28">
        <f>AK668/detalle!$D$2</f>
        <v>1281203.9283906172</v>
      </c>
    </row>
    <row r="669" spans="1:38">
      <c r="A669" s="12">
        <v>668</v>
      </c>
      <c r="B669" s="19">
        <v>44558</v>
      </c>
      <c r="C669" s="12">
        <v>649</v>
      </c>
      <c r="D669" s="23">
        <f t="shared" si="211"/>
        <v>911</v>
      </c>
      <c r="E669" s="12">
        <v>416270</v>
      </c>
      <c r="F669" s="12">
        <v>4246</v>
      </c>
      <c r="G669" s="12">
        <v>407783</v>
      </c>
      <c r="H669" s="23">
        <f t="shared" ref="H669" si="255">E669-F669-G669</f>
        <v>4241</v>
      </c>
      <c r="I669" s="23">
        <f t="shared" si="213"/>
        <v>3106</v>
      </c>
      <c r="J669" s="12">
        <v>2568096</v>
      </c>
      <c r="K669" s="23">
        <f t="shared" ref="K669" si="256">J669-E669</f>
        <v>2151826</v>
      </c>
      <c r="L669" s="23">
        <f t="shared" si="203"/>
        <v>77</v>
      </c>
      <c r="M669" s="14">
        <f t="shared" ref="M669" si="257">F669/E669</f>
        <v>1.0200110505200951E-2</v>
      </c>
      <c r="N669" s="14">
        <f t="shared" ref="N669" si="258">D669/I669</f>
        <v>0.29330328396651639</v>
      </c>
      <c r="O669" s="24"/>
      <c r="P669" s="12"/>
      <c r="Q669" s="12"/>
      <c r="R669" s="23">
        <f t="shared" ref="R669" si="259">F669+G669</f>
        <v>412029</v>
      </c>
      <c r="S669" s="25">
        <f>(((H669+R669)/(H668+R668))-1)+detalle!$D$1</f>
        <v>7.3621854829195837E-2</v>
      </c>
      <c r="T669" s="25">
        <f t="shared" ref="T669" si="260">S669*14</f>
        <v>1.0307059676087418</v>
      </c>
      <c r="U669" s="10">
        <f t="shared" ref="U669" si="261">G669/E669</f>
        <v>0.9796117904244841</v>
      </c>
      <c r="V669" s="21">
        <f t="shared" ref="V669" si="262">G669/F669</f>
        <v>96.03933113518606</v>
      </c>
      <c r="W669" s="15">
        <f>J669/detalle!$D$2</f>
        <v>234304.23322107285</v>
      </c>
      <c r="X669" s="15">
        <f>E669/detalle!$D$2</f>
        <v>37979.040955998527</v>
      </c>
      <c r="Y669" s="15">
        <f>F669/detalle!$D$2</f>
        <v>387.39041463273776</v>
      </c>
      <c r="AA669" s="14">
        <f>E669/(detalle!$D$2*1000000)</f>
        <v>3.7979040955998522E-2</v>
      </c>
      <c r="AB669" s="14">
        <f>F669/(detalle!$D$2*1000000)</f>
        <v>3.8739041463273775E-4</v>
      </c>
      <c r="AC669" s="31">
        <f>82/585</f>
        <v>0.14017094017094017</v>
      </c>
      <c r="AD669" s="31">
        <f>284/2261</f>
        <v>0.12560813799203893</v>
      </c>
      <c r="AE669" s="31">
        <f>66/469</f>
        <v>0.14072494669509594</v>
      </c>
      <c r="AF669" s="22">
        <f t="shared" si="252"/>
        <v>3</v>
      </c>
      <c r="AG669" s="12">
        <v>6935718</v>
      </c>
      <c r="AH669" s="12">
        <v>5694921</v>
      </c>
      <c r="AI669" s="12">
        <v>1426613</v>
      </c>
      <c r="AJ669" s="23">
        <f t="shared" ref="AJ669" si="263">AK669-AK668</f>
        <v>14592</v>
      </c>
      <c r="AK669" s="23">
        <f t="shared" ref="AK669" si="264">AG669+AH669+AI669</f>
        <v>14057252</v>
      </c>
      <c r="AL669" s="28">
        <f>AK669/detalle!$D$2</f>
        <v>1282535.2522084038</v>
      </c>
    </row>
    <row r="670" spans="1:38">
      <c r="A670" s="12">
        <v>669</v>
      </c>
      <c r="B670" s="19">
        <v>44559</v>
      </c>
      <c r="C670" s="12">
        <v>650</v>
      </c>
      <c r="D670" s="23">
        <f t="shared" si="211"/>
        <v>998</v>
      </c>
      <c r="E670" s="12">
        <v>417268</v>
      </c>
      <c r="F670" s="12">
        <v>4246</v>
      </c>
      <c r="G670" s="12">
        <v>407780</v>
      </c>
      <c r="H670" s="23">
        <f t="shared" ref="H670" si="265">E670-F670-G670</f>
        <v>5242</v>
      </c>
      <c r="I670" s="23">
        <f t="shared" si="213"/>
        <v>2754</v>
      </c>
      <c r="J670" s="12">
        <v>2570850</v>
      </c>
      <c r="K670" s="23">
        <f t="shared" ref="K670" si="266">J670-E670</f>
        <v>2153582</v>
      </c>
      <c r="L670" s="23">
        <f t="shared" ref="L670" si="267">G670-G669</f>
        <v>-3</v>
      </c>
      <c r="M670" s="14">
        <f t="shared" ref="M670" si="268">F670/E670</f>
        <v>1.0175714408964982E-2</v>
      </c>
      <c r="N670" s="14">
        <f t="shared" ref="N670" si="269">D670/I670</f>
        <v>0.36238198983297021</v>
      </c>
      <c r="O670" s="24"/>
      <c r="P670" s="12"/>
      <c r="Q670" s="12"/>
      <c r="R670" s="23">
        <f t="shared" ref="R670" si="270">F670+G670</f>
        <v>412026</v>
      </c>
      <c r="S670" s="25">
        <f>(((H670+R670)/(H669+R669))-1)+detalle!$D$1</f>
        <v>7.3826053831819421E-2</v>
      </c>
      <c r="T670" s="25">
        <f t="shared" ref="T670" si="271">S670*14</f>
        <v>1.033564753645472</v>
      </c>
      <c r="U670" s="10">
        <f t="shared" ref="U670" si="272">G670/E670</f>
        <v>0.97726161603573725</v>
      </c>
      <c r="V670" s="21">
        <f t="shared" ref="V670" si="273">G670/F670</f>
        <v>96.03862458784738</v>
      </c>
      <c r="W670" s="15">
        <f>J670/detalle!$D$2</f>
        <v>234555.49869490671</v>
      </c>
      <c r="X670" s="15">
        <f>E670/detalle!$D$2</f>
        <v>38070.095038382766</v>
      </c>
      <c r="Y670" s="15">
        <f>F670/detalle!$D$2</f>
        <v>387.39041463273776</v>
      </c>
      <c r="AA670" s="14">
        <f>E670/(detalle!$D$2*1000000)</f>
        <v>3.807009503838276E-2</v>
      </c>
      <c r="AB670" s="14">
        <f>F670/(detalle!$D$2*1000000)</f>
        <v>3.8739041463273775E-4</v>
      </c>
      <c r="AC670" s="31">
        <f>93/585</f>
        <v>0.15897435897435896</v>
      </c>
      <c r="AD670" s="31">
        <f>337/2261</f>
        <v>0.14904909332153915</v>
      </c>
      <c r="AE670" s="31">
        <f>68/469</f>
        <v>0.14498933901918976</v>
      </c>
      <c r="AF670" s="22">
        <f t="shared" si="252"/>
        <v>0</v>
      </c>
      <c r="AG670" s="12">
        <v>6937243</v>
      </c>
      <c r="AH670" s="12">
        <v>5697773</v>
      </c>
      <c r="AI670" s="12">
        <v>1437944</v>
      </c>
      <c r="AJ670" s="23">
        <f t="shared" ref="AJ670" si="274">AK670-AK669</f>
        <v>15708</v>
      </c>
      <c r="AK670" s="23">
        <f t="shared" ref="AK670" si="275">AG670+AH670+AI670</f>
        <v>14072960</v>
      </c>
      <c r="AL670" s="28">
        <f>AK670/detalle!$D$2</f>
        <v>1283968.3960221228</v>
      </c>
    </row>
    <row r="671" spans="1:38">
      <c r="A671" s="12">
        <v>670</v>
      </c>
      <c r="B671" s="19">
        <v>44560</v>
      </c>
      <c r="C671" s="12">
        <v>651</v>
      </c>
      <c r="D671" s="23">
        <f t="shared" ref="D671" si="276">E671-E670</f>
        <v>1510</v>
      </c>
      <c r="E671" s="12">
        <v>418778</v>
      </c>
      <c r="F671" s="12">
        <v>4247</v>
      </c>
      <c r="G671" s="12">
        <v>407939</v>
      </c>
      <c r="H671" s="23">
        <f t="shared" ref="H671" si="277">E671-F671-G671</f>
        <v>6592</v>
      </c>
      <c r="I671" s="23">
        <f t="shared" ref="I671" si="278">J671-J670</f>
        <v>4987</v>
      </c>
      <c r="J671" s="12">
        <v>2575837</v>
      </c>
      <c r="K671" s="23">
        <f t="shared" ref="K671" si="279">J671-E671</f>
        <v>2157059</v>
      </c>
      <c r="L671" s="23">
        <f t="shared" ref="L671" si="280">G671-G670</f>
        <v>159</v>
      </c>
      <c r="M671" s="14">
        <f t="shared" ref="M671" si="281">F671/E671</f>
        <v>1.0141411439951478E-2</v>
      </c>
      <c r="N671" s="14">
        <f t="shared" ref="N671" si="282">D671/I671</f>
        <v>0.30278724684178865</v>
      </c>
      <c r="O671" s="24"/>
      <c r="P671" s="12"/>
      <c r="Q671" s="12"/>
      <c r="R671" s="23">
        <f t="shared" ref="R671" si="283">F671+G671</f>
        <v>412186</v>
      </c>
      <c r="S671" s="25">
        <f>(((H671+R671)/(H670+R670))-1)+detalle!$D$1</f>
        <v>7.5047348809055975E-2</v>
      </c>
      <c r="T671" s="25">
        <f t="shared" ref="T671" si="284">S671*14</f>
        <v>1.0506628833267837</v>
      </c>
      <c r="U671" s="10">
        <f t="shared" ref="U671" si="285">G671/E671</f>
        <v>0.9741175515428222</v>
      </c>
      <c r="V671" s="21">
        <f t="shared" ref="V671" si="286">G671/F671</f>
        <v>96.053449493760297</v>
      </c>
      <c r="W671" s="15">
        <f>J671/detalle!$D$2</f>
        <v>235010.4953971614</v>
      </c>
      <c r="X671" s="15">
        <f>E671/detalle!$D$2</f>
        <v>38207.862237180561</v>
      </c>
      <c r="Y671" s="15">
        <f>F671/detalle!$D$2</f>
        <v>387.481651188233</v>
      </c>
      <c r="AA671" s="14">
        <f>E671/(detalle!$D$2*1000000)</f>
        <v>3.8207862237180555E-2</v>
      </c>
      <c r="AB671" s="14">
        <f>F671/(detalle!$D$2*1000000)</f>
        <v>3.8748165118823296E-4</v>
      </c>
      <c r="AC671" s="31">
        <f>108/585</f>
        <v>0.18461538461538463</v>
      </c>
      <c r="AD671" s="31">
        <f>396/2261</f>
        <v>0.1751437417072092</v>
      </c>
      <c r="AE671" s="31">
        <f>72/469</f>
        <v>0.15351812366737741</v>
      </c>
      <c r="AF671" s="22">
        <f t="shared" si="252"/>
        <v>1</v>
      </c>
      <c r="AG671" s="12">
        <v>6938229</v>
      </c>
      <c r="AH671" s="12">
        <v>5699050</v>
      </c>
      <c r="AI671" s="12">
        <v>1446024</v>
      </c>
      <c r="AJ671" s="23">
        <f t="shared" ref="AJ671" si="287">AK671-AK670</f>
        <v>10343</v>
      </c>
      <c r="AK671" s="23">
        <f t="shared" ref="AK671" si="288">AG671+AH671+AI671</f>
        <v>14083303</v>
      </c>
      <c r="AL671" s="28">
        <f>AK671/detalle!$D$2</f>
        <v>1284912.0557156098</v>
      </c>
    </row>
    <row r="672" spans="1:38">
      <c r="A672" s="12">
        <v>671</v>
      </c>
      <c r="B672" s="19">
        <v>44561</v>
      </c>
      <c r="C672" s="12">
        <v>652</v>
      </c>
      <c r="D672" s="23">
        <f t="shared" ref="D672" si="289">E672-E671</f>
        <v>1149</v>
      </c>
      <c r="E672" s="12">
        <v>419927</v>
      </c>
      <c r="F672" s="12">
        <v>4247</v>
      </c>
      <c r="G672" s="12">
        <v>408444</v>
      </c>
      <c r="H672" s="23">
        <f t="shared" ref="H672" si="290">E672-F672-G672</f>
        <v>7236</v>
      </c>
      <c r="I672" s="23">
        <f t="shared" ref="I672" si="291">J672-J671</f>
        <v>3601</v>
      </c>
      <c r="J672" s="12">
        <v>2579438</v>
      </c>
      <c r="K672" s="23">
        <f t="shared" ref="K672" si="292">J672-E672</f>
        <v>2159511</v>
      </c>
      <c r="L672" s="23">
        <f t="shared" ref="L672" si="293">G672-G671</f>
        <v>505</v>
      </c>
      <c r="M672" s="14">
        <f t="shared" ref="M672" si="294">F672/E672</f>
        <v>1.011366261278746E-2</v>
      </c>
      <c r="N672" s="14">
        <f t="shared" ref="N672" si="295">D672/I672</f>
        <v>0.31907803387947792</v>
      </c>
      <c r="O672" s="24"/>
      <c r="P672" s="12"/>
      <c r="Q672" s="12"/>
      <c r="R672" s="23">
        <f t="shared" ref="R672" si="296">F672+G672</f>
        <v>412691</v>
      </c>
      <c r="S672" s="25">
        <f>(((H672+R672)/(H671+R671))-1)+detalle!$D$1</f>
        <v>7.4172268566434357E-2</v>
      </c>
      <c r="T672" s="25">
        <f t="shared" ref="T672" si="297">S672*14</f>
        <v>1.0384117599300811</v>
      </c>
      <c r="U672" s="10">
        <f t="shared" ref="U672" si="298">G672/E672</f>
        <v>0.9726547709482839</v>
      </c>
      <c r="V672" s="21">
        <f t="shared" ref="V672" si="299">G672/F672</f>
        <v>96.1723569578526</v>
      </c>
      <c r="W672" s="15">
        <f>J672/detalle!$D$2</f>
        <v>235339.03823349971</v>
      </c>
      <c r="X672" s="15">
        <f>E672/detalle!$D$2</f>
        <v>38312.693039444574</v>
      </c>
      <c r="Y672" s="15">
        <f>F672/detalle!$D$2</f>
        <v>387.481651188233</v>
      </c>
      <c r="AA672" s="14">
        <f>E672/(detalle!$D$2*1000000)</f>
        <v>3.8312693039444574E-2</v>
      </c>
      <c r="AB672" s="14">
        <f>F672/(detalle!$D$2*1000000)</f>
        <v>3.8748165118823296E-4</v>
      </c>
      <c r="AC672" s="31">
        <f>114/585</f>
        <v>0.19487179487179487</v>
      </c>
      <c r="AD672" s="31">
        <f>436/2261</f>
        <v>0.19283502874834144</v>
      </c>
      <c r="AE672" s="31">
        <f>76/469</f>
        <v>0.16204690831556504</v>
      </c>
      <c r="AF672" s="22">
        <f t="shared" si="252"/>
        <v>0</v>
      </c>
      <c r="AG672" s="12">
        <v>6938596</v>
      </c>
      <c r="AH672" s="12">
        <v>5699587</v>
      </c>
      <c r="AI672" s="12">
        <v>1448368</v>
      </c>
      <c r="AJ672" s="23">
        <f t="shared" ref="AJ672" si="300">AK672-AK671</f>
        <v>3248</v>
      </c>
      <c r="AK672" s="23">
        <f t="shared" ref="AK672" si="301">AG672+AH672+AI672</f>
        <v>14086551</v>
      </c>
      <c r="AL672" s="28">
        <f>AK672/detalle!$D$2</f>
        <v>1285208.3920478583</v>
      </c>
    </row>
    <row r="673" spans="1:38">
      <c r="A673" s="12">
        <v>672</v>
      </c>
      <c r="B673" s="19">
        <v>44562</v>
      </c>
      <c r="C673" s="12">
        <v>653</v>
      </c>
      <c r="D673" s="23">
        <f t="shared" ref="D673" si="302">E673-E672</f>
        <v>2026</v>
      </c>
      <c r="E673" s="12">
        <v>421953</v>
      </c>
      <c r="F673" s="12">
        <v>4249</v>
      </c>
      <c r="G673" s="12">
        <v>409026</v>
      </c>
      <c r="H673" s="23">
        <f t="shared" ref="H673" si="303">E673-F673-G673</f>
        <v>8678</v>
      </c>
      <c r="I673" s="23">
        <f t="shared" ref="I673" si="304">J673-J672</f>
        <v>5390</v>
      </c>
      <c r="J673" s="12">
        <v>2584828</v>
      </c>
      <c r="K673" s="23">
        <f t="shared" ref="K673" si="305">J673-E673</f>
        <v>2162875</v>
      </c>
      <c r="L673" s="23">
        <f t="shared" ref="L673" si="306">G673-G672</f>
        <v>582</v>
      </c>
      <c r="M673" s="14">
        <f t="shared" ref="M673" si="307">F673/E673</f>
        <v>1.0069841901823189E-2</v>
      </c>
      <c r="N673" s="14">
        <f t="shared" ref="N673" si="308">D673/I673</f>
        <v>0.3758812615955473</v>
      </c>
      <c r="O673" s="24"/>
      <c r="P673" s="12"/>
      <c r="Q673" s="12"/>
      <c r="R673" s="23">
        <f t="shared" ref="R673" si="309">F673+G673</f>
        <v>413275</v>
      </c>
      <c r="S673" s="25">
        <f>(((H673+R673)/(H672+R672))-1)+detalle!$D$1</f>
        <v>7.6253219522168597E-2</v>
      </c>
      <c r="T673" s="25">
        <f t="shared" ref="T673" si="310">S673*14</f>
        <v>1.0675450733103604</v>
      </c>
      <c r="U673" s="10">
        <f t="shared" ref="U673" si="311">G673/E673</f>
        <v>0.96936388649920724</v>
      </c>
      <c r="V673" s="21">
        <f t="shared" ref="V673" si="312">G673/F673</f>
        <v>96.264062132266417</v>
      </c>
      <c r="W673" s="15">
        <f>J673/detalle!$D$2</f>
        <v>235830.80326761899</v>
      </c>
      <c r="X673" s="15">
        <f>E673/detalle!$D$2</f>
        <v>38497.53830087791</v>
      </c>
      <c r="Y673" s="15">
        <f>F673/detalle!$D$2</f>
        <v>387.66412429922343</v>
      </c>
      <c r="AA673" s="14">
        <f>E673/(detalle!$D$2*1000000)</f>
        <v>3.8497538300877904E-2</v>
      </c>
      <c r="AB673" s="14">
        <f>F673/(detalle!$D$2*1000000)</f>
        <v>3.8766412429922344E-4</v>
      </c>
      <c r="AC673" s="31">
        <f>115/585</f>
        <v>0.19658119658119658</v>
      </c>
      <c r="AD673" s="31">
        <f>428/2261</f>
        <v>0.18929677134011499</v>
      </c>
      <c r="AE673" s="31">
        <f>74/469</f>
        <v>0.15778251599147122</v>
      </c>
      <c r="AF673" s="22">
        <f t="shared" si="252"/>
        <v>2</v>
      </c>
      <c r="AG673" s="12">
        <v>6938638</v>
      </c>
      <c r="AH673" s="12">
        <v>5699664</v>
      </c>
      <c r="AI673" s="12">
        <v>1448753</v>
      </c>
      <c r="AJ673" s="23">
        <f t="shared" ref="AJ673" si="313">AK673-AK672</f>
        <v>504</v>
      </c>
      <c r="AK673" s="23">
        <f t="shared" ref="AK673" si="314">AG673+AH673+AI673</f>
        <v>14087055</v>
      </c>
      <c r="AL673" s="28">
        <f>AK673/detalle!$D$2</f>
        <v>1285254.3752718279</v>
      </c>
    </row>
    <row r="674" spans="1:38">
      <c r="A674" s="12">
        <v>673</v>
      </c>
      <c r="B674" s="19">
        <v>44563</v>
      </c>
      <c r="C674" s="12">
        <v>654</v>
      </c>
      <c r="D674" s="23">
        <f t="shared" ref="D674" si="315">E674-E673</f>
        <v>2856</v>
      </c>
      <c r="E674" s="12">
        <v>424809</v>
      </c>
      <c r="F674" s="12">
        <v>4251</v>
      </c>
      <c r="G674" s="12">
        <v>409559</v>
      </c>
      <c r="H674" s="23">
        <f t="shared" ref="H674" si="316">E674-F674-G674</f>
        <v>10999</v>
      </c>
      <c r="I674" s="23">
        <f t="shared" ref="I674" si="317">J674-J673</f>
        <v>6457</v>
      </c>
      <c r="J674" s="12">
        <v>2591285</v>
      </c>
      <c r="K674" s="23">
        <f t="shared" ref="K674" si="318">J674-E674</f>
        <v>2166476</v>
      </c>
      <c r="L674" s="23">
        <f t="shared" ref="L674" si="319">G674-G673</f>
        <v>533</v>
      </c>
      <c r="M674" s="14">
        <f t="shared" ref="M674" si="320">F674/E674</f>
        <v>1.0006850137355847E-2</v>
      </c>
      <c r="N674" s="14">
        <f t="shared" ref="N674" si="321">D674/I674</f>
        <v>0.4423106705900573</v>
      </c>
      <c r="O674" s="24"/>
      <c r="P674" s="12"/>
      <c r="Q674" s="12"/>
      <c r="R674" s="23">
        <f t="shared" ref="R674" si="322">F674+G674</f>
        <v>413810</v>
      </c>
      <c r="S674" s="25">
        <f>(((H674+R674)/(H673+R673))-1)+detalle!$D$1</f>
        <v>7.8197097781032482E-2</v>
      </c>
      <c r="T674" s="25">
        <f t="shared" ref="T674" si="323">S674*14</f>
        <v>1.0947593689344548</v>
      </c>
      <c r="U674" s="10">
        <f t="shared" ref="U674" si="324">G674/E674</f>
        <v>0.96410151385681564</v>
      </c>
      <c r="V674" s="21">
        <f t="shared" ref="V674" si="325">G674/F674</f>
        <v>96.344154316631375</v>
      </c>
      <c r="W674" s="15">
        <f>J674/detalle!$D$2</f>
        <v>236419.91770645167</v>
      </c>
      <c r="X674" s="15">
        <f>E674/detalle!$D$2</f>
        <v>38758.109903372278</v>
      </c>
      <c r="Y674" s="15">
        <f>F674/detalle!$D$2</f>
        <v>387.84659741021392</v>
      </c>
      <c r="AA674" s="14">
        <f>E674/(detalle!$D$2*1000000)</f>
        <v>3.8758109903372279E-2</v>
      </c>
      <c r="AB674" s="14">
        <f>F674/(detalle!$D$2*1000000)</f>
        <v>3.8784659741021387E-4</v>
      </c>
      <c r="AC674" s="31">
        <f>114/585</f>
        <v>0.19487179487179487</v>
      </c>
      <c r="AD674" s="31">
        <f>434/2261</f>
        <v>0.19195046439628483</v>
      </c>
      <c r="AE674" s="31">
        <f>76/469</f>
        <v>0.16204690831556504</v>
      </c>
      <c r="AF674" s="22">
        <f t="shared" ref="AF674" si="326">F674-F673</f>
        <v>2</v>
      </c>
      <c r="AG674" s="12">
        <v>6938810</v>
      </c>
      <c r="AH674" s="12">
        <v>5699843</v>
      </c>
      <c r="AI674" s="12">
        <v>1449834</v>
      </c>
      <c r="AJ674" s="23">
        <f t="shared" ref="AJ674" si="327">AK674-AK673</f>
        <v>1432</v>
      </c>
      <c r="AK674" s="23">
        <f t="shared" ref="AK674" si="328">AG674+AH674+AI674</f>
        <v>14088487</v>
      </c>
      <c r="AL674" s="28">
        <f>AK674/detalle!$D$2</f>
        <v>1285385.0260192971</v>
      </c>
    </row>
    <row r="675" spans="1:38">
      <c r="A675" s="12">
        <v>674</v>
      </c>
      <c r="B675" s="19">
        <v>44564</v>
      </c>
      <c r="C675" s="12">
        <v>655</v>
      </c>
      <c r="D675" s="23">
        <f t="shared" ref="D675" si="329">E675-E674</f>
        <v>3700</v>
      </c>
      <c r="E675" s="12">
        <v>428509</v>
      </c>
      <c r="F675" s="12">
        <v>4252</v>
      </c>
      <c r="G675" s="12">
        <v>409673</v>
      </c>
      <c r="H675" s="23">
        <f t="shared" ref="H675" si="330">E675-F675-G675</f>
        <v>14584</v>
      </c>
      <c r="I675" s="23">
        <f t="shared" ref="I675" si="331">J675-J674</f>
        <v>7961</v>
      </c>
      <c r="J675" s="12">
        <v>2599246</v>
      </c>
      <c r="K675" s="23">
        <f t="shared" ref="K675" si="332">J675-E675</f>
        <v>2170737</v>
      </c>
      <c r="L675" s="23">
        <f t="shared" ref="L675" si="333">G675-G674</f>
        <v>114</v>
      </c>
      <c r="M675" s="14">
        <f t="shared" ref="M675" si="334">F675/E675</f>
        <v>9.9227787514381254E-3</v>
      </c>
      <c r="N675" s="14">
        <f t="shared" ref="N675" si="335">D675/I675</f>
        <v>0.46476573294812207</v>
      </c>
      <c r="O675" s="24"/>
      <c r="P675" s="12"/>
      <c r="Q675" s="12"/>
      <c r="R675" s="23">
        <f t="shared" ref="R675" si="336">F675+G675</f>
        <v>413925</v>
      </c>
      <c r="S675" s="25">
        <f>(((H675+R675)/(H674+R674))-1)+detalle!$D$1</f>
        <v>8.0138368066589943E-2</v>
      </c>
      <c r="T675" s="25">
        <f t="shared" ref="T675" si="337">S675*14</f>
        <v>1.1219371529322593</v>
      </c>
      <c r="U675" s="10">
        <f t="shared" ref="U675" si="338">G675/E675</f>
        <v>0.95604293025350695</v>
      </c>
      <c r="V675" s="21">
        <f t="shared" ref="V675" si="339">G675/F675</f>
        <v>96.348306679209784</v>
      </c>
      <c r="W675" s="15">
        <f>J675/detalle!$D$2</f>
        <v>237146.2519247492</v>
      </c>
      <c r="X675" s="15">
        <f>E675/detalle!$D$2</f>
        <v>39095.685158704619</v>
      </c>
      <c r="Y675" s="15">
        <f>F675/detalle!$D$2</f>
        <v>387.9378339657091</v>
      </c>
      <c r="AA675" s="14">
        <f>E675/(detalle!$D$2*1000000)</f>
        <v>3.9095685158704617E-2</v>
      </c>
      <c r="AB675" s="14">
        <f>F675/(detalle!$D$2*1000000)</f>
        <v>3.8793783396570908E-4</v>
      </c>
      <c r="AC675" s="31">
        <f>162/585</f>
        <v>0.27692307692307694</v>
      </c>
      <c r="AD675" s="31">
        <f>541/2261</f>
        <v>0.23927465723131358</v>
      </c>
      <c r="AE675" s="31">
        <f>110/469</f>
        <v>0.23454157782515991</v>
      </c>
      <c r="AF675" s="22">
        <f t="shared" ref="AF675" si="340">F675-F674</f>
        <v>1</v>
      </c>
      <c r="AG675" s="12">
        <v>6941384</v>
      </c>
      <c r="AH675" s="12">
        <v>5703471</v>
      </c>
      <c r="AI675" s="12">
        <v>1462639</v>
      </c>
      <c r="AJ675" s="23">
        <f t="shared" ref="AJ675" si="341">AK675-AK674</f>
        <v>19007</v>
      </c>
      <c r="AK675" s="23">
        <f t="shared" ref="AK675" si="342">AG675+AH675+AI675</f>
        <v>14107494</v>
      </c>
      <c r="AL675" s="28">
        <f>AK675/detalle!$D$2</f>
        <v>1287119.159229595</v>
      </c>
    </row>
    <row r="676" spans="1:38">
      <c r="A676" s="12">
        <v>675</v>
      </c>
      <c r="B676" s="19">
        <v>44565</v>
      </c>
      <c r="C676" s="12">
        <v>656</v>
      </c>
      <c r="D676" s="23">
        <f t="shared" ref="D676" si="343">E676-E675</f>
        <v>5201</v>
      </c>
      <c r="E676" s="12">
        <v>433710</v>
      </c>
      <c r="F676" s="12">
        <v>4252</v>
      </c>
      <c r="G676" s="12">
        <v>409832</v>
      </c>
      <c r="H676" s="23">
        <f t="shared" ref="H676" si="344">E676-F676-G676</f>
        <v>19626</v>
      </c>
      <c r="I676" s="23">
        <f t="shared" ref="I676" si="345">J676-J675</f>
        <v>12019</v>
      </c>
      <c r="J676" s="12">
        <v>2611265</v>
      </c>
      <c r="K676" s="23">
        <f t="shared" ref="K676" si="346">J676-E676</f>
        <v>2177555</v>
      </c>
      <c r="L676" s="23">
        <f t="shared" ref="L676" si="347">G676-G675</f>
        <v>159</v>
      </c>
      <c r="M676" s="14">
        <f t="shared" ref="M676" si="348">F676/E676</f>
        <v>9.8037859399137672E-3</v>
      </c>
      <c r="N676" s="14">
        <f t="shared" ref="N676" si="349">D676/I676</f>
        <v>0.43273150844496217</v>
      </c>
      <c r="O676" s="24"/>
      <c r="P676" s="12"/>
      <c r="Q676" s="12"/>
      <c r="R676" s="23">
        <f t="shared" ref="R676" si="350">F676+G676</f>
        <v>414084</v>
      </c>
      <c r="S676" s="25">
        <f>(((H676+R676)/(H675+R675))-1)+detalle!$D$1</f>
        <v>8.3566006114890651E-2</v>
      </c>
      <c r="T676" s="25">
        <f t="shared" ref="T676" si="351">S676*14</f>
        <v>1.1699240856084692</v>
      </c>
      <c r="U676" s="10">
        <f t="shared" ref="U676" si="352">G676/E676</f>
        <v>0.94494477876922367</v>
      </c>
      <c r="V676" s="21">
        <f t="shared" ref="V676" si="353">G676/F676</f>
        <v>96.385700846660399</v>
      </c>
      <c r="W676" s="15">
        <f>J676/detalle!$D$2</f>
        <v>238242.82408524634</v>
      </c>
      <c r="X676" s="15">
        <f>E676/detalle!$D$2</f>
        <v>39570.206483835304</v>
      </c>
      <c r="Y676" s="15">
        <f>F676/detalle!$D$2</f>
        <v>387.9378339657091</v>
      </c>
      <c r="AA676" s="14">
        <f>E676/(detalle!$D$2*1000000)</f>
        <v>3.9570206483835302E-2</v>
      </c>
      <c r="AB676" s="14">
        <f>F676/(detalle!$D$2*1000000)</f>
        <v>3.8793783396570908E-4</v>
      </c>
      <c r="AC676" s="31">
        <f>164/585</f>
        <v>0.28034188034188035</v>
      </c>
      <c r="AD676" s="31">
        <f>572/2261</f>
        <v>0.25298540468819108</v>
      </c>
      <c r="AE676" s="31">
        <f>105/469</f>
        <v>0.22388059701492538</v>
      </c>
      <c r="AF676" s="22">
        <f t="shared" ref="AF676" si="354">F676-F675</f>
        <v>0</v>
      </c>
      <c r="AG676" s="12">
        <v>6945679</v>
      </c>
      <c r="AH676" s="12">
        <v>5709667</v>
      </c>
      <c r="AI676" s="12">
        <v>1479881</v>
      </c>
      <c r="AJ676" s="23">
        <f t="shared" ref="AJ676" si="355">AK676-AK675</f>
        <v>27733</v>
      </c>
      <c r="AK676" s="23">
        <f t="shared" ref="AK676" si="356">AG676+AH676+AI676</f>
        <v>14135227</v>
      </c>
      <c r="AL676" s="28">
        <f>AK676/detalle!$D$2</f>
        <v>1289649.422623144</v>
      </c>
    </row>
    <row r="677" spans="1:38">
      <c r="A677" s="12">
        <v>676</v>
      </c>
      <c r="B677" s="19">
        <v>44566</v>
      </c>
      <c r="C677" s="12">
        <v>657</v>
      </c>
      <c r="D677" s="23">
        <f t="shared" ref="D677" si="357">E677-E676</f>
        <v>5307</v>
      </c>
      <c r="E677" s="12">
        <v>439017</v>
      </c>
      <c r="F677" s="12">
        <v>4252</v>
      </c>
      <c r="G677" s="12">
        <v>409575</v>
      </c>
      <c r="H677" s="23">
        <f t="shared" ref="H677" si="358">E677-F677-G677</f>
        <v>25190</v>
      </c>
      <c r="I677" s="23">
        <f t="shared" ref="I677" si="359">J677-J676</f>
        <v>13686</v>
      </c>
      <c r="J677" s="12">
        <v>2624951</v>
      </c>
      <c r="K677" s="23">
        <f t="shared" ref="K677" si="360">J677-E677</f>
        <v>2185934</v>
      </c>
      <c r="L677" s="23">
        <f t="shared" ref="L677" si="361">G677-G676</f>
        <v>-257</v>
      </c>
      <c r="M677" s="14">
        <f t="shared" ref="M677" si="362">F677/E677</f>
        <v>9.6852741465592446E-3</v>
      </c>
      <c r="N677" s="14">
        <f t="shared" ref="N677" si="363">D677/I677</f>
        <v>0.38776852257781674</v>
      </c>
      <c r="O677" s="24"/>
      <c r="P677" s="12"/>
      <c r="Q677" s="12"/>
      <c r="R677" s="23">
        <f t="shared" ref="R677" si="364">F677+G677</f>
        <v>413827</v>
      </c>
      <c r="S677" s="25">
        <f>(((H677+R677)/(H676+R676))-1)+detalle!$D$1</f>
        <v>8.3664858348402565E-2</v>
      </c>
      <c r="T677" s="25">
        <f t="shared" ref="T677" si="365">S677*14</f>
        <v>1.171308016877636</v>
      </c>
      <c r="U677" s="10">
        <f t="shared" ref="U677" si="366">G677/E677</f>
        <v>0.93293653776505236</v>
      </c>
      <c r="V677" s="21">
        <f t="shared" ref="V677" si="367">G677/F677</f>
        <v>96.325258701787391</v>
      </c>
      <c r="W677" s="15">
        <f>J677/detalle!$D$2</f>
        <v>239491.48758375403</v>
      </c>
      <c r="X677" s="15">
        <f>E677/detalle!$D$2</f>
        <v>40054.398883848473</v>
      </c>
      <c r="Y677" s="15">
        <f>F677/detalle!$D$2</f>
        <v>387.9378339657091</v>
      </c>
      <c r="AA677" s="14">
        <f>E677/(detalle!$D$2*1000000)</f>
        <v>4.0054398883848472E-2</v>
      </c>
      <c r="AB677" s="14">
        <f>F677/(detalle!$D$2*1000000)</f>
        <v>3.8793783396570908E-4</v>
      </c>
      <c r="AC677" s="31">
        <f>182/585</f>
        <v>0.31111111111111112</v>
      </c>
      <c r="AD677" s="31">
        <f>667/2261</f>
        <v>0.29500221141088012</v>
      </c>
      <c r="AE677" s="31">
        <f>123/469</f>
        <v>0.26226012793176973</v>
      </c>
      <c r="AF677" s="22">
        <f t="shared" ref="AF677" si="368">F677-F676</f>
        <v>0</v>
      </c>
      <c r="AG677" s="12">
        <v>6947946</v>
      </c>
      <c r="AH677" s="12">
        <v>5713518</v>
      </c>
      <c r="AI677" s="12">
        <v>1496388</v>
      </c>
      <c r="AJ677" s="23">
        <f t="shared" ref="AJ677" si="369">AK677-AK676</f>
        <v>22625</v>
      </c>
      <c r="AK677" s="23">
        <f t="shared" ref="AK677" si="370">AG677+AH677+AI677</f>
        <v>14157852</v>
      </c>
      <c r="AL677" s="28">
        <f>AK677/detalle!$D$2</f>
        <v>1291713.6496912236</v>
      </c>
    </row>
    <row r="678" spans="1:38">
      <c r="A678" s="12">
        <v>677</v>
      </c>
      <c r="B678" s="19">
        <v>44567</v>
      </c>
      <c r="C678" s="12">
        <v>658</v>
      </c>
      <c r="D678" s="23">
        <f t="shared" ref="D678" si="371">E678-E677</f>
        <v>5968</v>
      </c>
      <c r="E678" s="12">
        <v>444985</v>
      </c>
      <c r="F678" s="12">
        <v>4253</v>
      </c>
      <c r="G678" s="12">
        <v>411653</v>
      </c>
      <c r="H678" s="23">
        <f t="shared" ref="H678" si="372">E678-F678-G678</f>
        <v>29079</v>
      </c>
      <c r="I678" s="23">
        <f t="shared" ref="I678" si="373">J678-J677</f>
        <v>16776</v>
      </c>
      <c r="J678" s="12">
        <v>2641727</v>
      </c>
      <c r="K678" s="23">
        <f t="shared" ref="K678" si="374">J678-E678</f>
        <v>2196742</v>
      </c>
      <c r="L678" s="23">
        <f t="shared" ref="L678" si="375">G678-G677</f>
        <v>2078</v>
      </c>
      <c r="M678" s="14">
        <f t="shared" ref="M678" si="376">F678/E678</f>
        <v>9.5576255379394813E-3</v>
      </c>
      <c r="N678" s="14">
        <f t="shared" ref="N678" si="377">D678/I678</f>
        <v>0.35574630424415832</v>
      </c>
      <c r="O678" s="24"/>
      <c r="P678" s="12"/>
      <c r="Q678" s="12"/>
      <c r="R678" s="23">
        <f t="shared" ref="R678" si="378">F678+G678</f>
        <v>415906</v>
      </c>
      <c r="S678" s="25">
        <f>(((H678+R678)/(H677+R677))-1)+detalle!$D$1</f>
        <v>8.50225780387939E-2</v>
      </c>
      <c r="T678" s="25">
        <f t="shared" ref="T678" si="379">S678*14</f>
        <v>1.1903160925431147</v>
      </c>
      <c r="U678" s="10">
        <f t="shared" ref="U678" si="380">G678/E678</f>
        <v>0.92509410429565042</v>
      </c>
      <c r="V678" s="21">
        <f t="shared" ref="V678" si="381">G678/F678</f>
        <v>96.791206207383027</v>
      </c>
      <c r="W678" s="15">
        <f>J678/detalle!$D$2</f>
        <v>241022.07203874196</v>
      </c>
      <c r="X678" s="15">
        <f>E678/detalle!$D$2</f>
        <v>40598.898647044</v>
      </c>
      <c r="Y678" s="15">
        <f>F678/detalle!$D$2</f>
        <v>388.02907052120435</v>
      </c>
      <c r="AA678" s="14">
        <f>E678/(detalle!$D$2*1000000)</f>
        <v>4.0598898647043996E-2</v>
      </c>
      <c r="AB678" s="14">
        <f>F678/(detalle!$D$2*1000000)</f>
        <v>3.8802907052120435E-4</v>
      </c>
      <c r="AC678" s="31">
        <f>150/585</f>
        <v>0.25641025641025639</v>
      </c>
      <c r="AD678" s="31">
        <f>580/2261</f>
        <v>0.25652366209641753</v>
      </c>
      <c r="AE678" s="31">
        <f>101/469</f>
        <v>0.21535181236673773</v>
      </c>
      <c r="AF678" s="22">
        <f t="shared" ref="AF678" si="382">F678-F677</f>
        <v>1</v>
      </c>
      <c r="AG678" s="12">
        <v>6950489</v>
      </c>
      <c r="AH678" s="12">
        <v>5717501</v>
      </c>
      <c r="AI678" s="12">
        <v>1511750</v>
      </c>
      <c r="AJ678" s="23">
        <f t="shared" ref="AJ678" si="383">AK678-AK677</f>
        <v>21888</v>
      </c>
      <c r="AK678" s="23">
        <f t="shared" ref="AK678" si="384">AG678+AH678+AI678</f>
        <v>14179740</v>
      </c>
      <c r="AL678" s="28">
        <f>AK678/detalle!$D$2</f>
        <v>1293710.6354179031</v>
      </c>
    </row>
    <row r="679" spans="1:38">
      <c r="A679" s="12">
        <v>678</v>
      </c>
      <c r="B679" s="19">
        <v>44568</v>
      </c>
      <c r="C679" s="12">
        <v>659</v>
      </c>
      <c r="D679" s="23">
        <f t="shared" ref="D679" si="385">E679-E678</f>
        <v>6200</v>
      </c>
      <c r="E679" s="12">
        <v>451185</v>
      </c>
      <c r="F679" s="12">
        <v>4255</v>
      </c>
      <c r="G679" s="12">
        <v>415448</v>
      </c>
      <c r="H679" s="23">
        <f t="shared" ref="H679" si="386">E679-F679-G679</f>
        <v>31482</v>
      </c>
      <c r="I679" s="23">
        <f t="shared" ref="I679" si="387">J679-J678</f>
        <v>16256</v>
      </c>
      <c r="J679" s="12">
        <v>2657983</v>
      </c>
      <c r="K679" s="23">
        <f t="shared" ref="K679" si="388">J679-E679</f>
        <v>2206798</v>
      </c>
      <c r="L679" s="23">
        <f t="shared" ref="L679" si="389">G679-G678</f>
        <v>3795</v>
      </c>
      <c r="M679" s="14">
        <f t="shared" ref="M679" si="390">F679/E679</f>
        <v>9.4307213227390087E-3</v>
      </c>
      <c r="N679" s="14">
        <f t="shared" ref="N679" si="391">D679/I679</f>
        <v>0.38139763779527558</v>
      </c>
      <c r="O679" s="24"/>
      <c r="P679" s="12"/>
      <c r="Q679" s="12"/>
      <c r="R679" s="23">
        <f t="shared" ref="R679" si="392">F679+G679</f>
        <v>419703</v>
      </c>
      <c r="S679" s="25">
        <f>(((H679+R679)/(H678+R678))-1)+detalle!$D$1</f>
        <v>8.536162535173733E-2</v>
      </c>
      <c r="T679" s="25">
        <f t="shared" ref="T679" si="393">S679*14</f>
        <v>1.1950627549243227</v>
      </c>
      <c r="U679" s="10">
        <f t="shared" ref="U679" si="394">G679/E679</f>
        <v>0.92079302281769115</v>
      </c>
      <c r="V679" s="21">
        <f t="shared" ref="V679" si="395">G679/F679</f>
        <v>97.637602820211512</v>
      </c>
      <c r="W679" s="15">
        <f>J679/detalle!$D$2</f>
        <v>242505.21348487239</v>
      </c>
      <c r="X679" s="15">
        <f>E679/detalle!$D$2</f>
        <v>41164.565291114406</v>
      </c>
      <c r="Y679" s="15">
        <f>F679/detalle!$D$2</f>
        <v>388.21154363219478</v>
      </c>
      <c r="AA679" s="14">
        <f>E679/(detalle!$D$2*1000000)</f>
        <v>4.1164565291114411E-2</v>
      </c>
      <c r="AB679" s="14">
        <f>F679/(detalle!$D$2*1000000)</f>
        <v>3.8821154363219478E-4</v>
      </c>
      <c r="AC679" s="31">
        <f>130/585</f>
        <v>0.22222222222222221</v>
      </c>
      <c r="AD679" s="31">
        <f>590/2261</f>
        <v>0.26094648385670055</v>
      </c>
      <c r="AE679" s="31">
        <f>105/469</f>
        <v>0.22388059701492538</v>
      </c>
      <c r="AF679" s="22">
        <f t="shared" ref="AF679" si="396">F679-F678</f>
        <v>2</v>
      </c>
      <c r="AG679" s="12">
        <v>6952665</v>
      </c>
      <c r="AH679" s="12">
        <v>5721101</v>
      </c>
      <c r="AI679" s="12">
        <v>1525921</v>
      </c>
      <c r="AJ679" s="23">
        <f t="shared" ref="AJ679" si="397">AK679-AK678</f>
        <v>19947</v>
      </c>
      <c r="AK679" s="23">
        <f t="shared" ref="AK679" si="398">AG679+AH679+AI679</f>
        <v>14199687</v>
      </c>
      <c r="AL679" s="28">
        <f>AK679/detalle!$D$2</f>
        <v>1295530.5309903664</v>
      </c>
    </row>
    <row r="680" spans="1:38">
      <c r="A680" s="12">
        <v>679</v>
      </c>
      <c r="B680" s="19">
        <v>44569</v>
      </c>
      <c r="C680" s="12">
        <v>660</v>
      </c>
      <c r="D680" s="23">
        <f t="shared" ref="D680" si="399">E680-E679</f>
        <v>6042</v>
      </c>
      <c r="E680" s="12">
        <v>457227</v>
      </c>
      <c r="F680" s="12">
        <v>4255</v>
      </c>
      <c r="G680" s="12">
        <v>419826</v>
      </c>
      <c r="H680" s="23">
        <f t="shared" ref="H680" si="400">E680-F680-G680</f>
        <v>33146</v>
      </c>
      <c r="I680" s="23">
        <f t="shared" ref="I680" si="401">J680-J679</f>
        <v>17650</v>
      </c>
      <c r="J680" s="12">
        <v>2675633</v>
      </c>
      <c r="K680" s="23">
        <f t="shared" ref="K680" si="402">J680-E680</f>
        <v>2218406</v>
      </c>
      <c r="L680" s="23">
        <f t="shared" ref="L680" si="403">G680-G679</f>
        <v>4378</v>
      </c>
      <c r="M680" s="14">
        <f t="shared" ref="M680" si="404">F680/E680</f>
        <v>9.3060995960431037E-3</v>
      </c>
      <c r="N680" s="14">
        <f t="shared" ref="N680" si="405">D680/I680</f>
        <v>0.34232294617563741</v>
      </c>
      <c r="O680" s="24"/>
      <c r="P680" s="12"/>
      <c r="Q680" s="12"/>
      <c r="R680" s="23">
        <f t="shared" ref="R680" si="406">F680+G680</f>
        <v>424081</v>
      </c>
      <c r="S680" s="25">
        <f>(((H680+R680)/(H679+R679))-1)+detalle!$D$1</f>
        <v>8.4819974068286924E-2</v>
      </c>
      <c r="T680" s="25">
        <f t="shared" ref="T680" si="407">S680*14</f>
        <v>1.187479636956017</v>
      </c>
      <c r="U680" s="10">
        <f t="shared" ref="U680" si="408">G680/E680</f>
        <v>0.91820036874462796</v>
      </c>
      <c r="V680" s="21">
        <f t="shared" ref="V680" si="409">G680/F680</f>
        <v>98.666509988249118</v>
      </c>
      <c r="W680" s="15">
        <f>J680/detalle!$D$2</f>
        <v>244115.53868936317</v>
      </c>
      <c r="X680" s="15">
        <f>E680/detalle!$D$2</f>
        <v>41715.816559416577</v>
      </c>
      <c r="Y680" s="15">
        <f>F680/detalle!$D$2</f>
        <v>388.21154363219478</v>
      </c>
      <c r="AA680" s="14">
        <f>E680/(detalle!$D$2*1000000)</f>
        <v>4.1715816559416578E-2</v>
      </c>
      <c r="AB680" s="14">
        <f>F680/(detalle!$D$2*1000000)</f>
        <v>3.8821154363219478E-4</v>
      </c>
      <c r="AC680" s="31">
        <f>150/585</f>
        <v>0.25641025641025639</v>
      </c>
      <c r="AD680" s="31">
        <f>652/2261</f>
        <v>0.28836797877045556</v>
      </c>
      <c r="AE680" s="31">
        <f>115/469</f>
        <v>0.24520255863539445</v>
      </c>
      <c r="AF680" s="22">
        <f t="shared" ref="AF680" si="410">F680-F679</f>
        <v>0</v>
      </c>
      <c r="AG680" s="12">
        <v>6953635</v>
      </c>
      <c r="AH680" s="12">
        <v>5722555</v>
      </c>
      <c r="AI680" s="12">
        <v>1531679</v>
      </c>
      <c r="AJ680" s="23">
        <f t="shared" ref="AJ680" si="411">AK680-AK679</f>
        <v>8182</v>
      </c>
      <c r="AK680" s="23">
        <f t="shared" ref="AK680" si="412">AG680+AH680+AI680</f>
        <v>14207869</v>
      </c>
      <c r="AL680" s="28">
        <f>AK680/detalle!$D$2</f>
        <v>1296277.0284874283</v>
      </c>
    </row>
    <row r="681" spans="1:38">
      <c r="A681" s="12">
        <v>680</v>
      </c>
      <c r="B681" s="19">
        <v>44570</v>
      </c>
      <c r="C681" s="12">
        <v>661</v>
      </c>
      <c r="D681" s="23">
        <f t="shared" ref="D681" si="413">E681-E680</f>
        <v>5155</v>
      </c>
      <c r="E681" s="12">
        <v>462382</v>
      </c>
      <c r="F681" s="12">
        <v>4255</v>
      </c>
      <c r="G681" s="12">
        <v>424688</v>
      </c>
      <c r="H681" s="23">
        <f t="shared" ref="H681" si="414">E681-F681-G681</f>
        <v>33439</v>
      </c>
      <c r="I681" s="23">
        <f t="shared" ref="I681" si="415">J681-J680</f>
        <v>14021</v>
      </c>
      <c r="J681" s="12">
        <v>2689654</v>
      </c>
      <c r="K681" s="23">
        <f t="shared" ref="K681" si="416">J681-E681</f>
        <v>2227272</v>
      </c>
      <c r="L681" s="23">
        <f t="shared" ref="L681" si="417">G681-G680</f>
        <v>4862</v>
      </c>
      <c r="M681" s="14">
        <f t="shared" ref="M681" si="418">F681/E681</f>
        <v>9.2023478422602958E-3</v>
      </c>
      <c r="N681" s="14">
        <f t="shared" ref="N681" si="419">D681/I681</f>
        <v>0.36766279152699521</v>
      </c>
      <c r="O681" s="24"/>
      <c r="P681" s="12"/>
      <c r="Q681" s="12"/>
      <c r="R681" s="23">
        <f t="shared" ref="R681" si="420">F681+G681</f>
        <v>428943</v>
      </c>
      <c r="S681" s="25">
        <f>(((H681+R681)/(H680+R680))-1)+detalle!$D$1</f>
        <v>8.2703058718254702E-2</v>
      </c>
      <c r="T681" s="25">
        <f t="shared" ref="T681" si="421">S681*14</f>
        <v>1.1578428220555659</v>
      </c>
      <c r="U681" s="10">
        <f t="shared" ref="U681" si="422">G681/E681</f>
        <v>0.91847866050149007</v>
      </c>
      <c r="V681" s="21">
        <f t="shared" ref="V681" si="423">G681/F681</f>
        <v>99.809165687426557</v>
      </c>
      <c r="W681" s="15">
        <f>J681/detalle!$D$2</f>
        <v>245394.76643396175</v>
      </c>
      <c r="X681" s="15">
        <f>E681/detalle!$D$2</f>
        <v>42186.141002994475</v>
      </c>
      <c r="Y681" s="15">
        <f>F681/detalle!$D$2</f>
        <v>388.21154363219478</v>
      </c>
      <c r="AA681" s="14">
        <f>E681/(detalle!$D$2*1000000)</f>
        <v>4.2186141002994476E-2</v>
      </c>
      <c r="AB681" s="14">
        <f>F681/(detalle!$D$2*1000000)</f>
        <v>3.8821154363219478E-4</v>
      </c>
      <c r="AC681" s="31">
        <f>152/585</f>
        <v>0.25982905982905985</v>
      </c>
      <c r="AD681" s="31">
        <f>652/2261</f>
        <v>0.28836797877045556</v>
      </c>
      <c r="AE681" s="31">
        <f>115/469</f>
        <v>0.24520255863539445</v>
      </c>
      <c r="AF681" s="22">
        <f t="shared" ref="AF681" si="424">F681-F680</f>
        <v>0</v>
      </c>
      <c r="AG681" s="12">
        <v>6953963</v>
      </c>
      <c r="AH681" s="12">
        <v>5723047</v>
      </c>
      <c r="AI681" s="12">
        <v>1533888</v>
      </c>
      <c r="AJ681" s="23">
        <f t="shared" ref="AJ681" si="425">AK681-AK680</f>
        <v>3029</v>
      </c>
      <c r="AK681" s="23">
        <f t="shared" ref="AK681" si="426">AG681+AH681+AI681</f>
        <v>14210898</v>
      </c>
      <c r="AL681" s="28">
        <f>AK681/detalle!$D$2</f>
        <v>1296553.3840140235</v>
      </c>
    </row>
    <row r="682" spans="1:38">
      <c r="A682" s="12">
        <v>681</v>
      </c>
      <c r="B682" s="19">
        <v>44571</v>
      </c>
      <c r="C682" s="12">
        <v>662</v>
      </c>
      <c r="D682" s="23">
        <f t="shared" ref="D682" si="427">E682-E681</f>
        <v>6683</v>
      </c>
      <c r="E682" s="12">
        <v>469065</v>
      </c>
      <c r="F682" s="12">
        <v>4255</v>
      </c>
      <c r="G682" s="12">
        <v>428060</v>
      </c>
      <c r="H682" s="23">
        <f t="shared" ref="H682" si="428">E682-F682-G682</f>
        <v>36750</v>
      </c>
      <c r="I682" s="23">
        <f t="shared" ref="I682" si="429">J682-J681</f>
        <v>18862</v>
      </c>
      <c r="J682" s="12">
        <v>2708516</v>
      </c>
      <c r="K682" s="23">
        <f t="shared" ref="K682" si="430">J682-E682</f>
        <v>2239451</v>
      </c>
      <c r="L682" s="23">
        <f t="shared" ref="L682" si="431">G682-G681</f>
        <v>3372</v>
      </c>
      <c r="M682" s="14">
        <f t="shared" ref="M682" si="432">F682/E682</f>
        <v>9.0712374617590314E-3</v>
      </c>
      <c r="N682" s="14">
        <f t="shared" ref="N682" si="433">D682/I682</f>
        <v>0.35431025341957373</v>
      </c>
      <c r="O682" s="24"/>
      <c r="P682" s="12"/>
      <c r="Q682" s="12"/>
      <c r="R682" s="23">
        <f t="shared" ref="R682" si="434">F682+G682</f>
        <v>432315</v>
      </c>
      <c r="S682" s="25">
        <f>(((H682+R682)/(H681+R681))-1)+detalle!$D$1</f>
        <v>8.5881988732878362E-2</v>
      </c>
      <c r="T682" s="25">
        <f t="shared" ref="T682" si="435">S682*14</f>
        <v>1.2023478422602971</v>
      </c>
      <c r="U682" s="10">
        <f t="shared" ref="U682" si="436">G682/E682</f>
        <v>0.91258141195783105</v>
      </c>
      <c r="V682" s="21">
        <f t="shared" ref="V682" si="437">G682/F682</f>
        <v>100.60164512338426</v>
      </c>
      <c r="W682" s="15">
        <f>J682/detalle!$D$2</f>
        <v>247115.67034371276</v>
      </c>
      <c r="X682" s="15">
        <f>E682/detalle!$D$2</f>
        <v>42795.874903369084</v>
      </c>
      <c r="Y682" s="15">
        <f>F682/detalle!$D$2</f>
        <v>388.21154363219478</v>
      </c>
      <c r="AA682" s="14">
        <f>E682/(detalle!$D$2*1000000)</f>
        <v>4.2795874903369086E-2</v>
      </c>
      <c r="AB682" s="14">
        <f>F682/(detalle!$D$2*1000000)</f>
        <v>3.8821154363219478E-4</v>
      </c>
      <c r="AC682" s="31">
        <f>160/585</f>
        <v>0.27350427350427353</v>
      </c>
      <c r="AD682" s="31">
        <f>672/2261</f>
        <v>0.29721362229102166</v>
      </c>
      <c r="AE682" s="31">
        <f>120/469</f>
        <v>0.25586353944562901</v>
      </c>
      <c r="AF682" s="22">
        <f t="shared" ref="AF682" si="438">F682-F681</f>
        <v>0</v>
      </c>
      <c r="AG682" s="12">
        <v>6954787</v>
      </c>
      <c r="AH682" s="12">
        <v>5724174</v>
      </c>
      <c r="AI682" s="12">
        <v>1538083</v>
      </c>
      <c r="AJ682" s="23">
        <f t="shared" ref="AJ682" si="439">AK682-AK681</f>
        <v>6146</v>
      </c>
      <c r="AK682" s="23">
        <f t="shared" ref="AK682" si="440">AG682+AH682+AI682</f>
        <v>14217044</v>
      </c>
      <c r="AL682" s="28">
        <f>AK682/detalle!$D$2</f>
        <v>1297114.1238840972</v>
      </c>
    </row>
    <row r="683" spans="1:38">
      <c r="A683" s="12">
        <v>682</v>
      </c>
      <c r="B683" s="19">
        <v>44572</v>
      </c>
      <c r="C683" s="12">
        <v>663</v>
      </c>
      <c r="D683" s="23">
        <f t="shared" ref="D683" si="441">E683-E682</f>
        <v>7439</v>
      </c>
      <c r="E683" s="12">
        <v>476504</v>
      </c>
      <c r="F683" s="12">
        <v>4259</v>
      </c>
      <c r="G683" s="12">
        <v>431297</v>
      </c>
      <c r="H683" s="23">
        <f t="shared" ref="H683" si="442">E683-F683-G683</f>
        <v>40948</v>
      </c>
      <c r="I683" s="23">
        <f t="shared" ref="I683" si="443">J683-J682</f>
        <v>19217</v>
      </c>
      <c r="J683" s="12">
        <v>2727733</v>
      </c>
      <c r="K683" s="23">
        <f t="shared" ref="K683" si="444">J683-E683</f>
        <v>2251229</v>
      </c>
      <c r="L683" s="23">
        <f t="shared" ref="L683" si="445">G683-G682</f>
        <v>3237</v>
      </c>
      <c r="M683" s="14">
        <f t="shared" ref="M683" si="446">F683/E683</f>
        <v>8.9380152107852197E-3</v>
      </c>
      <c r="N683" s="14">
        <f t="shared" ref="N683" si="447">D683/I683</f>
        <v>0.38710516729978667</v>
      </c>
      <c r="O683" s="24"/>
      <c r="P683" s="12"/>
      <c r="Q683" s="12"/>
      <c r="R683" s="23">
        <f t="shared" ref="R683" si="448">F683+G683</f>
        <v>435556</v>
      </c>
      <c r="S683" s="25">
        <f>(((H683+R683)/(H682+R682))-1)+detalle!$D$1</f>
        <v>8.7287780706603285E-2</v>
      </c>
      <c r="T683" s="25">
        <f t="shared" ref="T683" si="449">S683*14</f>
        <v>1.222028929892446</v>
      </c>
      <c r="U683" s="10">
        <f t="shared" ref="U683" si="450">G683/E683</f>
        <v>0.90512776388026128</v>
      </c>
      <c r="V683" s="21">
        <f t="shared" ref="V683" si="451">G683/F683</f>
        <v>101.26719887297487</v>
      </c>
      <c r="W683" s="15">
        <f>J683/detalle!$D$2</f>
        <v>248868.96323066455</v>
      </c>
      <c r="X683" s="15">
        <f>E683/detalle!$D$2</f>
        <v>43474.583639698089</v>
      </c>
      <c r="Y683" s="15">
        <f>F683/detalle!$D$2</f>
        <v>388.57648985417569</v>
      </c>
      <c r="AA683" s="14">
        <f>E683/(detalle!$D$2*1000000)</f>
        <v>4.3474583639698083E-2</v>
      </c>
      <c r="AB683" s="14">
        <f>F683/(detalle!$D$2*1000000)</f>
        <v>3.8857648985417568E-4</v>
      </c>
      <c r="AC683" s="31">
        <f>168/585</f>
        <v>0.28717948717948716</v>
      </c>
      <c r="AD683" s="31">
        <f>690/2261</f>
        <v>0.30517470145953118</v>
      </c>
      <c r="AE683" s="31">
        <f>130/469</f>
        <v>0.27718550106609807</v>
      </c>
      <c r="AF683" s="22">
        <f t="shared" ref="AF683" si="452">F683-F682</f>
        <v>4</v>
      </c>
      <c r="AG683" s="12">
        <v>6958280</v>
      </c>
      <c r="AH683" s="12">
        <v>5728829</v>
      </c>
      <c r="AI683" s="12">
        <v>1555140</v>
      </c>
      <c r="AJ683" s="23">
        <f t="shared" ref="AJ683" si="453">AK683-AK682</f>
        <v>25205</v>
      </c>
      <c r="AK683" s="23">
        <f t="shared" ref="AK683" si="454">AG683+AH683+AI683</f>
        <v>14242249</v>
      </c>
      <c r="AL683" s="28">
        <f>AK683/detalle!$D$2</f>
        <v>1299413.7412653544</v>
      </c>
    </row>
    <row r="684" spans="1:38">
      <c r="A684" s="12">
        <v>683</v>
      </c>
      <c r="B684" s="19">
        <v>44573</v>
      </c>
      <c r="C684" s="12">
        <v>664</v>
      </c>
      <c r="D684" s="23">
        <f t="shared" ref="D684" si="455">E684-E683</f>
        <v>5953</v>
      </c>
      <c r="E684" s="12">
        <v>482457</v>
      </c>
      <c r="F684" s="12">
        <v>4259</v>
      </c>
      <c r="G684" s="12">
        <v>438212</v>
      </c>
      <c r="H684" s="23">
        <f t="shared" ref="H684" si="456">E684-F684-G684</f>
        <v>39986</v>
      </c>
      <c r="I684" s="23">
        <f t="shared" ref="I684" si="457">J684-J683</f>
        <v>15478</v>
      </c>
      <c r="J684" s="12">
        <v>2743211</v>
      </c>
      <c r="K684" s="23">
        <f t="shared" ref="K684" si="458">J684-E684</f>
        <v>2260754</v>
      </c>
      <c r="L684" s="23">
        <f t="shared" ref="L684" si="459">G684-G683</f>
        <v>6915</v>
      </c>
      <c r="M684" s="14">
        <f t="shared" ref="M684" si="460">F684/E684</f>
        <v>8.8277297251361259E-3</v>
      </c>
      <c r="N684" s="14">
        <f t="shared" ref="N684" si="461">D684/I684</f>
        <v>0.38461041478227159</v>
      </c>
      <c r="O684" s="24"/>
      <c r="P684" s="12"/>
      <c r="Q684" s="12"/>
      <c r="R684" s="23">
        <f t="shared" ref="R684" si="462">F684+G684</f>
        <v>442471</v>
      </c>
      <c r="S684" s="25">
        <f>(((H684+R684)/(H683+R683))-1)+detalle!$D$1</f>
        <v>8.3921645988281252E-2</v>
      </c>
      <c r="T684" s="25">
        <f t="shared" ref="T684" si="463">S684*14</f>
        <v>1.1749030438359376</v>
      </c>
      <c r="U684" s="10">
        <f t="shared" ref="U684" si="464">G684/E684</f>
        <v>0.90829234522454849</v>
      </c>
      <c r="V684" s="21">
        <f t="shared" ref="V684" si="465">G684/F684</f>
        <v>102.89081944118338</v>
      </c>
      <c r="W684" s="15">
        <f>J684/detalle!$D$2</f>
        <v>250281.12263661966</v>
      </c>
      <c r="X684" s="15">
        <f>E684/detalle!$D$2</f>
        <v>44017.714854561178</v>
      </c>
      <c r="Y684" s="15">
        <f>F684/detalle!$D$2</f>
        <v>388.57648985417569</v>
      </c>
      <c r="AA684" s="14">
        <f>E684/(detalle!$D$2*1000000)</f>
        <v>4.4017714854561178E-2</v>
      </c>
      <c r="AB684" s="14">
        <f>F684/(detalle!$D$2*1000000)</f>
        <v>3.8857648985417568E-4</v>
      </c>
      <c r="AC684" s="31">
        <f>170/585</f>
        <v>0.29059829059829062</v>
      </c>
      <c r="AD684" s="31">
        <f>701/2261</f>
        <v>0.31003980539584253</v>
      </c>
      <c r="AE684" s="31">
        <f>125/469</f>
        <v>0.26652452025586354</v>
      </c>
      <c r="AF684" s="22">
        <f t="shared" ref="AF684" si="466">F684-F683</f>
        <v>0</v>
      </c>
      <c r="AG684" s="12">
        <v>6960926</v>
      </c>
      <c r="AH684" s="12">
        <v>5732824</v>
      </c>
      <c r="AI684" s="12">
        <v>1573651</v>
      </c>
      <c r="AJ684" s="23">
        <f t="shared" ref="AJ684" si="467">AK684-AK683</f>
        <v>25152</v>
      </c>
      <c r="AK684" s="23">
        <f t="shared" ref="AK684" si="468">AG684+AH684+AI684</f>
        <v>14267401</v>
      </c>
      <c r="AL684" s="28">
        <f>AK684/detalle!$D$2</f>
        <v>1301708.5231091704</v>
      </c>
    </row>
    <row r="685" spans="1:38">
      <c r="A685" s="12">
        <v>684</v>
      </c>
      <c r="B685" s="19">
        <v>44574</v>
      </c>
      <c r="C685" s="12">
        <v>665</v>
      </c>
      <c r="D685" s="23">
        <f t="shared" ref="D685" si="469">E685-E684</f>
        <v>7174</v>
      </c>
      <c r="E685" s="12">
        <v>489631</v>
      </c>
      <c r="F685" s="12">
        <v>4266</v>
      </c>
      <c r="G685" s="12">
        <v>444925</v>
      </c>
      <c r="H685" s="23">
        <f t="shared" ref="H685" si="470">E685-F685-G685</f>
        <v>40440</v>
      </c>
      <c r="I685" s="23">
        <f t="shared" ref="I685" si="471">J685-J684</f>
        <v>17980</v>
      </c>
      <c r="J685" s="12">
        <v>2761191</v>
      </c>
      <c r="K685" s="23">
        <f t="shared" ref="K685" si="472">J685-E685</f>
        <v>2271560</v>
      </c>
      <c r="L685" s="23">
        <f t="shared" ref="L685" si="473">G685-G684</f>
        <v>6713</v>
      </c>
      <c r="M685" s="14">
        <f t="shared" ref="M685" si="474">F685/E685</f>
        <v>8.7126836331849911E-3</v>
      </c>
      <c r="N685" s="14">
        <f t="shared" ref="N685" si="475">D685/I685</f>
        <v>0.39899888765294772</v>
      </c>
      <c r="O685" s="24"/>
      <c r="P685" s="12"/>
      <c r="Q685" s="12"/>
      <c r="R685" s="23">
        <f t="shared" ref="R685" si="476">F685+G685</f>
        <v>449191</v>
      </c>
      <c r="S685" s="25">
        <f>(((H685+R685)/(H684+R684))-1)+detalle!$D$1</f>
        <v>8.629829038798123E-2</v>
      </c>
      <c r="T685" s="25">
        <f t="shared" ref="T685" si="477">S685*14</f>
        <v>1.2081760654317373</v>
      </c>
      <c r="U685" s="10">
        <f t="shared" ref="U685" si="478">G685/E685</f>
        <v>0.9086945066795199</v>
      </c>
      <c r="V685" s="21">
        <f t="shared" ref="V685" si="479">G685/F685</f>
        <v>104.29559306141584</v>
      </c>
      <c r="W685" s="15">
        <f>J685/detalle!$D$2</f>
        <v>251921.55590442388</v>
      </c>
      <c r="X685" s="15">
        <f>E685/detalle!$D$2</f>
        <v>44672.245903683943</v>
      </c>
      <c r="Y685" s="15">
        <f>F685/detalle!$D$2</f>
        <v>389.21514574264233</v>
      </c>
      <c r="AA685" s="14">
        <f>E685/(detalle!$D$2*1000000)</f>
        <v>4.4672245903683939E-2</v>
      </c>
      <c r="AB685" s="14">
        <f>F685/(detalle!$D$2*1000000)</f>
        <v>3.8921514574264229E-4</v>
      </c>
      <c r="AC685" s="31">
        <f>196/585</f>
        <v>0.33504273504273502</v>
      </c>
      <c r="AD685" s="31">
        <f>740/2261</f>
        <v>0.32728881026094647</v>
      </c>
      <c r="AE685" s="31">
        <f>128/469</f>
        <v>0.27292110874200426</v>
      </c>
      <c r="AF685" s="22">
        <f t="shared" ref="AF685" si="480">F685-F684</f>
        <v>7</v>
      </c>
      <c r="AG685" s="12">
        <v>6963769</v>
      </c>
      <c r="AH685" s="12">
        <v>5737167</v>
      </c>
      <c r="AI685" s="12">
        <v>1592705</v>
      </c>
      <c r="AJ685" s="23">
        <f t="shared" ref="AJ685" si="481">AK685-AK684</f>
        <v>26240</v>
      </c>
      <c r="AK685" s="23">
        <f t="shared" ref="AK685" si="482">AG685+AH685+AI685</f>
        <v>14293641</v>
      </c>
      <c r="AL685" s="28">
        <f>AK685/detalle!$D$2</f>
        <v>1304102.5703253651</v>
      </c>
    </row>
    <row r="686" spans="1:38">
      <c r="A686" s="12">
        <v>685</v>
      </c>
      <c r="B686" s="19">
        <v>44575</v>
      </c>
      <c r="C686" s="12">
        <v>666</v>
      </c>
      <c r="D686" s="23">
        <f t="shared" ref="D686" si="483">E686-E685</f>
        <v>4964</v>
      </c>
      <c r="E686" s="12">
        <v>494595</v>
      </c>
      <c r="F686" s="12">
        <v>4268</v>
      </c>
      <c r="G686" s="12">
        <v>455449</v>
      </c>
      <c r="H686" s="23">
        <f t="shared" ref="H686" si="484">E686-F686-G686</f>
        <v>34878</v>
      </c>
      <c r="I686" s="23">
        <f t="shared" ref="I686" si="485">J686-J685</f>
        <v>12416</v>
      </c>
      <c r="J686" s="12">
        <v>2773607</v>
      </c>
      <c r="K686" s="23">
        <f t="shared" ref="K686" si="486">J686-E686</f>
        <v>2279012</v>
      </c>
      <c r="L686" s="23">
        <f t="shared" ref="L686" si="487">G686-G685</f>
        <v>10524</v>
      </c>
      <c r="M686" s="14">
        <f t="shared" ref="M686" si="488">F686/E686</f>
        <v>8.6292825443039251E-3</v>
      </c>
      <c r="N686" s="14">
        <f t="shared" ref="N686" si="489">D686/I686</f>
        <v>0.39980670103092786</v>
      </c>
      <c r="O686" s="24"/>
      <c r="P686" s="12"/>
      <c r="Q686" s="12"/>
      <c r="R686" s="23">
        <f t="shared" ref="R686" si="490">F686+G686</f>
        <v>459717</v>
      </c>
      <c r="S686" s="25">
        <f>(((H686+R686)/(H685+R685))-1)+detalle!$D$1</f>
        <v>8.1566818394143398E-2</v>
      </c>
      <c r="T686" s="25">
        <f t="shared" ref="T686" si="491">S686*14</f>
        <v>1.1419354575180076</v>
      </c>
      <c r="U686" s="10">
        <f t="shared" ref="U686" si="492">G686/E686</f>
        <v>0.92085241460184597</v>
      </c>
      <c r="V686" s="21">
        <f t="shared" ref="V686" si="493">G686/F686</f>
        <v>106.71251171508904</v>
      </c>
      <c r="W686" s="15">
        <f>J686/detalle!$D$2</f>
        <v>253054.34897745264</v>
      </c>
      <c r="X686" s="15">
        <f>E686/detalle!$D$2</f>
        <v>45125.144165162252</v>
      </c>
      <c r="Y686" s="15">
        <f>F686/detalle!$D$2</f>
        <v>389.39761885363276</v>
      </c>
      <c r="AA686" s="14">
        <f>E686/(detalle!$D$2*1000000)</f>
        <v>4.5125144165162251E-2</v>
      </c>
      <c r="AB686" s="14">
        <f>F686/(detalle!$D$2*1000000)</f>
        <v>3.8939761885363277E-4</v>
      </c>
      <c r="AC686" s="31">
        <f>215/585</f>
        <v>0.36752136752136755</v>
      </c>
      <c r="AD686" s="31">
        <f>778/2261</f>
        <v>0.3440955329500221</v>
      </c>
      <c r="AE686" s="31">
        <f>138/469</f>
        <v>0.29424307036247332</v>
      </c>
      <c r="AF686" s="22">
        <f t="shared" ref="AF686" si="494">F686-F685</f>
        <v>2</v>
      </c>
      <c r="AG686" s="12">
        <v>6966253</v>
      </c>
      <c r="AH686" s="12">
        <v>5740955</v>
      </c>
      <c r="AI686" s="12">
        <v>1609336</v>
      </c>
      <c r="AJ686" s="23">
        <f t="shared" ref="AJ686" si="495">AK686-AK685</f>
        <v>22903</v>
      </c>
      <c r="AK686" s="23">
        <f t="shared" ref="AK686" si="496">AG686+AH686+AI686</f>
        <v>14316544</v>
      </c>
      <c r="AL686" s="28">
        <f>AK686/detalle!$D$2</f>
        <v>1306192.1611558723</v>
      </c>
    </row>
    <row r="687" spans="1:38">
      <c r="A687" s="12">
        <v>686</v>
      </c>
      <c r="B687" s="19">
        <v>44576</v>
      </c>
      <c r="C687" s="12">
        <v>667</v>
      </c>
      <c r="D687" s="23">
        <f t="shared" ref="D687" si="497">E687-E686</f>
        <v>3988</v>
      </c>
      <c r="E687" s="12">
        <v>498583</v>
      </c>
      <c r="F687" s="12">
        <v>4268</v>
      </c>
      <c r="G687" s="12">
        <v>459470</v>
      </c>
      <c r="H687" s="23">
        <f t="shared" ref="H687" si="498">E687-F687-G687</f>
        <v>34845</v>
      </c>
      <c r="I687" s="23">
        <f t="shared" ref="I687" si="499">J687-J686</f>
        <v>10352</v>
      </c>
      <c r="J687" s="12">
        <v>2783959</v>
      </c>
      <c r="K687" s="23">
        <f t="shared" ref="K687" si="500">J687-E687</f>
        <v>2285376</v>
      </c>
      <c r="L687" s="23">
        <f t="shared" ref="L687" si="501">G687-G686</f>
        <v>4021</v>
      </c>
      <c r="M687" s="14">
        <f t="shared" ref="M687" si="502">F687/E687</f>
        <v>8.5602597762057669E-3</v>
      </c>
      <c r="N687" s="14">
        <f t="shared" ref="N687" si="503">D687/I687</f>
        <v>0.38523956723338487</v>
      </c>
      <c r="O687" s="24"/>
      <c r="P687" s="12"/>
      <c r="Q687" s="12"/>
      <c r="R687" s="23">
        <f t="shared" ref="R687" si="504">F687+G687</f>
        <v>463738</v>
      </c>
      <c r="S687" s="25">
        <f>(((H687+R687)/(H686+R686))-1)+detalle!$D$1</f>
        <v>7.9491734218328808E-2</v>
      </c>
      <c r="T687" s="25">
        <f t="shared" ref="T687" si="505">S687*14</f>
        <v>1.1128842790566034</v>
      </c>
      <c r="U687" s="10">
        <f t="shared" ref="U687" si="506">G687/E687</f>
        <v>0.92155167745390432</v>
      </c>
      <c r="V687" s="21">
        <f t="shared" ref="V687" si="507">G687/F687</f>
        <v>107.65463917525773</v>
      </c>
      <c r="W687" s="15">
        <f>J687/detalle!$D$2</f>
        <v>253998.82979993924</v>
      </c>
      <c r="X687" s="15">
        <f>E687/detalle!$D$2</f>
        <v>45488.995548477222</v>
      </c>
      <c r="Y687" s="15">
        <f>F687/detalle!$D$2</f>
        <v>389.39761885363276</v>
      </c>
      <c r="AA687" s="14">
        <f>E687/(detalle!$D$2*1000000)</f>
        <v>4.5488995548477219E-2</v>
      </c>
      <c r="AB687" s="14">
        <f>F687/(detalle!$D$2*1000000)</f>
        <v>3.8939761885363277E-4</v>
      </c>
      <c r="AC687" s="31">
        <f>225/585</f>
        <v>0.38461538461538464</v>
      </c>
      <c r="AD687" s="31">
        <f>814/2261</f>
        <v>0.36001769128704114</v>
      </c>
      <c r="AE687" s="31">
        <f>142/469</f>
        <v>0.30277185501066101</v>
      </c>
      <c r="AF687" s="22">
        <f t="shared" ref="AF687" si="508">F687-F686</f>
        <v>0</v>
      </c>
      <c r="AG687" s="12">
        <v>6967123</v>
      </c>
      <c r="AH687" s="12">
        <v>5742268</v>
      </c>
      <c r="AI687" s="12">
        <v>1615745</v>
      </c>
      <c r="AJ687" s="23">
        <f t="shared" ref="AJ687" si="509">AK687-AK686</f>
        <v>8592</v>
      </c>
      <c r="AK687" s="23">
        <f t="shared" ref="AK687" si="510">AG687+AH687+AI687</f>
        <v>14325136</v>
      </c>
      <c r="AL687" s="28">
        <f>AK687/detalle!$D$2</f>
        <v>1306976.0656406872</v>
      </c>
    </row>
    <row r="688" spans="1:38">
      <c r="A688" s="12">
        <v>687</v>
      </c>
      <c r="B688" s="19">
        <v>44577</v>
      </c>
      <c r="C688" s="12">
        <v>668</v>
      </c>
      <c r="D688" s="23">
        <f t="shared" ref="D688" si="511">E688-E687</f>
        <v>6331</v>
      </c>
      <c r="E688" s="12">
        <v>504914</v>
      </c>
      <c r="F688" s="12">
        <v>4269</v>
      </c>
      <c r="G688" s="12">
        <v>462779</v>
      </c>
      <c r="H688" s="23">
        <f t="shared" ref="H688" si="512">E688-F688-G688</f>
        <v>37866</v>
      </c>
      <c r="I688" s="23">
        <f t="shared" ref="I688" si="513">J688-J687</f>
        <v>17619</v>
      </c>
      <c r="J688" s="12">
        <v>2801578</v>
      </c>
      <c r="K688" s="23">
        <f t="shared" ref="K688" si="514">J688-E688</f>
        <v>2296664</v>
      </c>
      <c r="L688" s="23">
        <f t="shared" ref="L688" si="515">G688-G687</f>
        <v>3309</v>
      </c>
      <c r="M688" s="14">
        <f t="shared" ref="M688" si="516">F688/E688</f>
        <v>8.4549051917752333E-3</v>
      </c>
      <c r="N688" s="14">
        <f t="shared" ref="N688" si="517">D688/I688</f>
        <v>0.35932799818377886</v>
      </c>
      <c r="O688" s="24"/>
      <c r="P688" s="12"/>
      <c r="Q688" s="12"/>
      <c r="R688" s="23">
        <f t="shared" ref="R688" si="518">F688+G688</f>
        <v>467048</v>
      </c>
      <c r="S688" s="25">
        <f>(((H688+R688)/(H687+R687))-1)+detalle!$D$1</f>
        <v>8.4126557521157858E-2</v>
      </c>
      <c r="T688" s="25">
        <f t="shared" ref="T688" si="519">S688*14</f>
        <v>1.1777718052962101</v>
      </c>
      <c r="U688" s="10">
        <f t="shared" ref="U688" si="520">G688/E688</f>
        <v>0.91655014517323741</v>
      </c>
      <c r="V688" s="21">
        <f t="shared" ref="V688" si="521">G688/F688</f>
        <v>108.40454438978684</v>
      </c>
      <c r="W688" s="15">
        <f>J688/detalle!$D$2</f>
        <v>255606.32667120965</v>
      </c>
      <c r="X688" s="15">
        <f>E688/detalle!$D$2</f>
        <v>46066.614181317513</v>
      </c>
      <c r="Y688" s="15">
        <f>F688/detalle!$D$2</f>
        <v>389.48885540912801</v>
      </c>
      <c r="AA688" s="14">
        <f>E688/(detalle!$D$2*1000000)</f>
        <v>4.6066614181317508E-2</v>
      </c>
      <c r="AB688" s="14">
        <f>F688/(detalle!$D$2*1000000)</f>
        <v>3.8948885540912798E-4</v>
      </c>
      <c r="AC688" s="31">
        <f>225/585</f>
        <v>0.38461538461538464</v>
      </c>
      <c r="AD688" s="31">
        <f>857/2261</f>
        <v>0.37903582485625831</v>
      </c>
      <c r="AE688" s="31">
        <f>144/469</f>
        <v>0.30703624733475482</v>
      </c>
      <c r="AF688" s="22">
        <f t="shared" ref="AF688" si="522">F688-F687</f>
        <v>1</v>
      </c>
      <c r="AG688" s="12">
        <v>6967468</v>
      </c>
      <c r="AH688" s="12">
        <v>5742774</v>
      </c>
      <c r="AI688" s="12">
        <v>1618069</v>
      </c>
      <c r="AJ688" s="23">
        <f t="shared" ref="AJ688" si="523">AK688-AK687</f>
        <v>3175</v>
      </c>
      <c r="AK688" s="23">
        <f t="shared" ref="AK688" si="524">AG688+AH688+AI688</f>
        <v>14328311</v>
      </c>
      <c r="AL688" s="28">
        <f>AK688/detalle!$D$2</f>
        <v>1307265.7417043846</v>
      </c>
    </row>
    <row r="689" spans="1:38">
      <c r="A689" s="12">
        <v>688</v>
      </c>
      <c r="B689" s="19">
        <v>44578</v>
      </c>
      <c r="C689" s="12">
        <v>669</v>
      </c>
      <c r="D689" s="23">
        <f t="shared" ref="D689" si="525">E689-E688</f>
        <v>5544</v>
      </c>
      <c r="E689" s="12">
        <v>510458</v>
      </c>
      <c r="F689" s="12">
        <v>4269</v>
      </c>
      <c r="G689" s="12">
        <v>471625</v>
      </c>
      <c r="H689" s="23">
        <f t="shared" ref="H689" si="526">E689-F689-G689</f>
        <v>34564</v>
      </c>
      <c r="I689" s="23">
        <f t="shared" ref="I689" si="527">J689-J688</f>
        <v>13670</v>
      </c>
      <c r="J689" s="12">
        <v>2815248</v>
      </c>
      <c r="K689" s="23">
        <f t="shared" ref="K689" si="528">J689-E689</f>
        <v>2304790</v>
      </c>
      <c r="L689" s="23">
        <f t="shared" ref="L689" si="529">G689-G688</f>
        <v>8846</v>
      </c>
      <c r="M689" s="14">
        <f t="shared" ref="M689" si="530">F689/E689</f>
        <v>8.3630778634089381E-3</v>
      </c>
      <c r="N689" s="14">
        <f t="shared" ref="N689" si="531">D689/I689</f>
        <v>0.40555961960497439</v>
      </c>
      <c r="O689" s="24"/>
      <c r="P689" s="12"/>
      <c r="Q689" s="12"/>
      <c r="R689" s="23">
        <f t="shared" ref="R689" si="532">F689+G689</f>
        <v>475894</v>
      </c>
      <c r="S689" s="25">
        <f>(((H689+R689)/(H688+R688))-1)+detalle!$D$1</f>
        <v>8.2408659126674416E-2</v>
      </c>
      <c r="T689" s="25">
        <f t="shared" ref="T689" si="533">S689*14</f>
        <v>1.1537212277734419</v>
      </c>
      <c r="U689" s="10">
        <f t="shared" ref="U689" si="534">G689/E689</f>
        <v>0.92392518091596176</v>
      </c>
      <c r="V689" s="21">
        <f t="shared" ref="V689" si="535">G689/F689</f>
        <v>110.47669243382525</v>
      </c>
      <c r="W689" s="15">
        <f>J689/detalle!$D$2</f>
        <v>256853.53038482941</v>
      </c>
      <c r="X689" s="15">
        <f>E689/detalle!$D$2</f>
        <v>46572.429644983051</v>
      </c>
      <c r="Y689" s="15">
        <f>F689/detalle!$D$2</f>
        <v>389.48885540912801</v>
      </c>
      <c r="AA689" s="14">
        <f>E689/(detalle!$D$2*1000000)</f>
        <v>4.6572429644983052E-2</v>
      </c>
      <c r="AB689" s="14">
        <f>F689/(detalle!$D$2*1000000)</f>
        <v>3.8948885540912798E-4</v>
      </c>
      <c r="AC689" s="31">
        <f>231/585</f>
        <v>0.39487179487179486</v>
      </c>
      <c r="AD689" s="31">
        <f>893/2261</f>
        <v>0.3949579831932773</v>
      </c>
      <c r="AE689" s="31">
        <f>152/469</f>
        <v>0.32409381663113007</v>
      </c>
      <c r="AF689" s="22">
        <f t="shared" ref="AF689" si="536">F689-F688</f>
        <v>0</v>
      </c>
      <c r="AG689" s="12">
        <v>6970560</v>
      </c>
      <c r="AH689" s="12">
        <v>5747090</v>
      </c>
      <c r="AI689" s="12">
        <v>1635948</v>
      </c>
      <c r="AJ689" s="23">
        <f t="shared" ref="AJ689" si="537">AK689-AK688</f>
        <v>25287</v>
      </c>
      <c r="AK689" s="23">
        <f t="shared" ref="AK689" si="538">AG689+AH689+AI689</f>
        <v>14353598</v>
      </c>
      <c r="AL689" s="28">
        <f>AK689/detalle!$D$2</f>
        <v>1309572.8404831926</v>
      </c>
    </row>
    <row r="690" spans="1:38">
      <c r="A690" s="12">
        <v>689</v>
      </c>
      <c r="B690" s="19">
        <v>44579</v>
      </c>
      <c r="C690" s="12">
        <v>670</v>
      </c>
      <c r="D690" s="23">
        <f t="shared" ref="D690" si="539">E690-E689</f>
        <v>7153</v>
      </c>
      <c r="E690" s="12">
        <v>517611</v>
      </c>
      <c r="F690" s="12">
        <v>4274</v>
      </c>
      <c r="G690" s="12">
        <v>477924</v>
      </c>
      <c r="H690" s="23">
        <f t="shared" ref="H690" si="540">E690-F690-G690</f>
        <v>35413</v>
      </c>
      <c r="I690" s="23">
        <f t="shared" ref="I690" si="541">J690-J689</f>
        <v>17944</v>
      </c>
      <c r="J690" s="12">
        <v>2833192</v>
      </c>
      <c r="K690" s="23">
        <f t="shared" ref="K690" si="542">J690-E690</f>
        <v>2315581</v>
      </c>
      <c r="L690" s="23">
        <f t="shared" ref="L690" si="543">G690-G689</f>
        <v>6299</v>
      </c>
      <c r="M690" s="14">
        <f t="shared" ref="M690" si="544">F690/E690</f>
        <v>8.2571660957746259E-3</v>
      </c>
      <c r="N690" s="14">
        <f t="shared" ref="N690" si="545">D690/I690</f>
        <v>0.39862906821221578</v>
      </c>
      <c r="O690" s="24"/>
      <c r="P690" s="12"/>
      <c r="Q690" s="12"/>
      <c r="R690" s="23">
        <f t="shared" ref="R690" si="546">F690+G690</f>
        <v>482198</v>
      </c>
      <c r="S690" s="25">
        <f>(((H690+R690)/(H689+R689))-1)+detalle!$D$1</f>
        <v>8.5441477485485057E-2</v>
      </c>
      <c r="T690" s="25">
        <f t="shared" ref="T690" si="547">S690*14</f>
        <v>1.1961806847967908</v>
      </c>
      <c r="U690" s="10">
        <f t="shared" ref="U690" si="548">G690/E690</f>
        <v>0.92332659081820134</v>
      </c>
      <c r="V690" s="21">
        <f t="shared" ref="V690" si="549">G690/F690</f>
        <v>111.82124473561066</v>
      </c>
      <c r="W690" s="15">
        <f>J690/detalle!$D$2</f>
        <v>258490.67913663579</v>
      </c>
      <c r="X690" s="15">
        <f>E690/detalle!$D$2</f>
        <v>47225.044726440421</v>
      </c>
      <c r="Y690" s="15">
        <f>F690/detalle!$D$2</f>
        <v>389.94503818660411</v>
      </c>
      <c r="AA690" s="14">
        <f>E690/(detalle!$D$2*1000000)</f>
        <v>4.7225044726440416E-2</v>
      </c>
      <c r="AB690" s="14">
        <f>F690/(detalle!$D$2*1000000)</f>
        <v>3.899450381866041E-4</v>
      </c>
      <c r="AC690" s="31">
        <f>229/585</f>
        <v>0.39145299145299145</v>
      </c>
      <c r="AD690" s="31">
        <f>897/2261</f>
        <v>0.39672711189739052</v>
      </c>
      <c r="AE690" s="31">
        <f>146/469</f>
        <v>0.31130063965884863</v>
      </c>
      <c r="AF690" s="22">
        <f t="shared" ref="AF690" si="550">F690-F689</f>
        <v>5</v>
      </c>
      <c r="AG690" s="12">
        <v>6973229</v>
      </c>
      <c r="AH690" s="12">
        <v>5751304</v>
      </c>
      <c r="AI690" s="12">
        <v>1657483</v>
      </c>
      <c r="AJ690" s="23">
        <f t="shared" ref="AJ690" si="551">AK690-AK689</f>
        <v>28418</v>
      </c>
      <c r="AK690" s="23">
        <f t="shared" ref="AK690" si="552">AG690+AH690+AI690</f>
        <v>14382016</v>
      </c>
      <c r="AL690" s="28">
        <f>AK690/detalle!$D$2</f>
        <v>1312165.600917256</v>
      </c>
    </row>
    <row r="691" spans="1:38">
      <c r="A691" s="12">
        <v>690</v>
      </c>
      <c r="B691" s="19">
        <v>44580</v>
      </c>
      <c r="C691" s="12">
        <v>671</v>
      </c>
      <c r="D691" s="23">
        <f t="shared" ref="D691" si="553">E691-E690</f>
        <v>7024</v>
      </c>
      <c r="E691" s="12">
        <v>524635</v>
      </c>
      <c r="F691" s="12">
        <v>4274</v>
      </c>
      <c r="G691" s="12">
        <v>484336</v>
      </c>
      <c r="H691" s="23">
        <f t="shared" ref="H691" si="554">E691-F691-G691</f>
        <v>36025</v>
      </c>
      <c r="I691" s="23">
        <f t="shared" ref="I691" si="555">J691-J690</f>
        <v>18218</v>
      </c>
      <c r="J691" s="12">
        <v>2851410</v>
      </c>
      <c r="K691" s="23">
        <f t="shared" ref="K691" si="556">J691-E691</f>
        <v>2326775</v>
      </c>
      <c r="L691" s="23">
        <f t="shared" ref="L691" si="557">G691-G690</f>
        <v>6412</v>
      </c>
      <c r="M691" s="14">
        <f t="shared" ref="M691" si="558">F691/E691</f>
        <v>8.1466162188950416E-3</v>
      </c>
      <c r="N691" s="14">
        <f t="shared" ref="N691" si="559">D691/I691</f>
        <v>0.38555275002744538</v>
      </c>
      <c r="O691" s="24"/>
      <c r="P691" s="12"/>
      <c r="Q691" s="12"/>
      <c r="R691" s="23">
        <f t="shared" ref="R691" si="560">F691+G691</f>
        <v>488610</v>
      </c>
      <c r="S691" s="25">
        <f>(((H691+R691)/(H690+R690))-1)+detalle!$D$1</f>
        <v>8.4998607614046567E-2</v>
      </c>
      <c r="T691" s="25">
        <f t="shared" ref="T691" si="561">S691*14</f>
        <v>1.189980506596652</v>
      </c>
      <c r="U691" s="10">
        <f t="shared" ref="U691" si="562">G691/E691</f>
        <v>0.92318659639558931</v>
      </c>
      <c r="V691" s="21">
        <f t="shared" ref="V691" si="563">G691/F691</f>
        <v>113.32147870846981</v>
      </c>
      <c r="W691" s="15">
        <f>J691/detalle!$D$2</f>
        <v>260152.82670464786</v>
      </c>
      <c r="X691" s="15">
        <f>E691/detalle!$D$2</f>
        <v>47865.890292238902</v>
      </c>
      <c r="Y691" s="15">
        <f>F691/detalle!$D$2</f>
        <v>389.94503818660411</v>
      </c>
      <c r="AA691" s="14">
        <f>E691/(detalle!$D$2*1000000)</f>
        <v>4.7865890292238901E-2</v>
      </c>
      <c r="AB691" s="14">
        <f>F691/(detalle!$D$2*1000000)</f>
        <v>3.899450381866041E-4</v>
      </c>
      <c r="AC691" s="31">
        <f>225/585</f>
        <v>0.38461538461538464</v>
      </c>
      <c r="AD691" s="31">
        <f>882/2261</f>
        <v>0.39009287925696595</v>
      </c>
      <c r="AE691" s="31">
        <f>146/469</f>
        <v>0.31130063965884863</v>
      </c>
      <c r="AF691" s="22">
        <f t="shared" ref="AF691" si="564">F691-F690</f>
        <v>0</v>
      </c>
      <c r="AG691" s="12">
        <v>6976017</v>
      </c>
      <c r="AH691" s="12">
        <f>5755408</f>
        <v>5755408</v>
      </c>
      <c r="AI691" s="12">
        <v>1678337</v>
      </c>
      <c r="AJ691" s="23">
        <f t="shared" ref="AJ691" si="565">AK691-AK690</f>
        <v>27746</v>
      </c>
      <c r="AK691" s="23">
        <f t="shared" ref="AK691" si="566">AG691+AH691+AI691</f>
        <v>14409762</v>
      </c>
      <c r="AL691" s="28">
        <f>AK691/detalle!$D$2</f>
        <v>1314697.0503860265</v>
      </c>
    </row>
    <row r="692" spans="1:38">
      <c r="A692" s="12">
        <v>691</v>
      </c>
      <c r="B692" s="19">
        <v>44581</v>
      </c>
      <c r="C692" s="12">
        <v>672</v>
      </c>
      <c r="D692" s="23">
        <f t="shared" ref="D692" si="567">E692-E691</f>
        <v>6363</v>
      </c>
      <c r="E692" s="12">
        <v>530998</v>
      </c>
      <c r="F692" s="12">
        <v>4279</v>
      </c>
      <c r="G692" s="12">
        <v>492254</v>
      </c>
      <c r="H692" s="23">
        <f t="shared" ref="H692" si="568">E692-F692-G692</f>
        <v>34465</v>
      </c>
      <c r="I692" s="23">
        <f t="shared" ref="I692" si="569">J692-J691</f>
        <v>16559</v>
      </c>
      <c r="J692" s="12">
        <v>2867969</v>
      </c>
      <c r="K692" s="23">
        <f t="shared" ref="K692" si="570">J692-E692</f>
        <v>2336971</v>
      </c>
      <c r="L692" s="23">
        <f t="shared" ref="L692" si="571">G692-G691</f>
        <v>7918</v>
      </c>
      <c r="M692" s="14">
        <f t="shared" ref="M692" si="572">F692/E692</f>
        <v>8.0584107661422454E-3</v>
      </c>
      <c r="N692" s="14">
        <f t="shared" ref="N692" si="573">D692/I692</f>
        <v>0.38426233468204601</v>
      </c>
      <c r="O692" s="24"/>
      <c r="P692" s="12"/>
      <c r="Q692" s="12"/>
      <c r="R692" s="23">
        <f t="shared" ref="R692" si="574">F692+G692</f>
        <v>496533</v>
      </c>
      <c r="S692" s="25">
        <f>(((H692+R692)/(H691+R691))-1)+detalle!$D$1</f>
        <v>8.355700357663623E-2</v>
      </c>
      <c r="T692" s="25">
        <f t="shared" ref="T692" si="575">S692*14</f>
        <v>1.1697980500729073</v>
      </c>
      <c r="U692" s="10">
        <f t="shared" ref="U692" si="576">G692/E692</f>
        <v>0.9270355067250724</v>
      </c>
      <c r="V692" s="21">
        <f t="shared" ref="V692" si="577">G692/F692</f>
        <v>115.03949520916102</v>
      </c>
      <c r="W692" s="15">
        <f>J692/detalle!$D$2</f>
        <v>261663.61282709331</v>
      </c>
      <c r="X692" s="15">
        <f>E692/detalle!$D$2</f>
        <v>48446.428494855034</v>
      </c>
      <c r="Y692" s="15">
        <f>F692/detalle!$D$2</f>
        <v>390.40122096408027</v>
      </c>
      <c r="AA692" s="14">
        <f>E692/(detalle!$D$2*1000000)</f>
        <v>4.8446428494855032E-2</v>
      </c>
      <c r="AB692" s="14">
        <f>F692/(detalle!$D$2*1000000)</f>
        <v>3.9040122096408028E-4</v>
      </c>
      <c r="AC692" s="31">
        <f>219/585</f>
        <v>0.37435897435897436</v>
      </c>
      <c r="AD692" s="31">
        <f>821/2261</f>
        <v>0.36311366651923926</v>
      </c>
      <c r="AE692" s="31">
        <f>152/469</f>
        <v>0.32409381663113007</v>
      </c>
      <c r="AF692" s="22">
        <f t="shared" ref="AF692" si="578">F692-F691</f>
        <v>5</v>
      </c>
      <c r="AG692" s="12">
        <v>6978724</v>
      </c>
      <c r="AH692" s="12">
        <v>5759874</v>
      </c>
      <c r="AI692" s="12">
        <v>1702948</v>
      </c>
      <c r="AJ692" s="23">
        <f t="shared" ref="AJ692" si="579">AK692-AK691</f>
        <v>31784</v>
      </c>
      <c r="AK692" s="23">
        <f t="shared" ref="AK692" si="580">AG692+AH692+AI692</f>
        <v>14441546</v>
      </c>
      <c r="AL692" s="28">
        <f>AK692/detalle!$D$2</f>
        <v>1317596.9130658868</v>
      </c>
    </row>
    <row r="693" spans="1:38">
      <c r="A693" s="12">
        <v>692</v>
      </c>
      <c r="B693" s="19">
        <v>44582</v>
      </c>
      <c r="C693" s="12">
        <v>673</v>
      </c>
      <c r="D693" s="23">
        <f t="shared" ref="D693" si="581">E693-E692</f>
        <v>5769</v>
      </c>
      <c r="E693" s="12">
        <v>536767</v>
      </c>
      <c r="F693" s="12">
        <v>4285</v>
      </c>
      <c r="G693" s="12">
        <v>499802</v>
      </c>
      <c r="H693" s="23">
        <f t="shared" ref="H693" si="582">E693-F693-G693</f>
        <v>32680</v>
      </c>
      <c r="I693" s="23">
        <f t="shared" ref="I693" si="583">J693-J692</f>
        <v>14894</v>
      </c>
      <c r="J693" s="12">
        <v>2882863</v>
      </c>
      <c r="K693" s="23">
        <f t="shared" ref="K693" si="584">J693-E693</f>
        <v>2346096</v>
      </c>
      <c r="L693" s="23">
        <f t="shared" ref="L693" si="585">G693-G692</f>
        <v>7548</v>
      </c>
      <c r="M693" s="14">
        <f t="shared" ref="M693" si="586">F693/E693</f>
        <v>7.9829795795941256E-3</v>
      </c>
      <c r="N693" s="14">
        <f t="shared" ref="N693" si="587">D693/I693</f>
        <v>0.38733718275815765</v>
      </c>
      <c r="O693" s="24"/>
      <c r="P693" s="12"/>
      <c r="Q693" s="12"/>
      <c r="R693" s="23">
        <f t="shared" ref="R693" si="588">F693+G693</f>
        <v>504087</v>
      </c>
      <c r="S693" s="25">
        <f>(((H693+R693)/(H692+R692))-1)+detalle!$D$1</f>
        <v>8.2293019128939521E-2</v>
      </c>
      <c r="T693" s="25">
        <f t="shared" ref="T693" si="589">S693*14</f>
        <v>1.1521022678051533</v>
      </c>
      <c r="U693" s="10">
        <f t="shared" ref="U693" si="590">G693/E693</f>
        <v>0.93113399296156429</v>
      </c>
      <c r="V693" s="21">
        <f t="shared" ref="V693" si="591">G693/F693</f>
        <v>116.63990665110852</v>
      </c>
      <c r="W693" s="15">
        <f>J693/detalle!$D$2</f>
        <v>263022.49008463923</v>
      </c>
      <c r="X693" s="15">
        <f>E693/detalle!$D$2</f>
        <v>48972.772183507004</v>
      </c>
      <c r="Y693" s="15">
        <f>F693/detalle!$D$2</f>
        <v>390.94864029705161</v>
      </c>
      <c r="AA693" s="14">
        <f>E693/(detalle!$D$2*1000000)</f>
        <v>4.8972772183507006E-2</v>
      </c>
      <c r="AB693" s="14">
        <f>F693/(detalle!$D$2*1000000)</f>
        <v>3.9094864029705161E-4</v>
      </c>
      <c r="AC693" s="31">
        <f>219/585</f>
        <v>0.37435897435897436</v>
      </c>
      <c r="AD693" s="31">
        <f>827/2261</f>
        <v>0.36576735957540912</v>
      </c>
      <c r="AE693" s="31">
        <f>149/469</f>
        <v>0.31769722814498935</v>
      </c>
      <c r="AF693" s="22">
        <f t="shared" ref="AF693" si="592">F693-F692</f>
        <v>6</v>
      </c>
      <c r="AG693" s="12">
        <v>6979245</v>
      </c>
      <c r="AH693" s="12">
        <v>5760761</v>
      </c>
      <c r="AI693" s="12">
        <v>1708003</v>
      </c>
      <c r="AJ693" s="23">
        <f t="shared" ref="AJ693" si="593">AK693-AK692</f>
        <v>6463</v>
      </c>
      <c r="AK693" s="23">
        <f t="shared" ref="AK693" si="594">AG693+AH693+AI693</f>
        <v>14448009</v>
      </c>
      <c r="AL693" s="28">
        <f>AK693/detalle!$D$2</f>
        <v>1318186.5749240525</v>
      </c>
    </row>
    <row r="694" spans="1:38">
      <c r="A694" s="12">
        <v>693</v>
      </c>
      <c r="B694" s="19">
        <v>44583</v>
      </c>
      <c r="C694" s="12">
        <v>674</v>
      </c>
      <c r="D694" s="23">
        <f t="shared" ref="D694" si="595">E694-E693</f>
        <v>2813</v>
      </c>
      <c r="E694" s="12">
        <v>539580</v>
      </c>
      <c r="F694" s="12">
        <v>4287</v>
      </c>
      <c r="G694" s="12">
        <v>507702</v>
      </c>
      <c r="H694" s="23">
        <f t="shared" ref="H694" si="596">E694-F694-G694</f>
        <v>27591</v>
      </c>
      <c r="I694" s="23">
        <f t="shared" ref="I694" si="597">J694-J693</f>
        <v>10223</v>
      </c>
      <c r="J694" s="12">
        <v>2893086</v>
      </c>
      <c r="K694" s="23">
        <f t="shared" ref="K694" si="598">J694-E694</f>
        <v>2353506</v>
      </c>
      <c r="L694" s="23">
        <f t="shared" ref="L694" si="599">G694-G693</f>
        <v>7900</v>
      </c>
      <c r="M694" s="14">
        <f t="shared" ref="M694" si="600">F694/E694</f>
        <v>7.9450683865228515E-3</v>
      </c>
      <c r="N694" s="14">
        <f t="shared" ref="N694" si="601">D694/I694</f>
        <v>0.27516384622909129</v>
      </c>
      <c r="O694" s="24"/>
      <c r="P694" s="12"/>
      <c r="Q694" s="12"/>
      <c r="R694" s="23">
        <f t="shared" ref="R694" si="602">F694+G694</f>
        <v>511989</v>
      </c>
      <c r="S694" s="25">
        <f>(((H694+R694)/(H693+R693))-1)+detalle!$D$1</f>
        <v>7.6669206564486975E-2</v>
      </c>
      <c r="T694" s="25">
        <f t="shared" ref="T694" si="603">S694*14</f>
        <v>1.0733688919028177</v>
      </c>
      <c r="U694" s="10">
        <f t="shared" ref="U694" si="604">G694/E694</f>
        <v>0.94092071611253192</v>
      </c>
      <c r="V694" s="21">
        <f t="shared" ref="V694" si="605">G694/F694</f>
        <v>118.42827151854443</v>
      </c>
      <c r="W694" s="15">
        <f>J694/detalle!$D$2</f>
        <v>263955.20139146695</v>
      </c>
      <c r="X694" s="15">
        <f>E694/detalle!$D$2</f>
        <v>49229.420614115079</v>
      </c>
      <c r="Y694" s="15">
        <f>F694/detalle!$D$2</f>
        <v>391.1311134080421</v>
      </c>
      <c r="AA694" s="14">
        <f>E694/(detalle!$D$2*1000000)</f>
        <v>4.9229420614115081E-2</v>
      </c>
      <c r="AB694" s="14">
        <f>F694/(detalle!$D$2*1000000)</f>
        <v>3.9113111340804209E-4</v>
      </c>
      <c r="AC694" s="31">
        <f>220/585</f>
        <v>0.37606837606837606</v>
      </c>
      <c r="AD694" s="31">
        <f>820/2261</f>
        <v>0.36267138434321095</v>
      </c>
      <c r="AE694" s="31">
        <f>158/469</f>
        <v>0.33688699360341151</v>
      </c>
      <c r="AF694" s="22">
        <f t="shared" ref="AF694" si="606">F694-F693</f>
        <v>2</v>
      </c>
      <c r="AG694" s="12">
        <v>6979917</v>
      </c>
      <c r="AH694" s="12">
        <v>5761772</v>
      </c>
      <c r="AI694" s="12">
        <v>1714020</v>
      </c>
      <c r="AJ694" s="23">
        <f t="shared" ref="AJ694" si="607">AK694-AK693</f>
        <v>7700</v>
      </c>
      <c r="AK694" s="23">
        <f t="shared" ref="AK694" si="608">AG694+AH694+AI694</f>
        <v>14455709</v>
      </c>
      <c r="AL694" s="28">
        <f>AK694/detalle!$D$2</f>
        <v>1318889.0964013657</v>
      </c>
    </row>
    <row r="695" spans="1:38">
      <c r="A695" s="12">
        <v>694</v>
      </c>
      <c r="B695" s="19">
        <v>44584</v>
      </c>
      <c r="C695" s="12">
        <v>675</v>
      </c>
      <c r="D695" s="23">
        <f t="shared" ref="D695" si="609">E695-E694</f>
        <v>2476</v>
      </c>
      <c r="E695" s="12">
        <v>542056</v>
      </c>
      <c r="F695" s="12">
        <v>4289</v>
      </c>
      <c r="G695" s="12">
        <v>512899</v>
      </c>
      <c r="H695" s="23">
        <f t="shared" ref="H695" si="610">E695-F695-G695</f>
        <v>24868</v>
      </c>
      <c r="I695" s="23">
        <f t="shared" ref="I695" si="611">J695-J694</f>
        <v>9119</v>
      </c>
      <c r="J695" s="12">
        <v>2902205</v>
      </c>
      <c r="K695" s="23">
        <f t="shared" ref="K695" si="612">J695-E695</f>
        <v>2360149</v>
      </c>
      <c r="L695" s="23">
        <f t="shared" ref="L695" si="613">G695-G694</f>
        <v>5197</v>
      </c>
      <c r="M695" s="14">
        <f t="shared" ref="M695" si="614">F695/E695</f>
        <v>7.9124666086160846E-3</v>
      </c>
      <c r="N695" s="14">
        <f t="shared" ref="N695" si="615">D695/I695</f>
        <v>0.27152100010966113</v>
      </c>
      <c r="O695" s="24"/>
      <c r="P695" s="12"/>
      <c r="Q695" s="12"/>
      <c r="R695" s="23">
        <f t="shared" ref="R695" si="616">F695+G695</f>
        <v>517188</v>
      </c>
      <c r="S695" s="25">
        <f>(((H695+R695)/(H694+R694))-1)+detalle!$D$1</f>
        <v>7.6017325644813588E-2</v>
      </c>
      <c r="T695" s="25">
        <f t="shared" ref="T695" si="617">S695*14</f>
        <v>1.0642425590273903</v>
      </c>
      <c r="U695" s="10">
        <f t="shared" ref="U695" si="618">G695/E695</f>
        <v>0.94621035464970404</v>
      </c>
      <c r="V695" s="21">
        <f t="shared" ref="V695" si="619">G695/F695</f>
        <v>119.58475169037071</v>
      </c>
      <c r="W695" s="15">
        <f>J695/detalle!$D$2</f>
        <v>264787.18754102796</v>
      </c>
      <c r="X695" s="15">
        <f>E695/detalle!$D$2</f>
        <v>49455.322325521265</v>
      </c>
      <c r="Y695" s="15">
        <f>F695/detalle!$D$2</f>
        <v>391.31358651903253</v>
      </c>
      <c r="AA695" s="14">
        <f>E695/(detalle!$D$2*1000000)</f>
        <v>4.9455322325521266E-2</v>
      </c>
      <c r="AB695" s="14">
        <f>F695/(detalle!$D$2*1000000)</f>
        <v>3.9131358651903252E-4</v>
      </c>
      <c r="AC695" s="31">
        <f>228/585</f>
        <v>0.38974358974358975</v>
      </c>
      <c r="AD695" s="31">
        <f>806/2261</f>
        <v>0.3564794338788147</v>
      </c>
      <c r="AE695" s="31">
        <f>154/469</f>
        <v>0.32835820895522388</v>
      </c>
      <c r="AF695" s="22">
        <f t="shared" ref="AF695" si="620">F695-F694</f>
        <v>2</v>
      </c>
      <c r="AG695" s="12">
        <v>6980405</v>
      </c>
      <c r="AH695" s="12">
        <v>5762449</v>
      </c>
      <c r="AI695" s="12">
        <v>1717262</v>
      </c>
      <c r="AJ695" s="23">
        <f t="shared" ref="AJ695" si="621">AK695-AK694</f>
        <v>4407</v>
      </c>
      <c r="AK695" s="23">
        <f t="shared" ref="AK695" si="622">AG695+AH695+AI695</f>
        <v>14460116</v>
      </c>
      <c r="AL695" s="28">
        <f>AK695/detalle!$D$2</f>
        <v>1319291.1759014332</v>
      </c>
    </row>
    <row r="696" spans="1:38">
      <c r="A696" s="12">
        <v>695</v>
      </c>
      <c r="B696" s="19">
        <v>44585</v>
      </c>
      <c r="C696" s="12">
        <v>676</v>
      </c>
      <c r="D696" s="23">
        <f t="shared" ref="D696" si="623">E696-E695</f>
        <v>2272</v>
      </c>
      <c r="E696" s="12">
        <v>544328</v>
      </c>
      <c r="F696" s="12">
        <v>4291</v>
      </c>
      <c r="G696" s="12">
        <v>517942</v>
      </c>
      <c r="H696" s="23">
        <f t="shared" ref="H696" si="624">E696-F696-G696</f>
        <v>22095</v>
      </c>
      <c r="I696" s="23">
        <f t="shared" ref="I696" si="625">J696-J695</f>
        <v>7768</v>
      </c>
      <c r="J696" s="12">
        <v>2909973</v>
      </c>
      <c r="K696" s="23">
        <f t="shared" ref="K696" si="626">J696-E696</f>
        <v>2365645</v>
      </c>
      <c r="L696" s="23">
        <f t="shared" ref="L696" si="627">G696-G695</f>
        <v>5043</v>
      </c>
      <c r="M696" s="14">
        <f t="shared" ref="M696" si="628">F696/E696</f>
        <v>7.883114592672066E-3</v>
      </c>
      <c r="N696" s="14">
        <f t="shared" ref="N696" si="629">D696/I696</f>
        <v>0.2924819773429454</v>
      </c>
      <c r="O696" s="24"/>
      <c r="P696" s="12"/>
      <c r="Q696" s="12"/>
      <c r="R696" s="23">
        <f t="shared" ref="R696" si="630">F696+G696</f>
        <v>522233</v>
      </c>
      <c r="S696" s="25">
        <f>(((H696+R696)/(H695+R695))-1)+detalle!$D$1</f>
        <v>7.5620020282564343E-2</v>
      </c>
      <c r="T696" s="25">
        <f t="shared" ref="T696" si="631">S696*14</f>
        <v>1.0586802839559009</v>
      </c>
      <c r="U696" s="10">
        <f t="shared" ref="U696" si="632">G696/E696</f>
        <v>0.95152555077085876</v>
      </c>
      <c r="V696" s="21">
        <f t="shared" ref="V696" si="633">G696/F696</f>
        <v>120.7042647401538</v>
      </c>
      <c r="W696" s="15">
        <f>J696/detalle!$D$2</f>
        <v>265495.91310411488</v>
      </c>
      <c r="X696" s="15">
        <f>E696/detalle!$D$2</f>
        <v>49662.611779606421</v>
      </c>
      <c r="Y696" s="15">
        <f>F696/detalle!$D$2</f>
        <v>391.49605963002301</v>
      </c>
      <c r="AA696" s="14">
        <f>E696/(detalle!$D$2*1000000)</f>
        <v>4.9662611779606423E-2</v>
      </c>
      <c r="AB696" s="14">
        <f>F696/(detalle!$D$2*1000000)</f>
        <v>3.91496059630023E-4</v>
      </c>
      <c r="AC696" s="31">
        <f>235/585</f>
        <v>0.40170940170940173</v>
      </c>
      <c r="AD696" s="31">
        <f>783/2261</f>
        <v>0.34630694383016364</v>
      </c>
      <c r="AE696" s="31">
        <f>146/469</f>
        <v>0.31130063965884863</v>
      </c>
      <c r="AF696" s="22">
        <f t="shared" ref="AF696" si="634">F696-F695</f>
        <v>2</v>
      </c>
      <c r="AG696" s="12">
        <v>6980938</v>
      </c>
      <c r="AH696" s="12">
        <v>5763319</v>
      </c>
      <c r="AI696" s="12">
        <v>1721998</v>
      </c>
      <c r="AJ696" s="23">
        <f t="shared" ref="AJ696" si="635">AK696-AK695</f>
        <v>6139</v>
      </c>
      <c r="AK696" s="23">
        <f t="shared" ref="AK696" si="636">AG696+AH696+AI696</f>
        <v>14466255</v>
      </c>
      <c r="AL696" s="28">
        <f>AK696/detalle!$D$2</f>
        <v>1319851.2771156183</v>
      </c>
    </row>
    <row r="697" spans="1:38">
      <c r="A697" s="12">
        <v>696</v>
      </c>
      <c r="B697" s="19">
        <v>44586</v>
      </c>
      <c r="C697" s="12">
        <v>677</v>
      </c>
      <c r="D697" s="23">
        <f t="shared" ref="D697" si="637">E697-E696</f>
        <v>2763</v>
      </c>
      <c r="E697" s="12">
        <v>547091</v>
      </c>
      <c r="F697" s="12">
        <v>4293</v>
      </c>
      <c r="G697" s="12">
        <v>523189</v>
      </c>
      <c r="H697" s="23">
        <f t="shared" ref="H697" si="638">E697-F697-G697</f>
        <v>19609</v>
      </c>
      <c r="I697" s="23">
        <f t="shared" ref="I697" si="639">J697-J696</f>
        <v>9674</v>
      </c>
      <c r="J697" s="12">
        <v>2919647</v>
      </c>
      <c r="K697" s="23">
        <f t="shared" ref="K697" si="640">J697-E697</f>
        <v>2372556</v>
      </c>
      <c r="L697" s="23">
        <f t="shared" ref="L697" si="641">G697-G696</f>
        <v>5247</v>
      </c>
      <c r="M697" s="14">
        <f t="shared" ref="M697" si="642">F697/E697</f>
        <v>7.846957818717545E-3</v>
      </c>
      <c r="N697" s="14">
        <f t="shared" ref="N697" si="643">D697/I697</f>
        <v>0.2856109158569361</v>
      </c>
      <c r="O697" s="24"/>
      <c r="P697" s="12"/>
      <c r="Q697" s="12"/>
      <c r="R697" s="23">
        <f t="shared" ref="R697" si="644">F697+G697</f>
        <v>527482</v>
      </c>
      <c r="S697" s="25">
        <f>(((H697+R697)/(H696+R696))-1)+detalle!$D$1</f>
        <v>7.6504555026696092E-2</v>
      </c>
      <c r="T697" s="25">
        <f t="shared" ref="T697" si="645">S697*14</f>
        <v>1.0710637703737453</v>
      </c>
      <c r="U697" s="10">
        <f t="shared" ref="U697" si="646">G697/E697</f>
        <v>0.95631074172304054</v>
      </c>
      <c r="V697" s="21">
        <f t="shared" ref="V697" si="647">G697/F697</f>
        <v>121.87025390170044</v>
      </c>
      <c r="W697" s="15">
        <f>J697/detalle!$D$2</f>
        <v>266378.5355419757</v>
      </c>
      <c r="X697" s="15">
        <f>E697/detalle!$D$2</f>
        <v>49914.698382439739</v>
      </c>
      <c r="Y697" s="15">
        <f>F697/detalle!$D$2</f>
        <v>391.67853274101344</v>
      </c>
      <c r="AA697" s="14">
        <f>E697/(detalle!$D$2*1000000)</f>
        <v>4.991469838243974E-2</v>
      </c>
      <c r="AB697" s="14">
        <f>F697/(detalle!$D$2*1000000)</f>
        <v>3.9167853274101343E-4</v>
      </c>
      <c r="AC697" s="31">
        <f>236/585</f>
        <v>0.40341880341880343</v>
      </c>
      <c r="AD697" s="31">
        <f>666/2394</f>
        <v>0.2781954887218045</v>
      </c>
      <c r="AE697" s="31">
        <f>131/469</f>
        <v>0.27931769722814498</v>
      </c>
      <c r="AF697" s="22">
        <f t="shared" ref="AF697" si="648">F697-F696</f>
        <v>2</v>
      </c>
      <c r="AG697" s="12">
        <v>6984768</v>
      </c>
      <c r="AH697" s="12">
        <v>5769230</v>
      </c>
      <c r="AI697" s="12">
        <v>1748780</v>
      </c>
      <c r="AJ697" s="23">
        <f t="shared" ref="AJ697" si="649">AK697-AK696</f>
        <v>36523</v>
      </c>
      <c r="AK697" s="23">
        <f t="shared" ref="AK697" si="650">AG697+AH697+AI697</f>
        <v>14502778</v>
      </c>
      <c r="AL697" s="28">
        <f>AK697/detalle!$D$2</f>
        <v>1323183.5098319706</v>
      </c>
    </row>
    <row r="698" spans="1:38">
      <c r="A698" s="12">
        <v>697</v>
      </c>
      <c r="B698" s="19">
        <v>44587</v>
      </c>
      <c r="C698" s="12">
        <v>678</v>
      </c>
      <c r="D698" s="23">
        <f t="shared" ref="D698" si="651">E698-E697</f>
        <v>2929</v>
      </c>
      <c r="E698" s="12">
        <v>550020</v>
      </c>
      <c r="F698" s="12">
        <v>4295</v>
      </c>
      <c r="G698" s="12">
        <v>528372</v>
      </c>
      <c r="H698" s="23">
        <f t="shared" ref="H698" si="652">E698-F698-G698</f>
        <v>17353</v>
      </c>
      <c r="I698" s="23">
        <f t="shared" ref="I698" si="653">J698-J697</f>
        <v>13308</v>
      </c>
      <c r="J698" s="12">
        <v>2932955</v>
      </c>
      <c r="K698" s="23">
        <f t="shared" ref="K698" si="654">J698-E698</f>
        <v>2382935</v>
      </c>
      <c r="L698" s="23">
        <f t="shared" ref="L698" si="655">G698-G697</f>
        <v>5183</v>
      </c>
      <c r="M698" s="14">
        <f t="shared" ref="M698" si="656">F698/E698</f>
        <v>7.8088069524744558E-3</v>
      </c>
      <c r="N698" s="14">
        <f t="shared" ref="N698" si="657">D698/I698</f>
        <v>0.2200931770363691</v>
      </c>
      <c r="O698" s="24"/>
      <c r="P698" s="12"/>
      <c r="Q698" s="12"/>
      <c r="R698" s="23">
        <f t="shared" ref="R698" si="658">F698+G698</f>
        <v>532667</v>
      </c>
      <c r="S698" s="25">
        <f>(((H698+R698)/(H697+R697))-1)+detalle!$D$1</f>
        <v>7.6782342556226651E-2</v>
      </c>
      <c r="T698" s="25">
        <f t="shared" ref="T698" si="659">S698*14</f>
        <v>1.0749527957871732</v>
      </c>
      <c r="U698" s="10">
        <f t="shared" ref="U698" si="660">G698/E698</f>
        <v>0.96064143122068291</v>
      </c>
      <c r="V698" s="21">
        <f t="shared" ref="V698" si="661">G698/F698</f>
        <v>123.02025611175786</v>
      </c>
      <c r="W698" s="15">
        <f>J698/detalle!$D$2</f>
        <v>267592.71162250621</v>
      </c>
      <c r="X698" s="15">
        <f>E698/detalle!$D$2</f>
        <v>50181.930253485261</v>
      </c>
      <c r="Y698" s="15">
        <f>F698/detalle!$D$2</f>
        <v>391.86100585200393</v>
      </c>
      <c r="AA698" s="14">
        <f>E698/(detalle!$D$2*1000000)</f>
        <v>5.018193025348526E-2</v>
      </c>
      <c r="AB698" s="14">
        <f>F698/(detalle!$D$2*1000000)</f>
        <v>3.9186100585200391E-4</v>
      </c>
      <c r="AC698" s="31">
        <f>212/585</f>
        <v>0.36239316239316238</v>
      </c>
      <c r="AD698" s="31">
        <f>550/2373</f>
        <v>0.2317741255794353</v>
      </c>
      <c r="AE698" s="31">
        <f>129/469</f>
        <v>0.27505330490405117</v>
      </c>
      <c r="AF698" s="22">
        <f t="shared" ref="AF698" si="662">F698-F697</f>
        <v>2</v>
      </c>
      <c r="AG698" s="12">
        <v>6988100</v>
      </c>
      <c r="AH698" s="12">
        <v>5774497</v>
      </c>
      <c r="AI698" s="12">
        <v>1782404</v>
      </c>
      <c r="AJ698" s="23">
        <f t="shared" ref="AJ698" si="663">AK698-AK697</f>
        <v>42223</v>
      </c>
      <c r="AK698" s="23">
        <f t="shared" ref="AK698" si="664">AG698+AH698+AI698</f>
        <v>14545001</v>
      </c>
      <c r="AL698" s="28">
        <f>AK698/detalle!$D$2</f>
        <v>1327035.7909146457</v>
      </c>
    </row>
    <row r="699" spans="1:38">
      <c r="A699" s="12">
        <v>698</v>
      </c>
      <c r="B699" s="19">
        <v>44588</v>
      </c>
      <c r="C699" s="12">
        <v>679</v>
      </c>
      <c r="D699" s="23">
        <f t="shared" ref="D699" si="665">E699-E698</f>
        <v>1508</v>
      </c>
      <c r="E699" s="12">
        <v>551528</v>
      </c>
      <c r="F699" s="12">
        <v>4298</v>
      </c>
      <c r="G699" s="12">
        <v>533584</v>
      </c>
      <c r="H699" s="23">
        <f t="shared" ref="H699" si="666">E699-F699-G699</f>
        <v>13646</v>
      </c>
      <c r="I699" s="23">
        <f t="shared" ref="I699" si="667">J699-J698</f>
        <v>5332</v>
      </c>
      <c r="J699" s="12">
        <v>2938287</v>
      </c>
      <c r="K699" s="23">
        <f t="shared" ref="K699" si="668">J699-E699</f>
        <v>2386759</v>
      </c>
      <c r="L699" s="23">
        <f t="shared" ref="L699" si="669">G699-G698</f>
        <v>5212</v>
      </c>
      <c r="M699" s="14">
        <f t="shared" ref="M699" si="670">F699/E699</f>
        <v>7.7928953743055659E-3</v>
      </c>
      <c r="N699" s="14">
        <f t="shared" ref="N699" si="671">D699/I699</f>
        <v>0.2828207051762941</v>
      </c>
      <c r="O699" s="24"/>
      <c r="P699" s="12"/>
      <c r="Q699" s="12"/>
      <c r="R699" s="23">
        <f t="shared" ref="R699" si="672">F699+G699</f>
        <v>537882</v>
      </c>
      <c r="S699" s="25">
        <f>(((H699+R699)/(H698+R698))-1)+detalle!$D$1</f>
        <v>7.4170289911535764E-2</v>
      </c>
      <c r="T699" s="25">
        <f t="shared" ref="T699" si="673">S699*14</f>
        <v>1.0383840587615008</v>
      </c>
      <c r="U699" s="10">
        <f t="shared" ref="U699" si="674">G699/E699</f>
        <v>0.96746493378396015</v>
      </c>
      <c r="V699" s="21">
        <f t="shared" ref="V699" si="675">G699/F699</f>
        <v>124.14704513727315</v>
      </c>
      <c r="W699" s="15">
        <f>J699/detalle!$D$2</f>
        <v>268079.18493640673</v>
      </c>
      <c r="X699" s="15">
        <f>E699/detalle!$D$2</f>
        <v>50319.514979172061</v>
      </c>
      <c r="Y699" s="15">
        <f>F699/detalle!$D$2</f>
        <v>392.1347155184896</v>
      </c>
      <c r="AA699" s="14">
        <f>E699/(detalle!$D$2*1000000)</f>
        <v>5.0319514979172066E-2</v>
      </c>
      <c r="AB699" s="14">
        <f>F699/(detalle!$D$2*1000000)</f>
        <v>3.921347155184896E-4</v>
      </c>
      <c r="AC699" s="31">
        <f>208/585</f>
        <v>0.35555555555555557</v>
      </c>
      <c r="AD699" s="31">
        <f>514/2373</f>
        <v>0.21660345554150864</v>
      </c>
      <c r="AE699" s="31">
        <f>118/469</f>
        <v>0.25159914712153519</v>
      </c>
      <c r="AF699" s="22">
        <f t="shared" ref="AF699" si="676">F699-F698</f>
        <v>3</v>
      </c>
      <c r="AG699" s="12">
        <v>6991107</v>
      </c>
      <c r="AH699" s="12">
        <v>5779813</v>
      </c>
      <c r="AI699" s="12">
        <v>1821870</v>
      </c>
      <c r="AJ699" s="23">
        <f t="shared" ref="AJ699" si="677">AK699-AK698</f>
        <v>47789</v>
      </c>
      <c r="AK699" s="23">
        <f t="shared" ref="AK699" si="678">AG699+AH699+AI699</f>
        <v>14592790</v>
      </c>
      <c r="AL699" s="28">
        <f>AK699/detalle!$D$2</f>
        <v>1331395.894665207</v>
      </c>
    </row>
    <row r="700" spans="1:38">
      <c r="A700" s="12">
        <v>699</v>
      </c>
      <c r="B700" s="19">
        <v>44589</v>
      </c>
      <c r="C700" s="12">
        <v>680</v>
      </c>
      <c r="D700" s="23">
        <f t="shared" ref="D700" si="679">E700-E699</f>
        <v>1303</v>
      </c>
      <c r="E700" s="12">
        <v>552831</v>
      </c>
      <c r="F700" s="12">
        <v>4301</v>
      </c>
      <c r="G700" s="12">
        <v>538719</v>
      </c>
      <c r="H700" s="23">
        <f t="shared" ref="H700" si="680">E700-F700-G700</f>
        <v>9811</v>
      </c>
      <c r="I700" s="23">
        <f t="shared" ref="I700" si="681">J700-J699</f>
        <v>4848</v>
      </c>
      <c r="J700" s="12">
        <v>2943135</v>
      </c>
      <c r="K700" s="23">
        <f t="shared" ref="K700" si="682">J700-E700</f>
        <v>2390304</v>
      </c>
      <c r="L700" s="23">
        <f t="shared" ref="L700" si="683">G700-G699</f>
        <v>5135</v>
      </c>
      <c r="M700" s="14">
        <f t="shared" ref="M700" si="684">F700/E700</f>
        <v>7.7799544526265712E-3</v>
      </c>
      <c r="N700" s="14">
        <f t="shared" ref="N700" si="685">D700/I700</f>
        <v>0.26877062706270627</v>
      </c>
      <c r="O700" s="24"/>
      <c r="P700" s="12"/>
      <c r="Q700" s="12"/>
      <c r="R700" s="23">
        <f t="shared" ref="R700" si="686">F700+G700</f>
        <v>543020</v>
      </c>
      <c r="S700" s="25">
        <f>(((H700+R700)/(H699+R699))-1)+detalle!$D$1</f>
        <v>7.3791098807054506E-2</v>
      </c>
      <c r="T700" s="25">
        <f t="shared" ref="T700" si="687">S700*14</f>
        <v>1.0330753832987631</v>
      </c>
      <c r="U700" s="10">
        <f t="shared" ref="U700" si="688">G700/E700</f>
        <v>0.97447321152395583</v>
      </c>
      <c r="V700" s="21">
        <f t="shared" ref="V700" si="689">G700/F700</f>
        <v>125.2543594512904</v>
      </c>
      <c r="W700" s="15">
        <f>J700/detalle!$D$2</f>
        <v>268521.49975744763</v>
      </c>
      <c r="X700" s="15">
        <f>E700/detalle!$D$2</f>
        <v>50438.396210982348</v>
      </c>
      <c r="Y700" s="15">
        <f>F700/detalle!$D$2</f>
        <v>392.40842518497527</v>
      </c>
      <c r="AA700" s="14">
        <f>E700/(detalle!$D$2*1000000)</f>
        <v>5.0438396210982346E-2</v>
      </c>
      <c r="AB700" s="14">
        <f>F700/(detalle!$D$2*1000000)</f>
        <v>3.924084251849753E-4</v>
      </c>
      <c r="AC700" s="31">
        <f>204/585</f>
        <v>0.3487179487179487</v>
      </c>
      <c r="AD700" s="31">
        <f>459/2373</f>
        <v>0.19342604298356511</v>
      </c>
      <c r="AE700" s="31">
        <f>107/469</f>
        <v>0.22814498933901919</v>
      </c>
      <c r="AF700" s="22">
        <f t="shared" ref="AF700" si="690">F700-F699</f>
        <v>3</v>
      </c>
      <c r="AG700" s="12">
        <v>6994292</v>
      </c>
      <c r="AH700" s="12">
        <v>5785462</v>
      </c>
      <c r="AI700" s="12">
        <v>1871608</v>
      </c>
      <c r="AJ700" s="23">
        <f t="shared" ref="AJ700" si="691">AK700-AK699</f>
        <v>58572</v>
      </c>
      <c r="AK700" s="23">
        <f t="shared" ref="AK700" si="692">AG700+AH700+AI700</f>
        <v>14651362</v>
      </c>
      <c r="AL700" s="28">
        <f>AK700/detalle!$D$2</f>
        <v>1336739.8021936736</v>
      </c>
    </row>
    <row r="701" spans="1:38">
      <c r="A701" s="12">
        <v>700</v>
      </c>
      <c r="B701" s="19">
        <v>44590</v>
      </c>
      <c r="C701" s="12">
        <v>681</v>
      </c>
      <c r="D701" s="23">
        <f t="shared" ref="D701" si="693">E701-E700</f>
        <v>1221</v>
      </c>
      <c r="E701" s="12">
        <v>554052</v>
      </c>
      <c r="F701" s="12">
        <v>4305</v>
      </c>
      <c r="G701" s="12">
        <v>541206</v>
      </c>
      <c r="H701" s="23">
        <f t="shared" ref="H701" si="694">E701-F701-G701</f>
        <v>8541</v>
      </c>
      <c r="I701" s="23">
        <f t="shared" ref="I701" si="695">J701-J700</f>
        <v>4685</v>
      </c>
      <c r="J701" s="12">
        <v>2947820</v>
      </c>
      <c r="K701" s="23">
        <f t="shared" ref="K701" si="696">J701-E701</f>
        <v>2393768</v>
      </c>
      <c r="L701" s="23">
        <f t="shared" ref="L701" si="697">G701-G700</f>
        <v>2487</v>
      </c>
      <c r="M701" s="14">
        <f t="shared" ref="M701" si="698">F701/E701</f>
        <v>7.7700288059604512E-3</v>
      </c>
      <c r="N701" s="14">
        <f t="shared" ref="N701" si="699">D701/I701</f>
        <v>0.26061899679829242</v>
      </c>
      <c r="O701" s="24"/>
      <c r="P701" s="12"/>
      <c r="Q701" s="12"/>
      <c r="R701" s="23">
        <f t="shared" ref="R701" si="700">F701+G701</f>
        <v>545511</v>
      </c>
      <c r="S701" s="25">
        <f>(((H701+R701)/(H700+R700))-1)+detalle!$D$1</f>
        <v>7.3637202999521617E-2</v>
      </c>
      <c r="T701" s="25">
        <f t="shared" ref="T701" si="701">S701*14</f>
        <v>1.0309208419933027</v>
      </c>
      <c r="U701" s="10">
        <f t="shared" ref="U701" si="702">G701/E701</f>
        <v>0.97681445062918282</v>
      </c>
      <c r="V701" s="21">
        <f t="shared" ref="V701" si="703">G701/F701</f>
        <v>125.71567944250872</v>
      </c>
      <c r="W701" s="15">
        <f>J701/detalle!$D$2</f>
        <v>268948.94301994279</v>
      </c>
      <c r="X701" s="15">
        <f>E701/detalle!$D$2</f>
        <v>50549.796045242023</v>
      </c>
      <c r="Y701" s="15">
        <f>F701/detalle!$D$2</f>
        <v>392.77337140695619</v>
      </c>
      <c r="AA701" s="14">
        <f>E701/(detalle!$D$2*1000000)</f>
        <v>5.0549796045242019E-2</v>
      </c>
      <c r="AB701" s="14">
        <f>F701/(detalle!$D$2*1000000)</f>
        <v>3.927733714069562E-4</v>
      </c>
      <c r="AC701" s="31">
        <f>201/585</f>
        <v>0.34358974358974359</v>
      </c>
      <c r="AD701" s="31">
        <f>463/2373</f>
        <v>0.19511167298777918</v>
      </c>
      <c r="AE701" s="31">
        <f>103/469</f>
        <v>0.21961620469083157</v>
      </c>
      <c r="AF701" s="22">
        <f t="shared" ref="AF701" si="704">F701-F700</f>
        <v>4</v>
      </c>
      <c r="AG701" s="12">
        <v>6995481</v>
      </c>
      <c r="AH701" s="12">
        <v>5787787</v>
      </c>
      <c r="AI701" s="12">
        <v>1893088</v>
      </c>
      <c r="AJ701" s="23">
        <f t="shared" ref="AJ701" si="705">AK701-AK700</f>
        <v>24994</v>
      </c>
      <c r="AK701" s="23">
        <f t="shared" ref="AK701" si="706">AG701+AH701+AI701</f>
        <v>14676356</v>
      </c>
      <c r="AL701" s="28">
        <f>AK701/detalle!$D$2</f>
        <v>1339020.1686617213</v>
      </c>
    </row>
    <row r="702" spans="1:38">
      <c r="A702" s="12">
        <v>701</v>
      </c>
      <c r="B702" s="19">
        <v>44591</v>
      </c>
      <c r="C702" s="12">
        <v>682</v>
      </c>
      <c r="D702" s="23">
        <f t="shared" ref="D702" si="707">E702-E701</f>
        <v>1193</v>
      </c>
      <c r="E702" s="12">
        <v>555245</v>
      </c>
      <c r="F702" s="12">
        <v>4307</v>
      </c>
      <c r="G702" s="12">
        <v>543755</v>
      </c>
      <c r="H702" s="23">
        <f t="shared" ref="H702" si="708">E702-F702-G702</f>
        <v>7183</v>
      </c>
      <c r="I702" s="23">
        <f t="shared" ref="I702" si="709">J702-J701</f>
        <v>4483</v>
      </c>
      <c r="J702" s="12">
        <v>2952303</v>
      </c>
      <c r="K702" s="23">
        <f t="shared" ref="K702" si="710">J702-E702</f>
        <v>2397058</v>
      </c>
      <c r="L702" s="23">
        <f t="shared" ref="L702" si="711">G702-G701</f>
        <v>2549</v>
      </c>
      <c r="M702" s="14">
        <f t="shared" ref="M702" si="712">F702/E702</f>
        <v>7.7569361272951578E-3</v>
      </c>
      <c r="N702" s="14">
        <f t="shared" ref="N702" si="713">D702/I702</f>
        <v>0.26611643988400624</v>
      </c>
      <c r="O702" s="24"/>
      <c r="P702" s="12"/>
      <c r="Q702" s="12"/>
      <c r="R702" s="23">
        <f t="shared" ref="R702" si="714">F702+G702</f>
        <v>548062</v>
      </c>
      <c r="S702" s="25">
        <f>(((H702+R702)/(H701+R701))-1)+detalle!$D$1</f>
        <v>7.3581798923463532E-2</v>
      </c>
      <c r="T702" s="25">
        <f t="shared" ref="T702" si="715">S702*14</f>
        <v>1.0301451849284895</v>
      </c>
      <c r="U702" s="10">
        <f t="shared" ref="U702" si="716">G702/E702</f>
        <v>0.97930643229565328</v>
      </c>
      <c r="V702" s="21">
        <f t="shared" ref="V702" si="717">G702/F702</f>
        <v>126.24912932435571</v>
      </c>
      <c r="W702" s="15">
        <f>J702/detalle!$D$2</f>
        <v>269357.9564982279</v>
      </c>
      <c r="X702" s="15">
        <f>E702/detalle!$D$2</f>
        <v>50658.641255947827</v>
      </c>
      <c r="Y702" s="15">
        <f>F702/detalle!$D$2</f>
        <v>392.95584451794667</v>
      </c>
      <c r="AA702" s="14">
        <f>E702/(detalle!$D$2*1000000)</f>
        <v>5.0658641255947823E-2</v>
      </c>
      <c r="AB702" s="14">
        <f>F702/(detalle!$D$2*1000000)</f>
        <v>3.9295584451794663E-4</v>
      </c>
      <c r="AC702" s="31">
        <f>203/585</f>
        <v>0.347008547008547</v>
      </c>
      <c r="AD702" s="31">
        <f>449/2373</f>
        <v>0.18921196797302992</v>
      </c>
      <c r="AE702" s="31">
        <f>102/469</f>
        <v>0.21748400852878466</v>
      </c>
      <c r="AF702" s="22">
        <f t="shared" ref="AF702" si="718">F702-F701</f>
        <v>2</v>
      </c>
      <c r="AG702" s="12">
        <v>6996090</v>
      </c>
      <c r="AH702" s="12">
        <v>5789094</v>
      </c>
      <c r="AI702" s="12">
        <v>1907481</v>
      </c>
      <c r="AJ702" s="23">
        <f t="shared" ref="AJ702" si="719">AK702-AK701</f>
        <v>16309</v>
      </c>
      <c r="AK702" s="23">
        <f t="shared" ref="AK702" si="720">AG702+AH702+AI702</f>
        <v>14692665</v>
      </c>
      <c r="AL702" s="28">
        <f>AK702/detalle!$D$2</f>
        <v>1340508.1456452929</v>
      </c>
    </row>
    <row r="703" spans="1:38">
      <c r="A703" s="12">
        <v>702</v>
      </c>
      <c r="B703" s="19">
        <v>44592</v>
      </c>
      <c r="C703" s="12">
        <v>683</v>
      </c>
      <c r="D703" s="23">
        <f t="shared" ref="D703" si="721">E703-E702</f>
        <v>1275</v>
      </c>
      <c r="E703" s="12">
        <v>556520</v>
      </c>
      <c r="F703" s="12">
        <v>4310</v>
      </c>
      <c r="G703" s="12">
        <v>546266</v>
      </c>
      <c r="H703" s="23">
        <f t="shared" ref="H703" si="722">E703-F703-G703</f>
        <v>5944</v>
      </c>
      <c r="I703" s="23">
        <f t="shared" ref="I703" si="723">J703-J702</f>
        <v>6789</v>
      </c>
      <c r="J703" s="12">
        <v>2959092</v>
      </c>
      <c r="K703" s="23">
        <f t="shared" ref="K703" si="724">J703-E703</f>
        <v>2402572</v>
      </c>
      <c r="L703" s="23">
        <f t="shared" ref="L703" si="725">G703-G702</f>
        <v>2511</v>
      </c>
      <c r="M703" s="14">
        <f t="shared" ref="M703" si="726">F703/E703</f>
        <v>7.744555451735787E-3</v>
      </c>
      <c r="N703" s="14">
        <f t="shared" ref="N703" si="727">D703/I703</f>
        <v>0.18780380026513477</v>
      </c>
      <c r="O703" s="24"/>
      <c r="P703" s="12"/>
      <c r="Q703" s="12"/>
      <c r="R703" s="23">
        <f t="shared" ref="R703" si="728">F703+G703</f>
        <v>550576</v>
      </c>
      <c r="S703" s="25">
        <f>(((H703+R703)/(H702+R702))-1)+detalle!$D$1</f>
        <v>7.3724855051116506E-2</v>
      </c>
      <c r="T703" s="25">
        <f t="shared" ref="T703" si="729">S703*14</f>
        <v>1.0321479707156311</v>
      </c>
      <c r="U703" s="10">
        <f t="shared" ref="U703" si="730">G703/E703</f>
        <v>0.98157478617120675</v>
      </c>
      <c r="V703" s="21">
        <f t="shared" ref="V703" si="731">G703/F703</f>
        <v>126.74385150812066</v>
      </c>
      <c r="W703" s="15">
        <f>J703/detalle!$D$2</f>
        <v>269977.36147348495</v>
      </c>
      <c r="X703" s="15">
        <f>E703/detalle!$D$2</f>
        <v>50774.967864204242</v>
      </c>
      <c r="Y703" s="15">
        <f>F703/detalle!$D$2</f>
        <v>393.22955418443235</v>
      </c>
      <c r="AA703" s="14">
        <f>E703/(detalle!$D$2*1000000)</f>
        <v>5.077496786420424E-2</v>
      </c>
      <c r="AB703" s="14">
        <f>F703/(detalle!$D$2*1000000)</f>
        <v>3.9322955418443232E-4</v>
      </c>
      <c r="AC703" s="31">
        <f>178/585</f>
        <v>0.30427350427350425</v>
      </c>
      <c r="AD703" s="31">
        <f>382/2373</f>
        <v>0.16097766540244415</v>
      </c>
      <c r="AE703" s="31">
        <f>106/469</f>
        <v>0.22601279317697229</v>
      </c>
      <c r="AF703" s="22">
        <f t="shared" ref="AF703" si="732">F703-F702</f>
        <v>3</v>
      </c>
      <c r="AG703" s="12">
        <v>6999277</v>
      </c>
      <c r="AH703" s="12">
        <v>5794606</v>
      </c>
      <c r="AI703" s="12">
        <v>1948527</v>
      </c>
      <c r="AJ703" s="23">
        <f t="shared" ref="AJ703" si="733">AK703-AK702</f>
        <v>49745</v>
      </c>
      <c r="AK703" s="23">
        <f t="shared" ref="AK703" si="734">AG703+AH703+AI703</f>
        <v>14742410</v>
      </c>
      <c r="AL703" s="28">
        <f>AK703/detalle!$D$2</f>
        <v>1345046.7080984029</v>
      </c>
    </row>
    <row r="704" spans="1:38">
      <c r="A704" s="12">
        <v>703</v>
      </c>
      <c r="B704" s="19">
        <v>44593</v>
      </c>
      <c r="C704" s="12">
        <v>684</v>
      </c>
      <c r="D704" s="23">
        <f t="shared" ref="D704" si="735">E704-E703</f>
        <v>1399</v>
      </c>
      <c r="E704" s="12">
        <v>557919</v>
      </c>
      <c r="F704" s="12">
        <v>4313</v>
      </c>
      <c r="G704" s="12">
        <v>548436</v>
      </c>
      <c r="H704" s="23">
        <f t="shared" ref="H704" si="736">E704-F704-G704</f>
        <v>5170</v>
      </c>
      <c r="I704" s="23">
        <f t="shared" ref="I704" si="737">J704-J703</f>
        <v>8200</v>
      </c>
      <c r="J704" s="12">
        <v>2967292</v>
      </c>
      <c r="K704" s="23">
        <f t="shared" ref="K704" si="738">J704-E704</f>
        <v>2409373</v>
      </c>
      <c r="L704" s="23">
        <f t="shared" ref="L704" si="739">G704-G703</f>
        <v>2170</v>
      </c>
      <c r="M704" s="14">
        <f t="shared" ref="M704" si="740">F704/E704</f>
        <v>7.7305128522240684E-3</v>
      </c>
      <c r="N704" s="14">
        <f t="shared" ref="N704" si="741">D704/I704</f>
        <v>0.17060975609756099</v>
      </c>
      <c r="O704" s="24"/>
      <c r="P704" s="12"/>
      <c r="Q704" s="12"/>
      <c r="R704" s="23">
        <f t="shared" ref="R704" si="742">F704+G704</f>
        <v>552749</v>
      </c>
      <c r="S704" s="25">
        <f>(((H704+R704)/(H703+R703))-1)+detalle!$D$1</f>
        <v>7.3942407409308936E-2</v>
      </c>
      <c r="T704" s="25">
        <f t="shared" ref="T704" si="743">S704*14</f>
        <v>1.0351937037303252</v>
      </c>
      <c r="U704" s="10">
        <f t="shared" ref="U704" si="744">G704/E704</f>
        <v>0.98300290902442833</v>
      </c>
      <c r="V704" s="21">
        <f t="shared" ref="V704" si="745">G704/F704</f>
        <v>127.15882216554603</v>
      </c>
      <c r="W704" s="15">
        <f>J704/detalle!$D$2</f>
        <v>270725.50122854585</v>
      </c>
      <c r="X704" s="15">
        <f>E704/detalle!$D$2</f>
        <v>50902.607805342064</v>
      </c>
      <c r="Y704" s="15">
        <f>F704/detalle!$D$2</f>
        <v>393.50326385091802</v>
      </c>
      <c r="AA704" s="14">
        <f>E704/(detalle!$D$2*1000000)</f>
        <v>5.0902607805342066E-2</v>
      </c>
      <c r="AB704" s="14">
        <f>F704/(detalle!$D$2*1000000)</f>
        <v>3.9350326385091802E-4</v>
      </c>
      <c r="AC704" s="31">
        <f>169/585</f>
        <v>0.28888888888888886</v>
      </c>
      <c r="AD704" s="31">
        <f>346/2373</f>
        <v>0.14580699536451749</v>
      </c>
      <c r="AE704" s="31">
        <f>95/469</f>
        <v>0.20255863539445629</v>
      </c>
      <c r="AF704" s="22">
        <f t="shared" ref="AF704" si="746">F704-F703</f>
        <v>3</v>
      </c>
      <c r="AG704" s="12">
        <v>7002696</v>
      </c>
      <c r="AH704" s="12">
        <v>5801131</v>
      </c>
      <c r="AI704" s="12">
        <v>1986148</v>
      </c>
      <c r="AJ704" s="23">
        <f t="shared" ref="AJ704" si="747">AK704-AK703</f>
        <v>47565</v>
      </c>
      <c r="AK704" s="23">
        <f t="shared" ref="AK704" si="748">AG704+AH704+AI704</f>
        <v>14789975</v>
      </c>
      <c r="AL704" s="28">
        <f>AK704/detalle!$D$2</f>
        <v>1349386.3748605335</v>
      </c>
    </row>
    <row r="705" spans="1:38">
      <c r="A705" s="12">
        <v>704</v>
      </c>
      <c r="B705" s="19">
        <v>44594</v>
      </c>
      <c r="C705" s="12">
        <v>685</v>
      </c>
      <c r="D705" s="23">
        <f t="shared" ref="D705" si="749">E705-E704</f>
        <v>1017</v>
      </c>
      <c r="E705" s="12">
        <v>558936</v>
      </c>
      <c r="F705" s="12">
        <v>4315</v>
      </c>
      <c r="G705" s="12">
        <v>549219</v>
      </c>
      <c r="H705" s="23">
        <f t="shared" ref="H705" si="750">E705-F705-G705</f>
        <v>5402</v>
      </c>
      <c r="I705" s="23">
        <f t="shared" ref="I705" si="751">J705-J704</f>
        <v>6187</v>
      </c>
      <c r="J705" s="12">
        <v>2973479</v>
      </c>
      <c r="K705" s="23">
        <f t="shared" ref="K705" si="752">J705-E705</f>
        <v>2414543</v>
      </c>
      <c r="L705" s="23">
        <f t="shared" ref="L705" si="753">G705-G704</f>
        <v>783</v>
      </c>
      <c r="M705" s="14">
        <f t="shared" ref="M705" si="754">F705/E705</f>
        <v>7.7200251907195098E-3</v>
      </c>
      <c r="N705" s="14">
        <f t="shared" ref="N705" si="755">D705/I705</f>
        <v>0.16437691934701795</v>
      </c>
      <c r="O705" s="24"/>
      <c r="P705" s="12"/>
      <c r="Q705" s="12"/>
      <c r="R705" s="23">
        <f t="shared" ref="R705" si="756">F705+G705</f>
        <v>553534</v>
      </c>
      <c r="S705" s="25">
        <f>(((H705+R705)/(H704+R704))-1)+detalle!$D$1</f>
        <v>7.3251416680301579E-2</v>
      </c>
      <c r="T705" s="25">
        <f t="shared" ref="T705" si="757">S705*14</f>
        <v>1.0255198335242222</v>
      </c>
      <c r="U705" s="10">
        <f t="shared" ref="U705" si="758">G705/E705</f>
        <v>0.98261518313366825</v>
      </c>
      <c r="V705" s="21">
        <f t="shared" ref="V705" si="759">G705/F705</f>
        <v>127.28134414831982</v>
      </c>
      <c r="W705" s="15">
        <f>J705/detalle!$D$2</f>
        <v>271289.98179739481</v>
      </c>
      <c r="X705" s="15">
        <f>E705/detalle!$D$2</f>
        <v>50995.395382280716</v>
      </c>
      <c r="Y705" s="15">
        <f>F705/detalle!$D$2</f>
        <v>393.6857369619085</v>
      </c>
      <c r="AA705" s="14">
        <f>E705/(detalle!$D$2*1000000)</f>
        <v>5.0995395382280713E-2</v>
      </c>
      <c r="AB705" s="14">
        <f>F705/(detalle!$D$2*1000000)</f>
        <v>3.9368573696190845E-4</v>
      </c>
      <c r="AC705" s="31">
        <f>155/585</f>
        <v>0.26495726495726496</v>
      </c>
      <c r="AD705" s="31">
        <f>338/2373</f>
        <v>0.14243573535608933</v>
      </c>
      <c r="AE705" s="31">
        <f>95/469</f>
        <v>0.20255863539445629</v>
      </c>
      <c r="AF705" s="22">
        <f t="shared" ref="AF705" si="760">F705-F704</f>
        <v>2</v>
      </c>
      <c r="AG705" s="12">
        <v>7005519</v>
      </c>
      <c r="AH705" s="12">
        <v>5806741</v>
      </c>
      <c r="AI705" s="12">
        <v>2016535</v>
      </c>
      <c r="AJ705" s="23">
        <f t="shared" ref="AJ705" si="761">AK705-AK704</f>
        <v>38820</v>
      </c>
      <c r="AK705" s="23">
        <f t="shared" ref="AK705" si="762">AG705+AH705+AI705</f>
        <v>14828795</v>
      </c>
      <c r="AL705" s="28">
        <f>AK705/detalle!$D$2</f>
        <v>1352928.1779448583</v>
      </c>
    </row>
    <row r="706" spans="1:38">
      <c r="A706" s="12">
        <v>705</v>
      </c>
      <c r="B706" s="19">
        <v>44595</v>
      </c>
      <c r="C706" s="12">
        <v>686</v>
      </c>
      <c r="D706" s="23">
        <f t="shared" ref="D706" si="763">E706-E705</f>
        <v>1101</v>
      </c>
      <c r="E706" s="12">
        <v>560037</v>
      </c>
      <c r="F706" s="12">
        <v>4319</v>
      </c>
      <c r="G706" s="12">
        <v>549973</v>
      </c>
      <c r="H706" s="23">
        <f t="shared" ref="H706" si="764">E706-F706-G706</f>
        <v>5745</v>
      </c>
      <c r="I706" s="23">
        <f t="shared" ref="I706" si="765">J706-J705</f>
        <v>6209</v>
      </c>
      <c r="J706" s="12">
        <v>2979688</v>
      </c>
      <c r="K706" s="23">
        <f t="shared" ref="K706" si="766">J706-E706</f>
        <v>2419651</v>
      </c>
      <c r="L706" s="23">
        <f t="shared" ref="L706" si="767">G706-G705</f>
        <v>754</v>
      </c>
      <c r="M706" s="14">
        <f t="shared" ref="M706" si="768">F706/E706</f>
        <v>7.7119904577733255E-3</v>
      </c>
      <c r="N706" s="14">
        <f t="shared" ref="N706" si="769">D706/I706</f>
        <v>0.17732324045740055</v>
      </c>
      <c r="O706" s="24"/>
      <c r="P706" s="12"/>
      <c r="Q706" s="12"/>
      <c r="R706" s="23">
        <f t="shared" ref="R706" si="770">F706+G706</f>
        <v>554292</v>
      </c>
      <c r="S706" s="25">
        <f>(((H706+R706)/(H705+R705))-1)+detalle!$D$1</f>
        <v>7.3398385503886027E-2</v>
      </c>
      <c r="T706" s="25">
        <f t="shared" ref="T706" si="771">S706*14</f>
        <v>1.0275773970544044</v>
      </c>
      <c r="U706" s="10">
        <f t="shared" ref="U706" si="772">G706/E706</f>
        <v>0.98202975874808274</v>
      </c>
      <c r="V706" s="21">
        <f t="shared" ref="V706" si="773">G706/F706</f>
        <v>127.33804121324381</v>
      </c>
      <c r="W706" s="15">
        <f>J706/detalle!$D$2</f>
        <v>271856.46957046469</v>
      </c>
      <c r="X706" s="15">
        <f>E706/detalle!$D$2</f>
        <v>51095.84682988096</v>
      </c>
      <c r="Y706" s="15">
        <f>F706/detalle!$D$2</f>
        <v>394.05068318388936</v>
      </c>
      <c r="AA706" s="14">
        <f>E706/(detalle!$D$2*1000000)</f>
        <v>5.1095846829880956E-2</v>
      </c>
      <c r="AB706" s="14">
        <f>F706/(detalle!$D$2*1000000)</f>
        <v>3.9405068318388935E-4</v>
      </c>
      <c r="AC706" s="31">
        <f>138/585</f>
        <v>0.23589743589743589</v>
      </c>
      <c r="AD706" s="31">
        <f>313/2373</f>
        <v>0.13190054782975136</v>
      </c>
      <c r="AE706" s="31">
        <f>88/469</f>
        <v>0.18763326226012794</v>
      </c>
      <c r="AF706" s="22">
        <f t="shared" ref="AF706" si="774">F706-F705</f>
        <v>4</v>
      </c>
      <c r="AG706" s="12">
        <v>7008111</v>
      </c>
      <c r="AH706" s="12">
        <v>5811643</v>
      </c>
      <c r="AI706" s="12">
        <v>2038865</v>
      </c>
      <c r="AJ706" s="23">
        <f t="shared" ref="AJ706" si="775">AK706-AK705</f>
        <v>29824</v>
      </c>
      <c r="AK706" s="23">
        <f t="shared" ref="AK706" si="776">AG706+AH706+AI706</f>
        <v>14858619</v>
      </c>
      <c r="AL706" s="28">
        <f>AK706/detalle!$D$2</f>
        <v>1355649.2169759481</v>
      </c>
    </row>
    <row r="707" spans="1:38">
      <c r="A707" s="12">
        <v>706</v>
      </c>
      <c r="B707" s="19">
        <v>44596</v>
      </c>
      <c r="C707" s="12">
        <v>687</v>
      </c>
      <c r="D707" s="23">
        <f t="shared" ref="D707" si="777">E707-E706</f>
        <v>1620</v>
      </c>
      <c r="E707" s="12">
        <v>561657</v>
      </c>
      <c r="F707" s="12">
        <v>4322</v>
      </c>
      <c r="G707" s="12">
        <v>552489</v>
      </c>
      <c r="H707" s="23">
        <f t="shared" ref="H707" si="778">E707-F707-G707</f>
        <v>4846</v>
      </c>
      <c r="I707" s="23">
        <f t="shared" ref="I707" si="779">J707-J706</f>
        <v>9082</v>
      </c>
      <c r="J707" s="12">
        <v>2988770</v>
      </c>
      <c r="K707" s="23">
        <f t="shared" ref="K707" si="780">J707-E707</f>
        <v>2427113</v>
      </c>
      <c r="L707" s="23">
        <f t="shared" ref="L707" si="781">G707-G706</f>
        <v>2516</v>
      </c>
      <c r="M707" s="14">
        <f t="shared" ref="M707" si="782">F707/E707</f>
        <v>7.6950879273293129E-3</v>
      </c>
      <c r="N707" s="14">
        <f t="shared" ref="N707" si="783">D707/I707</f>
        <v>0.17837480731116495</v>
      </c>
      <c r="O707" s="24"/>
      <c r="P707" s="12"/>
      <c r="Q707" s="12"/>
      <c r="R707" s="23">
        <f t="shared" ref="R707" si="784">F707+G707</f>
        <v>556811</v>
      </c>
      <c r="S707" s="25">
        <f>(((H707+R707)/(H706+R706))-1)+detalle!$D$1</f>
        <v>7.4321237448852245E-2</v>
      </c>
      <c r="T707" s="25">
        <f t="shared" ref="T707" si="785">S707*14</f>
        <v>1.0404973242839315</v>
      </c>
      <c r="U707" s="10">
        <f t="shared" ref="U707" si="786">G707/E707</f>
        <v>0.9836768704031108</v>
      </c>
      <c r="V707" s="21">
        <f t="shared" ref="V707" si="787">G707/F707</f>
        <v>127.8317908375752</v>
      </c>
      <c r="W707" s="15">
        <f>J707/detalle!$D$2</f>
        <v>272685.07996747235</v>
      </c>
      <c r="X707" s="15">
        <f>E707/detalle!$D$2</f>
        <v>51243.650049783231</v>
      </c>
      <c r="Y707" s="15">
        <f>F707/detalle!$D$2</f>
        <v>394.32439285037509</v>
      </c>
      <c r="AA707" s="14">
        <f>E707/(detalle!$D$2*1000000)</f>
        <v>5.1243650049783228E-2</v>
      </c>
      <c r="AB707" s="14">
        <f>F707/(detalle!$D$2*1000000)</f>
        <v>3.9432439285037505E-4</v>
      </c>
      <c r="AC707" s="31">
        <f>124/585</f>
        <v>0.21196581196581196</v>
      </c>
      <c r="AD707" s="31">
        <f>317/2373</f>
        <v>0.13358617783396545</v>
      </c>
      <c r="AE707" s="31">
        <f>83/469</f>
        <v>0.17697228144989338</v>
      </c>
      <c r="AF707" s="22">
        <f t="shared" ref="AF707" si="788">F707-F706</f>
        <v>3</v>
      </c>
      <c r="AG707" s="12">
        <v>7010239</v>
      </c>
      <c r="AH707" s="12">
        <v>5815779</v>
      </c>
      <c r="AI707" s="12">
        <v>2057687</v>
      </c>
      <c r="AJ707" s="23">
        <f t="shared" ref="AJ707" si="789">AK707-AK706</f>
        <v>25086</v>
      </c>
      <c r="AK707" s="23">
        <f t="shared" ref="AK707" si="790">AG707+AH707+AI707</f>
        <v>14883705</v>
      </c>
      <c r="AL707" s="28">
        <f>AK707/detalle!$D$2</f>
        <v>1357937.9772071012</v>
      </c>
    </row>
    <row r="708" spans="1:38">
      <c r="A708" s="12">
        <v>707</v>
      </c>
      <c r="B708" s="19">
        <v>44597</v>
      </c>
      <c r="C708" s="12">
        <v>688</v>
      </c>
      <c r="D708" s="23">
        <f t="shared" ref="D708" si="791">E708-E707</f>
        <v>956</v>
      </c>
      <c r="E708" s="12">
        <v>562613</v>
      </c>
      <c r="F708" s="12">
        <v>4325</v>
      </c>
      <c r="G708" s="12">
        <v>553816</v>
      </c>
      <c r="H708" s="23">
        <f t="shared" ref="H708" si="792">E708-F708-G708</f>
        <v>4472</v>
      </c>
      <c r="I708" s="23">
        <f t="shared" ref="I708" si="793">J708-J707</f>
        <v>7046</v>
      </c>
      <c r="J708" s="12">
        <v>2995816</v>
      </c>
      <c r="K708" s="23">
        <f t="shared" ref="K708" si="794">J708-E708</f>
        <v>2433203</v>
      </c>
      <c r="L708" s="23">
        <f t="shared" ref="L708" si="795">G708-G707</f>
        <v>1327</v>
      </c>
      <c r="M708" s="14">
        <f t="shared" ref="M708" si="796">F708/E708</f>
        <v>7.687344586776345E-3</v>
      </c>
      <c r="N708" s="14">
        <f t="shared" ref="N708" si="797">D708/I708</f>
        <v>0.13567981833664491</v>
      </c>
      <c r="O708" s="24"/>
      <c r="P708" s="12"/>
      <c r="Q708" s="12"/>
      <c r="R708" s="23">
        <f t="shared" ref="R708" si="798">F708+G708</f>
        <v>558141</v>
      </c>
      <c r="S708" s="25">
        <f>(((H708+R708)/(H707+R707))-1)+detalle!$D$1</f>
        <v>7.3130677874320399E-2</v>
      </c>
      <c r="T708" s="25">
        <f t="shared" ref="T708" si="799">S708*14</f>
        <v>1.0238294902404856</v>
      </c>
      <c r="U708" s="10">
        <f t="shared" ref="U708" si="800">G708/E708</f>
        <v>0.98436402998153261</v>
      </c>
      <c r="V708" s="21">
        <f t="shared" ref="V708" si="801">G708/F708</f>
        <v>128.04994219653179</v>
      </c>
      <c r="W708" s="15">
        <f>J708/detalle!$D$2</f>
        <v>273327.93273749173</v>
      </c>
      <c r="X708" s="15">
        <f>E708/detalle!$D$2</f>
        <v>51330.872196836666</v>
      </c>
      <c r="Y708" s="15">
        <f>F708/detalle!$D$2</f>
        <v>394.59810251686076</v>
      </c>
      <c r="AA708" s="14">
        <f>E708/(detalle!$D$2*1000000)</f>
        <v>5.1330872196836665E-2</v>
      </c>
      <c r="AB708" s="14">
        <f>F708/(detalle!$D$2*1000000)</f>
        <v>3.9459810251686074E-4</v>
      </c>
      <c r="AC708" s="31">
        <f>127/585</f>
        <v>0.2170940170940171</v>
      </c>
      <c r="AD708" s="31">
        <f>315/2373</f>
        <v>0.13274336283185842</v>
      </c>
      <c r="AE708" s="31">
        <f>82/469</f>
        <v>0.17484008528784648</v>
      </c>
      <c r="AF708" s="22">
        <f t="shared" ref="AF708" si="802">F708-F707</f>
        <v>3</v>
      </c>
      <c r="AG708" s="12">
        <v>7011201</v>
      </c>
      <c r="AH708" s="12">
        <v>5817561</v>
      </c>
      <c r="AI708" s="12">
        <v>2066178</v>
      </c>
      <c r="AJ708" s="23">
        <f t="shared" ref="AJ708" si="803">AK708-AK707</f>
        <v>11235</v>
      </c>
      <c r="AK708" s="23">
        <f t="shared" ref="AK708" si="804">AG708+AH708+AI708</f>
        <v>14894940</v>
      </c>
      <c r="AL708" s="28">
        <f>AK708/detalle!$D$2</f>
        <v>1358963.0199080901</v>
      </c>
    </row>
    <row r="709" spans="1:38">
      <c r="A709" s="12">
        <v>708</v>
      </c>
      <c r="B709" s="19">
        <v>44598</v>
      </c>
      <c r="C709" s="12">
        <v>689</v>
      </c>
      <c r="D709" s="23">
        <f t="shared" ref="D709" si="805">E709-E708</f>
        <v>1044</v>
      </c>
      <c r="E709" s="12">
        <v>563657</v>
      </c>
      <c r="F709" s="12">
        <v>4329</v>
      </c>
      <c r="G709" s="12">
        <v>554590</v>
      </c>
      <c r="H709" s="23">
        <f t="shared" ref="H709" si="806">E709-F709-G709</f>
        <v>4738</v>
      </c>
      <c r="I709" s="23">
        <f t="shared" ref="I709" si="807">J709-J708</f>
        <v>7479</v>
      </c>
      <c r="J709" s="12">
        <v>3003295</v>
      </c>
      <c r="K709" s="23">
        <f t="shared" ref="K709" si="808">J709-E709</f>
        <v>2439638</v>
      </c>
      <c r="L709" s="23">
        <f t="shared" ref="L709" si="809">G709-G708</f>
        <v>774</v>
      </c>
      <c r="M709" s="14">
        <f t="shared" ref="M709" si="810">F709/E709</f>
        <v>7.6802026764503945E-3</v>
      </c>
      <c r="N709" s="14">
        <f t="shared" ref="N709" si="811">D709/I709</f>
        <v>0.13959085439229843</v>
      </c>
      <c r="O709" s="24"/>
      <c r="P709" s="12"/>
      <c r="Q709" s="12"/>
      <c r="R709" s="23">
        <f t="shared" ref="R709" si="812">F709+G709</f>
        <v>558919</v>
      </c>
      <c r="S709" s="25">
        <f>(((H709+R709)/(H708+R708))-1)+detalle!$D$1</f>
        <v>7.3284198653679883E-2</v>
      </c>
      <c r="T709" s="25">
        <f t="shared" ref="T709" si="813">S709*14</f>
        <v>1.0259787811515184</v>
      </c>
      <c r="U709" s="10">
        <f t="shared" ref="U709" si="814">G709/E709</f>
        <v>0.98391397605281228</v>
      </c>
      <c r="V709" s="21">
        <f t="shared" ref="V709" si="815">G709/F709</f>
        <v>128.11041811041812</v>
      </c>
      <c r="W709" s="15">
        <f>J709/detalle!$D$2</f>
        <v>274010.29093604052</v>
      </c>
      <c r="X709" s="15">
        <f>E709/detalle!$D$2</f>
        <v>51426.123160773685</v>
      </c>
      <c r="Y709" s="15">
        <f>F709/detalle!$D$2</f>
        <v>394.96304873884168</v>
      </c>
      <c r="AA709" s="14">
        <f>E709/(detalle!$D$2*1000000)</f>
        <v>5.1426123160773683E-2</v>
      </c>
      <c r="AB709" s="14">
        <f>F709/(detalle!$D$2*1000000)</f>
        <v>3.9496304873884165E-4</v>
      </c>
      <c r="AC709" s="31">
        <f>123/585</f>
        <v>0.21025641025641026</v>
      </c>
      <c r="AD709" s="31">
        <f>312/2373</f>
        <v>0.13147914032869784</v>
      </c>
      <c r="AE709" s="31">
        <f>81/469</f>
        <v>0.17270788912579957</v>
      </c>
      <c r="AF709" s="22">
        <f t="shared" ref="AF709" si="816">F709-F708</f>
        <v>4</v>
      </c>
      <c r="AG709" s="12">
        <v>7011592</v>
      </c>
      <c r="AH709" s="12">
        <v>5818265</v>
      </c>
      <c r="AI709" s="12">
        <v>2069055</v>
      </c>
      <c r="AJ709" s="23">
        <f t="shared" ref="AJ709" si="817">AK709-AK708</f>
        <v>3972</v>
      </c>
      <c r="AK709" s="23">
        <f t="shared" ref="AK709" si="818">AG709+AH709+AI709</f>
        <v>14898912</v>
      </c>
      <c r="AL709" s="28">
        <f>AK709/detalle!$D$2</f>
        <v>1359325.4115065171</v>
      </c>
    </row>
    <row r="710" spans="1:38">
      <c r="A710" s="12">
        <v>709</v>
      </c>
      <c r="B710" s="19">
        <v>44599</v>
      </c>
      <c r="C710" s="12">
        <v>690</v>
      </c>
      <c r="D710" s="23">
        <f t="shared" ref="D710" si="819">E710-E709</f>
        <v>810</v>
      </c>
      <c r="E710" s="12">
        <v>564467</v>
      </c>
      <c r="F710" s="12">
        <v>4332</v>
      </c>
      <c r="G710" s="12">
        <v>555583</v>
      </c>
      <c r="H710" s="23">
        <f t="shared" ref="H710" si="820">E710-F710-G710</f>
        <v>4552</v>
      </c>
      <c r="I710" s="23">
        <f t="shared" ref="I710" si="821">J710-J709</f>
        <v>5061</v>
      </c>
      <c r="J710" s="12">
        <v>3008356</v>
      </c>
      <c r="K710" s="23">
        <f t="shared" ref="K710" si="822">J710-E710</f>
        <v>2443889</v>
      </c>
      <c r="L710" s="23">
        <f t="shared" ref="L710" si="823">G710-G709</f>
        <v>993</v>
      </c>
      <c r="M710" s="14">
        <f t="shared" ref="M710" si="824">F710/E710</f>
        <v>7.6744964718929538E-3</v>
      </c>
      <c r="N710" s="14">
        <f t="shared" ref="N710" si="825">D710/I710</f>
        <v>0.16004742145820983</v>
      </c>
      <c r="O710" s="24"/>
      <c r="P710" s="12"/>
      <c r="Q710" s="12"/>
      <c r="R710" s="23">
        <f t="shared" ref="R710" si="826">F710+G710</f>
        <v>559915</v>
      </c>
      <c r="S710" s="25">
        <f>(((H710+R710)/(H709+R709))-1)+detalle!$D$1</f>
        <v>7.2865615588406235E-2</v>
      </c>
      <c r="T710" s="25">
        <f t="shared" ref="T710" si="827">S710*14</f>
        <v>1.0201186182376873</v>
      </c>
      <c r="U710" s="10">
        <f t="shared" ref="U710" si="828">G710/E710</f>
        <v>0.98426125885127036</v>
      </c>
      <c r="V710" s="21">
        <f t="shared" ref="V710" si="829">G710/F710</f>
        <v>128.25092336103415</v>
      </c>
      <c r="W710" s="15">
        <f>J710/detalle!$D$2</f>
        <v>274472.0391434019</v>
      </c>
      <c r="X710" s="15">
        <f>E710/detalle!$D$2</f>
        <v>51500.02477072482</v>
      </c>
      <c r="Y710" s="15">
        <f>F710/detalle!$D$2</f>
        <v>395.23675840532735</v>
      </c>
      <c r="AA710" s="14">
        <f>E710/(detalle!$D$2*1000000)</f>
        <v>5.1500024770724816E-2</v>
      </c>
      <c r="AB710" s="14">
        <f>F710/(detalle!$D$2*1000000)</f>
        <v>3.9523675840532734E-4</v>
      </c>
      <c r="AC710" s="31">
        <f>110/585</f>
        <v>0.18803418803418803</v>
      </c>
      <c r="AD710" s="31">
        <f>297/2373</f>
        <v>0.12515802781289506</v>
      </c>
      <c r="AE710" s="31">
        <f>73/469</f>
        <v>0.15565031982942432</v>
      </c>
      <c r="AF710" s="22">
        <f t="shared" ref="AF710" si="830">F710-F709</f>
        <v>3</v>
      </c>
      <c r="AG710" s="12">
        <v>7013826</v>
      </c>
      <c r="AH710" s="12">
        <v>5822454</v>
      </c>
      <c r="AI710" s="12">
        <v>2085399</v>
      </c>
      <c r="AJ710" s="23">
        <f t="shared" ref="AJ710" si="831">AK710-AK709</f>
        <v>22767</v>
      </c>
      <c r="AK710" s="23">
        <f t="shared" ref="AK710" si="832">AG710+AH710+AI710</f>
        <v>14921679</v>
      </c>
      <c r="AL710" s="28">
        <f>AK710/detalle!$D$2</f>
        <v>1361402.594165477</v>
      </c>
    </row>
    <row r="711" spans="1:38">
      <c r="A711" s="12">
        <v>710</v>
      </c>
      <c r="B711" s="19">
        <v>44600</v>
      </c>
      <c r="C711" s="12">
        <v>691</v>
      </c>
      <c r="D711" s="23">
        <f t="shared" ref="D711" si="833">E711-E710</f>
        <v>1395</v>
      </c>
      <c r="E711" s="12">
        <v>565862</v>
      </c>
      <c r="F711" s="12">
        <v>4336</v>
      </c>
      <c r="G711" s="12">
        <v>557208</v>
      </c>
      <c r="H711" s="23">
        <f t="shared" ref="H711" si="834">E711-F711-G711</f>
        <v>4318</v>
      </c>
      <c r="I711" s="23">
        <f t="shared" ref="I711" si="835">J711-J710</f>
        <v>6611</v>
      </c>
      <c r="J711" s="12">
        <v>3014967</v>
      </c>
      <c r="K711" s="23">
        <f t="shared" ref="K711" si="836">J711-E711</f>
        <v>2449105</v>
      </c>
      <c r="L711" s="23">
        <f t="shared" ref="L711" si="837">G711-G710</f>
        <v>1625</v>
      </c>
      <c r="M711" s="14">
        <f t="shared" ref="M711" si="838">F711/E711</f>
        <v>7.6626456627234205E-3</v>
      </c>
      <c r="N711" s="14">
        <f t="shared" ref="N711" si="839">D711/I711</f>
        <v>0.21101194978066859</v>
      </c>
      <c r="O711" s="24"/>
      <c r="P711" s="12"/>
      <c r="Q711" s="12"/>
      <c r="R711" s="23">
        <f t="shared" ref="R711" si="840">F711+G711</f>
        <v>561544</v>
      </c>
      <c r="S711" s="25">
        <f>(((H711+R711)/(H710+R710))-1)+detalle!$D$1</f>
        <v>7.3899929364464906E-2</v>
      </c>
      <c r="T711" s="25">
        <f t="shared" ref="T711" si="841">S711*14</f>
        <v>1.0345990111025087</v>
      </c>
      <c r="U711" s="10">
        <f t="shared" ref="U711" si="842">G711/E711</f>
        <v>0.98470651855045932</v>
      </c>
      <c r="V711" s="21">
        <f t="shared" ref="V711" si="843">G711/F711</f>
        <v>128.50738007380073</v>
      </c>
      <c r="W711" s="15">
        <f>J711/detalle!$D$2</f>
        <v>275075.20401178085</v>
      </c>
      <c r="X711" s="15">
        <f>E711/detalle!$D$2</f>
        <v>51627.299765640659</v>
      </c>
      <c r="Y711" s="15">
        <f>F711/detalle!$D$2</f>
        <v>395.60170462730827</v>
      </c>
      <c r="AA711" s="14">
        <f>E711/(detalle!$D$2*1000000)</f>
        <v>5.1627299765640657E-2</v>
      </c>
      <c r="AB711" s="14">
        <f>F711/(detalle!$D$2*1000000)</f>
        <v>3.9560170462730825E-4</v>
      </c>
      <c r="AC711" s="31">
        <f>85/585</f>
        <v>0.14529914529914531</v>
      </c>
      <c r="AD711" s="31">
        <f>257/2373</f>
        <v>0.10830172777075432</v>
      </c>
      <c r="AE711" s="31">
        <f>51/469</f>
        <v>0.10874200426439233</v>
      </c>
      <c r="AF711" s="22">
        <f t="shared" ref="AF711" si="844">F711-F710</f>
        <v>4</v>
      </c>
      <c r="AG711" s="12">
        <v>7016026</v>
      </c>
      <c r="AH711" s="12">
        <v>5826518</v>
      </c>
      <c r="AI711" s="12">
        <v>2101913</v>
      </c>
      <c r="AJ711" s="23">
        <f t="shared" ref="AJ711" si="845">AK711-AK710</f>
        <v>22778</v>
      </c>
      <c r="AK711" s="23">
        <f t="shared" ref="AK711" si="846">AG711+AH711+AI711</f>
        <v>14944457</v>
      </c>
      <c r="AL711" s="28">
        <f>AK711/detalle!$D$2</f>
        <v>1363480.7804265474</v>
      </c>
    </row>
    <row r="712" spans="1:38">
      <c r="A712" s="12">
        <v>711</v>
      </c>
      <c r="B712" s="19">
        <v>44601</v>
      </c>
      <c r="C712" s="12">
        <v>692</v>
      </c>
      <c r="D712" s="23">
        <f t="shared" ref="D712" si="847">E712-E711</f>
        <v>1223</v>
      </c>
      <c r="E712" s="12">
        <v>567085</v>
      </c>
      <c r="F712" s="12">
        <v>4339</v>
      </c>
      <c r="G712" s="12">
        <v>557014</v>
      </c>
      <c r="H712" s="23">
        <f t="shared" ref="H712" si="848">E712-F712-G712</f>
        <v>5732</v>
      </c>
      <c r="I712" s="23">
        <f t="shared" ref="I712" si="849">J712-J711</f>
        <v>7257</v>
      </c>
      <c r="J712" s="12">
        <v>3022224</v>
      </c>
      <c r="K712" s="23">
        <f t="shared" ref="K712" si="850">J712-E712</f>
        <v>2455139</v>
      </c>
      <c r="L712" s="23">
        <f t="shared" ref="L712" si="851">G712-G711</f>
        <v>-194</v>
      </c>
      <c r="M712" s="14">
        <f t="shared" ref="M712" si="852">F712/E712</f>
        <v>7.6514102824091629E-3</v>
      </c>
      <c r="N712" s="14">
        <f t="shared" ref="N712" si="853">D712/I712</f>
        <v>0.16852693950668321</v>
      </c>
      <c r="O712" s="24"/>
      <c r="P712" s="12"/>
      <c r="Q712" s="12"/>
      <c r="R712" s="23">
        <f t="shared" ref="R712" si="854">F712+G712</f>
        <v>561353</v>
      </c>
      <c r="S712" s="25">
        <f>(((H712+R712)/(H711+R711))-1)+detalle!$D$1</f>
        <v>7.3589875774860786E-2</v>
      </c>
      <c r="T712" s="25">
        <f t="shared" ref="T712" si="855">S712*14</f>
        <v>1.0302582608480511</v>
      </c>
      <c r="U712" s="10">
        <f t="shared" ref="U712" si="856">G712/E712</f>
        <v>0.98224075755839069</v>
      </c>
      <c r="V712" s="21">
        <f t="shared" ref="V712" si="857">G712/F712</f>
        <v>128.37381885227012</v>
      </c>
      <c r="W712" s="15">
        <f>J712/detalle!$D$2</f>
        <v>275737.30769500969</v>
      </c>
      <c r="X712" s="15">
        <f>E712/detalle!$D$2</f>
        <v>51738.882073011322</v>
      </c>
      <c r="Y712" s="15">
        <f>F712/detalle!$D$2</f>
        <v>395.87541429379394</v>
      </c>
      <c r="AA712" s="14">
        <f>E712/(detalle!$D$2*1000000)</f>
        <v>5.1738882073011326E-2</v>
      </c>
      <c r="AB712" s="14">
        <f>F712/(detalle!$D$2*1000000)</f>
        <v>3.9587541429379395E-4</v>
      </c>
      <c r="AC712" s="31">
        <f>80/585</f>
        <v>0.13675213675213677</v>
      </c>
      <c r="AD712" s="31">
        <f>249/2373</f>
        <v>0.10493046776232617</v>
      </c>
      <c r="AE712" s="31">
        <f>50/469</f>
        <v>0.10660980810234541</v>
      </c>
      <c r="AF712" s="22">
        <f t="shared" ref="AF712" si="858">F712-F711</f>
        <v>3</v>
      </c>
      <c r="AG712" s="12">
        <v>7018134</v>
      </c>
      <c r="AH712" s="12">
        <v>5830645</v>
      </c>
      <c r="AI712" s="12">
        <v>2117702</v>
      </c>
      <c r="AJ712" s="23">
        <f t="shared" ref="AJ712" si="859">AK712-AK711</f>
        <v>22024</v>
      </c>
      <c r="AK712" s="23">
        <f t="shared" ref="AK712" si="860">AG712+AH712+AI712</f>
        <v>14966481</v>
      </c>
      <c r="AL712" s="28">
        <f>AK712/detalle!$D$2</f>
        <v>1365490.1743247742</v>
      </c>
    </row>
    <row r="713" spans="1:38">
      <c r="A713" s="12">
        <v>712</v>
      </c>
      <c r="B713" s="19">
        <v>44602</v>
      </c>
      <c r="C713" s="12">
        <v>693</v>
      </c>
      <c r="D713" s="23">
        <f t="shared" ref="D713" si="861">E713-E712</f>
        <v>810</v>
      </c>
      <c r="E713" s="12">
        <v>567895</v>
      </c>
      <c r="F713" s="12">
        <v>4341</v>
      </c>
      <c r="G713" s="12">
        <v>558055</v>
      </c>
      <c r="H713" s="23">
        <f t="shared" ref="H713" si="862">E713-F713-G713</f>
        <v>5499</v>
      </c>
      <c r="I713" s="23">
        <f t="shared" ref="I713" si="863">J713-J712</f>
        <v>7013</v>
      </c>
      <c r="J713" s="12">
        <v>3029237</v>
      </c>
      <c r="K713" s="23">
        <f t="shared" ref="K713" si="864">J713-E713</f>
        <v>2461342</v>
      </c>
      <c r="L713" s="23">
        <f t="shared" ref="L713" si="865">G713-G712</f>
        <v>1041</v>
      </c>
      <c r="M713" s="14">
        <f t="shared" ref="M713" si="866">F713/E713</f>
        <v>7.6440187006400831E-3</v>
      </c>
      <c r="N713" s="14">
        <f t="shared" ref="N713" si="867">D713/I713</f>
        <v>0.1154997861115072</v>
      </c>
      <c r="O713" s="24"/>
      <c r="P713" s="12"/>
      <c r="Q713" s="12"/>
      <c r="R713" s="23">
        <f t="shared" ref="R713" si="868">F713+G713</f>
        <v>562396</v>
      </c>
      <c r="S713" s="25">
        <f>(((H713+R713)/(H712+R712))-1)+detalle!$D$1</f>
        <v>7.2856928729505138E-2</v>
      </c>
      <c r="T713" s="25">
        <f t="shared" ref="T713" si="869">S713*14</f>
        <v>1.019997002213072</v>
      </c>
      <c r="U713" s="10">
        <f t="shared" ref="U713" si="870">G713/E713</f>
        <v>0.98267285325632381</v>
      </c>
      <c r="V713" s="21">
        <f t="shared" ref="V713" si="871">G713/F713</f>
        <v>128.55448053443908</v>
      </c>
      <c r="W713" s="15">
        <f>J713/detalle!$D$2</f>
        <v>276377.14965869772</v>
      </c>
      <c r="X713" s="15">
        <f>E713/detalle!$D$2</f>
        <v>51812.783682962458</v>
      </c>
      <c r="Y713" s="15">
        <f>F713/detalle!$D$2</f>
        <v>396.05788740478442</v>
      </c>
      <c r="AA713" s="14">
        <f>E713/(detalle!$D$2*1000000)</f>
        <v>5.1812783682962459E-2</v>
      </c>
      <c r="AB713" s="14">
        <f>F713/(detalle!$D$2*1000000)</f>
        <v>3.9605788740478437E-4</v>
      </c>
      <c r="AC713" s="31">
        <f>79/585</f>
        <v>0.13504273504273503</v>
      </c>
      <c r="AD713" s="31">
        <f>240/2373</f>
        <v>0.1011378002528445</v>
      </c>
      <c r="AE713" s="31">
        <f>51/469</f>
        <v>0.10874200426439233</v>
      </c>
      <c r="AF713" s="22">
        <f t="shared" ref="AF713" si="872">F713-F712</f>
        <v>2</v>
      </c>
      <c r="AG713" s="12">
        <v>7020063</v>
      </c>
      <c r="AH713" s="12">
        <v>5834345</v>
      </c>
      <c r="AI713" s="12">
        <v>2131695</v>
      </c>
      <c r="AJ713" s="23">
        <f t="shared" ref="AJ713" si="873">AK713-AK712</f>
        <v>19622</v>
      </c>
      <c r="AK713" s="23">
        <f t="shared" ref="AK713" si="874">AG713+AH713+AI713</f>
        <v>14986103</v>
      </c>
      <c r="AL713" s="28">
        <f>AK713/detalle!$D$2</f>
        <v>1367280.4180167017</v>
      </c>
    </row>
    <row r="714" spans="1:38">
      <c r="A714" s="12">
        <v>713</v>
      </c>
      <c r="B714" s="19">
        <v>44603</v>
      </c>
      <c r="C714" s="12">
        <v>694</v>
      </c>
      <c r="D714" s="23">
        <f t="shared" ref="D714" si="875">E714-E713</f>
        <v>1129</v>
      </c>
      <c r="E714" s="12">
        <v>569024</v>
      </c>
      <c r="F714" s="12">
        <v>4343</v>
      </c>
      <c r="G714" s="12">
        <v>559210</v>
      </c>
      <c r="H714" s="23">
        <f t="shared" ref="H714" si="876">E714-F714-G714</f>
        <v>5471</v>
      </c>
      <c r="I714" s="23">
        <f t="shared" ref="I714" si="877">J714-J713</f>
        <v>8636</v>
      </c>
      <c r="J714" s="12">
        <v>3037873</v>
      </c>
      <c r="K714" s="23">
        <f t="shared" ref="K714" si="878">J714-E714</f>
        <v>2468849</v>
      </c>
      <c r="L714" s="23">
        <f t="shared" ref="L714" si="879">G714-G713</f>
        <v>1155</v>
      </c>
      <c r="M714" s="14">
        <f t="shared" ref="M714" si="880">F714/E714</f>
        <v>7.6323670003374195E-3</v>
      </c>
      <c r="N714" s="14">
        <f t="shared" ref="N714" si="881">D714/I714</f>
        <v>0.13073182028716998</v>
      </c>
      <c r="O714" s="24"/>
      <c r="P714" s="12"/>
      <c r="Q714" s="12"/>
      <c r="R714" s="23">
        <f t="shared" ref="R714" si="882">F714+G714</f>
        <v>563553</v>
      </c>
      <c r="S714" s="25">
        <f>(((H714+R714)/(H713+R713))-1)+detalle!$D$1</f>
        <v>7.3416614992962731E-2</v>
      </c>
      <c r="T714" s="25">
        <f t="shared" ref="T714" si="883">S714*14</f>
        <v>1.0278326099014783</v>
      </c>
      <c r="U714" s="10">
        <f t="shared" ref="U714" si="884">G714/E714</f>
        <v>0.98275292430547745</v>
      </c>
      <c r="V714" s="21">
        <f t="shared" ref="V714" si="885">G714/F714</f>
        <v>128.76122495970526</v>
      </c>
      <c r="W714" s="15">
        <f>J714/detalle!$D$2</f>
        <v>277165.06855195452</v>
      </c>
      <c r="X714" s="15">
        <f>E714/detalle!$D$2</f>
        <v>51915.789754116573</v>
      </c>
      <c r="Y714" s="15">
        <f>F714/detalle!$D$2</f>
        <v>396.24036051577485</v>
      </c>
      <c r="AA714" s="14">
        <f>E714/(detalle!$D$2*1000000)</f>
        <v>5.1915789754116572E-2</v>
      </c>
      <c r="AB714" s="14">
        <f>F714/(detalle!$D$2*1000000)</f>
        <v>3.9624036051577485E-4</v>
      </c>
      <c r="AC714" s="31">
        <f>80/585</f>
        <v>0.13675213675213677</v>
      </c>
      <c r="AD714" s="31">
        <f>245/2373</f>
        <v>0.10324483775811209</v>
      </c>
      <c r="AE714" s="31">
        <f>51/469</f>
        <v>0.10874200426439233</v>
      </c>
      <c r="AF714" s="22">
        <f t="shared" ref="AF714" si="886">F714-F713</f>
        <v>2</v>
      </c>
      <c r="AG714" s="12">
        <v>7021901</v>
      </c>
      <c r="AH714" s="12">
        <v>5837594</v>
      </c>
      <c r="AI714" s="12">
        <v>2144772</v>
      </c>
      <c r="AJ714" s="23">
        <f t="shared" ref="AJ714" si="887">AK714-AK713</f>
        <v>18164</v>
      </c>
      <c r="AK714" s="23">
        <f t="shared" ref="AK714" si="888">AG714+AH714+AI714</f>
        <v>15004267</v>
      </c>
      <c r="AL714" s="28">
        <f>AK714/detalle!$D$2</f>
        <v>1368937.638810717</v>
      </c>
    </row>
    <row r="715" spans="1:38">
      <c r="A715" s="12">
        <v>714</v>
      </c>
      <c r="B715" s="19">
        <v>44604</v>
      </c>
      <c r="C715" s="12">
        <v>695</v>
      </c>
      <c r="D715" s="23">
        <f t="shared" ref="D715" si="889">E715-E714</f>
        <v>422</v>
      </c>
      <c r="E715" s="12">
        <v>569446</v>
      </c>
      <c r="F715" s="12">
        <v>4347</v>
      </c>
      <c r="G715" s="12">
        <v>561752</v>
      </c>
      <c r="H715" s="23">
        <f t="shared" ref="H715" si="890">E715-F715-G715</f>
        <v>3347</v>
      </c>
      <c r="I715" s="23">
        <f t="shared" ref="I715" si="891">J715-J714</f>
        <v>7400</v>
      </c>
      <c r="J715" s="12">
        <v>3045273</v>
      </c>
      <c r="K715" s="23">
        <f t="shared" ref="K715" si="892">J715-E715</f>
        <v>2475827</v>
      </c>
      <c r="L715" s="23">
        <f t="shared" ref="L715" si="893">G715-G714</f>
        <v>2542</v>
      </c>
      <c r="M715" s="14">
        <f t="shared" ref="M715" si="894">F715/E715</f>
        <v>7.6337352444305522E-3</v>
      </c>
      <c r="N715" s="14">
        <f t="shared" ref="N715" si="895">D715/I715</f>
        <v>5.7027027027027027E-2</v>
      </c>
      <c r="O715" s="24"/>
      <c r="P715" s="12"/>
      <c r="Q715" s="12"/>
      <c r="R715" s="23">
        <f t="shared" ref="R715" si="896">F715+G715</f>
        <v>566099</v>
      </c>
      <c r="S715" s="25">
        <f>(((H715+R715)/(H714+R714))-1)+detalle!$D$1</f>
        <v>7.2170192168645758E-2</v>
      </c>
      <c r="T715" s="25">
        <f t="shared" ref="T715" si="897">S715*14</f>
        <v>1.0103826903610407</v>
      </c>
      <c r="U715" s="10">
        <f t="shared" ref="U715" si="898">G715/E715</f>
        <v>0.98648862227498302</v>
      </c>
      <c r="V715" s="21">
        <f t="shared" ref="V715" si="899">G715/F715</f>
        <v>129.22751322751321</v>
      </c>
      <c r="W715" s="15">
        <f>J715/detalle!$D$2</f>
        <v>277840.2190626192</v>
      </c>
      <c r="X715" s="15">
        <f>E715/detalle!$D$2</f>
        <v>51954.291580535559</v>
      </c>
      <c r="Y715" s="15">
        <f>F715/detalle!$D$2</f>
        <v>396.60530673775577</v>
      </c>
      <c r="AA715" s="14">
        <f>E715/(detalle!$D$2*1000000)</f>
        <v>5.1954291580535557E-2</v>
      </c>
      <c r="AB715" s="14">
        <f>F715/(detalle!$D$2*1000000)</f>
        <v>3.9660530673775576E-4</v>
      </c>
      <c r="AC715" s="31">
        <f>80/585</f>
        <v>0.13675213675213677</v>
      </c>
      <c r="AD715" s="31">
        <f>245/2373</f>
        <v>0.10324483775811209</v>
      </c>
      <c r="AE715" s="31">
        <f>51/469</f>
        <v>0.10874200426439233</v>
      </c>
      <c r="AF715" s="22">
        <f t="shared" ref="AF715" si="900">F715-F714</f>
        <v>4</v>
      </c>
      <c r="AG715" s="12">
        <f>7022543</f>
        <v>7022543</v>
      </c>
      <c r="AH715" s="12">
        <v>5838761</v>
      </c>
      <c r="AI715" s="12">
        <v>2149940</v>
      </c>
      <c r="AJ715" s="23">
        <f t="shared" ref="AJ715" si="901">AK715-AK714</f>
        <v>6977</v>
      </c>
      <c r="AK715" s="23">
        <f t="shared" ref="AK715" si="902">AG715+AH715+AI715</f>
        <v>15011244</v>
      </c>
      <c r="AL715" s="28">
        <f>AK715/detalle!$D$2</f>
        <v>1369574.1962584071</v>
      </c>
    </row>
    <row r="716" spans="1:38">
      <c r="A716" s="12">
        <v>715</v>
      </c>
      <c r="B716" s="19">
        <v>44605</v>
      </c>
      <c r="C716" s="12">
        <v>696</v>
      </c>
      <c r="D716" s="23">
        <f t="shared" ref="D716" si="903">E716-E715</f>
        <v>256</v>
      </c>
      <c r="E716" s="12">
        <v>569702</v>
      </c>
      <c r="F716" s="12">
        <v>4347</v>
      </c>
      <c r="G716" s="12">
        <v>562762</v>
      </c>
      <c r="H716" s="23">
        <f t="shared" ref="H716" si="904">E716-F716-G716</f>
        <v>2593</v>
      </c>
      <c r="I716" s="23">
        <f t="shared" ref="I716" si="905">J716-J715</f>
        <v>5929</v>
      </c>
      <c r="J716" s="12">
        <v>3051202</v>
      </c>
      <c r="K716" s="23">
        <f t="shared" ref="K716" si="906">J716-E716</f>
        <v>2481500</v>
      </c>
      <c r="L716" s="23">
        <f t="shared" ref="L716" si="907">G716-G715</f>
        <v>1010</v>
      </c>
      <c r="M716" s="14">
        <f t="shared" ref="M716" si="908">F716/E716</f>
        <v>7.630304966456147E-3</v>
      </c>
      <c r="N716" s="14">
        <f t="shared" ref="N716" si="909">D716/I716</f>
        <v>4.317760161916006E-2</v>
      </c>
      <c r="O716" s="24"/>
      <c r="P716" s="12"/>
      <c r="Q716" s="12"/>
      <c r="R716" s="23">
        <f t="shared" ref="R716" si="910">F716+G716</f>
        <v>567109</v>
      </c>
      <c r="S716" s="25">
        <f>(((H716+R716)/(H715+R715))-1)+detalle!$D$1</f>
        <v>7.187813117611544E-2</v>
      </c>
      <c r="T716" s="25">
        <f t="shared" ref="T716" si="911">S716*14</f>
        <v>1.0062938364656162</v>
      </c>
      <c r="U716" s="10">
        <f t="shared" ref="U716" si="912">G716/E716</f>
        <v>0.98781819266914983</v>
      </c>
      <c r="V716" s="21">
        <f t="shared" ref="V716" si="913">G716/F716</f>
        <v>129.45985737290084</v>
      </c>
      <c r="W716" s="15">
        <f>J716/detalle!$D$2</f>
        <v>278381.16060015041</v>
      </c>
      <c r="X716" s="15">
        <f>E716/detalle!$D$2</f>
        <v>51977.648138742334</v>
      </c>
      <c r="Y716" s="15">
        <f>F716/detalle!$D$2</f>
        <v>396.60530673775577</v>
      </c>
      <c r="AA716" s="14">
        <f>E716/(detalle!$D$2*1000000)</f>
        <v>5.1977648138742338E-2</v>
      </c>
      <c r="AB716" s="14">
        <f>F716/(detalle!$D$2*1000000)</f>
        <v>3.9660530673775576E-4</v>
      </c>
      <c r="AC716" s="31">
        <f>79/585</f>
        <v>0.13504273504273503</v>
      </c>
      <c r="AD716" s="31">
        <f>211/2373</f>
        <v>8.8916982722292454E-2</v>
      </c>
      <c r="AE716" s="31">
        <f>49/469</f>
        <v>0.1044776119402985</v>
      </c>
      <c r="AF716" s="22">
        <f t="shared" ref="AF716" si="914">F716-F715</f>
        <v>0</v>
      </c>
      <c r="AG716" s="12">
        <v>7022854</v>
      </c>
      <c r="AH716" s="12">
        <v>5839347</v>
      </c>
      <c r="AI716" s="12">
        <v>2151901</v>
      </c>
      <c r="AJ716" s="23">
        <f t="shared" ref="AJ716" si="915">AK716-AK715</f>
        <v>2858</v>
      </c>
      <c r="AK716" s="23">
        <f t="shared" ref="AK716" si="916">AG716+AH716+AI716</f>
        <v>15014102</v>
      </c>
      <c r="AL716" s="28">
        <f>AK716/detalle!$D$2</f>
        <v>1369834.9503340125</v>
      </c>
    </row>
    <row r="717" spans="1:38">
      <c r="A717" s="12">
        <v>716</v>
      </c>
      <c r="B717" s="19">
        <v>44606</v>
      </c>
      <c r="C717" s="12">
        <v>697</v>
      </c>
      <c r="D717" s="23">
        <f t="shared" ref="D717" si="917">E717-E716</f>
        <v>534</v>
      </c>
      <c r="E717" s="12">
        <v>570236</v>
      </c>
      <c r="F717" s="12">
        <v>4349</v>
      </c>
      <c r="G717" s="12">
        <v>563243</v>
      </c>
      <c r="H717" s="23">
        <f t="shared" ref="H717" si="918">E717-F717-G717</f>
        <v>2644</v>
      </c>
      <c r="I717" s="23">
        <f t="shared" ref="I717" si="919">J717-J716</f>
        <v>3794</v>
      </c>
      <c r="J717" s="12">
        <v>3054996</v>
      </c>
      <c r="K717" s="23">
        <f t="shared" ref="K717" si="920">J717-E717</f>
        <v>2484760</v>
      </c>
      <c r="L717" s="23">
        <f t="shared" ref="L717" si="921">G717-G716</f>
        <v>481</v>
      </c>
      <c r="M717" s="14">
        <f t="shared" ref="M717" si="922">F717/E717</f>
        <v>7.6266668537237218E-3</v>
      </c>
      <c r="N717" s="14">
        <f t="shared" ref="N717" si="923">D717/I717</f>
        <v>0.14074855034264627</v>
      </c>
      <c r="O717" s="24"/>
      <c r="P717" s="12"/>
      <c r="Q717" s="12"/>
      <c r="R717" s="23">
        <f t="shared" ref="R717" si="924">F717+G717</f>
        <v>567592</v>
      </c>
      <c r="S717" s="25">
        <f>(((H717+R717)/(H716+R716))-1)+detalle!$D$1</f>
        <v>7.2365903577659846E-2</v>
      </c>
      <c r="T717" s="25">
        <f t="shared" ref="T717" si="925">S717*14</f>
        <v>1.0131226500872379</v>
      </c>
      <c r="U717" s="10">
        <f t="shared" ref="U717" si="926">G717/E717</f>
        <v>0.98773665640191077</v>
      </c>
      <c r="V717" s="21">
        <f t="shared" ref="V717" si="927">G717/F717</f>
        <v>129.51092205104621</v>
      </c>
      <c r="W717" s="15">
        <f>J717/detalle!$D$2</f>
        <v>278727.31209169934</v>
      </c>
      <c r="X717" s="15">
        <f>E717/detalle!$D$2</f>
        <v>52026.36845937679</v>
      </c>
      <c r="Y717" s="15">
        <f>F717/detalle!$D$2</f>
        <v>396.7877798487462</v>
      </c>
      <c r="AA717" s="14">
        <f>E717/(detalle!$D$2*1000000)</f>
        <v>5.202636845937679E-2</v>
      </c>
      <c r="AB717" s="14">
        <f>F717/(detalle!$D$2*1000000)</f>
        <v>3.9678777984874619E-4</v>
      </c>
      <c r="AC717" s="31">
        <f>73/585</f>
        <v>0.12478632478632479</v>
      </c>
      <c r="AD717" s="31">
        <f>201/2373</f>
        <v>8.4702907711757272E-2</v>
      </c>
      <c r="AE717" s="31">
        <f>47/469</f>
        <v>0.10021321961620469</v>
      </c>
      <c r="AF717" s="22">
        <f t="shared" ref="AF717" si="928">F717-F716</f>
        <v>2</v>
      </c>
      <c r="AG717" s="12">
        <v>7033134</v>
      </c>
      <c r="AH717" s="12">
        <v>5841497</v>
      </c>
      <c r="AI717" s="12">
        <v>2160124</v>
      </c>
      <c r="AJ717" s="23">
        <f t="shared" ref="AJ717" si="929">AK717-AK716</f>
        <v>20653</v>
      </c>
      <c r="AK717" s="23">
        <f t="shared" ref="AK717" si="930">AG717+AH717+AI717</f>
        <v>15034755</v>
      </c>
      <c r="AL717" s="28">
        <f>AK717/detalle!$D$2</f>
        <v>1371719.2589146555</v>
      </c>
    </row>
    <row r="718" spans="1:38">
      <c r="A718" s="12">
        <v>717</v>
      </c>
      <c r="B718" s="19">
        <v>44607</v>
      </c>
      <c r="C718" s="12">
        <v>698</v>
      </c>
      <c r="D718" s="23">
        <f t="shared" ref="D718" si="931">E718-E717</f>
        <v>400</v>
      </c>
      <c r="E718" s="12">
        <v>570636</v>
      </c>
      <c r="F718" s="12">
        <v>4351</v>
      </c>
      <c r="G718" s="12">
        <v>563757</v>
      </c>
      <c r="H718" s="23">
        <f t="shared" ref="H718" si="932">E718-F718-G718</f>
        <v>2528</v>
      </c>
      <c r="I718" s="23">
        <f t="shared" ref="I718" si="933">J718-J717</f>
        <v>3878</v>
      </c>
      <c r="J718" s="12">
        <v>3058874</v>
      </c>
      <c r="K718" s="23">
        <f t="shared" ref="K718" si="934">J718-E718</f>
        <v>2488238</v>
      </c>
      <c r="L718" s="23">
        <f t="shared" ref="L718" si="935">G718-G717</f>
        <v>514</v>
      </c>
      <c r="M718" s="14">
        <f t="shared" ref="M718" si="936">F718/E718</f>
        <v>7.6248256331531835E-3</v>
      </c>
      <c r="N718" s="14">
        <f t="shared" ref="N718" si="937">D718/I718</f>
        <v>0.10314595152140278</v>
      </c>
      <c r="O718" s="24"/>
      <c r="P718" s="12"/>
      <c r="Q718" s="12"/>
      <c r="R718" s="23">
        <f t="shared" ref="R718" si="938">F718+G718</f>
        <v>568108</v>
      </c>
      <c r="S718" s="25">
        <f>(((H718+R718)/(H717+R717))-1)+detalle!$D$1</f>
        <v>7.2130035383846131E-2</v>
      </c>
      <c r="T718" s="25">
        <f t="shared" ref="T718" si="939">S718*14</f>
        <v>1.0098204953738459</v>
      </c>
      <c r="U718" s="10">
        <f t="shared" ref="U718" si="940">G718/E718</f>
        <v>0.98794502975627196</v>
      </c>
      <c r="V718" s="21">
        <f t="shared" ref="V718" si="941">G718/F718</f>
        <v>129.56952424729948</v>
      </c>
      <c r="W718" s="15">
        <f>J718/detalle!$D$2</f>
        <v>279081.12745390984</v>
      </c>
      <c r="X718" s="15">
        <f>E718/detalle!$D$2</f>
        <v>52062.863081574877</v>
      </c>
      <c r="Y718" s="15">
        <f>F718/detalle!$D$2</f>
        <v>396.97025295973668</v>
      </c>
      <c r="AA718" s="14">
        <f>E718/(detalle!$D$2*1000000)</f>
        <v>5.206286308157488E-2</v>
      </c>
      <c r="AB718" s="14">
        <f>F718/(detalle!$D$2*1000000)</f>
        <v>3.9697025295973667E-4</v>
      </c>
      <c r="AC718" s="31">
        <f>73/585</f>
        <v>0.12478632478632479</v>
      </c>
      <c r="AD718" s="31">
        <f>202/2373</f>
        <v>8.5124315212810789E-2</v>
      </c>
      <c r="AE718" s="31">
        <f>46/469</f>
        <v>9.8081023454157784E-2</v>
      </c>
      <c r="AF718" s="22">
        <f t="shared" ref="AF718" si="942">F718-F717</f>
        <v>2</v>
      </c>
      <c r="AG718" s="12">
        <v>7043796</v>
      </c>
      <c r="AH718" s="12">
        <v>5844147</v>
      </c>
      <c r="AI718" s="12">
        <v>2170527</v>
      </c>
      <c r="AJ718" s="23">
        <f t="shared" ref="AJ718" si="943">AK718-AK717</f>
        <v>23715</v>
      </c>
      <c r="AK718" s="23">
        <f t="shared" ref="AK718" si="944">AG718+AH718+AI718</f>
        <v>15058470</v>
      </c>
      <c r="AL718" s="28">
        <f>AK718/detalle!$D$2</f>
        <v>1373882.9338282249</v>
      </c>
    </row>
    <row r="719" spans="1:38">
      <c r="A719" s="12">
        <v>718</v>
      </c>
      <c r="B719" s="19">
        <v>44608</v>
      </c>
      <c r="C719" s="12">
        <v>699</v>
      </c>
      <c r="D719" s="23">
        <f t="shared" ref="D719" si="945">E719-E718</f>
        <v>253</v>
      </c>
      <c r="E719" s="12">
        <v>570889</v>
      </c>
      <c r="F719" s="12">
        <v>4354</v>
      </c>
      <c r="G719" s="12">
        <v>564170</v>
      </c>
      <c r="H719" s="23">
        <f t="shared" ref="H719" si="946">E719-F719-G719</f>
        <v>2365</v>
      </c>
      <c r="I719" s="23">
        <f t="shared" ref="I719" si="947">J719-J718</f>
        <v>3335</v>
      </c>
      <c r="J719" s="12">
        <v>3062209</v>
      </c>
      <c r="K719" s="23">
        <f t="shared" ref="K719" si="948">J719-E719</f>
        <v>2491320</v>
      </c>
      <c r="L719" s="23">
        <f t="shared" ref="L719" si="949">G719-G718</f>
        <v>413</v>
      </c>
      <c r="M719" s="14">
        <f t="shared" ref="M719" si="950">F719/E719</f>
        <v>7.6267015129035595E-3</v>
      </c>
      <c r="N719" s="14">
        <f t="shared" ref="N719" si="951">D719/I719</f>
        <v>7.586206896551724E-2</v>
      </c>
      <c r="O719" s="24"/>
      <c r="P719" s="12"/>
      <c r="Q719" s="12"/>
      <c r="R719" s="23">
        <f t="shared" ref="R719" si="952">F719+G719</f>
        <v>568524</v>
      </c>
      <c r="S719" s="25">
        <f>(((H719+R719)/(H718+R718))-1)+detalle!$D$1</f>
        <v>7.1871936375753204E-2</v>
      </c>
      <c r="T719" s="25">
        <f t="shared" ref="T719" si="953">S719*14</f>
        <v>1.0062071092605449</v>
      </c>
      <c r="U719" s="10">
        <f t="shared" ref="U719" si="954">G719/E719</f>
        <v>0.98823063677877832</v>
      </c>
      <c r="V719" s="21">
        <f t="shared" ref="V719" si="955">G719/F719</f>
        <v>129.5751033532384</v>
      </c>
      <c r="W719" s="15">
        <f>J719/detalle!$D$2</f>
        <v>279385.40136648639</v>
      </c>
      <c r="X719" s="15">
        <f>E719/detalle!$D$2</f>
        <v>52085.945930115173</v>
      </c>
      <c r="Y719" s="15">
        <f>F719/detalle!$D$2</f>
        <v>397.24396262622236</v>
      </c>
      <c r="AA719" s="14">
        <f>E719/(detalle!$D$2*1000000)</f>
        <v>5.2085945930115174E-2</v>
      </c>
      <c r="AB719" s="14">
        <f>F719/(detalle!$D$2*1000000)</f>
        <v>3.9724396262622236E-4</v>
      </c>
      <c r="AC719" s="31">
        <f>58/585</f>
        <v>9.914529914529914E-2</v>
      </c>
      <c r="AD719" s="31">
        <f>193/2373</f>
        <v>8.1331647703329124E-2</v>
      </c>
      <c r="AE719" s="31">
        <f>46/469</f>
        <v>9.8081023454157784E-2</v>
      </c>
      <c r="AF719" s="22">
        <f t="shared" ref="AF719" si="956">F719-F718</f>
        <v>3</v>
      </c>
      <c r="AG719" s="12">
        <v>7056133</v>
      </c>
      <c r="AH719" s="12">
        <v>5846951</v>
      </c>
      <c r="AI719" s="12">
        <v>2182393</v>
      </c>
      <c r="AJ719" s="23">
        <f t="shared" ref="AJ719" si="957">AK719-AK718</f>
        <v>27007</v>
      </c>
      <c r="AK719" s="23">
        <f t="shared" ref="AK719" si="958">AG719+AH719+AI719</f>
        <v>15085477</v>
      </c>
      <c r="AL719" s="28">
        <f>AK719/detalle!$D$2</f>
        <v>1376346.9594824845</v>
      </c>
    </row>
    <row r="720" spans="1:38">
      <c r="A720" s="12">
        <v>719</v>
      </c>
      <c r="B720" s="19">
        <v>44609</v>
      </c>
      <c r="C720" s="12">
        <v>700</v>
      </c>
      <c r="D720" s="23">
        <f t="shared" ref="D720" si="959">E720-E719</f>
        <v>311</v>
      </c>
      <c r="E720" s="12">
        <v>571200</v>
      </c>
      <c r="F720" s="12">
        <v>4354</v>
      </c>
      <c r="G720" s="12">
        <v>564556</v>
      </c>
      <c r="H720" s="23">
        <f t="shared" ref="H720" si="960">E720-F720-G720</f>
        <v>2290</v>
      </c>
      <c r="I720" s="23">
        <f t="shared" ref="I720" si="961">J720-J719</f>
        <v>3668</v>
      </c>
      <c r="J720" s="12">
        <v>3065877</v>
      </c>
      <c r="K720" s="23">
        <f t="shared" ref="K720" si="962">J720-E720</f>
        <v>2494677</v>
      </c>
      <c r="L720" s="23">
        <f t="shared" ref="L720" si="963">G720-G719</f>
        <v>386</v>
      </c>
      <c r="M720" s="14">
        <f t="shared" ref="M720" si="964">F720/E720</f>
        <v>7.6225490196078433E-3</v>
      </c>
      <c r="N720" s="14">
        <f t="shared" ref="N720" si="965">D720/I720</f>
        <v>8.4787350054525631E-2</v>
      </c>
      <c r="O720" s="24"/>
      <c r="P720" s="12"/>
      <c r="Q720" s="12"/>
      <c r="R720" s="23">
        <f t="shared" ref="R720" si="966">F720+G720</f>
        <v>568910</v>
      </c>
      <c r="S720" s="25">
        <f>(((H720+R720)/(H719+R719))-1)+detalle!$D$1</f>
        <v>7.1973335822350243E-2</v>
      </c>
      <c r="T720" s="25">
        <f t="shared" ref="T720" si="967">S720*14</f>
        <v>1.0076267015129035</v>
      </c>
      <c r="U720" s="10">
        <f t="shared" ref="U720" si="968">G720/E720</f>
        <v>0.98836834733893553</v>
      </c>
      <c r="V720" s="21">
        <f t="shared" ref="V720" si="969">G720/F720</f>
        <v>129.66375746440056</v>
      </c>
      <c r="W720" s="15">
        <f>J720/detalle!$D$2</f>
        <v>279720.05705204292</v>
      </c>
      <c r="X720" s="15">
        <f>E720/detalle!$D$2</f>
        <v>52114.320498874185</v>
      </c>
      <c r="Y720" s="15">
        <f>F720/detalle!$D$2</f>
        <v>397.24396262622236</v>
      </c>
      <c r="AA720" s="14">
        <f>E720/(detalle!$D$2*1000000)</f>
        <v>5.2114320498874184E-2</v>
      </c>
      <c r="AB720" s="14">
        <f>F720/(detalle!$D$2*1000000)</f>
        <v>3.9724396262622236E-4</v>
      </c>
      <c r="AC720" s="31">
        <f>57/585</f>
        <v>9.7435897435897437E-2</v>
      </c>
      <c r="AD720" s="31">
        <f>179/2373</f>
        <v>7.5431942688579862E-2</v>
      </c>
      <c r="AE720" s="31">
        <f>40/469</f>
        <v>8.5287846481876331E-2</v>
      </c>
      <c r="AF720" s="22">
        <f t="shared" ref="AF720" si="970">F720-F719</f>
        <v>0</v>
      </c>
      <c r="AG720" s="12">
        <v>7068158</v>
      </c>
      <c r="AH720" s="12">
        <v>5848497</v>
      </c>
      <c r="AI720" s="12">
        <v>2187766</v>
      </c>
      <c r="AJ720" s="23">
        <f>AK720-AK719</f>
        <v>18944</v>
      </c>
      <c r="AK720" s="23">
        <f t="shared" ref="AK720" si="971">AG720+AH720+AI720</f>
        <v>15104421</v>
      </c>
      <c r="AL720" s="28">
        <f>AK720/detalle!$D$2</f>
        <v>1378075.344789786</v>
      </c>
    </row>
    <row r="721" spans="1:38">
      <c r="A721" s="12">
        <v>720</v>
      </c>
      <c r="B721" s="19">
        <v>44610</v>
      </c>
      <c r="C721" s="12">
        <v>701</v>
      </c>
      <c r="D721" s="23">
        <f t="shared" ref="D721" si="972">E721-E720</f>
        <v>352</v>
      </c>
      <c r="E721" s="12">
        <v>571552</v>
      </c>
      <c r="F721" s="12">
        <v>4357</v>
      </c>
      <c r="G721" s="12">
        <v>564821</v>
      </c>
      <c r="H721" s="23">
        <f t="shared" ref="H721" si="973">E721-F721-G721</f>
        <v>2374</v>
      </c>
      <c r="I721" s="23">
        <f t="shared" ref="I721" si="974">J721-J720</f>
        <v>4959</v>
      </c>
      <c r="J721" s="12">
        <v>3070836</v>
      </c>
      <c r="K721" s="23">
        <f t="shared" ref="K721" si="975">J721-E721</f>
        <v>2499284</v>
      </c>
      <c r="L721" s="23">
        <f t="shared" ref="L721" si="976">G721-G720</f>
        <v>265</v>
      </c>
      <c r="M721" s="14">
        <f t="shared" ref="M721" si="977">F721/E721</f>
        <v>7.6231034096635123E-3</v>
      </c>
      <c r="N721" s="14">
        <f t="shared" ref="N721" si="978">D721/I721</f>
        <v>7.0982052833232501E-2</v>
      </c>
      <c r="O721" s="24"/>
      <c r="P721" s="12"/>
      <c r="Q721" s="12"/>
      <c r="R721" s="23">
        <f t="shared" ref="R721" si="979">F721+G721</f>
        <v>569178</v>
      </c>
      <c r="S721" s="25">
        <f>(((H721+R721)/(H720+R720))-1)+detalle!$D$1</f>
        <v>7.2044817927170907E-2</v>
      </c>
      <c r="T721" s="25">
        <f t="shared" ref="T721" si="980">S721*14</f>
        <v>1.0086274509803927</v>
      </c>
      <c r="U721" s="10">
        <f t="shared" ref="U721" si="981">G721/E721</f>
        <v>0.98822329376854601</v>
      </c>
      <c r="V721" s="21">
        <f t="shared" ref="V721" si="982">G721/F721</f>
        <v>129.63529951801698</v>
      </c>
      <c r="W721" s="15">
        <f>J721/detalle!$D$2</f>
        <v>280172.49913074373</v>
      </c>
      <c r="X721" s="15">
        <f>E721/detalle!$D$2</f>
        <v>52146.435766408511</v>
      </c>
      <c r="Y721" s="15">
        <f>F721/detalle!$D$2</f>
        <v>397.51767229270803</v>
      </c>
      <c r="AA721" s="14">
        <f>E721/(detalle!$D$2*1000000)</f>
        <v>5.2146435766408504E-2</v>
      </c>
      <c r="AB721" s="14">
        <f>F721/(detalle!$D$2*1000000)</f>
        <v>3.9751767229270806E-4</v>
      </c>
      <c r="AC721" s="31">
        <f>58/585</f>
        <v>9.914529914529914E-2</v>
      </c>
      <c r="AD721" s="31">
        <f>171/2373</f>
        <v>7.2060682680151714E-2</v>
      </c>
      <c r="AE721" s="31">
        <f>37/469</f>
        <v>7.8891257995735611E-2</v>
      </c>
      <c r="AF721" s="22">
        <f t="shared" ref="AF721" si="983">F721-F720</f>
        <v>3</v>
      </c>
      <c r="AG721" s="12">
        <v>7076169</v>
      </c>
      <c r="AH721" s="12">
        <v>5849687</v>
      </c>
      <c r="AI721" s="12">
        <v>2191762</v>
      </c>
      <c r="AJ721" s="23">
        <f>AK721-AK720</f>
        <v>13197</v>
      </c>
      <c r="AK721" s="23">
        <f t="shared" ref="AK721" si="984">AG721+AH721+AI721</f>
        <v>15117618</v>
      </c>
      <c r="AL721" s="28">
        <f>AK721/detalle!$D$2</f>
        <v>1379279.3936126565</v>
      </c>
    </row>
    <row r="722" spans="1:38">
      <c r="A722" s="12">
        <v>721</v>
      </c>
      <c r="B722" s="19">
        <v>44611</v>
      </c>
      <c r="C722" s="12">
        <v>702</v>
      </c>
      <c r="D722" s="23">
        <f t="shared" ref="D722" si="985">E722-E721</f>
        <v>304</v>
      </c>
      <c r="E722" s="12">
        <v>571856</v>
      </c>
      <c r="F722" s="12">
        <v>4357</v>
      </c>
      <c r="G722" s="12">
        <v>565226</v>
      </c>
      <c r="H722" s="23">
        <f t="shared" ref="H722" si="986">E722-F722-G722</f>
        <v>2273</v>
      </c>
      <c r="I722" s="23">
        <f t="shared" ref="I722" si="987">J722-J721</f>
        <v>4672</v>
      </c>
      <c r="J722" s="12">
        <v>3075508</v>
      </c>
      <c r="K722" s="23">
        <f t="shared" ref="K722" si="988">J722-E722</f>
        <v>2503652</v>
      </c>
      <c r="L722" s="23">
        <f t="shared" ref="L722" si="989">G722-G721</f>
        <v>405</v>
      </c>
      <c r="M722" s="14">
        <f t="shared" ref="M722" si="990">F722/E722</f>
        <v>7.6190509498894827E-3</v>
      </c>
      <c r="N722" s="14">
        <f t="shared" ref="N722" si="991">D722/I722</f>
        <v>6.5068493150684928E-2</v>
      </c>
      <c r="O722" s="24"/>
      <c r="P722" s="12"/>
      <c r="Q722" s="12"/>
      <c r="R722" s="23">
        <f t="shared" ref="R722" si="992">F722+G722</f>
        <v>569583</v>
      </c>
      <c r="S722" s="25">
        <f>(((H722+R722)/(H721+R721))-1)+detalle!$D$1</f>
        <v>7.1960456541386969E-2</v>
      </c>
      <c r="T722" s="25">
        <f t="shared" ref="T722" si="993">S722*14</f>
        <v>1.0074463915794176</v>
      </c>
      <c r="U722" s="10">
        <f t="shared" ref="U722" si="994">G722/E722</f>
        <v>0.98840617218320692</v>
      </c>
      <c r="V722" s="21">
        <f t="shared" ref="V722" si="995">G722/F722</f>
        <v>129.72825338535691</v>
      </c>
      <c r="W722" s="15">
        <f>J722/detalle!$D$2</f>
        <v>280598.75631801743</v>
      </c>
      <c r="X722" s="15">
        <f>E722/detalle!$D$2</f>
        <v>52174.171679279054</v>
      </c>
      <c r="Y722" s="15">
        <f>F722/detalle!$D$2</f>
        <v>397.51767229270803</v>
      </c>
      <c r="AA722" s="14">
        <f>E722/(detalle!$D$2*1000000)</f>
        <v>5.2174171679279055E-2</v>
      </c>
      <c r="AB722" s="14">
        <f>F722/(detalle!$D$2*1000000)</f>
        <v>3.9751767229270806E-4</v>
      </c>
      <c r="AC722" s="31">
        <f>58/585</f>
        <v>9.914529914529914E-2</v>
      </c>
      <c r="AD722" s="31">
        <f>170/2373</f>
        <v>7.1639275179098183E-2</v>
      </c>
      <c r="AE722" s="31">
        <f>37/469</f>
        <v>7.8891257995735611E-2</v>
      </c>
      <c r="AF722" s="22">
        <f t="shared" ref="AF722" si="996">F722-F721</f>
        <v>0</v>
      </c>
      <c r="AG722" s="12">
        <v>7076726</v>
      </c>
      <c r="AH722" s="12">
        <v>5850128</v>
      </c>
      <c r="AI722" s="12">
        <v>2193455</v>
      </c>
      <c r="AJ722" s="23">
        <f>AK722-AK721</f>
        <v>2691</v>
      </c>
      <c r="AK722" s="23">
        <f t="shared" ref="AK722" si="997">AG722+AH722+AI722</f>
        <v>15120309</v>
      </c>
      <c r="AL722" s="28">
        <f>AK722/detalle!$D$2</f>
        <v>1379524.9111834941</v>
      </c>
    </row>
    <row r="723" spans="1:38">
      <c r="A723" s="12">
        <v>722</v>
      </c>
      <c r="B723" s="19">
        <v>44612</v>
      </c>
      <c r="C723" s="12">
        <v>703</v>
      </c>
      <c r="D723" s="23">
        <f t="shared" ref="D723" si="998">E723-E722</f>
        <v>434</v>
      </c>
      <c r="E723" s="12">
        <v>572290</v>
      </c>
      <c r="F723" s="12">
        <v>4357</v>
      </c>
      <c r="G723" s="12">
        <v>565641</v>
      </c>
      <c r="H723" s="23">
        <f t="shared" ref="H723" si="999">E723-F723-G723</f>
        <v>2292</v>
      </c>
      <c r="I723" s="23">
        <f t="shared" ref="I723" si="1000">J723-J722</f>
        <v>4048</v>
      </c>
      <c r="J723" s="12">
        <v>3079556</v>
      </c>
      <c r="K723" s="23">
        <f t="shared" ref="K723" si="1001">J723-E723</f>
        <v>2507266</v>
      </c>
      <c r="L723" s="23">
        <f t="shared" ref="L723" si="1002">G723-G722</f>
        <v>415</v>
      </c>
      <c r="M723" s="14">
        <f t="shared" ref="M723" si="1003">F723/E723</f>
        <v>7.613272990966119E-3</v>
      </c>
      <c r="N723" s="14">
        <f t="shared" ref="N723" si="1004">D723/I723</f>
        <v>0.10721343873517787</v>
      </c>
      <c r="O723" s="24"/>
      <c r="P723" s="12"/>
      <c r="Q723" s="12"/>
      <c r="R723" s="23">
        <f t="shared" ref="R723" si="1005">F723+G723</f>
        <v>569998</v>
      </c>
      <c r="S723" s="25">
        <f>(((H723+R723)/(H722+R722))-1)+detalle!$D$1</f>
        <v>7.2187503747197096E-2</v>
      </c>
      <c r="T723" s="25">
        <f t="shared" ref="T723" si="1006">S723*14</f>
        <v>1.0106250524607594</v>
      </c>
      <c r="U723" s="10">
        <f t="shared" ref="U723" si="1007">G723/E723</f>
        <v>0.98838176449003123</v>
      </c>
      <c r="V723" s="21">
        <f t="shared" ref="V723" si="1008">G723/F723</f>
        <v>129.82350240991508</v>
      </c>
      <c r="W723" s="15">
        <f>J723/detalle!$D$2</f>
        <v>280968.08189466211</v>
      </c>
      <c r="X723" s="15">
        <f>E723/detalle!$D$2</f>
        <v>52213.768344363983</v>
      </c>
      <c r="Y723" s="15">
        <f>F723/detalle!$D$2</f>
        <v>397.51767229270803</v>
      </c>
      <c r="AA723" s="14">
        <f>E723/(detalle!$D$2*1000000)</f>
        <v>5.2213768344363982E-2</v>
      </c>
      <c r="AB723" s="14">
        <f>F723/(detalle!$D$2*1000000)</f>
        <v>3.9751767229270806E-4</v>
      </c>
      <c r="AC723" s="31">
        <f>57/585</f>
        <v>9.7435897435897437E-2</v>
      </c>
      <c r="AD723" s="31">
        <f>170/2373</f>
        <v>7.1639275179098183E-2</v>
      </c>
      <c r="AE723" s="31">
        <f>36/469</f>
        <v>7.6759061833688705E-2</v>
      </c>
      <c r="AF723" s="22">
        <f t="shared" ref="AF723" si="1009">F723-F722</f>
        <v>0</v>
      </c>
      <c r="AG723" s="12">
        <v>7076809</v>
      </c>
      <c r="AH723" s="12">
        <v>5850286</v>
      </c>
      <c r="AI723" s="12">
        <v>2193960</v>
      </c>
      <c r="AJ723" s="23">
        <f>AK723-AK722</f>
        <v>746</v>
      </c>
      <c r="AK723" s="23">
        <f t="shared" ref="AK723" si="1010">AG723+AH723+AI723</f>
        <v>15121055</v>
      </c>
      <c r="AL723" s="28">
        <f>AK723/detalle!$D$2</f>
        <v>1379592.9736538937</v>
      </c>
    </row>
    <row r="724" spans="1:38">
      <c r="A724" s="12">
        <v>723</v>
      </c>
      <c r="B724" s="19">
        <v>44613</v>
      </c>
      <c r="C724" s="12">
        <v>704</v>
      </c>
      <c r="D724" s="23">
        <f t="shared" ref="D724" si="1011">E724-E723</f>
        <v>306</v>
      </c>
      <c r="E724" s="12">
        <v>572596</v>
      </c>
      <c r="F724" s="12">
        <v>4360</v>
      </c>
      <c r="G724" s="12">
        <v>566088</v>
      </c>
      <c r="H724" s="23">
        <f t="shared" ref="H724" si="1012">E724-F724-G724</f>
        <v>2148</v>
      </c>
      <c r="I724" s="23">
        <f t="shared" ref="I724" si="1013">J724-J723</f>
        <v>4700</v>
      </c>
      <c r="J724" s="12">
        <v>3084256</v>
      </c>
      <c r="K724" s="23">
        <f t="shared" ref="K724" si="1014">J724-E724</f>
        <v>2511660</v>
      </c>
      <c r="L724" s="23">
        <f t="shared" ref="L724" si="1015">G724-G723</f>
        <v>447</v>
      </c>
      <c r="M724" s="14">
        <f t="shared" ref="M724" si="1016">F724/E724</f>
        <v>7.6144436915381872E-3</v>
      </c>
      <c r="N724" s="14">
        <f t="shared" ref="N724" si="1017">D724/I724</f>
        <v>6.5106382978723398E-2</v>
      </c>
      <c r="O724" s="24"/>
      <c r="P724" s="12"/>
      <c r="Q724" s="12"/>
      <c r="R724" s="23">
        <f t="shared" ref="R724" si="1018">F724+G724</f>
        <v>570448</v>
      </c>
      <c r="S724" s="25">
        <f>(((H724+R724)/(H723+R723))-1)+detalle!$D$1</f>
        <v>7.1963265377443603E-2</v>
      </c>
      <c r="T724" s="25">
        <f t="shared" ref="T724" si="1019">S724*14</f>
        <v>1.0074857152842105</v>
      </c>
      <c r="U724" s="10">
        <f t="shared" ref="U724" si="1020">G724/E724</f>
        <v>0.98863422028795167</v>
      </c>
      <c r="V724" s="21">
        <f t="shared" ref="V724" si="1021">G724/F724</f>
        <v>129.83669724770641</v>
      </c>
      <c r="W724" s="15">
        <f>J724/detalle!$D$2</f>
        <v>281396.8937054897</v>
      </c>
      <c r="X724" s="15">
        <f>E724/detalle!$D$2</f>
        <v>52241.686730345529</v>
      </c>
      <c r="Y724" s="15">
        <f>F724/detalle!$D$2</f>
        <v>397.79138195919376</v>
      </c>
      <c r="AA724" s="14">
        <f>E724/(detalle!$D$2*1000000)</f>
        <v>5.2241686730345523E-2</v>
      </c>
      <c r="AB724" s="14">
        <f>F724/(detalle!$D$2*1000000)</f>
        <v>3.977913819591937E-4</v>
      </c>
      <c r="AC724" s="31">
        <f>51/585</f>
        <v>8.7179487179487175E-2</v>
      </c>
      <c r="AD724" s="31">
        <f>171/2373</f>
        <v>7.2060682680151714E-2</v>
      </c>
      <c r="AE724" s="31">
        <f>30/469</f>
        <v>6.3965884861407252E-2</v>
      </c>
      <c r="AF724" s="22">
        <f t="shared" ref="AF724" si="1022">F724-F723</f>
        <v>3</v>
      </c>
      <c r="AG724" s="12">
        <v>7084842</v>
      </c>
      <c r="AH724" s="12">
        <v>5851397</v>
      </c>
      <c r="AI724" s="12">
        <v>2197043</v>
      </c>
      <c r="AJ724" s="23">
        <f>AK724-AK723</f>
        <v>12227</v>
      </c>
      <c r="AK724" s="23">
        <f t="shared" ref="AK724" si="1023">AG724+AH724+AI724</f>
        <v>15133282</v>
      </c>
      <c r="AL724" s="28">
        <f>AK724/detalle!$D$2</f>
        <v>1380708.5230179338</v>
      </c>
    </row>
    <row r="725" spans="1:38">
      <c r="A725" s="12">
        <v>724</v>
      </c>
      <c r="B725" s="19">
        <v>44614</v>
      </c>
      <c r="C725" s="12">
        <v>705</v>
      </c>
      <c r="D725" s="23">
        <f t="shared" ref="D725" si="1024">E725-E724</f>
        <v>440</v>
      </c>
      <c r="E725" s="12">
        <v>573036</v>
      </c>
      <c r="F725" s="12">
        <v>4363</v>
      </c>
      <c r="G725" s="12">
        <v>566320</v>
      </c>
      <c r="H725" s="23">
        <f t="shared" ref="H725:H726" si="1025">E725-F725-G725</f>
        <v>2353</v>
      </c>
      <c r="I725" s="23">
        <f t="shared" ref="I725:I726" si="1026">J725-J724</f>
        <v>4984</v>
      </c>
      <c r="J725" s="12">
        <v>3089240</v>
      </c>
      <c r="K725" s="23">
        <f t="shared" ref="K725:K726" si="1027">J725-E725</f>
        <v>2516204</v>
      </c>
      <c r="L725" s="23">
        <f t="shared" ref="L725:L726" si="1028">G725-G724</f>
        <v>232</v>
      </c>
      <c r="M725" s="14">
        <f t="shared" ref="M725:M726" si="1029">F725/E725</f>
        <v>7.61383228976888E-3</v>
      </c>
      <c r="N725" s="14">
        <f t="shared" ref="N725:N726" si="1030">D725/I725</f>
        <v>8.8282504012841087E-2</v>
      </c>
      <c r="O725" s="24"/>
      <c r="P725" s="12"/>
      <c r="Q725" s="12"/>
      <c r="R725" s="23">
        <f t="shared" ref="R725:R726" si="1031">F725+G725</f>
        <v>570683</v>
      </c>
      <c r="S725" s="25">
        <f>(((H725+R725)/(H724+R724))-1)+detalle!$D$1</f>
        <v>7.2197001525882626E-2</v>
      </c>
      <c r="T725" s="25">
        <f t="shared" ref="T725:T726" si="1032">S725*14</f>
        <v>1.0107580213623568</v>
      </c>
      <c r="U725" s="10">
        <f t="shared" ref="U725:U726" si="1033">G725/E725</f>
        <v>0.98827996844875365</v>
      </c>
      <c r="V725" s="21">
        <f t="shared" ref="V725:V726" si="1034">G725/F725</f>
        <v>129.80059592023838</v>
      </c>
      <c r="W725" s="15">
        <f>J725/detalle!$D$2</f>
        <v>281851.61669807788</v>
      </c>
      <c r="X725" s="15">
        <f>E725/detalle!$D$2</f>
        <v>52281.830814763423</v>
      </c>
      <c r="Y725" s="15">
        <f>F725/detalle!$D$2</f>
        <v>398.06509162567943</v>
      </c>
      <c r="AA725" s="14">
        <f>E725/(detalle!$D$2*1000000)</f>
        <v>5.2281830814763425E-2</v>
      </c>
      <c r="AB725" s="14">
        <f>F725/(detalle!$D$2*1000000)</f>
        <v>3.9806509162567939E-4</v>
      </c>
      <c r="AC725" s="31">
        <f t="shared" ref="AC725" si="1035">51/585</f>
        <v>8.7179487179487175E-2</v>
      </c>
      <c r="AD725" s="31">
        <f t="shared" ref="AD725" si="1036">171/2373</f>
        <v>7.2060682680151714E-2</v>
      </c>
      <c r="AE725" s="31">
        <f t="shared" ref="AE725" si="1037">30/469</f>
        <v>6.3965884861407252E-2</v>
      </c>
      <c r="AF725" s="22">
        <f t="shared" ref="AF725:AF726" si="1038">F725-F724</f>
        <v>3</v>
      </c>
      <c r="AG725" s="12">
        <v>7094931</v>
      </c>
      <c r="AH725" s="12">
        <v>5852617</v>
      </c>
      <c r="AI725" s="12">
        <v>2200632</v>
      </c>
      <c r="AJ725" s="23">
        <f t="shared" ref="AJ725:AJ726" si="1039">AK725-AK724</f>
        <v>14898</v>
      </c>
      <c r="AK725" s="23">
        <f t="shared" ref="AK725:AK729" si="1040">AG725+AH725+AI725</f>
        <v>15148180</v>
      </c>
      <c r="AL725" s="28">
        <f>AK725/detalle!$D$2</f>
        <v>1382067.7652217017</v>
      </c>
    </row>
    <row r="726" spans="1:38">
      <c r="A726" s="12">
        <v>725</v>
      </c>
      <c r="B726" s="19">
        <v>44615</v>
      </c>
      <c r="C726" s="12">
        <v>706</v>
      </c>
      <c r="D726" s="23">
        <f>E726-E725</f>
        <v>422</v>
      </c>
      <c r="E726" s="12">
        <v>573458</v>
      </c>
      <c r="F726" s="12">
        <v>4363</v>
      </c>
      <c r="G726" s="12">
        <v>567227</v>
      </c>
      <c r="H726" s="23">
        <f t="shared" si="1025"/>
        <v>1868</v>
      </c>
      <c r="I726" s="23">
        <f t="shared" si="1026"/>
        <v>4552</v>
      </c>
      <c r="J726" s="12">
        <v>3093792</v>
      </c>
      <c r="K726" s="23">
        <f t="shared" si="1027"/>
        <v>2520334</v>
      </c>
      <c r="L726" s="23">
        <f t="shared" si="1028"/>
        <v>907</v>
      </c>
      <c r="M726" s="14">
        <f t="shared" si="1029"/>
        <v>7.6082293733804396E-3</v>
      </c>
      <c r="N726" s="14">
        <f t="shared" si="1030"/>
        <v>9.2706502636203864E-2</v>
      </c>
      <c r="O726" s="24"/>
      <c r="P726" s="12"/>
      <c r="Q726" s="12"/>
      <c r="R726" s="23">
        <f t="shared" si="1031"/>
        <v>571590</v>
      </c>
      <c r="S726" s="25">
        <f>(((H726+R726)/(H725+R725))-1)+detalle!$D$1</f>
        <v>7.2164999855406836E-2</v>
      </c>
      <c r="T726" s="25">
        <f t="shared" si="1032"/>
        <v>1.0103099979756958</v>
      </c>
      <c r="U726" s="10">
        <f t="shared" si="1033"/>
        <v>0.98913433939364348</v>
      </c>
      <c r="V726" s="21">
        <f t="shared" si="1034"/>
        <v>130.00848040339216</v>
      </c>
      <c r="W726" s="15">
        <f>J726/detalle!$D$2</f>
        <v>282266.9254986922</v>
      </c>
      <c r="X726" s="15">
        <f>E726/detalle!$D$2</f>
        <v>52320.332641182409</v>
      </c>
      <c r="Y726" s="15">
        <f>F726/detalle!$D$2</f>
        <v>398.06509162567943</v>
      </c>
      <c r="AA726" s="14">
        <f>E726/(detalle!$D$2*1000000)</f>
        <v>5.232033264118241E-2</v>
      </c>
      <c r="AB726" s="14">
        <f>F726/(detalle!$D$2*1000000)</f>
        <v>3.9806509162567939E-4</v>
      </c>
      <c r="AC726" s="31">
        <f>47/585</f>
        <v>8.0341880341880348E-2</v>
      </c>
      <c r="AD726" s="31">
        <f>156/2373</f>
        <v>6.5739570164348921E-2</v>
      </c>
      <c r="AE726" s="31">
        <f>35/469</f>
        <v>7.4626865671641784E-2</v>
      </c>
      <c r="AF726" s="22">
        <f t="shared" si="1038"/>
        <v>0</v>
      </c>
      <c r="AG726" s="12">
        <v>7103309</v>
      </c>
      <c r="AH726" s="12">
        <v>5853859</v>
      </c>
      <c r="AI726" s="12">
        <v>2204431</v>
      </c>
      <c r="AJ726" s="23">
        <f t="shared" si="1039"/>
        <v>13419</v>
      </c>
      <c r="AK726" s="23">
        <f t="shared" si="1040"/>
        <v>15161599</v>
      </c>
      <c r="AL726" s="28">
        <f>AK726/detalle!$D$2</f>
        <v>1383292.0685598922</v>
      </c>
    </row>
    <row r="727" spans="1:38">
      <c r="A727" s="12">
        <v>726</v>
      </c>
      <c r="B727" s="19">
        <v>44616</v>
      </c>
      <c r="C727" s="12">
        <v>707</v>
      </c>
      <c r="D727" s="23">
        <f>E727-E726</f>
        <v>318</v>
      </c>
      <c r="E727" s="12">
        <v>573776</v>
      </c>
      <c r="F727" s="12">
        <v>4365</v>
      </c>
      <c r="G727" s="12">
        <v>567749</v>
      </c>
      <c r="H727" s="23">
        <f t="shared" ref="H727:H729" si="1041">E727-F727-G727</f>
        <v>1662</v>
      </c>
      <c r="I727" s="23">
        <f t="shared" ref="I727:I729" si="1042">J727-J726</f>
        <v>4487</v>
      </c>
      <c r="J727" s="12">
        <v>3098279</v>
      </c>
      <c r="K727" s="23">
        <f t="shared" ref="K727:K729" si="1043">J727-E727</f>
        <v>2524503</v>
      </c>
      <c r="L727" s="23">
        <f t="shared" ref="L727:L729" si="1044">G727-G726</f>
        <v>522</v>
      </c>
      <c r="M727" s="14">
        <f t="shared" ref="M727:M729" si="1045">F727/E727</f>
        <v>7.6074983965868214E-3</v>
      </c>
      <c r="N727" s="14">
        <f t="shared" ref="N727:N729" si="1046">D727/I727</f>
        <v>7.0871406284822816E-2</v>
      </c>
      <c r="O727" s="24"/>
      <c r="P727" s="12"/>
      <c r="Q727" s="12"/>
      <c r="R727" s="23">
        <f t="shared" ref="R727:R729" si="1047">F727+G727</f>
        <v>572114</v>
      </c>
      <c r="S727" s="25">
        <f>(((H727+R727)/(H726+R726))-1)+detalle!$D$1</f>
        <v>7.1983102013200045E-2</v>
      </c>
      <c r="T727" s="25">
        <f t="shared" ref="T727:T729" si="1048">S727*14</f>
        <v>1.0077634281848007</v>
      </c>
      <c r="U727" s="10">
        <f t="shared" ref="U727:U729" si="1049">G727/E727</f>
        <v>0.98949590083935191</v>
      </c>
      <c r="V727" s="21">
        <f t="shared" ref="V727:V729" si="1050">G727/F727</f>
        <v>130.06849942726231</v>
      </c>
      <c r="W727" s="15">
        <f>J727/detalle!$D$2</f>
        <v>282676.30392319924</v>
      </c>
      <c r="X727" s="15">
        <f>E727/detalle!$D$2</f>
        <v>52349.345865829899</v>
      </c>
      <c r="Y727" s="15">
        <f>F727/detalle!$D$2</f>
        <v>398.24756473666986</v>
      </c>
      <c r="AA727" s="14">
        <f>E727/(detalle!$D$2*1000000)</f>
        <v>5.2349345865829892E-2</v>
      </c>
      <c r="AB727" s="14">
        <f>F727/(detalle!$D$2*1000000)</f>
        <v>3.9824756473666987E-4</v>
      </c>
      <c r="AC727" s="31">
        <f>39/585</f>
        <v>6.6666666666666666E-2</v>
      </c>
      <c r="AD727" s="31">
        <f>145/2373</f>
        <v>6.1104087652760222E-2</v>
      </c>
      <c r="AE727" s="31">
        <f>27/469</f>
        <v>5.7569296375266525E-2</v>
      </c>
      <c r="AF727" s="22">
        <f t="shared" ref="AF727:AF728" si="1051">F727-F726</f>
        <v>2</v>
      </c>
      <c r="AG727" s="12">
        <v>7110411</v>
      </c>
      <c r="AH727" s="12">
        <v>5855045</v>
      </c>
      <c r="AI727" s="12">
        <v>2208838</v>
      </c>
      <c r="AJ727" s="23">
        <f t="shared" ref="AJ727:AJ728" si="1052">AK727-AK726</f>
        <v>12695</v>
      </c>
      <c r="AK727" s="23">
        <f t="shared" si="1040"/>
        <v>15174294</v>
      </c>
      <c r="AL727" s="28">
        <f>AK727/detalle!$D$2</f>
        <v>1384450.3166319041</v>
      </c>
    </row>
    <row r="728" spans="1:38">
      <c r="A728" s="12">
        <v>727</v>
      </c>
      <c r="B728" s="19">
        <v>44617</v>
      </c>
      <c r="C728" s="12">
        <v>708</v>
      </c>
      <c r="D728" s="23">
        <f t="shared" ref="D728:D729" si="1053">E728-E727</f>
        <v>295</v>
      </c>
      <c r="E728" s="12">
        <v>574071</v>
      </c>
      <c r="F728" s="12">
        <v>4368</v>
      </c>
      <c r="G728" s="12">
        <v>568031</v>
      </c>
      <c r="H728" s="23">
        <f t="shared" si="1041"/>
        <v>1672</v>
      </c>
      <c r="I728" s="23">
        <f t="shared" si="1042"/>
        <v>4809</v>
      </c>
      <c r="J728" s="12">
        <v>3103088</v>
      </c>
      <c r="K728" s="23">
        <f t="shared" si="1043"/>
        <v>2529017</v>
      </c>
      <c r="L728" s="23">
        <f t="shared" si="1044"/>
        <v>282</v>
      </c>
      <c r="M728" s="14">
        <f t="shared" si="1045"/>
        <v>7.6088149375251497E-3</v>
      </c>
      <c r="N728" s="14">
        <f t="shared" si="1046"/>
        <v>6.1343314618423787E-2</v>
      </c>
      <c r="O728" s="24"/>
      <c r="P728" s="12"/>
      <c r="Q728" s="12"/>
      <c r="R728" s="23">
        <f t="shared" si="1047"/>
        <v>572399</v>
      </c>
      <c r="S728" s="25">
        <f>(((H728+R728)/(H727+R727))-1)+detalle!$D$1</f>
        <v>7.194270934999028E-2</v>
      </c>
      <c r="T728" s="25">
        <f t="shared" si="1048"/>
        <v>1.007197930899864</v>
      </c>
      <c r="U728" s="10">
        <f t="shared" si="1049"/>
        <v>0.989478653337305</v>
      </c>
      <c r="V728" s="21">
        <f t="shared" si="1050"/>
        <v>130.0437271062271</v>
      </c>
      <c r="W728" s="15">
        <f>J728/detalle!$D$2</f>
        <v>283115.06051857583</v>
      </c>
      <c r="X728" s="15">
        <f>E728/detalle!$D$2</f>
        <v>52376.260649700984</v>
      </c>
      <c r="Y728" s="15">
        <f>F728/detalle!$D$2</f>
        <v>398.52127440315553</v>
      </c>
      <c r="AA728" s="14">
        <f>E728/(detalle!$D$2*1000000)</f>
        <v>5.2376260649700988E-2</v>
      </c>
      <c r="AB728" s="14">
        <f>F728/(detalle!$D$2*1000000)</f>
        <v>3.9852127440315557E-4</v>
      </c>
      <c r="AC728" s="31">
        <v>6.8376068376068383E-2</v>
      </c>
      <c r="AD728" s="31">
        <v>6.1104087652760222E-2</v>
      </c>
      <c r="AE728" s="31">
        <v>6.3965884861407252E-2</v>
      </c>
      <c r="AF728" s="22">
        <f t="shared" si="1051"/>
        <v>3</v>
      </c>
      <c r="AG728" s="12">
        <v>7114465</v>
      </c>
      <c r="AH728" s="12">
        <v>5856392</v>
      </c>
      <c r="AI728" s="12">
        <v>2210972</v>
      </c>
      <c r="AJ728" s="23">
        <f t="shared" si="1052"/>
        <v>7535</v>
      </c>
      <c r="AK728" s="23">
        <f t="shared" si="1040"/>
        <v>15181829</v>
      </c>
      <c r="AL728" s="28">
        <f>AK728/detalle!$D$2</f>
        <v>1385137.7840775605</v>
      </c>
    </row>
    <row r="729" spans="1:38">
      <c r="A729" s="12">
        <v>728</v>
      </c>
      <c r="B729" s="19">
        <v>44618</v>
      </c>
      <c r="C729" s="12">
        <v>708</v>
      </c>
      <c r="D729" s="23">
        <f t="shared" si="1053"/>
        <v>221</v>
      </c>
      <c r="E729" s="12">
        <v>574292</v>
      </c>
      <c r="F729" s="12">
        <v>4368</v>
      </c>
      <c r="G729" s="12">
        <v>568177</v>
      </c>
      <c r="H729" s="23">
        <f t="shared" si="1041"/>
        <v>1747</v>
      </c>
      <c r="I729" s="23">
        <f t="shared" si="1042"/>
        <v>3774</v>
      </c>
      <c r="J729" s="12">
        <v>3106862</v>
      </c>
      <c r="K729" s="23">
        <f t="shared" si="1043"/>
        <v>2532570</v>
      </c>
      <c r="L729" s="23">
        <f t="shared" si="1044"/>
        <v>146</v>
      </c>
      <c r="M729" s="14">
        <f t="shared" si="1045"/>
        <v>7.6058869007403903E-3</v>
      </c>
      <c r="N729" s="14">
        <f t="shared" si="1046"/>
        <v>5.8558558558558557E-2</v>
      </c>
      <c r="O729" s="24"/>
      <c r="P729" s="12"/>
      <c r="Q729" s="12"/>
      <c r="R729" s="23">
        <f t="shared" si="1047"/>
        <v>572545</v>
      </c>
      <c r="S729" s="25">
        <f>(((H729+R729)/(H728+R728))-1)+detalle!$D$1</f>
        <v>7.1813541231958072E-2</v>
      </c>
      <c r="T729" s="25">
        <f t="shared" si="1048"/>
        <v>1.0053895772474131</v>
      </c>
      <c r="U729" s="10">
        <f t="shared" si="1049"/>
        <v>0.98935210659385819</v>
      </c>
      <c r="V729" s="21">
        <f t="shared" si="1050"/>
        <v>130.07715201465203</v>
      </c>
      <c r="W729" s="15">
        <f>J729/detalle!$D$2</f>
        <v>283459.3872790148</v>
      </c>
      <c r="X729" s="15">
        <f>E729/detalle!$D$2</f>
        <v>52396.423928465432</v>
      </c>
      <c r="Y729" s="15">
        <f>F729/detalle!$D$2</f>
        <v>398.52127440315553</v>
      </c>
      <c r="AA729" s="14">
        <f>E729/(detalle!$D$2*1000000)</f>
        <v>5.2396423928465434E-2</v>
      </c>
      <c r="AB729" s="14">
        <f>F729/(detalle!$D$2*1000000)</f>
        <v>3.9852127440315557E-4</v>
      </c>
      <c r="AC729" s="31">
        <f>40/585</f>
        <v>6.8376068376068383E-2</v>
      </c>
      <c r="AD729" s="31">
        <f>144/2373</f>
        <v>6.0682680151706699E-2</v>
      </c>
      <c r="AE729" s="31">
        <f>31/469</f>
        <v>6.6098081023454158E-2</v>
      </c>
      <c r="AF729" s="22">
        <f t="shared" ref="AF729" si="1054">F729-F728</f>
        <v>0</v>
      </c>
      <c r="AG729" s="12">
        <v>7114785</v>
      </c>
      <c r="AH729" s="12">
        <v>5856911</v>
      </c>
      <c r="AI729" s="12">
        <v>2212363</v>
      </c>
      <c r="AJ729" s="23">
        <f t="shared" ref="AJ729:AJ734" si="1055">AK729-AK728</f>
        <v>2230</v>
      </c>
      <c r="AK729" s="23">
        <f t="shared" si="1040"/>
        <v>15184059</v>
      </c>
      <c r="AL729" s="28">
        <f>AK729/detalle!$D$2</f>
        <v>1385341.2415963151</v>
      </c>
    </row>
    <row r="730" spans="1:38">
      <c r="A730" s="12">
        <v>729</v>
      </c>
      <c r="B730" s="19">
        <v>44619</v>
      </c>
      <c r="C730" s="12">
        <v>709</v>
      </c>
      <c r="D730" s="23">
        <f t="shared" ref="D730" si="1056">E730-E729</f>
        <v>264</v>
      </c>
      <c r="E730" s="12">
        <v>574556</v>
      </c>
      <c r="F730" s="12">
        <v>4368</v>
      </c>
      <c r="G730" s="12">
        <v>568322</v>
      </c>
      <c r="H730" s="23">
        <f t="shared" ref="H730" si="1057">E730-F730-G730</f>
        <v>1866</v>
      </c>
      <c r="I730" s="23">
        <f t="shared" ref="I730" si="1058">J730-J729</f>
        <v>8335</v>
      </c>
      <c r="J730" s="12">
        <v>3115197</v>
      </c>
      <c r="K730" s="23">
        <f t="shared" ref="K730" si="1059">J730-E730</f>
        <v>2540641</v>
      </c>
      <c r="L730" s="23">
        <f t="shared" ref="L730" si="1060">G730-G729</f>
        <v>145</v>
      </c>
      <c r="M730" s="14">
        <f t="shared" ref="M730" si="1061">F730/E730</f>
        <v>7.6023921079929543E-3</v>
      </c>
      <c r="N730" s="14">
        <f t="shared" ref="N730" si="1062">D730/I730</f>
        <v>3.1673665266946607E-2</v>
      </c>
      <c r="O730" s="24"/>
      <c r="P730" s="12"/>
      <c r="Q730" s="12"/>
      <c r="R730" s="23">
        <f t="shared" ref="R730" si="1063">F730+G730</f>
        <v>572690</v>
      </c>
      <c r="S730" s="25">
        <f>(((H730+R730)/(H729+R729))-1)+detalle!$D$1</f>
        <v>7.1888267889605145E-2</v>
      </c>
      <c r="T730" s="25">
        <f t="shared" ref="T730" si="1064">S730*14</f>
        <v>1.0064357504544721</v>
      </c>
      <c r="U730" s="10">
        <f t="shared" ref="U730" si="1065">G730/E730</f>
        <v>0.98914988269202653</v>
      </c>
      <c r="V730" s="21">
        <f t="shared" ref="V730" si="1066">G730/F730</f>
        <v>130.11034798534797</v>
      </c>
      <c r="W730" s="15">
        <f>J730/detalle!$D$2</f>
        <v>284219.84396906756</v>
      </c>
      <c r="X730" s="15">
        <f>E730/detalle!$D$2</f>
        <v>52420.510379116175</v>
      </c>
      <c r="Y730" s="15">
        <f>F730/detalle!$D$2</f>
        <v>398.52127440315553</v>
      </c>
      <c r="AA730" s="14">
        <f>E730/(detalle!$D$2*1000000)</f>
        <v>5.2420510379116173E-2</v>
      </c>
      <c r="AB730" s="14">
        <f>F730/(detalle!$D$2*1000000)</f>
        <v>3.9852127440315557E-4</v>
      </c>
      <c r="AC730" s="31">
        <f>40/585</f>
        <v>6.8376068376068383E-2</v>
      </c>
      <c r="AD730" s="31">
        <f>144/2373</f>
        <v>6.0682680151706699E-2</v>
      </c>
      <c r="AE730" s="31">
        <f>31/469</f>
        <v>6.6098081023454158E-2</v>
      </c>
      <c r="AF730" s="22">
        <f t="shared" ref="AF730" si="1067">F730-F729</f>
        <v>0</v>
      </c>
      <c r="AG730" s="12">
        <v>7114880</v>
      </c>
      <c r="AH730" s="12">
        <v>5857078</v>
      </c>
      <c r="AI730" s="12">
        <v>2212774</v>
      </c>
      <c r="AJ730" s="23">
        <f t="shared" si="1055"/>
        <v>673</v>
      </c>
      <c r="AK730" s="23">
        <f t="shared" ref="AK730" si="1068">AG730+AH730+AI730</f>
        <v>15184732</v>
      </c>
      <c r="AL730" s="28">
        <f>AK730/detalle!$D$2</f>
        <v>1385402.6437981632</v>
      </c>
    </row>
    <row r="731" spans="1:38">
      <c r="A731" s="12">
        <v>730</v>
      </c>
      <c r="B731" s="19">
        <v>44620</v>
      </c>
      <c r="C731" s="12">
        <v>710</v>
      </c>
      <c r="D731" s="23">
        <f t="shared" ref="D731" si="1069">E731-E730</f>
        <v>356</v>
      </c>
      <c r="E731" s="12">
        <v>574912</v>
      </c>
      <c r="F731" s="12">
        <v>4369</v>
      </c>
      <c r="G731" s="12">
        <v>568804</v>
      </c>
      <c r="H731" s="23">
        <f t="shared" ref="H731" si="1070">E731-F731-G731</f>
        <v>1739</v>
      </c>
      <c r="I731" s="23">
        <f t="shared" ref="I731" si="1071">J731-J730</f>
        <v>4644</v>
      </c>
      <c r="J731" s="12">
        <v>3119841</v>
      </c>
      <c r="K731" s="23">
        <f t="shared" ref="K731" si="1072">J731-E731</f>
        <v>2544929</v>
      </c>
      <c r="L731" s="23">
        <f t="shared" ref="L731" si="1073">G731-G730</f>
        <v>482</v>
      </c>
      <c r="M731" s="14">
        <f t="shared" ref="M731" si="1074">F731/E731</f>
        <v>7.599423911833463E-3</v>
      </c>
      <c r="N731" s="14">
        <f t="shared" ref="N731" si="1075">D731/I731</f>
        <v>7.6658053402239454E-2</v>
      </c>
      <c r="O731" s="24"/>
      <c r="P731" s="12"/>
      <c r="Q731" s="12"/>
      <c r="R731" s="23">
        <f t="shared" ref="R731" si="1076">F731+G731</f>
        <v>573173</v>
      </c>
      <c r="S731" s="25">
        <f>(((H731+R731)/(H730+R730))-1)+detalle!$D$1</f>
        <v>7.2048180309167958E-2</v>
      </c>
      <c r="T731" s="25">
        <f t="shared" ref="T731" si="1077">S731*14</f>
        <v>1.0086745243283515</v>
      </c>
      <c r="U731" s="10">
        <f t="shared" ref="U731" si="1078">G731/E731</f>
        <v>0.98937576533452076</v>
      </c>
      <c r="V731" s="21">
        <f t="shared" ref="V731" si="1079">G731/F731</f>
        <v>130.19089036392768</v>
      </c>
      <c r="W731" s="15">
        <f>J731/detalle!$D$2</f>
        <v>284643.54653278738</v>
      </c>
      <c r="X731" s="15">
        <f>E731/detalle!$D$2</f>
        <v>52452.990592872477</v>
      </c>
      <c r="Y731" s="15">
        <f>F731/detalle!$D$2</f>
        <v>398.61251095865077</v>
      </c>
      <c r="AA731" s="14">
        <f>E731/(detalle!$D$2*1000000)</f>
        <v>5.2452990592872471E-2</v>
      </c>
      <c r="AB731" s="14">
        <f>F731/(detalle!$D$2*1000000)</f>
        <v>3.9861251095865078E-4</v>
      </c>
      <c r="AC731" s="31">
        <f>31/585</f>
        <v>5.2991452991452991E-2</v>
      </c>
      <c r="AD731" s="31">
        <f>141/2373</f>
        <v>5.9418457648546141E-2</v>
      </c>
      <c r="AE731" s="31">
        <f>27/469</f>
        <v>5.7569296375266525E-2</v>
      </c>
      <c r="AF731" s="22">
        <f t="shared" ref="AF731" si="1080">F731-F730</f>
        <v>1</v>
      </c>
      <c r="AG731" s="12">
        <v>7119929</v>
      </c>
      <c r="AH731" s="12">
        <v>5858333</v>
      </c>
      <c r="AI731" s="12">
        <v>2215867</v>
      </c>
      <c r="AJ731" s="23">
        <f t="shared" si="1055"/>
        <v>9397</v>
      </c>
      <c r="AK731" s="23">
        <f t="shared" ref="AK731" si="1081">AG731+AH731+AI731</f>
        <v>15194129</v>
      </c>
      <c r="AL731" s="28">
        <f>AK731/detalle!$D$2</f>
        <v>1386259.9937101519</v>
      </c>
    </row>
    <row r="732" spans="1:38">
      <c r="A732" s="12">
        <v>731</v>
      </c>
      <c r="B732" s="19">
        <v>44621</v>
      </c>
      <c r="C732" s="12">
        <v>711</v>
      </c>
      <c r="D732" s="23">
        <f t="shared" ref="D732" si="1082">E732-E731</f>
        <v>245</v>
      </c>
      <c r="E732" s="12">
        <v>575157</v>
      </c>
      <c r="F732" s="12">
        <v>4370</v>
      </c>
      <c r="G732" s="12">
        <v>568947</v>
      </c>
      <c r="H732" s="23">
        <f t="shared" ref="H732" si="1083">E732-F732-G732</f>
        <v>1840</v>
      </c>
      <c r="I732" s="23">
        <f t="shared" ref="I732" si="1084">J732-J731</f>
        <v>4746</v>
      </c>
      <c r="J732" s="12">
        <v>3124587</v>
      </c>
      <c r="K732" s="23">
        <f t="shared" ref="K732" si="1085">J732-E732</f>
        <v>2549430</v>
      </c>
      <c r="L732" s="23">
        <f t="shared" ref="L732" si="1086">G732-G731</f>
        <v>143</v>
      </c>
      <c r="M732" s="14">
        <f t="shared" ref="M732" si="1087">F732/E732</f>
        <v>7.5979254360113851E-3</v>
      </c>
      <c r="N732" s="14">
        <f t="shared" ref="N732" si="1088">D732/I732</f>
        <v>5.1622418879056046E-2</v>
      </c>
      <c r="O732" s="24"/>
      <c r="P732" s="12"/>
      <c r="Q732" s="12"/>
      <c r="R732" s="23">
        <f t="shared" ref="R732" si="1089">F732+G732</f>
        <v>573317</v>
      </c>
      <c r="S732" s="25">
        <f>(((H732+R732)/(H731+R731))-1)+detalle!$D$1</f>
        <v>7.1854723604904552E-2</v>
      </c>
      <c r="T732" s="25">
        <f t="shared" ref="T732" si="1090">S732*14</f>
        <v>1.0059661304686638</v>
      </c>
      <c r="U732" s="10">
        <f t="shared" ref="U732" si="1091">G732/E732</f>
        <v>0.98920294806461539</v>
      </c>
      <c r="V732" s="21">
        <f t="shared" ref="V732" si="1092">G732/F732</f>
        <v>130.19382151029748</v>
      </c>
      <c r="W732" s="15">
        <f>J732/detalle!$D$2</f>
        <v>285076.55522516771</v>
      </c>
      <c r="X732" s="15">
        <f>E732/detalle!$D$2</f>
        <v>52475.343548968805</v>
      </c>
      <c r="Y732" s="15">
        <f>F732/detalle!$D$2</f>
        <v>398.70374751414602</v>
      </c>
      <c r="AA732" s="14">
        <f>E732/(detalle!$D$2*1000000)</f>
        <v>5.2475343548968802E-2</v>
      </c>
      <c r="AB732" s="14">
        <f>F732/(detalle!$D$2*1000000)</f>
        <v>3.9870374751414599E-4</v>
      </c>
      <c r="AC732" s="31">
        <f>30/585</f>
        <v>5.128205128205128E-2</v>
      </c>
      <c r="AD732" s="31">
        <f>145/2373</f>
        <v>6.1104087652760222E-2</v>
      </c>
      <c r="AE732" s="31">
        <f t="shared" ref="AE732:AE736" si="1093">25/469</f>
        <v>5.3304904051172705E-2</v>
      </c>
      <c r="AF732" s="22">
        <f t="shared" ref="AF732" si="1094">F732-F731</f>
        <v>1</v>
      </c>
      <c r="AG732" s="12">
        <v>7119929</v>
      </c>
      <c r="AH732" s="12">
        <v>5858333</v>
      </c>
      <c r="AI732" s="12">
        <v>2215867</v>
      </c>
      <c r="AJ732" s="23">
        <f t="shared" si="1055"/>
        <v>0</v>
      </c>
      <c r="AK732" s="23">
        <f t="shared" ref="AK732" si="1095">AG732+AH732+AI732</f>
        <v>15194129</v>
      </c>
      <c r="AL732" s="28">
        <f>AK732/detalle!$D$2</f>
        <v>1386259.9937101519</v>
      </c>
    </row>
    <row r="733" spans="1:38">
      <c r="A733" s="12">
        <v>732</v>
      </c>
      <c r="B733" s="19">
        <v>44622</v>
      </c>
      <c r="C733" s="12">
        <v>712</v>
      </c>
      <c r="D733" s="23">
        <f t="shared" ref="D733" si="1096">E733-E732</f>
        <v>279</v>
      </c>
      <c r="E733" s="12">
        <v>575436</v>
      </c>
      <c r="F733" s="12">
        <v>4370</v>
      </c>
      <c r="G733" s="12">
        <v>569294</v>
      </c>
      <c r="H733" s="23">
        <f t="shared" ref="H733" si="1097">E733-F733-G733</f>
        <v>1772</v>
      </c>
      <c r="I733" s="23">
        <f t="shared" ref="I733" si="1098">J733-J732</f>
        <v>5103</v>
      </c>
      <c r="J733" s="12">
        <v>3129690</v>
      </c>
      <c r="K733" s="23">
        <f t="shared" ref="K733" si="1099">J733-E733</f>
        <v>2554254</v>
      </c>
      <c r="L733" s="23">
        <f t="shared" ref="L733" si="1100">G733-G732</f>
        <v>347</v>
      </c>
      <c r="M733" s="14">
        <f t="shared" ref="M733" si="1101">F733/E733</f>
        <v>7.5942415837730003E-3</v>
      </c>
      <c r="N733" s="14">
        <f t="shared" ref="N733" si="1102">D733/I733</f>
        <v>5.4673721340388004E-2</v>
      </c>
      <c r="O733" s="24"/>
      <c r="P733" s="12"/>
      <c r="Q733" s="12"/>
      <c r="R733" s="23">
        <f t="shared" ref="R733" si="1103">F733+G733</f>
        <v>573664</v>
      </c>
      <c r="S733" s="25">
        <f>(((H733+R733)/(H732+R732))-1)+detalle!$D$1</f>
        <v>7.1913656370596019E-2</v>
      </c>
      <c r="T733" s="25">
        <f t="shared" ref="T733" si="1104">S733*14</f>
        <v>1.0067911891883443</v>
      </c>
      <c r="U733" s="10">
        <f t="shared" ref="U733" si="1105">G733/E733</f>
        <v>0.98932635427745219</v>
      </c>
      <c r="V733" s="21">
        <f t="shared" ref="V733" si="1106">G733/F733</f>
        <v>130.27322654462242</v>
      </c>
      <c r="W733" s="15">
        <f>J733/detalle!$D$2</f>
        <v>285542.13536785985</v>
      </c>
      <c r="X733" s="15">
        <f>E733/detalle!$D$2</f>
        <v>52500.79854795197</v>
      </c>
      <c r="Y733" s="15">
        <f>F733/detalle!$D$2</f>
        <v>398.70374751414602</v>
      </c>
      <c r="AA733" s="14">
        <f>E733/(detalle!$D$2*1000000)</f>
        <v>5.250079854795197E-2</v>
      </c>
      <c r="AB733" s="14">
        <f>F733/(detalle!$D$2*1000000)</f>
        <v>3.9870374751414599E-4</v>
      </c>
      <c r="AC733" s="31">
        <f>33/585</f>
        <v>5.6410256410256411E-2</v>
      </c>
      <c r="AD733" s="31">
        <f>145/2373</f>
        <v>6.1104087652760222E-2</v>
      </c>
      <c r="AE733" s="31">
        <f t="shared" si="1093"/>
        <v>5.3304904051172705E-2</v>
      </c>
      <c r="AF733" s="22">
        <f t="shared" ref="AF733" si="1107">F733-F732</f>
        <v>0</v>
      </c>
      <c r="AG733" s="12">
        <v>7119929</v>
      </c>
      <c r="AH733" s="12">
        <v>5858333</v>
      </c>
      <c r="AI733" s="12">
        <v>2215867</v>
      </c>
      <c r="AJ733" s="23">
        <f t="shared" si="1055"/>
        <v>0</v>
      </c>
      <c r="AK733" s="23">
        <f t="shared" ref="AK733:AK734" si="1108">AG733+AH733+AI733</f>
        <v>15194129</v>
      </c>
      <c r="AL733" s="28">
        <f>AK733/detalle!$D$2</f>
        <v>1386259.9937101519</v>
      </c>
    </row>
    <row r="734" spans="1:38">
      <c r="A734" s="12">
        <v>733</v>
      </c>
      <c r="B734" s="19">
        <v>44623</v>
      </c>
      <c r="C734" s="12">
        <v>713</v>
      </c>
      <c r="D734" s="23">
        <f t="shared" ref="D734" si="1109">E734-E733</f>
        <v>156</v>
      </c>
      <c r="E734" s="12">
        <v>575592</v>
      </c>
      <c r="F734" s="12">
        <v>4370</v>
      </c>
      <c r="G734" s="12">
        <v>569533</v>
      </c>
      <c r="H734" s="23">
        <f t="shared" ref="H734" si="1110">E734-F734-G734</f>
        <v>1689</v>
      </c>
      <c r="I734" s="23">
        <f t="shared" ref="I734" si="1111">J734-J733</f>
        <v>5084</v>
      </c>
      <c r="J734" s="12">
        <v>3134774</v>
      </c>
      <c r="K734" s="23">
        <f t="shared" ref="K734" si="1112">J734-E734</f>
        <v>2559182</v>
      </c>
      <c r="L734" s="23">
        <f t="shared" ref="L734" si="1113">G734-G733</f>
        <v>239</v>
      </c>
      <c r="M734" s="14">
        <f t="shared" ref="M734" si="1114">F734/E734</f>
        <v>7.5921833520966242E-3</v>
      </c>
      <c r="N734" s="14">
        <f t="shared" ref="N734" si="1115">D734/I734</f>
        <v>3.0684500393391032E-2</v>
      </c>
      <c r="O734" s="24"/>
      <c r="P734" s="12"/>
      <c r="Q734" s="12"/>
      <c r="R734" s="23">
        <f t="shared" ref="R734" si="1116">F734+G734</f>
        <v>573903</v>
      </c>
      <c r="S734" s="25">
        <f>(((H734+R734)/(H733+R733))-1)+detalle!$D$1</f>
        <v>7.1699670212797689E-2</v>
      </c>
      <c r="T734" s="25">
        <f t="shared" ref="T734" si="1117">S734*14</f>
        <v>1.0037953829791677</v>
      </c>
      <c r="U734" s="10">
        <f t="shared" ref="U734" si="1118">G734/E734</f>
        <v>0.98947344646902669</v>
      </c>
      <c r="V734" s="21">
        <f t="shared" ref="V734" si="1119">G734/F734</f>
        <v>130.3279176201373</v>
      </c>
      <c r="W734" s="15">
        <f>J734/detalle!$D$2</f>
        <v>286005.98201599764</v>
      </c>
      <c r="X734" s="15">
        <f>E734/detalle!$D$2</f>
        <v>52515.031450609233</v>
      </c>
      <c r="Y734" s="15">
        <f>F734/detalle!$D$2</f>
        <v>398.70374751414602</v>
      </c>
      <c r="AA734" s="14">
        <f>E734/(detalle!$D$2*1000000)</f>
        <v>5.2515031450609227E-2</v>
      </c>
      <c r="AB734" s="14">
        <f>F734/(detalle!$D$2*1000000)</f>
        <v>3.9870374751414599E-4</v>
      </c>
      <c r="AC734" s="31">
        <f>30/585</f>
        <v>5.128205128205128E-2</v>
      </c>
      <c r="AD734" s="31">
        <f>142/2373</f>
        <v>5.9839865149599665E-2</v>
      </c>
      <c r="AE734" s="31">
        <f t="shared" si="1093"/>
        <v>5.3304904051172705E-2</v>
      </c>
      <c r="AF734" s="22">
        <f t="shared" ref="AF734" si="1120">F734-F733</f>
        <v>0</v>
      </c>
      <c r="AG734" s="12">
        <v>7135113</v>
      </c>
      <c r="AH734" s="12">
        <v>5862255</v>
      </c>
      <c r="AI734" s="12">
        <v>2227157</v>
      </c>
      <c r="AJ734" s="23">
        <f t="shared" si="1055"/>
        <v>30396</v>
      </c>
      <c r="AK734" s="23">
        <f t="shared" si="1108"/>
        <v>15224525</v>
      </c>
      <c r="AL734" s="28">
        <f>AK734/detalle!$D$2</f>
        <v>1389033.2200509848</v>
      </c>
    </row>
    <row r="735" spans="1:38">
      <c r="A735" s="12">
        <v>734</v>
      </c>
      <c r="B735" s="19">
        <v>44624</v>
      </c>
      <c r="C735" s="12">
        <v>714</v>
      </c>
      <c r="D735" s="23">
        <f t="shared" ref="D735" si="1121">E735-E734</f>
        <v>291</v>
      </c>
      <c r="E735" s="12">
        <v>575883</v>
      </c>
      <c r="F735" s="12">
        <v>4371</v>
      </c>
      <c r="G735" s="12">
        <v>569727</v>
      </c>
      <c r="H735" s="23">
        <f t="shared" ref="H735" si="1122">E735-F735-G735</f>
        <v>1785</v>
      </c>
      <c r="I735" s="23">
        <f t="shared" ref="I735" si="1123">J735-J734</f>
        <v>4422</v>
      </c>
      <c r="J735" s="12">
        <v>3139196</v>
      </c>
      <c r="K735" s="23">
        <f t="shared" ref="K735" si="1124">J735-E735</f>
        <v>2563313</v>
      </c>
      <c r="L735" s="23">
        <f t="shared" ref="L735" si="1125">G735-G734</f>
        <v>194</v>
      </c>
      <c r="M735" s="14">
        <f t="shared" ref="M735" si="1126">F735/E735</f>
        <v>7.5900834023577704E-3</v>
      </c>
      <c r="N735" s="14">
        <f t="shared" ref="N735" si="1127">D735/I735</f>
        <v>6.5807327001356858E-2</v>
      </c>
      <c r="O735" s="24"/>
      <c r="P735" s="12"/>
      <c r="Q735" s="12"/>
      <c r="R735" s="23">
        <f t="shared" ref="R735" si="1128">F735+G735</f>
        <v>574098</v>
      </c>
      <c r="S735" s="25">
        <f>(((H735+R735)/(H734+R734))-1)+detalle!$D$1</f>
        <v>7.1934137871468434E-2</v>
      </c>
      <c r="T735" s="25">
        <f t="shared" ref="T735" si="1129">S735*14</f>
        <v>1.0070779302005581</v>
      </c>
      <c r="U735" s="10">
        <f t="shared" ref="U735" si="1130">G735/E735</f>
        <v>0.98931032866050916</v>
      </c>
      <c r="V735" s="21">
        <f t="shared" ref="V735" si="1131">G735/F735</f>
        <v>130.34248455730955</v>
      </c>
      <c r="W735" s="15">
        <f>J735/detalle!$D$2</f>
        <v>286409.43006439751</v>
      </c>
      <c r="X735" s="15">
        <f>E735/detalle!$D$2</f>
        <v>52541.581288258341</v>
      </c>
      <c r="Y735" s="15">
        <f>F735/detalle!$D$2</f>
        <v>398.79498406964126</v>
      </c>
      <c r="AA735" s="14">
        <f>E735/(detalle!$D$2*1000000)</f>
        <v>5.2541581288258338E-2</v>
      </c>
      <c r="AB735" s="14">
        <f>F735/(detalle!$D$2*1000000)</f>
        <v>3.9879498406964121E-4</v>
      </c>
      <c r="AC735" s="31">
        <f>32/585</f>
        <v>5.4700854700854701E-2</v>
      </c>
      <c r="AD735" s="31">
        <f>136/2373</f>
        <v>5.7311420143278551E-2</v>
      </c>
      <c r="AE735" s="31">
        <f t="shared" si="1093"/>
        <v>5.3304904051172705E-2</v>
      </c>
      <c r="AF735" s="22">
        <f t="shared" ref="AF735" si="1132">F735-F734</f>
        <v>1</v>
      </c>
      <c r="AG735" s="12">
        <v>7135113</v>
      </c>
      <c r="AH735" s="12">
        <v>5862255</v>
      </c>
      <c r="AI735" s="12">
        <v>2227157</v>
      </c>
      <c r="AJ735" s="23">
        <f t="shared" ref="AJ735" si="1133">AK735-AK734</f>
        <v>0</v>
      </c>
      <c r="AK735" s="23">
        <f t="shared" ref="AK735" si="1134">AG735+AH735+AI735</f>
        <v>15224525</v>
      </c>
      <c r="AL735" s="28">
        <f>AK735/detalle!$D$2</f>
        <v>1389033.2200509848</v>
      </c>
    </row>
    <row r="736" spans="1:38">
      <c r="A736" s="12">
        <v>735</v>
      </c>
      <c r="B736" s="19">
        <v>44625</v>
      </c>
      <c r="C736" s="12">
        <v>715</v>
      </c>
      <c r="D736" s="23">
        <f t="shared" ref="D736" si="1135">E736-E735</f>
        <v>66</v>
      </c>
      <c r="E736" s="12">
        <v>575949</v>
      </c>
      <c r="F736" s="12">
        <v>4371</v>
      </c>
      <c r="G736" s="12">
        <v>570146</v>
      </c>
      <c r="H736" s="23">
        <f t="shared" ref="H736" si="1136">E736-F736-G736</f>
        <v>1432</v>
      </c>
      <c r="I736" s="23">
        <f t="shared" ref="I736" si="1137">J736-J735</f>
        <v>4652</v>
      </c>
      <c r="J736" s="12">
        <v>3143848</v>
      </c>
      <c r="K736" s="23">
        <f t="shared" ref="K736" si="1138">J736-E736</f>
        <v>2567899</v>
      </c>
      <c r="L736" s="23">
        <f t="shared" ref="L736" si="1139">G736-G735</f>
        <v>419</v>
      </c>
      <c r="M736" s="14">
        <f t="shared" ref="M736" si="1140">F736/E736</f>
        <v>7.5892136282900051E-3</v>
      </c>
      <c r="N736" s="14">
        <f t="shared" ref="N736" si="1141">D736/I736</f>
        <v>1.4187446259673258E-2</v>
      </c>
      <c r="O736" s="24"/>
      <c r="P736" s="12"/>
      <c r="Q736" s="12"/>
      <c r="R736" s="23">
        <f t="shared" ref="R736" si="1142">F736+G736</f>
        <v>574517</v>
      </c>
      <c r="S736" s="25">
        <f>(((H736+R736)/(H735+R735))-1)+detalle!$D$1</f>
        <v>7.1543178041372918E-2</v>
      </c>
      <c r="T736" s="25">
        <f t="shared" ref="T736" si="1143">S736*14</f>
        <v>1.0016044925792209</v>
      </c>
      <c r="U736" s="10">
        <f t="shared" ref="U736" si="1144">G736/E736</f>
        <v>0.9899244551166857</v>
      </c>
      <c r="V736" s="21">
        <f t="shared" ref="V736" si="1145">G736/F736</f>
        <v>130.4383436284603</v>
      </c>
      <c r="W736" s="15">
        <f>J736/detalle!$D$2</f>
        <v>286833.86252056132</v>
      </c>
      <c r="X736" s="15">
        <f>E736/detalle!$D$2</f>
        <v>52547.602900921025</v>
      </c>
      <c r="Y736" s="15">
        <f>F736/detalle!$D$2</f>
        <v>398.79498406964126</v>
      </c>
      <c r="AA736" s="14">
        <f>E736/(detalle!$D$2*1000000)</f>
        <v>5.2547602900921024E-2</v>
      </c>
      <c r="AB736" s="14">
        <f>F736/(detalle!$D$2*1000000)</f>
        <v>3.9879498406964121E-4</v>
      </c>
      <c r="AC736" s="31">
        <f>31/585</f>
        <v>5.2991452991452991E-2</v>
      </c>
      <c r="AD736" s="31">
        <f>135/2373</f>
        <v>5.6890012642225034E-2</v>
      </c>
      <c r="AE736" s="31">
        <f t="shared" si="1093"/>
        <v>5.3304904051172705E-2</v>
      </c>
      <c r="AF736" s="22">
        <f t="shared" ref="AF736" si="1146">F736-F735</f>
        <v>0</v>
      </c>
      <c r="AG736" s="12">
        <v>7135113</v>
      </c>
      <c r="AH736" s="12">
        <v>5862255</v>
      </c>
      <c r="AI736" s="12">
        <v>2227157</v>
      </c>
      <c r="AJ736" s="23">
        <f t="shared" ref="AJ736" si="1147">AK736-AK735</f>
        <v>0</v>
      </c>
      <c r="AK736" s="23">
        <f t="shared" ref="AK736" si="1148">AG736+AH736+AI736</f>
        <v>15224525</v>
      </c>
      <c r="AL736" s="28">
        <f>AK736/detalle!$D$2</f>
        <v>1389033.2200509848</v>
      </c>
    </row>
    <row r="737" spans="1:38">
      <c r="A737" s="12">
        <v>736</v>
      </c>
      <c r="B737" s="19">
        <v>44626</v>
      </c>
      <c r="C737" s="12">
        <v>716</v>
      </c>
      <c r="D737" s="23">
        <f t="shared" ref="D737" si="1149">E737-E736</f>
        <v>54</v>
      </c>
      <c r="E737" s="12">
        <v>576003</v>
      </c>
      <c r="F737" s="12">
        <v>4371</v>
      </c>
      <c r="G737" s="12">
        <v>570253</v>
      </c>
      <c r="H737" s="23">
        <f t="shared" ref="H737" si="1150">E737-F737-G737</f>
        <v>1379</v>
      </c>
      <c r="I737" s="23">
        <f t="shared" ref="I737" si="1151">J737-J736</f>
        <v>5001</v>
      </c>
      <c r="J737" s="12">
        <v>3148849</v>
      </c>
      <c r="K737" s="23">
        <f t="shared" ref="K737" si="1152">J737-E737</f>
        <v>2572846</v>
      </c>
      <c r="L737" s="23">
        <f t="shared" ref="L737:L738" si="1153">G737-G736</f>
        <v>107</v>
      </c>
      <c r="M737" s="14">
        <f t="shared" ref="M737" si="1154">F737/E737</f>
        <v>7.5885021432180039E-3</v>
      </c>
      <c r="N737" s="14">
        <f t="shared" ref="N737" si="1155">D737/I737</f>
        <v>1.0797840431913617E-2</v>
      </c>
      <c r="O737" s="24"/>
      <c r="P737" s="12"/>
      <c r="Q737" s="12"/>
      <c r="R737" s="23">
        <f t="shared" ref="R737" si="1156">F737+G737</f>
        <v>574624</v>
      </c>
      <c r="S737" s="25">
        <f>(((H737+R737)/(H736+R736))-1)+detalle!$D$1</f>
        <v>7.1522329730087791E-2</v>
      </c>
      <c r="T737" s="25">
        <f t="shared" ref="T737" si="1157">S737*14</f>
        <v>1.0013126162212291</v>
      </c>
      <c r="U737" s="10">
        <f t="shared" ref="U737" si="1158">G737/E737</f>
        <v>0.99001741310375124</v>
      </c>
      <c r="V737" s="21">
        <f t="shared" ref="V737" si="1159">G737/F737</f>
        <v>130.46282315259666</v>
      </c>
      <c r="W737" s="15">
        <f>J737/detalle!$D$2</f>
        <v>287290.13653459295</v>
      </c>
      <c r="X737" s="15">
        <f>E737/detalle!$D$2</f>
        <v>52552.529674917765</v>
      </c>
      <c r="Y737" s="15">
        <f>F737/detalle!$D$2</f>
        <v>398.79498406964126</v>
      </c>
      <c r="AA737" s="14">
        <f>E737/(detalle!$D$2*1000000)</f>
        <v>5.2552529674917768E-2</v>
      </c>
      <c r="AB737" s="14">
        <f>F737/(detalle!$D$2*1000000)</f>
        <v>3.9879498406964121E-4</v>
      </c>
      <c r="AC737" s="31">
        <f>29/585</f>
        <v>4.957264957264957E-2</v>
      </c>
      <c r="AD737" s="31">
        <f>137/2373</f>
        <v>5.7732827644332067E-2</v>
      </c>
      <c r="AE737" s="31">
        <f>29/469</f>
        <v>6.1833688699360338E-2</v>
      </c>
      <c r="AF737" s="22">
        <f t="shared" ref="AF737" si="1160">F737-F736</f>
        <v>0</v>
      </c>
      <c r="AG737" s="12">
        <v>7139986</v>
      </c>
      <c r="AH737" s="12">
        <v>5864471</v>
      </c>
      <c r="AI737" s="12">
        <v>2233771</v>
      </c>
      <c r="AJ737" s="23">
        <f t="shared" ref="AJ737" si="1161">AK737-AK736</f>
        <v>13703</v>
      </c>
      <c r="AK737" s="23">
        <f t="shared" ref="AK737" si="1162">AG737+AH737+AI737</f>
        <v>15238228</v>
      </c>
      <c r="AL737" s="28">
        <f>AK737/detalle!$D$2</f>
        <v>1390283.434570936</v>
      </c>
    </row>
    <row r="738" spans="1:38">
      <c r="A738" s="12">
        <v>737</v>
      </c>
      <c r="B738" s="19">
        <v>44627</v>
      </c>
      <c r="C738" s="12">
        <v>717</v>
      </c>
      <c r="D738" s="23">
        <f t="shared" ref="D738" si="1163">E738-E737</f>
        <v>126</v>
      </c>
      <c r="E738" s="12">
        <v>576129</v>
      </c>
      <c r="F738" s="12">
        <v>4371</v>
      </c>
      <c r="G738" s="12">
        <v>570784</v>
      </c>
      <c r="H738" s="23">
        <f t="shared" ref="H738" si="1164">E738-F738-G738</f>
        <v>974</v>
      </c>
      <c r="I738" s="23">
        <f t="shared" ref="I738" si="1165">J738-J737</f>
        <v>3266</v>
      </c>
      <c r="J738" s="12">
        <v>3152115</v>
      </c>
      <c r="K738" s="23">
        <f t="shared" ref="K738" si="1166">J738-E738</f>
        <v>2575986</v>
      </c>
      <c r="L738" s="23">
        <f t="shared" si="1153"/>
        <v>531</v>
      </c>
      <c r="M738" s="14">
        <f t="shared" ref="M738" si="1167">F738/E738</f>
        <v>7.5868425300583721E-3</v>
      </c>
      <c r="N738" s="14">
        <f t="shared" ref="N738" si="1168">D738/I738</f>
        <v>3.8579301898346602E-2</v>
      </c>
      <c r="O738" s="24"/>
      <c r="P738" s="12"/>
      <c r="Q738" s="12"/>
      <c r="R738" s="23">
        <f t="shared" ref="R738" si="1169">F738+G738</f>
        <v>575155</v>
      </c>
      <c r="S738" s="25">
        <f>(((H738+R738)/(H737+R737))-1)+detalle!$D$1</f>
        <v>7.1647320289254496E-2</v>
      </c>
      <c r="T738" s="25">
        <f t="shared" ref="T738" si="1170">S738*14</f>
        <v>1.003062484049563</v>
      </c>
      <c r="U738" s="10">
        <f t="shared" ref="U738" si="1171">G738/E738</f>
        <v>0.99072256387024438</v>
      </c>
      <c r="V738" s="21">
        <f t="shared" ref="V738" si="1172">G738/F738</f>
        <v>130.58430565088079</v>
      </c>
      <c r="W738" s="15">
        <f>J738/detalle!$D$2</f>
        <v>287588.11512484035</v>
      </c>
      <c r="X738" s="15">
        <f>E738/detalle!$D$2</f>
        <v>52564.025480910168</v>
      </c>
      <c r="Y738" s="15">
        <f>F738/detalle!$D$2</f>
        <v>398.79498406964126</v>
      </c>
      <c r="AA738" s="14">
        <f>E738/(detalle!$D$2*1000000)</f>
        <v>5.2564025480910166E-2</v>
      </c>
      <c r="AB738" s="14">
        <f>F738/(detalle!$D$2*1000000)</f>
        <v>3.9879498406964121E-4</v>
      </c>
      <c r="AC738" s="31">
        <f>30/585</f>
        <v>5.128205128205128E-2</v>
      </c>
      <c r="AD738" s="31">
        <f>127/2373</f>
        <v>5.3518752633796879E-2</v>
      </c>
      <c r="AE738" s="31">
        <f>25/469</f>
        <v>5.3304904051172705E-2</v>
      </c>
      <c r="AF738" s="22">
        <f t="shared" ref="AF738" si="1173">F738-F737</f>
        <v>0</v>
      </c>
      <c r="AG738" s="12">
        <v>7143259</v>
      </c>
      <c r="AH738" s="12">
        <v>5865672</v>
      </c>
      <c r="AI738" s="12">
        <v>2237699</v>
      </c>
      <c r="AJ738" s="23">
        <f>AK738-AK737</f>
        <v>8402</v>
      </c>
      <c r="AK738" s="23">
        <f t="shared" ref="AK738" si="1174">AG738+AH738+AI738</f>
        <v>15246630</v>
      </c>
      <c r="AL738" s="28">
        <f>AK738/detalle!$D$2</f>
        <v>1391050.0041102068</v>
      </c>
    </row>
    <row r="739" spans="1:38">
      <c r="A739" s="12">
        <v>738</v>
      </c>
      <c r="B739" s="19">
        <v>44628</v>
      </c>
      <c r="C739" s="12">
        <v>718</v>
      </c>
      <c r="D739" s="23">
        <f t="shared" ref="D739" si="1175">E739-E738</f>
        <v>91</v>
      </c>
      <c r="E739" s="12">
        <v>576220</v>
      </c>
      <c r="F739" s="12">
        <v>4372</v>
      </c>
      <c r="G739" s="12">
        <v>571339</v>
      </c>
      <c r="H739" s="23">
        <f t="shared" ref="H739" si="1176">E739-F739-G739</f>
        <v>509</v>
      </c>
      <c r="I739" s="23">
        <f t="shared" ref="I739" si="1177">J739-J738</f>
        <v>2390</v>
      </c>
      <c r="J739" s="12">
        <v>3154505</v>
      </c>
      <c r="K739" s="23">
        <f t="shared" ref="K739" si="1178">J739-E739</f>
        <v>2578285</v>
      </c>
      <c r="L739" s="23">
        <f t="shared" ref="L739" si="1179">G739-G738</f>
        <v>555</v>
      </c>
      <c r="M739" s="14">
        <f t="shared" ref="M739" si="1180">F739/E739</f>
        <v>7.5873798202075599E-3</v>
      </c>
      <c r="N739" s="14">
        <f t="shared" ref="N739" si="1181">D739/I739</f>
        <v>3.8075313807531382E-2</v>
      </c>
      <c r="O739" s="24"/>
      <c r="P739" s="12"/>
      <c r="Q739" s="12"/>
      <c r="R739" s="23">
        <f t="shared" ref="R739" si="1182">F739+G739</f>
        <v>575711</v>
      </c>
      <c r="S739" s="25">
        <f>(((H739+R739)/(H738+R738))-1)+detalle!$D$1</f>
        <v>7.1586522165298733E-2</v>
      </c>
      <c r="T739" s="25">
        <f t="shared" ref="T739" si="1183">S739*14</f>
        <v>1.0022113103141823</v>
      </c>
      <c r="U739" s="10">
        <f t="shared" ref="U739" si="1184">G739/E739</f>
        <v>0.99152927701225224</v>
      </c>
      <c r="V739" s="21">
        <f t="shared" ref="V739" si="1185">G739/F739</f>
        <v>130.68138151875573</v>
      </c>
      <c r="W739" s="15">
        <f>J739/detalle!$D$2</f>
        <v>287806.17049247393</v>
      </c>
      <c r="X739" s="15">
        <f>E739/detalle!$D$2</f>
        <v>52572.32800746023</v>
      </c>
      <c r="Y739" s="15">
        <f>F739/detalle!$D$2</f>
        <v>398.88622062513645</v>
      </c>
      <c r="AA739" s="14">
        <f>E739/(detalle!$D$2*1000000)</f>
        <v>5.2572328007460228E-2</v>
      </c>
      <c r="AB739" s="14">
        <f>F739/(detalle!$D$2*1000000)</f>
        <v>3.9888622062513648E-4</v>
      </c>
      <c r="AC739" s="31">
        <f>29/585</f>
        <v>4.957264957264957E-2</v>
      </c>
      <c r="AD739" s="31">
        <f>129/2373</f>
        <v>5.4361567635903919E-2</v>
      </c>
      <c r="AE739" s="31">
        <f>24/469</f>
        <v>5.1172707889125799E-2</v>
      </c>
      <c r="AF739" s="22">
        <f t="shared" ref="AF739" si="1186">F739-F738</f>
        <v>1</v>
      </c>
      <c r="AG739" s="12">
        <v>7143259</v>
      </c>
      <c r="AH739" s="12">
        <v>5865672</v>
      </c>
      <c r="AI739" s="12">
        <v>2237699</v>
      </c>
      <c r="AJ739" s="23">
        <f>AK739-AK738</f>
        <v>0</v>
      </c>
      <c r="AK739" s="23">
        <f t="shared" ref="AK739" si="1187">AG739+AH739+AI739</f>
        <v>15246630</v>
      </c>
      <c r="AL739" s="28">
        <f>AK739/detalle!$D$2</f>
        <v>1391050.0041102068</v>
      </c>
    </row>
    <row r="740" spans="1:38">
      <c r="A740" s="12">
        <v>739</v>
      </c>
      <c r="B740" s="19">
        <v>44629</v>
      </c>
      <c r="C740" s="12">
        <v>719</v>
      </c>
      <c r="D740" s="23">
        <f t="shared" ref="D740" si="1188">E740-E739</f>
        <v>81</v>
      </c>
      <c r="E740" s="12">
        <v>576301</v>
      </c>
      <c r="F740" s="12">
        <v>4374</v>
      </c>
      <c r="G740" s="12">
        <v>571538</v>
      </c>
      <c r="H740" s="23">
        <f t="shared" ref="H740" si="1189">E740-F740-G740</f>
        <v>389</v>
      </c>
      <c r="I740" s="23">
        <f t="shared" ref="I740" si="1190">J740-J739</f>
        <v>2256</v>
      </c>
      <c r="J740" s="12">
        <v>3156761</v>
      </c>
      <c r="K740" s="23">
        <f t="shared" ref="K740" si="1191">J740-E740</f>
        <v>2580460</v>
      </c>
      <c r="L740" s="23">
        <f t="shared" ref="L740" si="1192">G740-G739</f>
        <v>199</v>
      </c>
      <c r="M740" s="14">
        <f t="shared" ref="M740" si="1193">F740/E740</f>
        <v>7.5897838108904894E-3</v>
      </c>
      <c r="N740" s="14">
        <f t="shared" ref="N740" si="1194">D740/I740</f>
        <v>3.5904255319148939E-2</v>
      </c>
      <c r="O740" s="24"/>
      <c r="P740" s="12"/>
      <c r="Q740" s="12"/>
      <c r="R740" s="23">
        <f t="shared" ref="R740" si="1195">F740+G740</f>
        <v>575912</v>
      </c>
      <c r="S740" s="25">
        <f>(((H740+R740)/(H739+R739))-1)+detalle!$D$1</f>
        <v>7.1569142738140662E-2</v>
      </c>
      <c r="T740" s="25">
        <f t="shared" ref="T740" si="1196">S740*14</f>
        <v>1.0019679983339693</v>
      </c>
      <c r="U740" s="10">
        <f t="shared" ref="U740" si="1197">G740/E740</f>
        <v>0.99173522169838335</v>
      </c>
      <c r="V740" s="21">
        <f t="shared" ref="V740" si="1198">G740/F740</f>
        <v>130.66712391403749</v>
      </c>
      <c r="W740" s="15">
        <f>J740/detalle!$D$2</f>
        <v>288012.0001616712</v>
      </c>
      <c r="X740" s="15">
        <f>E740/detalle!$D$2</f>
        <v>52579.718168455343</v>
      </c>
      <c r="Y740" s="15">
        <f>F740/detalle!$D$2</f>
        <v>399.06869373612693</v>
      </c>
      <c r="AA740" s="14">
        <f>E740/(detalle!$D$2*1000000)</f>
        <v>5.2579718168455344E-2</v>
      </c>
      <c r="AB740" s="14">
        <f>F740/(detalle!$D$2*1000000)</f>
        <v>3.990686937361269E-4</v>
      </c>
      <c r="AC740" s="31">
        <f>30/585</f>
        <v>5.128205128205128E-2</v>
      </c>
      <c r="AD740" s="31">
        <f>129/2373</f>
        <v>5.4361567635903919E-2</v>
      </c>
      <c r="AE740" s="31">
        <f>24/469</f>
        <v>5.1172707889125799E-2</v>
      </c>
      <c r="AF740" s="22">
        <f t="shared" ref="AF740" si="1199">F740-F739</f>
        <v>2</v>
      </c>
      <c r="AG740" s="12">
        <v>7146596</v>
      </c>
      <c r="AH740" s="12">
        <v>5866945</v>
      </c>
      <c r="AI740" s="12">
        <v>2241737</v>
      </c>
      <c r="AJ740" s="23">
        <f t="shared" ref="AJ740" si="1200">AK740-AK739</f>
        <v>8648</v>
      </c>
      <c r="AK740" s="23">
        <f t="shared" ref="AK740" si="1201">AG740+AH740+AI740</f>
        <v>15255278</v>
      </c>
      <c r="AL740" s="28">
        <f>AK740/detalle!$D$2</f>
        <v>1391839.0178421296</v>
      </c>
    </row>
    <row r="741" spans="1:38">
      <c r="A741" s="12">
        <v>740</v>
      </c>
      <c r="B741" s="19">
        <v>44630</v>
      </c>
      <c r="C741" s="12">
        <v>720</v>
      </c>
      <c r="D741" s="23">
        <f t="shared" ref="D741:D746" si="1202">E741-E740</f>
        <v>66</v>
      </c>
      <c r="E741" s="12">
        <v>576367</v>
      </c>
      <c r="F741" s="12">
        <v>4374</v>
      </c>
      <c r="G741" s="12">
        <v>571656</v>
      </c>
      <c r="H741" s="23">
        <f t="shared" ref="H741" si="1203">E741-F741-G741</f>
        <v>337</v>
      </c>
      <c r="I741" s="23">
        <f t="shared" ref="I741" si="1204">J741-J740</f>
        <v>1629</v>
      </c>
      <c r="J741" s="12">
        <v>3158390</v>
      </c>
      <c r="K741" s="23">
        <f t="shared" ref="K741" si="1205">J741-E741</f>
        <v>2582023</v>
      </c>
      <c r="L741" s="23">
        <f t="shared" ref="L741" si="1206">G741-G740</f>
        <v>118</v>
      </c>
      <c r="M741" s="14">
        <f t="shared" ref="M741" si="1207">F741/E741</f>
        <v>7.5889147019173545E-3</v>
      </c>
      <c r="N741" s="14">
        <f t="shared" ref="N741" si="1208">D741/I741</f>
        <v>4.0515653775322284E-2</v>
      </c>
      <c r="O741" s="24"/>
      <c r="P741" s="12"/>
      <c r="Q741" s="12"/>
      <c r="R741" s="23">
        <f t="shared" ref="R741" si="1209">F741+G741</f>
        <v>576030</v>
      </c>
      <c r="S741" s="25">
        <f>(((H741+R741)/(H740+R740))-1)+detalle!$D$1</f>
        <v>7.15430949154299E-2</v>
      </c>
      <c r="T741" s="25">
        <f t="shared" ref="T741" si="1210">S741*14</f>
        <v>1.0016033288160187</v>
      </c>
      <c r="U741" s="10">
        <f t="shared" ref="U741" si="1211">G741/E741</f>
        <v>0.99182638839489423</v>
      </c>
      <c r="V741" s="21">
        <f t="shared" ref="V741" si="1212">G741/F741</f>
        <v>130.69410150891633</v>
      </c>
      <c r="W741" s="15">
        <f>J741/detalle!$D$2</f>
        <v>288160.62451057293</v>
      </c>
      <c r="X741" s="15">
        <f>E741/detalle!$D$2</f>
        <v>52585.739781118027</v>
      </c>
      <c r="Y741" s="15">
        <f>F741/detalle!$D$2</f>
        <v>399.06869373612693</v>
      </c>
      <c r="AA741" s="14">
        <f>E741/(detalle!$D$2*1000000)</f>
        <v>5.2585739781118031E-2</v>
      </c>
      <c r="AB741" s="14">
        <f>F741/(detalle!$D$2*1000000)</f>
        <v>3.990686937361269E-4</v>
      </c>
      <c r="AC741" s="31">
        <f>29/585</f>
        <v>4.957264957264957E-2</v>
      </c>
      <c r="AD741" s="31">
        <f>135/2373</f>
        <v>5.6890012642225034E-2</v>
      </c>
      <c r="AE741" s="31">
        <f>26/469</f>
        <v>5.5437100213219619E-2</v>
      </c>
      <c r="AF741" s="22">
        <f t="shared" ref="AF741" si="1213">F741-F740</f>
        <v>0</v>
      </c>
      <c r="AG741" s="12">
        <v>7152918</v>
      </c>
      <c r="AH741" s="12">
        <v>5870014</v>
      </c>
      <c r="AI741" s="12">
        <v>2250868</v>
      </c>
      <c r="AJ741" s="23">
        <f t="shared" ref="AJ741" si="1214">AK741-AK740</f>
        <v>18522</v>
      </c>
      <c r="AK741" s="23">
        <f t="shared" ref="AK741" si="1215">AG741+AH741+AI741</f>
        <v>15273800</v>
      </c>
      <c r="AL741" s="28">
        <f>AK741/detalle!$D$2</f>
        <v>1393528.9013230123</v>
      </c>
    </row>
    <row r="742" spans="1:38">
      <c r="A742" s="12">
        <v>741</v>
      </c>
      <c r="B742" s="19">
        <v>44631</v>
      </c>
      <c r="C742" s="12">
        <v>721</v>
      </c>
      <c r="D742" s="23">
        <f t="shared" si="1202"/>
        <v>127</v>
      </c>
      <c r="E742" s="12">
        <v>576494</v>
      </c>
      <c r="F742" s="12">
        <v>4374</v>
      </c>
      <c r="G742" s="12">
        <v>571751</v>
      </c>
      <c r="H742" s="23">
        <f t="shared" ref="H742" si="1216">E742-F742-G742</f>
        <v>369</v>
      </c>
      <c r="I742" s="23">
        <f t="shared" ref="I742" si="1217">J742-J741</f>
        <v>4481</v>
      </c>
      <c r="J742" s="12">
        <v>3162871</v>
      </c>
      <c r="K742" s="23">
        <f t="shared" ref="K742" si="1218">J742-E742</f>
        <v>2586377</v>
      </c>
      <c r="L742" s="23">
        <f t="shared" ref="L742" si="1219">G742-G741</f>
        <v>95</v>
      </c>
      <c r="M742" s="14">
        <f t="shared" ref="M742" si="1220">F742/E742</f>
        <v>7.5872428854419994E-3</v>
      </c>
      <c r="N742" s="14">
        <f t="shared" ref="N742" si="1221">D742/I742</f>
        <v>2.8341887971434946E-2</v>
      </c>
      <c r="O742" s="24"/>
      <c r="P742" s="12"/>
      <c r="Q742" s="12"/>
      <c r="R742" s="23">
        <f t="shared" ref="R742" si="1222">F742+G742</f>
        <v>576125</v>
      </c>
      <c r="S742" s="25">
        <f>(((H742+R742)/(H741+R741))-1)+detalle!$D$1</f>
        <v>7.1648917145796825E-2</v>
      </c>
      <c r="T742" s="25">
        <f t="shared" ref="T742" si="1223">S742*14</f>
        <v>1.0030848400411556</v>
      </c>
      <c r="U742" s="10">
        <f t="shared" ref="U742" si="1224">G742/E742</f>
        <v>0.99177268106866678</v>
      </c>
      <c r="V742" s="21">
        <f t="shared" ref="V742" si="1225">G742/F742</f>
        <v>130.71582075903063</v>
      </c>
      <c r="W742" s="15">
        <f>J742/detalle!$D$2</f>
        <v>288569.45551574702</v>
      </c>
      <c r="X742" s="15">
        <f>E742/detalle!$D$2</f>
        <v>52597.326823665928</v>
      </c>
      <c r="Y742" s="15">
        <f>F742/detalle!$D$2</f>
        <v>399.06869373612693</v>
      </c>
      <c r="AA742" s="14">
        <f>E742/(detalle!$D$2*1000000)</f>
        <v>5.259732682366592E-2</v>
      </c>
      <c r="AB742" s="14">
        <f>F742/(detalle!$D$2*1000000)</f>
        <v>3.990686937361269E-4</v>
      </c>
      <c r="AC742" s="31">
        <f>30/585</f>
        <v>5.128205128205128E-2</v>
      </c>
      <c r="AD742" s="31">
        <f>129/2373</f>
        <v>5.4361567635903919E-2</v>
      </c>
      <c r="AE742" s="31">
        <f>24/469</f>
        <v>5.1172707889125799E-2</v>
      </c>
      <c r="AF742" s="22">
        <f t="shared" ref="AF742" si="1226">F742-F741</f>
        <v>0</v>
      </c>
      <c r="AG742" s="12">
        <v>7152918</v>
      </c>
      <c r="AH742" s="12">
        <v>5870014</v>
      </c>
      <c r="AI742" s="12">
        <v>2250868</v>
      </c>
      <c r="AJ742" s="23">
        <f t="shared" ref="AJ742" si="1227">AK742-AK741</f>
        <v>0</v>
      </c>
      <c r="AK742" s="23">
        <f t="shared" ref="AK742" si="1228">AG742+AH742+AI742</f>
        <v>15273800</v>
      </c>
      <c r="AL742" s="28">
        <f>AK742/detalle!$D$2</f>
        <v>1393528.9013230123</v>
      </c>
    </row>
    <row r="743" spans="1:38">
      <c r="A743" s="12">
        <v>742</v>
      </c>
      <c r="B743" s="19">
        <v>44632</v>
      </c>
      <c r="C743" s="12">
        <v>722</v>
      </c>
      <c r="D743" s="23">
        <f t="shared" si="1202"/>
        <v>147</v>
      </c>
      <c r="E743" s="12">
        <v>576641</v>
      </c>
      <c r="F743" s="12">
        <v>4374</v>
      </c>
      <c r="G743" s="12">
        <v>571897</v>
      </c>
      <c r="H743" s="23">
        <f t="shared" ref="H743" si="1229">E743-F743-G743</f>
        <v>370</v>
      </c>
      <c r="I743" s="23">
        <f t="shared" ref="I743" si="1230">J743-J742</f>
        <v>4165</v>
      </c>
      <c r="J743" s="12">
        <v>3167036</v>
      </c>
      <c r="K743" s="23">
        <f t="shared" ref="K743" si="1231">J743-E743</f>
        <v>2590395</v>
      </c>
      <c r="L743" s="23">
        <f t="shared" ref="L743" si="1232">G743-G742</f>
        <v>146</v>
      </c>
      <c r="M743" s="14">
        <f t="shared" ref="M743" si="1233">F743/E743</f>
        <v>7.5853087102720753E-3</v>
      </c>
      <c r="N743" s="14">
        <f t="shared" ref="N743" si="1234">D743/I743</f>
        <v>3.5294117647058823E-2</v>
      </c>
      <c r="O743" s="24"/>
      <c r="P743" s="12"/>
      <c r="Q743" s="12"/>
      <c r="R743" s="23">
        <f t="shared" ref="R743" si="1235">F743+G743</f>
        <v>576271</v>
      </c>
      <c r="S743" s="25">
        <f>(((H743+R743)/(H742+R742))-1)+detalle!$D$1</f>
        <v>7.1683561072869467E-2</v>
      </c>
      <c r="T743" s="25">
        <f t="shared" ref="T743" si="1236">S743*14</f>
        <v>1.0035698550201726</v>
      </c>
      <c r="U743" s="10">
        <f t="shared" ref="U743" si="1237">G743/E743</f>
        <v>0.99177304423376067</v>
      </c>
      <c r="V743" s="21">
        <f t="shared" ref="V743" si="1238">G743/F743</f>
        <v>130.74919981710104</v>
      </c>
      <c r="W743" s="15">
        <f>J743/detalle!$D$2</f>
        <v>288949.45576938463</v>
      </c>
      <c r="X743" s="15">
        <f>E743/detalle!$D$2</f>
        <v>52610.738597323725</v>
      </c>
      <c r="Y743" s="15">
        <f>F743/detalle!$D$2</f>
        <v>399.06869373612693</v>
      </c>
      <c r="AA743" s="14">
        <f>E743/(detalle!$D$2*1000000)</f>
        <v>5.2610738597323722E-2</v>
      </c>
      <c r="AB743" s="14">
        <f>F743/(detalle!$D$2*1000000)</f>
        <v>3.990686937361269E-4</v>
      </c>
      <c r="AC743" s="31">
        <f>31/585</f>
        <v>5.2991452991452991E-2</v>
      </c>
      <c r="AD743" s="31">
        <f>130/2373</f>
        <v>5.4782975136957436E-2</v>
      </c>
      <c r="AE743" s="31">
        <f>25/469</f>
        <v>5.3304904051172705E-2</v>
      </c>
      <c r="AF743" s="22">
        <f t="shared" ref="AF743" si="1239">F743-F742</f>
        <v>0</v>
      </c>
      <c r="AG743" s="12">
        <v>7155130</v>
      </c>
      <c r="AH743" s="12">
        <v>5871320</v>
      </c>
      <c r="AI743" s="12">
        <v>2254862</v>
      </c>
      <c r="AJ743" s="23">
        <f t="shared" ref="AJ743" si="1240">AK743-AK742</f>
        <v>7512</v>
      </c>
      <c r="AK743" s="23">
        <f t="shared" ref="AK743" si="1241">AG743+AH743+AI743</f>
        <v>15281312</v>
      </c>
      <c r="AL743" s="28">
        <f>AK743/detalle!$D$2</f>
        <v>1394214.2703278924</v>
      </c>
    </row>
    <row r="744" spans="1:38">
      <c r="A744" s="12">
        <v>743</v>
      </c>
      <c r="B744" s="19">
        <v>44633</v>
      </c>
      <c r="C744" s="12">
        <v>723</v>
      </c>
      <c r="D744" s="23">
        <f t="shared" si="1202"/>
        <v>57</v>
      </c>
      <c r="E744" s="12">
        <v>576698</v>
      </c>
      <c r="F744" s="12">
        <v>4374</v>
      </c>
      <c r="G744" s="12">
        <v>572006</v>
      </c>
      <c r="H744" s="23">
        <f t="shared" ref="H744" si="1242">E744-F744-G744</f>
        <v>318</v>
      </c>
      <c r="I744" s="23">
        <f t="shared" ref="I744" si="1243">J744-J743</f>
        <v>3506</v>
      </c>
      <c r="J744" s="12">
        <v>3170542</v>
      </c>
      <c r="K744" s="23">
        <f t="shared" ref="K744" si="1244">J744-E744</f>
        <v>2593844</v>
      </c>
      <c r="L744" s="23">
        <f t="shared" ref="L744" si="1245">G744-G743</f>
        <v>109</v>
      </c>
      <c r="M744" s="14">
        <f t="shared" ref="M744" si="1246">F744/E744</f>
        <v>7.5845589892803511E-3</v>
      </c>
      <c r="N744" s="14">
        <f t="shared" ref="N744" si="1247">D744/I744</f>
        <v>1.6257843696520252E-2</v>
      </c>
      <c r="O744" s="24"/>
      <c r="P744" s="12"/>
      <c r="Q744" s="12"/>
      <c r="R744" s="23">
        <f t="shared" ref="R744" si="1248">F744+G744</f>
        <v>576380</v>
      </c>
      <c r="S744" s="25">
        <f>(((H744+R744)/(H743+R743))-1)+detalle!$D$1</f>
        <v>7.1527419758814964E-2</v>
      </c>
      <c r="T744" s="25">
        <f t="shared" ref="T744" si="1249">S744*14</f>
        <v>1.0013838766234096</v>
      </c>
      <c r="U744" s="10">
        <f t="shared" ref="U744" si="1250">G744/E744</f>
        <v>0.99186402588529876</v>
      </c>
      <c r="V744" s="21">
        <f t="shared" ref="V744" si="1251">G744/F744</f>
        <v>130.77411979881117</v>
      </c>
      <c r="W744" s="15">
        <f>J744/detalle!$D$2</f>
        <v>289269.3311329509</v>
      </c>
      <c r="X744" s="15">
        <f>E744/detalle!$D$2</f>
        <v>52615.939080986951</v>
      </c>
      <c r="Y744" s="15">
        <f>F744/detalle!$D$2</f>
        <v>399.06869373612693</v>
      </c>
      <c r="AA744" s="14">
        <f>E744/(detalle!$D$2*1000000)</f>
        <v>5.2615939080986947E-2</v>
      </c>
      <c r="AB744" s="14">
        <f>F744/(detalle!$D$2*1000000)</f>
        <v>3.990686937361269E-4</v>
      </c>
      <c r="AC744" s="31">
        <f>30/585</f>
        <v>5.128205128205128E-2</v>
      </c>
      <c r="AD744" s="31">
        <f>125/2373</f>
        <v>5.2675937631689845E-2</v>
      </c>
      <c r="AE744" s="31">
        <f>20/469</f>
        <v>4.2643923240938165E-2</v>
      </c>
      <c r="AF744" s="22">
        <f t="shared" ref="AF744" si="1252">F744-F743</f>
        <v>0</v>
      </c>
      <c r="AG744" s="12">
        <v>7155942</v>
      </c>
      <c r="AH744" s="12">
        <v>5871851</v>
      </c>
      <c r="AI744" s="12">
        <v>2256290</v>
      </c>
      <c r="AJ744" s="23">
        <f t="shared" ref="AJ744" si="1253">AK744-AK743</f>
        <v>2771</v>
      </c>
      <c r="AK744" s="23">
        <f t="shared" ref="AK744" si="1254">AG744+AH744+AI744</f>
        <v>15284083</v>
      </c>
      <c r="AL744" s="28">
        <f>AK744/detalle!$D$2</f>
        <v>1394467.0868231696</v>
      </c>
    </row>
    <row r="745" spans="1:38">
      <c r="A745" s="12">
        <v>744</v>
      </c>
      <c r="B745" s="19">
        <v>44634</v>
      </c>
      <c r="C745" s="12">
        <v>724</v>
      </c>
      <c r="D745" s="23">
        <f t="shared" si="1202"/>
        <v>90</v>
      </c>
      <c r="E745" s="12">
        <v>576788</v>
      </c>
      <c r="F745" s="12">
        <v>4374</v>
      </c>
      <c r="G745" s="12">
        <v>572028</v>
      </c>
      <c r="H745" s="23">
        <f t="shared" ref="H745" si="1255">E745-F745-G745</f>
        <v>386</v>
      </c>
      <c r="I745" s="23">
        <f t="shared" ref="I745" si="1256">J745-J744</f>
        <v>4382</v>
      </c>
      <c r="J745" s="12">
        <v>3174924</v>
      </c>
      <c r="K745" s="23">
        <f t="shared" ref="K745" si="1257">J745-E745</f>
        <v>2598136</v>
      </c>
      <c r="L745" s="23">
        <f t="shared" ref="L745" si="1258">G745-G744</f>
        <v>22</v>
      </c>
      <c r="M745" s="14">
        <f t="shared" ref="M745" si="1259">F745/E745</f>
        <v>7.5833755209886479E-3</v>
      </c>
      <c r="N745" s="14">
        <f t="shared" ref="N745" si="1260">D745/I745</f>
        <v>2.0538566864445457E-2</v>
      </c>
      <c r="O745" s="24"/>
      <c r="P745" s="12"/>
      <c r="Q745" s="12"/>
      <c r="R745" s="23">
        <f t="shared" ref="R745" si="1261">F745+G745</f>
        <v>576402</v>
      </c>
      <c r="S745" s="25">
        <f>(((H745+R745)/(H744+R744))-1)+detalle!$D$1</f>
        <v>7.1584632313124424E-2</v>
      </c>
      <c r="T745" s="25">
        <f t="shared" ref="T745" si="1262">S745*14</f>
        <v>1.002184852383742</v>
      </c>
      <c r="U745" s="10">
        <f t="shared" ref="U745" si="1263">G745/E745</f>
        <v>0.99174740112485005</v>
      </c>
      <c r="V745" s="21">
        <f t="shared" ref="V745" si="1264">G745/F745</f>
        <v>130.77914951989027</v>
      </c>
      <c r="W745" s="15">
        <f>J745/detalle!$D$2</f>
        <v>289669.12971913099</v>
      </c>
      <c r="X745" s="15">
        <f>E745/detalle!$D$2</f>
        <v>52624.150370981522</v>
      </c>
      <c r="Y745" s="15">
        <f>F745/detalle!$D$2</f>
        <v>399.06869373612693</v>
      </c>
      <c r="AA745" s="14">
        <f>E745/(detalle!$D$2*1000000)</f>
        <v>5.2624150370981518E-2</v>
      </c>
      <c r="AB745" s="14">
        <f>F745/(detalle!$D$2*1000000)</f>
        <v>3.990686937361269E-4</v>
      </c>
      <c r="AC745" s="31">
        <f>23/585</f>
        <v>3.9316239316239315E-2</v>
      </c>
      <c r="AD745" s="31">
        <f>120/2373</f>
        <v>5.0568900126422248E-2</v>
      </c>
      <c r="AE745" s="31">
        <f>22/469</f>
        <v>4.6908315565031986E-2</v>
      </c>
      <c r="AF745" s="22">
        <f t="shared" ref="AF745" si="1265">F745-F744</f>
        <v>0</v>
      </c>
      <c r="AG745" s="12">
        <v>7158835</v>
      </c>
      <c r="AH745" s="12">
        <v>5875457</v>
      </c>
      <c r="AI745" s="12">
        <v>2260376</v>
      </c>
      <c r="AJ745" s="23">
        <f t="shared" ref="AJ745" si="1266">AK745-AK744</f>
        <v>10585</v>
      </c>
      <c r="AK745" s="23">
        <f t="shared" ref="AK745" si="1267">AG745+AH745+AI745</f>
        <v>15294668</v>
      </c>
      <c r="AL745" s="28">
        <f>AK745/detalle!$D$2</f>
        <v>1395432.8257630866</v>
      </c>
    </row>
    <row r="746" spans="1:38">
      <c r="A746" s="12">
        <v>745</v>
      </c>
      <c r="B746" s="19">
        <v>44635</v>
      </c>
      <c r="C746" s="12">
        <v>725</v>
      </c>
      <c r="D746" s="23">
        <f t="shared" si="1202"/>
        <v>116</v>
      </c>
      <c r="E746" s="12">
        <v>576904</v>
      </c>
      <c r="F746" s="12">
        <v>4375</v>
      </c>
      <c r="G746" s="12">
        <v>572092</v>
      </c>
      <c r="H746" s="23">
        <f t="shared" ref="H746" si="1268">E746-F746-G746</f>
        <v>437</v>
      </c>
      <c r="I746" s="23">
        <f t="shared" ref="I746" si="1269">J746-J745</f>
        <v>4818</v>
      </c>
      <c r="J746" s="12">
        <v>3179742</v>
      </c>
      <c r="K746" s="23">
        <f t="shared" ref="K746" si="1270">J746-E746</f>
        <v>2602838</v>
      </c>
      <c r="L746" s="23">
        <f t="shared" ref="L746" si="1271">G746-G745</f>
        <v>64</v>
      </c>
      <c r="M746" s="14">
        <f t="shared" ref="M746" si="1272">F746/E746</f>
        <v>7.5835840971808137E-3</v>
      </c>
      <c r="N746" s="14">
        <f t="shared" ref="N746" si="1273">D746/I746</f>
        <v>2.4076380240763803E-2</v>
      </c>
      <c r="O746" s="24"/>
      <c r="P746" s="12"/>
      <c r="Q746" s="12"/>
      <c r="R746" s="23">
        <f t="shared" ref="R746" si="1274">F746+G746</f>
        <v>576467</v>
      </c>
      <c r="S746" s="25">
        <f>(((H746+R746)/(H745+R745))-1)+detalle!$D$1</f>
        <v>7.1629685182671682E-2</v>
      </c>
      <c r="T746" s="25">
        <f t="shared" ref="T746" si="1275">S746*14</f>
        <v>1.0028155925574036</v>
      </c>
      <c r="U746" s="10">
        <f t="shared" ref="U746" si="1276">G746/E746</f>
        <v>0.99165892418842649</v>
      </c>
      <c r="V746" s="21">
        <f t="shared" ref="V746" si="1277">G746/F746</f>
        <v>130.76388571428572</v>
      </c>
      <c r="W746" s="15">
        <f>J746/detalle!$D$2</f>
        <v>290108.70744350704</v>
      </c>
      <c r="X746" s="15">
        <f>E746/detalle!$D$2</f>
        <v>52634.73381141897</v>
      </c>
      <c r="Y746" s="15">
        <f>F746/detalle!$D$2</f>
        <v>399.15993029162217</v>
      </c>
      <c r="AA746" s="14">
        <f>E746/(detalle!$D$2*1000000)</f>
        <v>5.263473381141897E-2</v>
      </c>
      <c r="AB746" s="14">
        <f>F746/(detalle!$D$2*1000000)</f>
        <v>3.9915993029162212E-4</v>
      </c>
      <c r="AC746" s="31">
        <f>20/585</f>
        <v>3.4188034188034191E-2</v>
      </c>
      <c r="AD746" s="31">
        <f>130/2373</f>
        <v>5.4782975136957436E-2</v>
      </c>
      <c r="AE746" s="31">
        <f>20/469</f>
        <v>4.2643923240938165E-2</v>
      </c>
      <c r="AF746" s="22">
        <f t="shared" ref="AF746" si="1278">F746-F745</f>
        <v>1</v>
      </c>
      <c r="AG746" s="12">
        <v>7158835</v>
      </c>
      <c r="AH746" s="12">
        <v>5875457</v>
      </c>
      <c r="AI746" s="12">
        <v>2260376</v>
      </c>
      <c r="AJ746" s="23">
        <f t="shared" ref="AJ746" si="1279">AK746-AK745</f>
        <v>0</v>
      </c>
      <c r="AK746" s="23">
        <f t="shared" ref="AK746" si="1280">AG746+AH746+AI746</f>
        <v>15294668</v>
      </c>
      <c r="AL746" s="28">
        <f>AK746/detalle!$D$2</f>
        <v>1395432.8257630866</v>
      </c>
    </row>
    <row r="747" spans="1:38">
      <c r="A747" s="12">
        <v>746</v>
      </c>
      <c r="B747" s="19">
        <v>44636</v>
      </c>
      <c r="C747" s="12">
        <v>726</v>
      </c>
      <c r="D747" s="23">
        <f t="shared" ref="D747" si="1281">E747-E746</f>
        <v>166</v>
      </c>
      <c r="E747" s="12">
        <v>577070</v>
      </c>
      <c r="F747" s="12">
        <v>4375</v>
      </c>
      <c r="G747" s="12">
        <v>572179</v>
      </c>
      <c r="H747" s="23">
        <f t="shared" ref="H747" si="1282">E747-F747-G747</f>
        <v>516</v>
      </c>
      <c r="I747" s="23">
        <f t="shared" ref="I747:I754" si="1283">J747-J746</f>
        <v>3420</v>
      </c>
      <c r="J747" s="12">
        <v>3183162</v>
      </c>
      <c r="K747" s="23">
        <f t="shared" ref="K747" si="1284">J747-E747</f>
        <v>2606092</v>
      </c>
      <c r="L747" s="23">
        <f t="shared" ref="L747" si="1285">G747-G746</f>
        <v>87</v>
      </c>
      <c r="M747" s="14">
        <f t="shared" ref="M747" si="1286">F747/E747</f>
        <v>7.5814026028038191E-3</v>
      </c>
      <c r="N747" s="14">
        <f t="shared" ref="N747" si="1287">D747/I747</f>
        <v>4.8538011695906436E-2</v>
      </c>
      <c r="O747" s="24"/>
      <c r="P747" s="12"/>
      <c r="Q747" s="12"/>
      <c r="R747" s="23">
        <f t="shared" ref="R747" si="1288">F747+G747</f>
        <v>576554</v>
      </c>
      <c r="S747" s="25">
        <f>(((H747+R747)/(H746+R746))-1)+detalle!$D$1</f>
        <v>7.171631427660155E-2</v>
      </c>
      <c r="T747" s="25">
        <f t="shared" ref="T747" si="1289">S747*14</f>
        <v>1.0040283998724218</v>
      </c>
      <c r="U747" s="10">
        <f t="shared" ref="U747" si="1290">G747/E747</f>
        <v>0.99152442511307115</v>
      </c>
      <c r="V747" s="21">
        <f t="shared" ref="V747" si="1291">G747/F747</f>
        <v>130.78377142857144</v>
      </c>
      <c r="W747" s="15">
        <f>J747/detalle!$D$2</f>
        <v>290420.73646330071</v>
      </c>
      <c r="X747" s="15">
        <f>E747/detalle!$D$2</f>
        <v>52649.879079631173</v>
      </c>
      <c r="Y747" s="15">
        <f>F747/detalle!$D$2</f>
        <v>399.15993029162217</v>
      </c>
      <c r="AA747" s="14">
        <f>E747/(detalle!$D$2*1000000)</f>
        <v>5.2649879079631173E-2</v>
      </c>
      <c r="AB747" s="14">
        <f>F747/(detalle!$D$2*1000000)</f>
        <v>3.9915993029162212E-4</v>
      </c>
      <c r="AC747" s="31">
        <f>20/585</f>
        <v>3.4188034188034191E-2</v>
      </c>
      <c r="AD747" s="31">
        <f>135/2373</f>
        <v>5.6890012642225034E-2</v>
      </c>
      <c r="AE747" s="31">
        <f>20/469</f>
        <v>4.2643923240938165E-2</v>
      </c>
      <c r="AF747" s="22">
        <f t="shared" ref="AF747" si="1292">F747-F746</f>
        <v>0</v>
      </c>
      <c r="AG747" s="12">
        <v>7164967</v>
      </c>
      <c r="AH747" s="12">
        <v>5885943</v>
      </c>
      <c r="AI747" s="12">
        <v>2267419</v>
      </c>
      <c r="AJ747" s="23">
        <f t="shared" ref="AJ747" si="1293">AK747-AK746</f>
        <v>23661</v>
      </c>
      <c r="AK747" s="23">
        <f t="shared" ref="AK747" si="1294">AG747+AH747+AI747</f>
        <v>15318329</v>
      </c>
      <c r="AL747" s="28">
        <f>AK747/detalle!$D$2</f>
        <v>1397591.5739026591</v>
      </c>
    </row>
    <row r="748" spans="1:38">
      <c r="A748" s="12">
        <v>747</v>
      </c>
      <c r="B748" s="19">
        <v>44637</v>
      </c>
      <c r="C748" s="12">
        <v>727</v>
      </c>
      <c r="D748" s="23">
        <f t="shared" ref="D748" si="1295">E748-E747</f>
        <v>171</v>
      </c>
      <c r="E748" s="12">
        <v>577241</v>
      </c>
      <c r="F748" s="12">
        <v>4375</v>
      </c>
      <c r="G748" s="12">
        <v>572289</v>
      </c>
      <c r="H748" s="23">
        <f t="shared" ref="H748:H754" si="1296">E748-F748-G748</f>
        <v>577</v>
      </c>
      <c r="I748" s="23">
        <f t="shared" si="1283"/>
        <v>3519</v>
      </c>
      <c r="J748" s="12">
        <v>3186681</v>
      </c>
      <c r="K748" s="23">
        <f t="shared" ref="K748" si="1297">J748-E748</f>
        <v>2609440</v>
      </c>
      <c r="L748" s="23">
        <f t="shared" ref="L748" si="1298">G748-G747</f>
        <v>110</v>
      </c>
      <c r="M748" s="14">
        <f t="shared" ref="M748" si="1299">F748/E748</f>
        <v>7.5791567127075172E-3</v>
      </c>
      <c r="N748" s="14">
        <f t="shared" ref="N748" si="1300">D748/I748</f>
        <v>4.859335038363171E-2</v>
      </c>
      <c r="O748" s="24"/>
      <c r="P748" s="12"/>
      <c r="Q748" s="12"/>
      <c r="R748" s="23">
        <f t="shared" ref="R748:R754" si="1301">F748+G748</f>
        <v>576664</v>
      </c>
      <c r="S748" s="25">
        <f>(((H748+R748)/(H747+R747))-1)+detalle!$D$1</f>
        <v>7.1724895964589558E-2</v>
      </c>
      <c r="T748" s="25">
        <f t="shared" ref="T748" si="1302">S748*14</f>
        <v>1.0041485435042539</v>
      </c>
      <c r="U748" s="10">
        <f t="shared" ref="U748" si="1303">G748/E748</f>
        <v>0.9914212607905537</v>
      </c>
      <c r="V748" s="21">
        <f t="shared" ref="V748" si="1304">G748/F748</f>
        <v>130.80891428571428</v>
      </c>
      <c r="W748" s="15">
        <f>J748/detalle!$D$2</f>
        <v>290741.79790208838</v>
      </c>
      <c r="X748" s="15">
        <f>E748/detalle!$D$2</f>
        <v>52665.480530620858</v>
      </c>
      <c r="Y748" s="15">
        <f>F748/detalle!$D$2</f>
        <v>399.15993029162217</v>
      </c>
      <c r="AA748" s="14">
        <f>E748/(detalle!$D$2*1000000)</f>
        <v>5.266548053062086E-2</v>
      </c>
      <c r="AB748" s="14">
        <f>F748/(detalle!$D$2*1000000)</f>
        <v>3.9915993029162212E-4</v>
      </c>
      <c r="AC748" s="31">
        <f>24/585</f>
        <v>4.1025641025641026E-2</v>
      </c>
      <c r="AD748" s="31">
        <f>126/2373</f>
        <v>5.3097345132743362E-2</v>
      </c>
      <c r="AE748" s="31">
        <f>20/469</f>
        <v>4.2643923240938165E-2</v>
      </c>
      <c r="AF748" s="22">
        <f t="shared" ref="AF748" si="1305">F748-F747</f>
        <v>0</v>
      </c>
      <c r="AG748" s="12">
        <v>7168286</v>
      </c>
      <c r="AH748" s="12">
        <v>5892931</v>
      </c>
      <c r="AI748" s="12">
        <v>2270754</v>
      </c>
      <c r="AJ748" s="23">
        <f t="shared" ref="AJ748" si="1306">AK748-AK747</f>
        <v>13642</v>
      </c>
      <c r="AK748" s="23">
        <f t="shared" ref="AK748" si="1307">AG748+AH748+AI748</f>
        <v>15331971</v>
      </c>
      <c r="AL748" s="28">
        <f>AK748/detalle!$D$2</f>
        <v>1398836.2229927252</v>
      </c>
    </row>
    <row r="749" spans="1:38">
      <c r="A749" s="12">
        <v>748</v>
      </c>
      <c r="B749" s="19">
        <v>44638</v>
      </c>
      <c r="C749" s="12">
        <v>730</v>
      </c>
      <c r="D749" s="23">
        <f t="shared" ref="D749" si="1308">E749-E748</f>
        <v>76</v>
      </c>
      <c r="E749" s="12">
        <v>577317</v>
      </c>
      <c r="F749" s="12">
        <v>4375</v>
      </c>
      <c r="G749" s="12">
        <v>572366</v>
      </c>
      <c r="H749" s="23">
        <f t="shared" si="1296"/>
        <v>576</v>
      </c>
      <c r="I749" s="23">
        <f t="shared" si="1283"/>
        <v>3405</v>
      </c>
      <c r="J749" s="12">
        <v>3190086</v>
      </c>
      <c r="K749" s="23">
        <f t="shared" ref="K749" si="1309">J749-E749</f>
        <v>2612769</v>
      </c>
      <c r="L749" s="23">
        <f t="shared" ref="L749:L754" si="1310">G749-G748</f>
        <v>77</v>
      </c>
      <c r="M749" s="14">
        <f t="shared" ref="M749:M754" si="1311">F749/E749</f>
        <v>7.5781589663910815E-3</v>
      </c>
      <c r="N749" s="14">
        <f t="shared" ref="N749:N754" si="1312">D749/I749</f>
        <v>2.2320117474302497E-2</v>
      </c>
      <c r="O749" s="24"/>
      <c r="P749" s="12"/>
      <c r="Q749" s="12"/>
      <c r="R749" s="23">
        <f t="shared" si="1301"/>
        <v>576741</v>
      </c>
      <c r="S749" s="25">
        <f>(((H749+R749)/(H748+R748))-1)+detalle!$D$1</f>
        <v>7.1560232208037783E-2</v>
      </c>
      <c r="T749" s="25">
        <f t="shared" ref="T749:T754" si="1313">S749*14</f>
        <v>1.001843250912529</v>
      </c>
      <c r="U749" s="10">
        <f t="shared" ref="U749:U754" si="1314">G749/E749</f>
        <v>0.99142412227597665</v>
      </c>
      <c r="V749" s="21">
        <f t="shared" ref="V749:V754" si="1315">G749/F749</f>
        <v>130.8265142857143</v>
      </c>
      <c r="W749" s="15">
        <f>J749/detalle!$D$2</f>
        <v>291052.45837354963</v>
      </c>
      <c r="X749" s="15">
        <f>E749/detalle!$D$2</f>
        <v>52672.414508838498</v>
      </c>
      <c r="Y749" s="15">
        <f>F749/detalle!$D$2</f>
        <v>399.15993029162217</v>
      </c>
      <c r="AA749" s="14">
        <f>E749/(detalle!$D$2*1000000)</f>
        <v>5.2672414508838493E-2</v>
      </c>
      <c r="AB749" s="14">
        <f>F749/(detalle!$D$2*1000000)</f>
        <v>3.9915993029162212E-4</v>
      </c>
      <c r="AC749" s="31">
        <f>25/585</f>
        <v>4.2735042735042736E-2</v>
      </c>
      <c r="AD749" s="31">
        <f>126/2373</f>
        <v>5.3097345132743362E-2</v>
      </c>
      <c r="AE749" s="31">
        <f>25/469</f>
        <v>5.3304904051172705E-2</v>
      </c>
      <c r="AF749" s="22">
        <f t="shared" ref="AF749" si="1316">F749-F748</f>
        <v>0</v>
      </c>
      <c r="AG749" s="12">
        <v>7170986</v>
      </c>
      <c r="AH749" s="12">
        <v>5897465</v>
      </c>
      <c r="AI749" s="12">
        <v>2273991</v>
      </c>
      <c r="AJ749" s="23">
        <f t="shared" ref="AJ749:AJ754" si="1317">AK749-AK748</f>
        <v>10471</v>
      </c>
      <c r="AK749" s="23">
        <f t="shared" ref="AK749:AK755" si="1318">AG749+AH749+AI749</f>
        <v>15342442</v>
      </c>
      <c r="AL749" s="28">
        <f>AK749/detalle!$D$2</f>
        <v>1399791.5609653157</v>
      </c>
    </row>
    <row r="750" spans="1:38">
      <c r="A750" s="12">
        <v>749</v>
      </c>
      <c r="B750" s="19">
        <v>44639</v>
      </c>
      <c r="C750" s="12">
        <v>731</v>
      </c>
      <c r="D750" s="23">
        <f t="shared" ref="D750:D756" si="1319">E750-E749</f>
        <v>21</v>
      </c>
      <c r="E750" s="12">
        <v>577338</v>
      </c>
      <c r="F750" s="12">
        <v>4375</v>
      </c>
      <c r="G750" s="12">
        <v>572434</v>
      </c>
      <c r="H750" s="23">
        <f t="shared" si="1296"/>
        <v>529</v>
      </c>
      <c r="I750" s="23">
        <f t="shared" si="1283"/>
        <v>3890</v>
      </c>
      <c r="J750" s="12">
        <v>3193976</v>
      </c>
      <c r="K750" s="23">
        <f t="shared" ref="K750:K756" si="1320">J750-E750</f>
        <v>2616638</v>
      </c>
      <c r="L750" s="23">
        <f t="shared" si="1310"/>
        <v>68</v>
      </c>
      <c r="M750" s="14">
        <f t="shared" si="1311"/>
        <v>7.577883319649841E-3</v>
      </c>
      <c r="N750" s="14">
        <f t="shared" si="1312"/>
        <v>5.3984575835475581E-3</v>
      </c>
      <c r="O750" s="24"/>
      <c r="P750" s="12"/>
      <c r="Q750" s="12"/>
      <c r="R750" s="23">
        <f t="shared" si="1301"/>
        <v>576809</v>
      </c>
      <c r="S750" s="25">
        <f>(((H750+R750)/(H749+R749))-1)+detalle!$D$1</f>
        <v>7.1464946591610207E-2</v>
      </c>
      <c r="T750" s="25">
        <f t="shared" si="1313"/>
        <v>1.0005092522825429</v>
      </c>
      <c r="U750" s="10">
        <f t="shared" si="1314"/>
        <v>0.9915058423315285</v>
      </c>
      <c r="V750" s="21">
        <f t="shared" si="1315"/>
        <v>130.84205714285713</v>
      </c>
      <c r="W750" s="15">
        <f>J750/detalle!$D$2</f>
        <v>291407.3685744261</v>
      </c>
      <c r="X750" s="15">
        <f>E750/detalle!$D$2</f>
        <v>52674.330476503899</v>
      </c>
      <c r="Y750" s="15">
        <f>F750/detalle!$D$2</f>
        <v>399.15993029162217</v>
      </c>
      <c r="AA750" s="14">
        <f>E750/(detalle!$D$2*1000000)</f>
        <v>5.2674330476503897E-2</v>
      </c>
      <c r="AB750" s="14">
        <f>F750/(detalle!$D$2*1000000)</f>
        <v>3.9915993029162212E-4</v>
      </c>
      <c r="AC750" s="31">
        <f>25/585</f>
        <v>4.2735042735042736E-2</v>
      </c>
      <c r="AD750" s="31">
        <f>125/2373</f>
        <v>5.2675937631689845E-2</v>
      </c>
      <c r="AE750" s="31">
        <f>25/469</f>
        <v>5.3304904051172705E-2</v>
      </c>
      <c r="AF750" s="22">
        <f t="shared" ref="AF750:AF756" si="1321">F750-F749</f>
        <v>0</v>
      </c>
      <c r="AG750" s="12">
        <v>7170986</v>
      </c>
      <c r="AH750" s="12">
        <v>5897465</v>
      </c>
      <c r="AI750" s="12">
        <v>2273991</v>
      </c>
      <c r="AJ750" s="23">
        <f t="shared" si="1317"/>
        <v>0</v>
      </c>
      <c r="AK750" s="23">
        <f t="shared" si="1318"/>
        <v>15342442</v>
      </c>
      <c r="AL750" s="28">
        <f>AK750/detalle!$D$2</f>
        <v>1399791.5609653157</v>
      </c>
    </row>
    <row r="751" spans="1:38">
      <c r="A751" s="12">
        <v>750</v>
      </c>
      <c r="B751" s="19">
        <v>44640</v>
      </c>
      <c r="C751" s="12">
        <v>732</v>
      </c>
      <c r="D751" s="23">
        <f t="shared" si="1319"/>
        <v>16</v>
      </c>
      <c r="E751" s="12">
        <v>577354</v>
      </c>
      <c r="F751" s="12">
        <v>4375</v>
      </c>
      <c r="G751" s="12">
        <v>572641</v>
      </c>
      <c r="H751" s="23">
        <f t="shared" si="1296"/>
        <v>338</v>
      </c>
      <c r="I751" s="23">
        <f t="shared" si="1283"/>
        <v>5140</v>
      </c>
      <c r="J751" s="12">
        <v>3199116</v>
      </c>
      <c r="K751" s="23">
        <f t="shared" si="1320"/>
        <v>2621762</v>
      </c>
      <c r="L751" s="23">
        <f t="shared" si="1310"/>
        <v>207</v>
      </c>
      <c r="M751" s="14">
        <f t="shared" si="1311"/>
        <v>7.5776733165440957E-3</v>
      </c>
      <c r="N751" s="14">
        <f t="shared" si="1312"/>
        <v>3.1128404669260703E-3</v>
      </c>
      <c r="O751" s="24"/>
      <c r="P751" s="12"/>
      <c r="Q751" s="12"/>
      <c r="R751" s="23">
        <f t="shared" si="1301"/>
        <v>577016</v>
      </c>
      <c r="S751" s="25">
        <f>(((H751+R751)/(H750+R750))-1)+detalle!$D$1</f>
        <v>7.1456284830426126E-2</v>
      </c>
      <c r="T751" s="25">
        <f t="shared" si="1313"/>
        <v>1.0003879876259658</v>
      </c>
      <c r="U751" s="10">
        <f t="shared" si="1314"/>
        <v>0.99183689729351487</v>
      </c>
      <c r="V751" s="21">
        <f t="shared" si="1315"/>
        <v>130.88937142857142</v>
      </c>
      <c r="W751" s="15">
        <f>J751/detalle!$D$2</f>
        <v>291876.32446967158</v>
      </c>
      <c r="X751" s="15">
        <f>E751/detalle!$D$2</f>
        <v>52675.79026139182</v>
      </c>
      <c r="Y751" s="15">
        <f>F751/detalle!$D$2</f>
        <v>399.15993029162217</v>
      </c>
      <c r="AA751" s="14">
        <f>E751/(detalle!$D$2*1000000)</f>
        <v>5.2675790261391818E-2</v>
      </c>
      <c r="AB751" s="14">
        <f>F751/(detalle!$D$2*1000000)</f>
        <v>3.9915993029162212E-4</v>
      </c>
      <c r="AC751" s="31">
        <f>21/585</f>
        <v>3.5897435897435895E-2</v>
      </c>
      <c r="AD751" s="31">
        <f>118/2373</f>
        <v>4.9726085124315214E-2</v>
      </c>
      <c r="AE751" s="31">
        <f>21/469</f>
        <v>4.4776119402985072E-2</v>
      </c>
      <c r="AF751" s="22">
        <f t="shared" si="1321"/>
        <v>0</v>
      </c>
      <c r="AG751" s="12">
        <v>7171966</v>
      </c>
      <c r="AH751" s="12">
        <v>5898438</v>
      </c>
      <c r="AI751" s="12">
        <v>2276046</v>
      </c>
      <c r="AJ751" s="23">
        <f t="shared" si="1317"/>
        <v>4008</v>
      </c>
      <c r="AK751" s="23">
        <f t="shared" si="1318"/>
        <v>15346450</v>
      </c>
      <c r="AL751" s="28">
        <f>AK751/detalle!$D$2</f>
        <v>1400157.2370797405</v>
      </c>
    </row>
    <row r="752" spans="1:38">
      <c r="A752" s="12">
        <v>751</v>
      </c>
      <c r="B752" s="19">
        <v>44641</v>
      </c>
      <c r="C752" s="12">
        <v>733</v>
      </c>
      <c r="D752" s="23">
        <f t="shared" si="1319"/>
        <v>122</v>
      </c>
      <c r="E752" s="12">
        <v>577476</v>
      </c>
      <c r="F752" s="12">
        <v>4375</v>
      </c>
      <c r="G752" s="12">
        <v>572674</v>
      </c>
      <c r="H752" s="23">
        <f t="shared" si="1296"/>
        <v>427</v>
      </c>
      <c r="I752" s="23">
        <f t="shared" si="1283"/>
        <v>3206</v>
      </c>
      <c r="J752" s="12">
        <v>3202322</v>
      </c>
      <c r="K752" s="23">
        <f t="shared" si="1320"/>
        <v>2624846</v>
      </c>
      <c r="L752" s="23">
        <f t="shared" si="1310"/>
        <v>33</v>
      </c>
      <c r="M752" s="14">
        <f t="shared" si="1311"/>
        <v>7.5760724255207147E-3</v>
      </c>
      <c r="N752" s="14">
        <f t="shared" si="1312"/>
        <v>3.8053649407361195E-2</v>
      </c>
      <c r="O752" s="24"/>
      <c r="P752" s="12"/>
      <c r="Q752" s="12"/>
      <c r="R752" s="23">
        <f t="shared" si="1301"/>
        <v>577049</v>
      </c>
      <c r="S752" s="25">
        <f>(((H752+R752)/(H751+R751))-1)+detalle!$D$1</f>
        <v>7.1639880261626959E-2</v>
      </c>
      <c r="T752" s="25">
        <f t="shared" si="1313"/>
        <v>1.0029583236627775</v>
      </c>
      <c r="U752" s="10">
        <f t="shared" si="1314"/>
        <v>0.9916845029057485</v>
      </c>
      <c r="V752" s="21">
        <f t="shared" si="1315"/>
        <v>130.89691428571427</v>
      </c>
      <c r="W752" s="15">
        <f>J752/detalle!$D$2</f>
        <v>292168.82886658929</v>
      </c>
      <c r="X752" s="15">
        <f>E752/detalle!$D$2</f>
        <v>52686.921121162239</v>
      </c>
      <c r="Y752" s="15">
        <f>F752/detalle!$D$2</f>
        <v>399.15993029162217</v>
      </c>
      <c r="AA752" s="14">
        <f>E752/(detalle!$D$2*1000000)</f>
        <v>5.2686921121162238E-2</v>
      </c>
      <c r="AB752" s="14">
        <f>F752/(detalle!$D$2*1000000)</f>
        <v>3.9915993029162212E-4</v>
      </c>
      <c r="AC752" s="31">
        <f>24/585</f>
        <v>4.1025641025641026E-2</v>
      </c>
      <c r="AD752" s="31">
        <f>116/2373</f>
        <v>4.8883270122208174E-2</v>
      </c>
      <c r="AE752" s="31">
        <f>23/469</f>
        <v>4.9040511727078892E-2</v>
      </c>
      <c r="AF752" s="22">
        <f t="shared" si="1321"/>
        <v>0</v>
      </c>
      <c r="AG752" s="12">
        <v>7174055</v>
      </c>
      <c r="AH752" s="12">
        <v>5902828</v>
      </c>
      <c r="AI752" s="12">
        <v>2278841</v>
      </c>
      <c r="AJ752" s="23">
        <f t="shared" si="1317"/>
        <v>9274</v>
      </c>
      <c r="AK752" s="23">
        <f t="shared" si="1318"/>
        <v>15355724</v>
      </c>
      <c r="AL752" s="28">
        <f>AK752/detalle!$D$2</f>
        <v>1401003.3648954032</v>
      </c>
    </row>
    <row r="753" spans="1:38">
      <c r="A753" s="12">
        <v>752</v>
      </c>
      <c r="B753" s="19">
        <v>44642</v>
      </c>
      <c r="C753" s="12">
        <v>734</v>
      </c>
      <c r="D753" s="23">
        <f t="shared" si="1319"/>
        <v>105</v>
      </c>
      <c r="E753" s="12">
        <v>577581</v>
      </c>
      <c r="F753" s="12">
        <v>4375</v>
      </c>
      <c r="G753" s="12">
        <v>572764</v>
      </c>
      <c r="H753" s="23">
        <f t="shared" si="1296"/>
        <v>442</v>
      </c>
      <c r="I753" s="23">
        <f t="shared" si="1283"/>
        <v>2613</v>
      </c>
      <c r="J753" s="12">
        <v>3204935</v>
      </c>
      <c r="K753" s="23">
        <f t="shared" si="1320"/>
        <v>2627354</v>
      </c>
      <c r="L753" s="23">
        <f t="shared" si="1310"/>
        <v>90</v>
      </c>
      <c r="M753" s="14">
        <f t="shared" si="1311"/>
        <v>7.5746951509831524E-3</v>
      </c>
      <c r="N753" s="14">
        <f t="shared" si="1312"/>
        <v>4.0183696900114814E-2</v>
      </c>
      <c r="O753" s="24"/>
      <c r="P753" s="12"/>
      <c r="Q753" s="12"/>
      <c r="R753" s="23">
        <f t="shared" si="1301"/>
        <v>577139</v>
      </c>
      <c r="S753" s="25">
        <f>(((H753+R753)/(H752+R752))-1)+detalle!$D$1</f>
        <v>7.1610397166783885E-2</v>
      </c>
      <c r="T753" s="25">
        <f t="shared" si="1313"/>
        <v>1.0025455603349744</v>
      </c>
      <c r="U753" s="10">
        <f t="shared" si="1314"/>
        <v>0.99166004421890608</v>
      </c>
      <c r="V753" s="21">
        <f t="shared" si="1315"/>
        <v>130.9174857142857</v>
      </c>
      <c r="W753" s="15">
        <f>J753/detalle!$D$2</f>
        <v>292407.2299860983</v>
      </c>
      <c r="X753" s="15">
        <f>E753/detalle!$D$2</f>
        <v>52696.50095948924</v>
      </c>
      <c r="Y753" s="15">
        <f>F753/detalle!$D$2</f>
        <v>399.15993029162217</v>
      </c>
      <c r="AA753" s="14">
        <f>E753/(detalle!$D$2*1000000)</f>
        <v>5.2696500959489238E-2</v>
      </c>
      <c r="AB753" s="14">
        <f>F753/(detalle!$D$2*1000000)</f>
        <v>3.9915993029162212E-4</v>
      </c>
      <c r="AC753" s="31">
        <f>24/585</f>
        <v>4.1025641025641026E-2</v>
      </c>
      <c r="AD753" s="31">
        <f>118/2373</f>
        <v>4.9726085124315214E-2</v>
      </c>
      <c r="AE753" s="31">
        <f>19/469</f>
        <v>4.0511727078891259E-2</v>
      </c>
      <c r="AF753" s="22">
        <f t="shared" si="1321"/>
        <v>0</v>
      </c>
      <c r="AG753" s="12">
        <v>7176348</v>
      </c>
      <c r="AH753" s="12">
        <v>5908126</v>
      </c>
      <c r="AI753" s="12">
        <v>2281557</v>
      </c>
      <c r="AJ753" s="23">
        <f t="shared" si="1317"/>
        <v>10307</v>
      </c>
      <c r="AK753" s="23">
        <f t="shared" si="1318"/>
        <v>15366031</v>
      </c>
      <c r="AL753" s="28">
        <f>AK753/detalle!$D$2</f>
        <v>1401943.7400728925</v>
      </c>
    </row>
    <row r="754" spans="1:38">
      <c r="A754" s="12">
        <v>753</v>
      </c>
      <c r="B754" s="19">
        <v>44643</v>
      </c>
      <c r="C754" s="12">
        <v>735</v>
      </c>
      <c r="D754" s="23">
        <f t="shared" si="1319"/>
        <v>92</v>
      </c>
      <c r="E754" s="12">
        <v>577673</v>
      </c>
      <c r="F754" s="12">
        <v>4375</v>
      </c>
      <c r="G754" s="12">
        <v>572853</v>
      </c>
      <c r="H754" s="23">
        <f t="shared" si="1296"/>
        <v>445</v>
      </c>
      <c r="I754" s="23">
        <f t="shared" si="1283"/>
        <v>4017</v>
      </c>
      <c r="J754" s="12">
        <v>3208952</v>
      </c>
      <c r="K754" s="23">
        <f t="shared" si="1320"/>
        <v>2631279</v>
      </c>
      <c r="L754" s="23">
        <f t="shared" si="1310"/>
        <v>89</v>
      </c>
      <c r="M754" s="14">
        <f t="shared" si="1311"/>
        <v>7.5734888076818543E-3</v>
      </c>
      <c r="N754" s="14">
        <f t="shared" si="1312"/>
        <v>2.2902663679362709E-2</v>
      </c>
      <c r="O754" s="24"/>
      <c r="P754" s="12"/>
      <c r="Q754" s="12"/>
      <c r="R754" s="23">
        <f t="shared" si="1301"/>
        <v>577228</v>
      </c>
      <c r="S754" s="25">
        <f>(((H754+R754)/(H753+R753))-1)+detalle!$D$1</f>
        <v>7.1587856446603509E-2</v>
      </c>
      <c r="T754" s="25">
        <f t="shared" si="1313"/>
        <v>1.0022299902524492</v>
      </c>
      <c r="U754" s="10">
        <f t="shared" si="1314"/>
        <v>0.99165617918787963</v>
      </c>
      <c r="V754" s="21">
        <f t="shared" si="1315"/>
        <v>130.93782857142858</v>
      </c>
      <c r="W754" s="15">
        <f>J754/detalle!$D$2</f>
        <v>292773.7272295226</v>
      </c>
      <c r="X754" s="15">
        <f>E754/detalle!$D$2</f>
        <v>52704.8947225948</v>
      </c>
      <c r="Y754" s="15">
        <f>F754/detalle!$D$2</f>
        <v>399.15993029162217</v>
      </c>
      <c r="AA754" s="14">
        <f>E754/(detalle!$D$2*1000000)</f>
        <v>5.2704894722594799E-2</v>
      </c>
      <c r="AB754" s="14">
        <f>F754/(detalle!$D$2*1000000)</f>
        <v>3.9915993029162212E-4</v>
      </c>
      <c r="AC754" s="31">
        <f>24/585</f>
        <v>4.1025641025641026E-2</v>
      </c>
      <c r="AD754" s="31">
        <f>125/2373</f>
        <v>5.2675937631689845E-2</v>
      </c>
      <c r="AE754" s="31">
        <f>18/469</f>
        <v>3.8379530916844352E-2</v>
      </c>
      <c r="AF754" s="22">
        <f t="shared" si="1321"/>
        <v>0</v>
      </c>
      <c r="AG754" s="12">
        <v>7178506</v>
      </c>
      <c r="AH754" s="12">
        <v>5912809</v>
      </c>
      <c r="AI754" s="12">
        <v>2284496</v>
      </c>
      <c r="AJ754" s="23">
        <f t="shared" si="1317"/>
        <v>9780</v>
      </c>
      <c r="AK754" s="23">
        <f t="shared" si="1318"/>
        <v>15375811</v>
      </c>
      <c r="AL754" s="28">
        <f>AK754/detalle!$D$2</f>
        <v>1402836.0335856359</v>
      </c>
    </row>
    <row r="755" spans="1:38">
      <c r="A755" s="12">
        <v>754</v>
      </c>
      <c r="B755" s="19">
        <v>44644</v>
      </c>
      <c r="C755" s="12">
        <v>736</v>
      </c>
      <c r="D755" s="23">
        <f t="shared" si="1319"/>
        <v>68</v>
      </c>
      <c r="E755" s="12">
        <v>577741</v>
      </c>
      <c r="F755" s="12">
        <v>4375</v>
      </c>
      <c r="G755" s="12">
        <v>573137</v>
      </c>
      <c r="H755" s="23">
        <f t="shared" ref="H755:H756" si="1322">E755-F755-G755</f>
        <v>229</v>
      </c>
      <c r="I755" s="23">
        <f>J755-J754</f>
        <v>2670</v>
      </c>
      <c r="J755" s="12">
        <v>3211622</v>
      </c>
      <c r="K755" s="23">
        <f t="shared" si="1320"/>
        <v>2633881</v>
      </c>
      <c r="L755" s="23">
        <f t="shared" ref="L755:L756" si="1323">G755-G754</f>
        <v>284</v>
      </c>
      <c r="M755" s="14">
        <f t="shared" ref="M755:M756" si="1324">F755/E755</f>
        <v>7.5725974095658781E-3</v>
      </c>
      <c r="N755" s="14">
        <f t="shared" ref="N755:N756" si="1325">D755/I755</f>
        <v>2.546816479400749E-2</v>
      </c>
      <c r="O755" s="24"/>
      <c r="P755" s="12"/>
      <c r="Q755" s="12"/>
      <c r="R755" s="23">
        <f>F755+G755</f>
        <v>577512</v>
      </c>
      <c r="S755" s="25">
        <f>(((H755+R755)/(H754+R754))-1)+detalle!$D$1</f>
        <v>7.1546285083182309E-2</v>
      </c>
      <c r="T755" s="25">
        <f t="shared" ref="T755:T756" si="1326">S755*14</f>
        <v>1.0016479911645524</v>
      </c>
      <c r="U755" s="10">
        <f t="shared" ref="U755:U756" si="1327">G755/E755</f>
        <v>0.99203103120602487</v>
      </c>
      <c r="V755" s="21">
        <f t="shared" ref="V755:V756" si="1328">G755/F755</f>
        <v>131.00274285714286</v>
      </c>
      <c r="W755" s="15">
        <f>J755/detalle!$D$2</f>
        <v>293017.32883269491</v>
      </c>
      <c r="X755" s="15">
        <f>E755/detalle!$D$2</f>
        <v>52711.098808368472</v>
      </c>
      <c r="Y755" s="15">
        <f>F755/detalle!$D$2</f>
        <v>399.15993029162217</v>
      </c>
      <c r="AA755" s="14">
        <f>E755/(detalle!$D$2*1000000)</f>
        <v>5.2711098808368474E-2</v>
      </c>
      <c r="AB755" s="14">
        <f>F755/(detalle!$D$2*1000000)</f>
        <v>3.9915993029162212E-4</v>
      </c>
      <c r="AC755" s="31">
        <f>25/585</f>
        <v>4.2735042735042736E-2</v>
      </c>
      <c r="AD755" s="31">
        <f>119/2373</f>
        <v>5.0147492625368731E-2</v>
      </c>
      <c r="AE755" s="31">
        <f>20/469</f>
        <v>4.2643923240938165E-2</v>
      </c>
      <c r="AF755" s="22">
        <f t="shared" si="1321"/>
        <v>0</v>
      </c>
      <c r="AG755" s="12">
        <v>7180689</v>
      </c>
      <c r="AH755" s="12">
        <v>5917791</v>
      </c>
      <c r="AI755" s="12">
        <v>2287303</v>
      </c>
      <c r="AJ755" s="23">
        <f>AK755-AK754</f>
        <v>9972</v>
      </c>
      <c r="AK755" s="23">
        <f t="shared" si="1318"/>
        <v>15385783</v>
      </c>
      <c r="AL755" s="28">
        <f>AK755/detalle!$D$2</f>
        <v>1403745.8445170342</v>
      </c>
    </row>
    <row r="756" spans="1:38">
      <c r="A756" s="12">
        <v>755</v>
      </c>
      <c r="B756" s="19">
        <v>44645</v>
      </c>
      <c r="C756" s="12">
        <v>737</v>
      </c>
      <c r="D756" s="23">
        <f t="shared" si="1319"/>
        <v>100</v>
      </c>
      <c r="E756" s="12">
        <v>577841</v>
      </c>
      <c r="F756" s="12">
        <v>4375</v>
      </c>
      <c r="G756" s="12">
        <v>573202</v>
      </c>
      <c r="H756" s="23">
        <f t="shared" si="1322"/>
        <v>264</v>
      </c>
      <c r="I756" s="23">
        <f t="shared" ref="I756" si="1329">J756-J755</f>
        <v>2387</v>
      </c>
      <c r="J756" s="12">
        <v>3214009</v>
      </c>
      <c r="K756" s="23">
        <f t="shared" si="1320"/>
        <v>2636168</v>
      </c>
      <c r="L756" s="23">
        <f t="shared" si="1323"/>
        <v>65</v>
      </c>
      <c r="M756" s="14">
        <f t="shared" si="1324"/>
        <v>7.571286911105304E-3</v>
      </c>
      <c r="N756" s="14">
        <f t="shared" si="1325"/>
        <v>4.1893590280687058E-2</v>
      </c>
      <c r="O756" s="24"/>
      <c r="P756" s="12"/>
      <c r="Q756" s="12"/>
      <c r="R756" s="23">
        <f t="shared" ref="R756" si="1330">F756+G756</f>
        <v>577577</v>
      </c>
      <c r="S756" s="25">
        <f>(((H756+R756)/(H755+R755))-1)+detalle!$D$1</f>
        <v>7.1601659369361609E-2</v>
      </c>
      <c r="T756" s="25">
        <f t="shared" si="1326"/>
        <v>1.0024232311710626</v>
      </c>
      <c r="U756" s="10">
        <f t="shared" si="1327"/>
        <v>0.99197184000443028</v>
      </c>
      <c r="V756" s="21">
        <f t="shared" si="1328"/>
        <v>131.01759999999999</v>
      </c>
      <c r="W756" s="15">
        <f>J756/detalle!$D$2</f>
        <v>293235.11049066199</v>
      </c>
      <c r="X756" s="15">
        <f>E756/detalle!$D$2</f>
        <v>52720.222463917999</v>
      </c>
      <c r="Y756" s="15">
        <f>F756/detalle!$D$2</f>
        <v>399.15993029162217</v>
      </c>
      <c r="AA756" s="14">
        <f>E756/(detalle!$D$2*1000000)</f>
        <v>5.2720222463917998E-2</v>
      </c>
      <c r="AB756" s="14">
        <f>F756/(detalle!$D$2*1000000)</f>
        <v>3.9915993029162212E-4</v>
      </c>
      <c r="AC756" s="31">
        <f>26/585</f>
        <v>4.4444444444444446E-2</v>
      </c>
      <c r="AD756" s="31">
        <f>92/2373</f>
        <v>3.8769490096923723E-2</v>
      </c>
      <c r="AE756" s="31">
        <f>18/469</f>
        <v>3.8379530916844352E-2</v>
      </c>
      <c r="AF756" s="22">
        <f t="shared" si="1321"/>
        <v>0</v>
      </c>
      <c r="AG756" s="12">
        <v>7182107</v>
      </c>
      <c r="AH756" s="12">
        <v>5919741</v>
      </c>
      <c r="AI756" s="12">
        <v>2290019</v>
      </c>
      <c r="AJ756" s="23">
        <f>AK756-AK755</f>
        <v>6084</v>
      </c>
      <c r="AK756" s="23">
        <f>AG756+AH756+AI756</f>
        <v>15391867</v>
      </c>
      <c r="AL756" s="28">
        <f>AK756/detalle!$D$2</f>
        <v>1404300.9277206673</v>
      </c>
    </row>
    <row r="757" spans="1:38">
      <c r="A757" s="12">
        <v>756</v>
      </c>
      <c r="B757" s="19">
        <v>44646</v>
      </c>
      <c r="C757" s="12">
        <v>738</v>
      </c>
      <c r="D757" s="23">
        <f t="shared" ref="D757:D758" si="1331">E757-E756</f>
        <v>39</v>
      </c>
      <c r="E757" s="12">
        <v>577880</v>
      </c>
      <c r="F757" s="12">
        <v>4375</v>
      </c>
      <c r="G757" s="12">
        <v>573254</v>
      </c>
      <c r="H757" s="23">
        <f t="shared" ref="H757:H758" si="1332">E757-F757-G757</f>
        <v>251</v>
      </c>
      <c r="I757" s="23">
        <f t="shared" ref="I757:I758" si="1333">J757-J756</f>
        <v>1328</v>
      </c>
      <c r="J757" s="12">
        <v>3215337</v>
      </c>
      <c r="K757" s="23">
        <f t="shared" ref="K757:K758" si="1334">J757-E757</f>
        <v>2637457</v>
      </c>
      <c r="L757" s="23">
        <f t="shared" ref="L757:L758" si="1335">G757-G756</f>
        <v>52</v>
      </c>
      <c r="M757" s="14">
        <f t="shared" ref="M757:M758" si="1336">F757/E757</f>
        <v>7.5707759396414481E-3</v>
      </c>
      <c r="N757" s="14">
        <f t="shared" ref="N757:N758" si="1337">D757/I757</f>
        <v>2.9367469879518073E-2</v>
      </c>
      <c r="O757" s="24"/>
      <c r="P757" s="12"/>
      <c r="Q757" s="12"/>
      <c r="R757" s="23">
        <f t="shared" ref="R757:R758" si="1338">F757+G757</f>
        <v>577629</v>
      </c>
      <c r="S757" s="25">
        <f>(((H757+R757)/(H756+R756))-1)+detalle!$D$1</f>
        <v>7.1496064043321789E-2</v>
      </c>
      <c r="T757" s="25">
        <f t="shared" ref="T757:T758" si="1339">S757*14</f>
        <v>1.0009448966065051</v>
      </c>
      <c r="U757" s="10">
        <f t="shared" ref="U757:U758" si="1340">G757/E757</f>
        <v>0.99199487782930718</v>
      </c>
      <c r="V757" s="21">
        <f t="shared" ref="V757:V758" si="1341">G757/F757</f>
        <v>131.02948571428573</v>
      </c>
      <c r="W757" s="15">
        <f>J757/detalle!$D$2</f>
        <v>293356.27263635967</v>
      </c>
      <c r="X757" s="15">
        <f>E757/detalle!$D$2</f>
        <v>52723.780689582309</v>
      </c>
      <c r="Y757" s="15">
        <f>F757/detalle!$D$2</f>
        <v>399.15993029162217</v>
      </c>
      <c r="AA757" s="14">
        <f>E757/(detalle!$D$2*1000000)</f>
        <v>5.2723780689582306E-2</v>
      </c>
      <c r="AB757" s="14">
        <f>F757/(detalle!$D$2*1000000)</f>
        <v>3.9915993029162212E-4</v>
      </c>
      <c r="AC757" s="31">
        <f>25/585</f>
        <v>4.2735042735042736E-2</v>
      </c>
      <c r="AD757" s="31">
        <f>121/2373</f>
        <v>5.0990307627475771E-2</v>
      </c>
      <c r="AE757" s="31">
        <f>23/469</f>
        <v>4.9040511727078892E-2</v>
      </c>
      <c r="AF757" s="22">
        <f t="shared" ref="AF757:AF758" si="1342">F757-F756</f>
        <v>0</v>
      </c>
      <c r="AG757" s="12">
        <v>7182743</v>
      </c>
      <c r="AH757" s="12">
        <v>5920213</v>
      </c>
      <c r="AI757" s="12">
        <v>2291026</v>
      </c>
      <c r="AJ757" s="23">
        <f t="shared" ref="AJ757:AJ758" si="1343">AK757-AK756</f>
        <v>2115</v>
      </c>
      <c r="AK757" s="23">
        <f t="shared" ref="AK757:AK758" si="1344">AG757+AH757+AI757</f>
        <v>15393982</v>
      </c>
      <c r="AL757" s="28">
        <f>AK757/detalle!$D$2</f>
        <v>1404493.8930355397</v>
      </c>
    </row>
    <row r="758" spans="1:38">
      <c r="A758" s="12">
        <v>757</v>
      </c>
      <c r="B758" s="19">
        <v>44647</v>
      </c>
      <c r="C758" s="12">
        <v>739</v>
      </c>
      <c r="D758" s="23">
        <f t="shared" si="1331"/>
        <v>30</v>
      </c>
      <c r="E758" s="12">
        <v>577910</v>
      </c>
      <c r="F758" s="12">
        <v>4375</v>
      </c>
      <c r="G758" s="12">
        <v>573347</v>
      </c>
      <c r="H758" s="23">
        <f t="shared" si="1332"/>
        <v>188</v>
      </c>
      <c r="I758" s="23">
        <f t="shared" si="1333"/>
        <v>3289</v>
      </c>
      <c r="J758" s="12">
        <v>3218626</v>
      </c>
      <c r="K758" s="23">
        <f t="shared" si="1334"/>
        <v>2640716</v>
      </c>
      <c r="L758" s="23">
        <f t="shared" si="1335"/>
        <v>93</v>
      </c>
      <c r="M758" s="14">
        <f t="shared" si="1336"/>
        <v>7.5703829315983458E-3</v>
      </c>
      <c r="N758" s="14">
        <f t="shared" si="1337"/>
        <v>9.121313469139556E-3</v>
      </c>
      <c r="O758" s="24"/>
      <c r="P758" s="12"/>
      <c r="Q758" s="12"/>
      <c r="R758" s="23">
        <f t="shared" si="1338"/>
        <v>577722</v>
      </c>
      <c r="S758" s="25">
        <f>(((H758+R758)/(H757+R757))-1)+detalle!$D$1</f>
        <v>7.1480485320728954E-2</v>
      </c>
      <c r="T758" s="25">
        <f t="shared" si="1339"/>
        <v>1.0007267944902054</v>
      </c>
      <c r="U758" s="10">
        <f t="shared" si="1340"/>
        <v>0.99210430689899809</v>
      </c>
      <c r="V758" s="21">
        <f t="shared" si="1341"/>
        <v>131.05074285714286</v>
      </c>
      <c r="W758" s="15">
        <f>J758/detalle!$D$2</f>
        <v>293656.34966738347</v>
      </c>
      <c r="X758" s="15">
        <f>E758/detalle!$D$2</f>
        <v>52726.517786247168</v>
      </c>
      <c r="Y758" s="15">
        <f>F758/detalle!$D$2</f>
        <v>399.15993029162217</v>
      </c>
      <c r="AA758" s="14">
        <f>E758/(detalle!$D$2*1000000)</f>
        <v>5.2726517786247165E-2</v>
      </c>
      <c r="AB758" s="14">
        <f>F758/(detalle!$D$2*1000000)</f>
        <v>3.9915993029162212E-4</v>
      </c>
      <c r="AC758" s="31">
        <f>25/585</f>
        <v>4.2735042735042736E-2</v>
      </c>
      <c r="AD758" s="31">
        <f>118/2373</f>
        <v>4.9726085124315214E-2</v>
      </c>
      <c r="AE758" s="31">
        <f>23/469</f>
        <v>4.9040511727078892E-2</v>
      </c>
      <c r="AF758" s="22">
        <f t="shared" si="1342"/>
        <v>0</v>
      </c>
      <c r="AG758" s="12">
        <v>7183028</v>
      </c>
      <c r="AH758" s="12">
        <v>5920444</v>
      </c>
      <c r="AI758" s="12">
        <v>2291605</v>
      </c>
      <c r="AJ758" s="23">
        <f t="shared" si="1343"/>
        <v>1095</v>
      </c>
      <c r="AK758" s="23">
        <f t="shared" si="1344"/>
        <v>15395077</v>
      </c>
      <c r="AL758" s="28">
        <f>AK758/detalle!$D$2</f>
        <v>1404593.797063807</v>
      </c>
    </row>
    <row r="759" spans="1:38">
      <c r="A759" s="12">
        <v>758</v>
      </c>
      <c r="B759" s="19">
        <v>44648</v>
      </c>
      <c r="C759" s="12">
        <v>740</v>
      </c>
      <c r="D759" s="23">
        <f t="shared" ref="D759:D764" si="1345">E759-E758</f>
        <v>72</v>
      </c>
      <c r="E759" s="12">
        <v>577982</v>
      </c>
      <c r="F759" s="12">
        <v>4375</v>
      </c>
      <c r="G759" s="12">
        <v>573369</v>
      </c>
      <c r="H759" s="23">
        <f t="shared" ref="H759:H764" si="1346">E759-F759-G759</f>
        <v>238</v>
      </c>
      <c r="I759" s="23">
        <f t="shared" ref="I759:I764" si="1347">J759-J758</f>
        <v>1813</v>
      </c>
      <c r="J759" s="12">
        <v>3220439</v>
      </c>
      <c r="K759" s="23">
        <f t="shared" ref="K759:K764" si="1348">J759-E759</f>
        <v>2642457</v>
      </c>
      <c r="L759" s="23">
        <f t="shared" ref="L759:L764" si="1349">G759-G758</f>
        <v>22</v>
      </c>
      <c r="M759" s="14">
        <f t="shared" ref="M759:M764" si="1350">F759/E759</f>
        <v>7.5694398787505496E-3</v>
      </c>
      <c r="N759" s="14">
        <f t="shared" ref="N759:N764" si="1351">D759/I759</f>
        <v>3.9713182570325425E-2</v>
      </c>
      <c r="O759" s="24"/>
      <c r="P759" s="12"/>
      <c r="Q759" s="12"/>
      <c r="R759" s="23">
        <f t="shared" ref="R759:R764" si="1352">F759+G759</f>
        <v>577744</v>
      </c>
      <c r="S759" s="25">
        <f>(((H759+R759)/(H758+R758))-1)+detalle!$D$1</f>
        <v>7.155315830195999E-2</v>
      </c>
      <c r="T759" s="25">
        <f t="shared" ref="T759:T760" si="1353">S759*14</f>
        <v>1.0017442162274399</v>
      </c>
      <c r="U759" s="10">
        <f t="shared" ref="U759:U760" si="1354">G759/E759</f>
        <v>0.99201878259184539</v>
      </c>
      <c r="V759" s="21">
        <f t="shared" ref="V759:V760" si="1355">G759/F759</f>
        <v>131.05577142857143</v>
      </c>
      <c r="W759" s="15">
        <f>J759/detalle!$D$2</f>
        <v>293821.76154249633</v>
      </c>
      <c r="X759" s="15">
        <f>E759/detalle!$D$2</f>
        <v>52733.086818242824</v>
      </c>
      <c r="Y759" s="15">
        <f>F759/detalle!$D$2</f>
        <v>399.15993029162217</v>
      </c>
      <c r="AA759" s="14">
        <f>E759/(detalle!$D$2*1000000)</f>
        <v>5.2733086818242819E-2</v>
      </c>
      <c r="AB759" s="14">
        <f>F759/(detalle!$D$2*1000000)</f>
        <v>3.9915993029162212E-4</v>
      </c>
      <c r="AC759" s="31">
        <f>22/585</f>
        <v>3.7606837606837605E-2</v>
      </c>
      <c r="AD759" s="31">
        <f t="shared" ref="AD759" si="1356">118/2373</f>
        <v>4.9726085124315214E-2</v>
      </c>
      <c r="AE759" s="31">
        <f>21/469</f>
        <v>4.4776119402985072E-2</v>
      </c>
      <c r="AF759" s="22">
        <f t="shared" ref="AF759:AF764" si="1357">F759-F758</f>
        <v>0</v>
      </c>
      <c r="AG759" s="12">
        <v>7184321</v>
      </c>
      <c r="AH759" s="12">
        <v>5923507</v>
      </c>
      <c r="AI759" s="12">
        <v>2293161</v>
      </c>
      <c r="AJ759" s="23">
        <f t="shared" ref="AJ759:AJ764" si="1358">AK759-AK758</f>
        <v>5912</v>
      </c>
      <c r="AK759" s="23">
        <f t="shared" ref="AK759:AK764" si="1359">AG759+AH759+AI759</f>
        <v>15400989</v>
      </c>
      <c r="AL759" s="28">
        <f>AK759/detalle!$D$2</f>
        <v>1405133.1875798947</v>
      </c>
    </row>
    <row r="760" spans="1:38">
      <c r="A760" s="12">
        <v>759</v>
      </c>
      <c r="B760" s="19">
        <v>44649</v>
      </c>
      <c r="C760" s="12">
        <v>741</v>
      </c>
      <c r="D760" s="23">
        <f t="shared" si="1345"/>
        <v>38</v>
      </c>
      <c r="E760" s="12">
        <v>578020</v>
      </c>
      <c r="F760" s="12">
        <v>4375</v>
      </c>
      <c r="G760" s="12">
        <v>573445</v>
      </c>
      <c r="H760" s="23">
        <f t="shared" si="1346"/>
        <v>200</v>
      </c>
      <c r="I760" s="23">
        <f t="shared" si="1347"/>
        <v>1946</v>
      </c>
      <c r="J760" s="12">
        <v>3222385</v>
      </c>
      <c r="K760" s="23">
        <f t="shared" si="1348"/>
        <v>2644365</v>
      </c>
      <c r="L760" s="23">
        <f t="shared" si="1349"/>
        <v>76</v>
      </c>
      <c r="M760" s="14">
        <f t="shared" si="1350"/>
        <v>7.5689422511331789E-3</v>
      </c>
      <c r="N760" s="14">
        <f t="shared" si="1351"/>
        <v>1.9527235354573486E-2</v>
      </c>
      <c r="O760" s="24"/>
      <c r="P760" s="12"/>
      <c r="Q760" s="12"/>
      <c r="R760" s="23">
        <f t="shared" si="1352"/>
        <v>577820</v>
      </c>
      <c r="S760" s="25">
        <f>(((H760+R760)/(H759+R759))-1)+detalle!$D$1</f>
        <v>7.1494317420661063E-2</v>
      </c>
      <c r="T760" s="25">
        <f t="shared" si="1353"/>
        <v>1.0009204438892549</v>
      </c>
      <c r="U760" s="10">
        <f t="shared" si="1354"/>
        <v>0.99208504896024363</v>
      </c>
      <c r="V760" s="21">
        <f t="shared" si="1355"/>
        <v>131.07314285714287</v>
      </c>
      <c r="W760" s="15">
        <f>J760/detalle!$D$2</f>
        <v>293999.30787949002</v>
      </c>
      <c r="X760" s="15">
        <f>E760/detalle!$D$2</f>
        <v>52736.553807351644</v>
      </c>
      <c r="Y760" s="15">
        <f>F760/detalle!$D$2</f>
        <v>399.15993029162217</v>
      </c>
      <c r="AA760" s="14">
        <f>E760/(detalle!$D$2*1000000)</f>
        <v>5.2736553807351642E-2</v>
      </c>
      <c r="AB760" s="14">
        <f>F760/(detalle!$D$2*1000000)</f>
        <v>3.9915993029162212E-4</v>
      </c>
      <c r="AC760" s="31">
        <f>21/585</f>
        <v>3.5897435897435895E-2</v>
      </c>
      <c r="AD760" s="31">
        <f>113/2373</f>
        <v>4.7619047619047616E-2</v>
      </c>
      <c r="AE760" s="31">
        <f>18/469</f>
        <v>3.8379530916844352E-2</v>
      </c>
      <c r="AF760" s="22">
        <f t="shared" si="1357"/>
        <v>0</v>
      </c>
      <c r="AG760" s="12">
        <v>7186377</v>
      </c>
      <c r="AH760" s="12">
        <v>5927338</v>
      </c>
      <c r="AI760" s="12">
        <v>2295384</v>
      </c>
      <c r="AJ760" s="23">
        <f t="shared" si="1358"/>
        <v>8110</v>
      </c>
      <c r="AK760" s="23">
        <f t="shared" si="1359"/>
        <v>15409099</v>
      </c>
      <c r="AL760" s="28">
        <f>AK760/detalle!$D$2</f>
        <v>1405873.1160449611</v>
      </c>
    </row>
    <row r="761" spans="1:38">
      <c r="A761" s="12">
        <v>760</v>
      </c>
      <c r="B761" s="19">
        <v>44650</v>
      </c>
      <c r="C761" s="12">
        <v>742</v>
      </c>
      <c r="D761" s="23">
        <f t="shared" si="1345"/>
        <v>18</v>
      </c>
      <c r="E761" s="12">
        <v>578038</v>
      </c>
      <c r="F761" s="12">
        <v>4375</v>
      </c>
      <c r="G761" s="12">
        <v>573524</v>
      </c>
      <c r="H761" s="23">
        <f t="shared" si="1346"/>
        <v>139</v>
      </c>
      <c r="I761" s="23">
        <f t="shared" si="1347"/>
        <v>2817</v>
      </c>
      <c r="J761" s="12">
        <v>3225202</v>
      </c>
      <c r="K761" s="23">
        <f t="shared" si="1348"/>
        <v>2647164</v>
      </c>
      <c r="L761" s="23">
        <f t="shared" si="1349"/>
        <v>79</v>
      </c>
      <c r="M761" s="14">
        <f t="shared" si="1350"/>
        <v>7.5687065556243709E-3</v>
      </c>
      <c r="N761" s="14">
        <f t="shared" si="1351"/>
        <v>6.3897763578274758E-3</v>
      </c>
      <c r="O761" s="24"/>
      <c r="P761" s="12"/>
      <c r="Q761" s="12"/>
      <c r="R761" s="23">
        <f t="shared" si="1352"/>
        <v>577899</v>
      </c>
      <c r="S761" s="25">
        <f>(((H761+R761)/(H760+R760))-1)+detalle!$D$1</f>
        <v>7.1459712219547528E-2</v>
      </c>
      <c r="T761" s="25">
        <f t="shared" ref="T761:T764" si="1360">S761*14</f>
        <v>1.0004359710736654</v>
      </c>
      <c r="U761" s="10">
        <f t="shared" ref="U761:U764" si="1361">G761/E761</f>
        <v>0.99219082482466547</v>
      </c>
      <c r="V761" s="21">
        <f t="shared" ref="V761:V764" si="1362">G761/F761</f>
        <v>131.09119999999999</v>
      </c>
      <c r="W761" s="15">
        <f>J761/detalle!$D$2</f>
        <v>294256.32125632005</v>
      </c>
      <c r="X761" s="15">
        <f>E761/detalle!$D$2</f>
        <v>52738.196065350559</v>
      </c>
      <c r="Y761" s="15">
        <f>F761/detalle!$D$2</f>
        <v>399.15993029162217</v>
      </c>
      <c r="AA761" s="14">
        <f>E761/(detalle!$D$2*1000000)</f>
        <v>5.2738196065350552E-2</v>
      </c>
      <c r="AB761" s="14">
        <f>F761/(detalle!$D$2*1000000)</f>
        <v>3.9915993029162212E-4</v>
      </c>
      <c r="AC761" s="31">
        <f>21/585</f>
        <v>3.5897435897435895E-2</v>
      </c>
      <c r="AD761" s="31">
        <f>111/2373</f>
        <v>4.6776232616940583E-2</v>
      </c>
      <c r="AE761" s="31">
        <f>18/469</f>
        <v>3.8379530916844352E-2</v>
      </c>
      <c r="AF761" s="22">
        <f t="shared" si="1357"/>
        <v>0</v>
      </c>
      <c r="AG761" s="12">
        <v>7187620</v>
      </c>
      <c r="AH761" s="12">
        <v>5929000</v>
      </c>
      <c r="AI761" s="12">
        <v>2297548</v>
      </c>
      <c r="AJ761" s="23">
        <f t="shared" si="1358"/>
        <v>5069</v>
      </c>
      <c r="AK761" s="23">
        <f t="shared" si="1359"/>
        <v>15414168</v>
      </c>
      <c r="AL761" s="28">
        <f>AK761/detalle!$D$2</f>
        <v>1406335.5941447665</v>
      </c>
    </row>
    <row r="762" spans="1:38">
      <c r="A762" s="12">
        <v>761</v>
      </c>
      <c r="B762" s="19">
        <v>44651</v>
      </c>
      <c r="C762" s="12">
        <v>743</v>
      </c>
      <c r="D762" s="23">
        <f t="shared" si="1345"/>
        <v>92</v>
      </c>
      <c r="E762" s="12">
        <v>578130</v>
      </c>
      <c r="F762" s="12">
        <v>4375</v>
      </c>
      <c r="G762" s="12">
        <v>573590</v>
      </c>
      <c r="H762" s="23">
        <f t="shared" si="1346"/>
        <v>165</v>
      </c>
      <c r="I762" s="23">
        <f t="shared" si="1347"/>
        <v>3418</v>
      </c>
      <c r="J762" s="12">
        <v>3228620</v>
      </c>
      <c r="K762" s="23">
        <f t="shared" si="1348"/>
        <v>2650490</v>
      </c>
      <c r="L762" s="23">
        <f t="shared" si="1349"/>
        <v>66</v>
      </c>
      <c r="M762" s="14">
        <f t="shared" si="1350"/>
        <v>7.5675021189005936E-3</v>
      </c>
      <c r="N762" s="14">
        <f t="shared" si="1351"/>
        <v>2.6916325336454067E-2</v>
      </c>
      <c r="O762" s="24"/>
      <c r="P762" s="12"/>
      <c r="Q762" s="12"/>
      <c r="R762" s="23">
        <f t="shared" si="1352"/>
        <v>577965</v>
      </c>
      <c r="S762" s="25">
        <f>(((H762+R762)/(H761+R761))-1)+detalle!$D$1</f>
        <v>7.1587730514998366E-2</v>
      </c>
      <c r="T762" s="25">
        <f t="shared" si="1360"/>
        <v>1.0022282272099772</v>
      </c>
      <c r="U762" s="10">
        <f t="shared" si="1361"/>
        <v>0.99214709494404374</v>
      </c>
      <c r="V762" s="21">
        <f t="shared" si="1362"/>
        <v>131.10628571428572</v>
      </c>
      <c r="W762" s="15">
        <f>J762/detalle!$D$2</f>
        <v>294568.16780300275</v>
      </c>
      <c r="X762" s="15">
        <f>E762/detalle!$D$2</f>
        <v>52746.589828456119</v>
      </c>
      <c r="Y762" s="15">
        <f>F762/detalle!$D$2</f>
        <v>399.15993029162217</v>
      </c>
      <c r="AA762" s="14">
        <f>E762/(detalle!$D$2*1000000)</f>
        <v>5.2746589828456113E-2</v>
      </c>
      <c r="AB762" s="14">
        <f>F762/(detalle!$D$2*1000000)</f>
        <v>3.9915993029162212E-4</v>
      </c>
      <c r="AC762" s="31">
        <f>20/585</f>
        <v>3.4188034188034191E-2</v>
      </c>
      <c r="AD762" s="31">
        <f>110/2373</f>
        <v>4.6354825115887066E-2</v>
      </c>
      <c r="AE762" s="31">
        <f>20/469</f>
        <v>4.2643923240938165E-2</v>
      </c>
      <c r="AF762" s="22">
        <f t="shared" si="1357"/>
        <v>0</v>
      </c>
      <c r="AG762" s="12">
        <v>7189174</v>
      </c>
      <c r="AH762" s="12">
        <v>5931996</v>
      </c>
      <c r="AI762" s="12">
        <v>2299309</v>
      </c>
      <c r="AJ762" s="23">
        <f t="shared" si="1358"/>
        <v>6311</v>
      </c>
      <c r="AK762" s="23">
        <f t="shared" si="1359"/>
        <v>15420479</v>
      </c>
      <c r="AL762" s="28">
        <f>AK762/detalle!$D$2</f>
        <v>1406911.3880464968</v>
      </c>
    </row>
    <row r="763" spans="1:38">
      <c r="A763" s="12">
        <v>762</v>
      </c>
      <c r="B763" s="19">
        <v>44652</v>
      </c>
      <c r="C763" s="12">
        <v>744</v>
      </c>
      <c r="D763" s="23">
        <f t="shared" si="1345"/>
        <v>49</v>
      </c>
      <c r="E763" s="12">
        <v>578179</v>
      </c>
      <c r="F763" s="12">
        <v>4375</v>
      </c>
      <c r="G763" s="12">
        <v>573600</v>
      </c>
      <c r="H763" s="23">
        <f t="shared" si="1346"/>
        <v>204</v>
      </c>
      <c r="I763" s="23">
        <f t="shared" si="1347"/>
        <v>2688</v>
      </c>
      <c r="J763" s="12">
        <v>3231308</v>
      </c>
      <c r="K763" s="23">
        <f t="shared" si="1348"/>
        <v>2653129</v>
      </c>
      <c r="L763" s="23">
        <f t="shared" si="1349"/>
        <v>10</v>
      </c>
      <c r="M763" s="14">
        <f t="shared" si="1350"/>
        <v>7.5668607818685906E-3</v>
      </c>
      <c r="N763" s="14">
        <f t="shared" si="1351"/>
        <v>1.8229166666666668E-2</v>
      </c>
      <c r="O763" s="24"/>
      <c r="P763" s="12"/>
      <c r="Q763" s="12"/>
      <c r="R763" s="23">
        <f t="shared" si="1352"/>
        <v>577975</v>
      </c>
      <c r="S763" s="25">
        <f>(((H763+R763)/(H762+R762))-1)+detalle!$D$1</f>
        <v>7.1513327452303016E-2</v>
      </c>
      <c r="T763" s="25">
        <f t="shared" si="1360"/>
        <v>1.0011865843322423</v>
      </c>
      <c r="U763" s="10">
        <f t="shared" si="1361"/>
        <v>0.992080307309674</v>
      </c>
      <c r="V763" s="21">
        <f t="shared" si="1362"/>
        <v>131.10857142857142</v>
      </c>
      <c r="W763" s="15">
        <f>J763/detalle!$D$2</f>
        <v>294813.41166417394</v>
      </c>
      <c r="X763" s="15">
        <f>E763/detalle!$D$2</f>
        <v>52751.060419675385</v>
      </c>
      <c r="Y763" s="15">
        <f>F763/detalle!$D$2</f>
        <v>399.15993029162217</v>
      </c>
      <c r="AA763" s="14">
        <f>E763/(detalle!$D$2*1000000)</f>
        <v>5.275106041967538E-2</v>
      </c>
      <c r="AB763" s="14">
        <f>F763/(detalle!$D$2*1000000)</f>
        <v>3.9915993029162212E-4</v>
      </c>
      <c r="AC763" s="31">
        <f>20/585</f>
        <v>3.4188034188034191E-2</v>
      </c>
      <c r="AD763" s="31">
        <f>109/2373</f>
        <v>4.5933417614833542E-2</v>
      </c>
      <c r="AE763" s="31">
        <f>19/469</f>
        <v>4.0511727078891259E-2</v>
      </c>
      <c r="AF763" s="22">
        <f t="shared" si="1357"/>
        <v>0</v>
      </c>
      <c r="AG763" s="12">
        <v>7190413</v>
      </c>
      <c r="AH763" s="12">
        <v>5934331</v>
      </c>
      <c r="AI763" s="12">
        <v>2301103</v>
      </c>
      <c r="AJ763" s="23">
        <f t="shared" si="1358"/>
        <v>5368</v>
      </c>
      <c r="AK763" s="23">
        <f t="shared" si="1359"/>
        <v>15425847</v>
      </c>
      <c r="AL763" s="28">
        <f>AK763/detalle!$D$2</f>
        <v>1407401.1458763951</v>
      </c>
    </row>
    <row r="764" spans="1:38">
      <c r="A764" s="12">
        <v>763</v>
      </c>
      <c r="B764" s="19">
        <v>44653</v>
      </c>
      <c r="C764" s="12">
        <v>745</v>
      </c>
      <c r="D764" s="23">
        <f t="shared" si="1345"/>
        <v>30</v>
      </c>
      <c r="E764" s="12">
        <v>578209</v>
      </c>
      <c r="F764" s="12">
        <v>4375</v>
      </c>
      <c r="G764" s="12">
        <v>573703</v>
      </c>
      <c r="H764" s="23">
        <f t="shared" si="1346"/>
        <v>131</v>
      </c>
      <c r="I764" s="23">
        <f t="shared" si="1347"/>
        <v>1846</v>
      </c>
      <c r="J764" s="12">
        <v>3233154</v>
      </c>
      <c r="K764" s="23">
        <f t="shared" si="1348"/>
        <v>2654945</v>
      </c>
      <c r="L764" s="23">
        <f t="shared" si="1349"/>
        <v>103</v>
      </c>
      <c r="M764" s="14">
        <f t="shared" si="1350"/>
        <v>7.5664681801909002E-3</v>
      </c>
      <c r="N764" s="14">
        <f t="shared" si="1351"/>
        <v>1.6251354279523293E-2</v>
      </c>
      <c r="O764" s="24"/>
      <c r="P764" s="12"/>
      <c r="Q764" s="12"/>
      <c r="R764" s="23">
        <f t="shared" si="1352"/>
        <v>578078</v>
      </c>
      <c r="S764" s="25">
        <f>(((H764+R764)/(H763+R763))-1)+detalle!$D$1</f>
        <v>7.1480458473932834E-2</v>
      </c>
      <c r="T764" s="25">
        <f t="shared" si="1360"/>
        <v>1.0007264186350597</v>
      </c>
      <c r="U764" s="10">
        <f t="shared" si="1361"/>
        <v>0.99220697014401371</v>
      </c>
      <c r="V764" s="21">
        <f t="shared" si="1362"/>
        <v>131.13211428571429</v>
      </c>
      <c r="W764" s="15">
        <f>J764/detalle!$D$2</f>
        <v>294981.83434561815</v>
      </c>
      <c r="X764" s="15">
        <f>E764/detalle!$D$2</f>
        <v>52753.797516340237</v>
      </c>
      <c r="Y764" s="15">
        <f>F764/detalle!$D$2</f>
        <v>399.15993029162217</v>
      </c>
      <c r="AA764" s="14">
        <f>E764/(detalle!$D$2*1000000)</f>
        <v>5.275379751634024E-2</v>
      </c>
      <c r="AB764" s="14">
        <f>F764/(detalle!$D$2*1000000)</f>
        <v>3.9915993029162212E-4</v>
      </c>
      <c r="AC764" s="31">
        <f>20/585</f>
        <v>3.4188034188034191E-2</v>
      </c>
      <c r="AD764" s="31">
        <f>109/2373</f>
        <v>4.5933417614833542E-2</v>
      </c>
      <c r="AE764" s="31">
        <f>19/469</f>
        <v>4.0511727078891259E-2</v>
      </c>
      <c r="AF764" s="22">
        <f t="shared" si="1357"/>
        <v>0</v>
      </c>
      <c r="AG764" s="12">
        <v>7190861</v>
      </c>
      <c r="AH764" s="12">
        <v>5934750</v>
      </c>
      <c r="AI764" s="12">
        <v>2301818</v>
      </c>
      <c r="AJ764" s="23">
        <f t="shared" si="1358"/>
        <v>1582</v>
      </c>
      <c r="AK764" s="23">
        <f t="shared" si="1359"/>
        <v>15427429</v>
      </c>
      <c r="AL764" s="28">
        <f>AK764/detalle!$D$2</f>
        <v>1407545.4821071886</v>
      </c>
    </row>
    <row r="765" spans="1:38">
      <c r="A765" s="12">
        <v>764</v>
      </c>
      <c r="B765" s="19">
        <v>44654</v>
      </c>
      <c r="C765" s="12">
        <v>746</v>
      </c>
      <c r="D765" s="23">
        <f t="shared" ref="D765" si="1363">E765-E764</f>
        <v>44</v>
      </c>
      <c r="E765" s="12">
        <v>578253</v>
      </c>
      <c r="F765" s="12">
        <v>4375</v>
      </c>
      <c r="G765" s="12">
        <v>573723</v>
      </c>
      <c r="H765" s="23">
        <f t="shared" ref="H765:H766" si="1364">E765-F765-G765</f>
        <v>155</v>
      </c>
      <c r="I765" s="23">
        <f>J765-J764</f>
        <v>2993</v>
      </c>
      <c r="J765" s="12">
        <v>3236147</v>
      </c>
      <c r="K765" s="23">
        <f t="shared" ref="K765:K766" si="1365">J765-E765</f>
        <v>2657894</v>
      </c>
      <c r="L765" s="23">
        <f t="shared" ref="L765:L766" si="1366">G765-G764</f>
        <v>20</v>
      </c>
      <c r="M765" s="14">
        <f t="shared" ref="M765:M766" si="1367">F765/E765</f>
        <v>7.5658924380850598E-3</v>
      </c>
      <c r="N765" s="14">
        <f t="shared" ref="N765" si="1368">D765/I765</f>
        <v>1.4700968927497494E-2</v>
      </c>
      <c r="O765" s="24"/>
      <c r="P765" s="12"/>
      <c r="Q765" s="12"/>
      <c r="R765" s="23">
        <f t="shared" ref="R765:R766" si="1369">F765+G765</f>
        <v>578098</v>
      </c>
      <c r="S765" s="25">
        <f>(((H765+R765)/(H764+R764))-1)+detalle!$D$1</f>
        <v>7.150466847998363E-2</v>
      </c>
      <c r="T765" s="25">
        <f t="shared" ref="T765:T766" si="1370">S765*14</f>
        <v>1.0010653587197709</v>
      </c>
      <c r="U765" s="10">
        <f t="shared" ref="U765:U766" si="1371">G765/E765</f>
        <v>0.9921660588012513</v>
      </c>
      <c r="V765" s="21">
        <f t="shared" ref="V765:V766" si="1372">G765/F765</f>
        <v>131.1366857142857</v>
      </c>
      <c r="W765" s="15">
        <f>J765/detalle!$D$2</f>
        <v>295254.90535621537</v>
      </c>
      <c r="X765" s="15">
        <f>E765/detalle!$D$2</f>
        <v>52757.811924782029</v>
      </c>
      <c r="Y765" s="15">
        <f>F765/detalle!$D$2</f>
        <v>399.15993029162217</v>
      </c>
      <c r="AA765" s="14">
        <f>E765/(detalle!$D$2*1000000)</f>
        <v>5.275781192478203E-2</v>
      </c>
      <c r="AB765" s="14">
        <f>F765/(detalle!$D$2*1000000)</f>
        <v>3.9915993029162212E-4</v>
      </c>
      <c r="AC765" s="31">
        <f>21/585</f>
        <v>3.5897435897435895E-2</v>
      </c>
      <c r="AD765" s="31">
        <f>106/2373</f>
        <v>4.4669195111672985E-2</v>
      </c>
      <c r="AE765" s="31">
        <f>20/469</f>
        <v>4.2643923240938165E-2</v>
      </c>
      <c r="AF765" s="22">
        <f t="shared" ref="AF765:AF766" si="1373">F765-F764</f>
        <v>0</v>
      </c>
      <c r="AG765" s="12">
        <v>7190972</v>
      </c>
      <c r="AH765" s="12">
        <v>5934855</v>
      </c>
      <c r="AI765" s="12">
        <v>2302062</v>
      </c>
      <c r="AJ765" s="23">
        <f t="shared" ref="AJ765" si="1374">AK765-AK764</f>
        <v>460</v>
      </c>
      <c r="AK765" s="23">
        <f t="shared" ref="AK765:AK766" si="1375">AG765+AH765+AI765</f>
        <v>15427889</v>
      </c>
      <c r="AL765" s="28">
        <f>AK765/detalle!$D$2</f>
        <v>1407587.4509227164</v>
      </c>
    </row>
    <row r="766" spans="1:38">
      <c r="A766" s="12">
        <v>765</v>
      </c>
      <c r="B766" s="19">
        <v>44655</v>
      </c>
      <c r="C766" s="12">
        <v>747</v>
      </c>
      <c r="D766" s="23">
        <f>E766-E765</f>
        <v>66</v>
      </c>
      <c r="E766" s="12">
        <v>578319</v>
      </c>
      <c r="F766" s="12">
        <v>4375</v>
      </c>
      <c r="G766" s="12">
        <v>573814</v>
      </c>
      <c r="H766" s="23">
        <f t="shared" si="1364"/>
        <v>130</v>
      </c>
      <c r="I766" s="23">
        <f t="shared" ref="I766" si="1376">J766-J765</f>
        <v>1713</v>
      </c>
      <c r="J766" s="12">
        <v>3237860</v>
      </c>
      <c r="K766" s="23">
        <f t="shared" si="1365"/>
        <v>2659541</v>
      </c>
      <c r="L766" s="23">
        <f t="shared" si="1366"/>
        <v>91</v>
      </c>
      <c r="M766" s="14">
        <f t="shared" si="1367"/>
        <v>7.5650289891910864E-3</v>
      </c>
      <c r="N766" s="14">
        <f>D766/I766</f>
        <v>3.8528896672504379E-2</v>
      </c>
      <c r="O766" s="24"/>
      <c r="P766" s="12"/>
      <c r="Q766" s="12"/>
      <c r="R766" s="23">
        <f t="shared" si="1369"/>
        <v>578189</v>
      </c>
      <c r="S766" s="25">
        <f>(((H766+R766)/(H765+R765))-1)+detalle!$D$1</f>
        <v>7.1542708320208731E-2</v>
      </c>
      <c r="T766" s="25">
        <f t="shared" si="1370"/>
        <v>1.0015979164829223</v>
      </c>
      <c r="U766" s="10">
        <f t="shared" si="1371"/>
        <v>0.99221018157798724</v>
      </c>
      <c r="V766" s="21">
        <f t="shared" si="1372"/>
        <v>131.15748571428571</v>
      </c>
      <c r="W766" s="15">
        <f>J766/detalle!$D$2</f>
        <v>295411.19357577869</v>
      </c>
      <c r="X766" s="15">
        <f>E766/detalle!$D$2</f>
        <v>52763.833537444712</v>
      </c>
      <c r="Y766" s="15">
        <f>F766/detalle!$D$2</f>
        <v>399.15993029162217</v>
      </c>
      <c r="AA766" s="14">
        <f>E766/(detalle!$D$2*1000000)</f>
        <v>5.2763833537444717E-2</v>
      </c>
      <c r="AB766" s="14">
        <f>F766/(detalle!$D$2*1000000)</f>
        <v>3.9915993029162212E-4</v>
      </c>
      <c r="AC766" s="31">
        <f>21/585</f>
        <v>3.5897435897435895E-2</v>
      </c>
      <c r="AD766" s="31">
        <f>107/2373</f>
        <v>4.5090602612726509E-2</v>
      </c>
      <c r="AE766" s="31">
        <f>20/469</f>
        <v>4.2643923240938165E-2</v>
      </c>
      <c r="AF766" s="22">
        <f t="shared" si="1373"/>
        <v>0</v>
      </c>
      <c r="AG766" s="12">
        <v>7192098</v>
      </c>
      <c r="AH766" s="12">
        <v>5936957</v>
      </c>
      <c r="AI766" s="12">
        <v>2303681</v>
      </c>
      <c r="AJ766" s="23">
        <f>AK766-AK765</f>
        <v>4847</v>
      </c>
      <c r="AK766" s="23">
        <f t="shared" si="1375"/>
        <v>15432736</v>
      </c>
      <c r="AL766" s="28">
        <f>AK766/detalle!$D$2</f>
        <v>1408029.6745072016</v>
      </c>
    </row>
    <row r="767" spans="1:38">
      <c r="A767" s="12">
        <v>766</v>
      </c>
      <c r="B767" s="19">
        <v>44656</v>
      </c>
      <c r="C767" s="12">
        <v>748</v>
      </c>
      <c r="D767" s="23">
        <f t="shared" ref="D767:D768" si="1377">E767-E766</f>
        <v>58</v>
      </c>
      <c r="E767" s="12">
        <v>578377</v>
      </c>
      <c r="F767" s="12">
        <v>4375</v>
      </c>
      <c r="G767" s="12">
        <v>573885</v>
      </c>
      <c r="H767" s="23">
        <f t="shared" ref="H767:H768" si="1378">E767-F767-G767</f>
        <v>117</v>
      </c>
      <c r="I767" s="23">
        <f t="shared" ref="I767:I768" si="1379">J767-J766</f>
        <v>3067</v>
      </c>
      <c r="J767" s="12">
        <v>3240927</v>
      </c>
      <c r="K767" s="23">
        <f t="shared" ref="K767:K768" si="1380">J767-E767</f>
        <v>2662550</v>
      </c>
      <c r="L767" s="23">
        <f t="shared" ref="L767:L768" si="1381">G767-G766</f>
        <v>71</v>
      </c>
      <c r="M767" s="14">
        <f t="shared" ref="M767:M768" si="1382">F767/E767</f>
        <v>7.5642703634480621E-3</v>
      </c>
      <c r="N767" s="14">
        <f>D767/I767</f>
        <v>1.8910987936093904E-2</v>
      </c>
      <c r="O767" s="24"/>
      <c r="P767" s="12"/>
      <c r="Q767" s="12"/>
      <c r="R767" s="23">
        <f t="shared" ref="R767:R768" si="1383">F767+G767</f>
        <v>578260</v>
      </c>
      <c r="S767" s="25">
        <f>(((H767+R767)/(H766+R766))-1)+detalle!$D$1</f>
        <v>7.1528862098599461E-2</v>
      </c>
      <c r="T767" s="25">
        <f t="shared" ref="T767:T768" si="1384">S767*14</f>
        <v>1.0014040693803925</v>
      </c>
      <c r="U767" s="10">
        <f t="shared" ref="U767:U768" si="1385">G767/E767</f>
        <v>0.99223343943483233</v>
      </c>
      <c r="V767" s="21">
        <f t="shared" ref="V767:V768" si="1386">G767/F767</f>
        <v>131.17371428571428</v>
      </c>
      <c r="W767" s="15">
        <f>J767/detalle!$D$2</f>
        <v>295691.01609148254</v>
      </c>
      <c r="X767" s="15">
        <f>E767/detalle!$D$2</f>
        <v>52769.125257663436</v>
      </c>
      <c r="Y767" s="15">
        <f>F767/detalle!$D$2</f>
        <v>399.15993029162217</v>
      </c>
      <c r="AA767" s="14">
        <f>E767/(detalle!$D$2*1000000)</f>
        <v>5.2769125257663439E-2</v>
      </c>
      <c r="AB767" s="14">
        <f>F767/(detalle!$D$2*1000000)</f>
        <v>3.9915993029162212E-4</v>
      </c>
      <c r="AC767" s="31">
        <f>18/585</f>
        <v>3.0769230769230771E-2</v>
      </c>
      <c r="AD767" s="31">
        <f>78/2373</f>
        <v>3.286978508217446E-2</v>
      </c>
      <c r="AE767" s="31">
        <f>18/469</f>
        <v>3.8379530916844352E-2</v>
      </c>
      <c r="AF767" s="22">
        <f t="shared" ref="AF767:AF768" si="1387">F767-F766</f>
        <v>0</v>
      </c>
      <c r="AG767" s="12">
        <v>7193260</v>
      </c>
      <c r="AH767" s="12">
        <v>5939778</v>
      </c>
      <c r="AI767" s="12">
        <v>2305461</v>
      </c>
      <c r="AJ767" s="23">
        <f t="shared" ref="AJ767:AJ768" si="1388">AK767-AK766</f>
        <v>5763</v>
      </c>
      <c r="AK767" s="23">
        <f t="shared" ref="AK767:AK768" si="1389">AG767+AH767+AI767</f>
        <v>15438499</v>
      </c>
      <c r="AL767" s="28">
        <f>AK767/detalle!$D$2</f>
        <v>1408555.4707765207</v>
      </c>
    </row>
    <row r="768" spans="1:38">
      <c r="A768" s="12">
        <v>767</v>
      </c>
      <c r="B768" s="19">
        <v>44657</v>
      </c>
      <c r="C768" s="12">
        <v>749</v>
      </c>
      <c r="D768" s="23">
        <f t="shared" si="1377"/>
        <v>39</v>
      </c>
      <c r="E768" s="12">
        <v>578416</v>
      </c>
      <c r="F768" s="12">
        <v>4375</v>
      </c>
      <c r="G768" s="12">
        <v>573896</v>
      </c>
      <c r="H768" s="23">
        <f t="shared" si="1378"/>
        <v>145</v>
      </c>
      <c r="I768" s="23">
        <f t="shared" si="1379"/>
        <v>2372</v>
      </c>
      <c r="J768" s="12">
        <v>3243299</v>
      </c>
      <c r="K768" s="23">
        <f t="shared" si="1380"/>
        <v>2664883</v>
      </c>
      <c r="L768" s="23">
        <f t="shared" si="1381"/>
        <v>11</v>
      </c>
      <c r="M768" s="14">
        <f t="shared" si="1382"/>
        <v>7.5637603385798457E-3</v>
      </c>
      <c r="N768" s="14">
        <f t="shared" ref="N768" si="1390">D768/I768</f>
        <v>1.6441821247892074E-2</v>
      </c>
      <c r="O768" s="24"/>
      <c r="P768" s="12"/>
      <c r="Q768" s="12"/>
      <c r="R768" s="23">
        <f t="shared" si="1383"/>
        <v>578271</v>
      </c>
      <c r="S768" s="25">
        <f>(((H768+R768)/(H767+R767))-1)+detalle!$D$1</f>
        <v>7.1496001495811284E-2</v>
      </c>
      <c r="T768" s="25">
        <f t="shared" si="1384"/>
        <v>1.000944020941358</v>
      </c>
      <c r="U768" s="10">
        <f t="shared" si="1385"/>
        <v>0.99218555503305583</v>
      </c>
      <c r="V768" s="21">
        <f t="shared" si="1386"/>
        <v>131.17622857142857</v>
      </c>
      <c r="W768" s="15">
        <f>J768/detalle!$D$2</f>
        <v>295907.42920111719</v>
      </c>
      <c r="X768" s="15">
        <f>E768/detalle!$D$2</f>
        <v>52772.683483327753</v>
      </c>
      <c r="Y768" s="15">
        <f>F768/detalle!$D$2</f>
        <v>399.15993029162217</v>
      </c>
      <c r="AA768" s="14">
        <f>E768/(detalle!$D$2*1000000)</f>
        <v>5.2772683483327754E-2</v>
      </c>
      <c r="AB768" s="14">
        <f>F768/(detalle!$D$2*1000000)</f>
        <v>3.9915993029162212E-4</v>
      </c>
      <c r="AC768" s="31">
        <f>18/585</f>
        <v>3.0769230769230771E-2</v>
      </c>
      <c r="AD768" s="31">
        <f>61/2373</f>
        <v>2.5705857564264644E-2</v>
      </c>
      <c r="AE768" s="31">
        <f>12/469</f>
        <v>2.5586353944562899E-2</v>
      </c>
      <c r="AF768" s="22">
        <f t="shared" si="1387"/>
        <v>0</v>
      </c>
      <c r="AG768" s="12">
        <v>7194566</v>
      </c>
      <c r="AH768" s="12">
        <v>5942268</v>
      </c>
      <c r="AI768" s="12">
        <v>2307204</v>
      </c>
      <c r="AJ768" s="23">
        <f t="shared" si="1388"/>
        <v>5539</v>
      </c>
      <c r="AK768" s="23">
        <f t="shared" si="1389"/>
        <v>15444038</v>
      </c>
      <c r="AL768" s="28">
        <f>AK768/detalle!$D$2</f>
        <v>1409060.8300574089</v>
      </c>
    </row>
    <row r="769" spans="1:38">
      <c r="A769" s="12">
        <v>768</v>
      </c>
      <c r="B769" s="19">
        <v>44658</v>
      </c>
      <c r="C769" s="12">
        <v>750</v>
      </c>
      <c r="D769" s="23">
        <f t="shared" ref="D769:D770" si="1391">E769-E768</f>
        <v>68</v>
      </c>
      <c r="E769" s="12">
        <v>578484</v>
      </c>
      <c r="F769" s="12">
        <v>4375</v>
      </c>
      <c r="G769" s="12">
        <v>573963</v>
      </c>
      <c r="H769" s="23">
        <f t="shared" ref="H769:H770" si="1392">E769-F769-G769</f>
        <v>146</v>
      </c>
      <c r="I769" s="23">
        <f t="shared" ref="I769:I770" si="1393">J769-J768</f>
        <v>2565</v>
      </c>
      <c r="J769" s="12">
        <v>3245864</v>
      </c>
      <c r="K769" s="23">
        <f t="shared" ref="K769:K770" si="1394">J769-E769</f>
        <v>2667380</v>
      </c>
      <c r="L769" s="23">
        <f t="shared" ref="L769:L770" si="1395">G769-G768</f>
        <v>67</v>
      </c>
      <c r="M769" s="14">
        <f t="shared" ref="M769:M770" si="1396">F769/E769</f>
        <v>7.5628712289363235E-3</v>
      </c>
      <c r="N769" s="14">
        <f t="shared" ref="N769:N770" si="1397">D769/I769</f>
        <v>2.6510721247563353E-2</v>
      </c>
      <c r="O769" s="24"/>
      <c r="P769" s="12"/>
      <c r="Q769" s="12"/>
      <c r="R769" s="23">
        <f t="shared" ref="R769:R770" si="1398">F769+G769</f>
        <v>578338</v>
      </c>
      <c r="S769" s="25">
        <f>(((H769+R769)/(H768+R768))-1)+detalle!$D$1</f>
        <v>7.1546133874976797E-2</v>
      </c>
      <c r="T769" s="25">
        <f t="shared" ref="T769:T770" si="1399">S769*14</f>
        <v>1.0016458742496752</v>
      </c>
      <c r="U769" s="10">
        <f t="shared" ref="U769:U770" si="1400">G769/E769</f>
        <v>0.99218474495405229</v>
      </c>
      <c r="V769" s="21">
        <f t="shared" ref="V769:V770" si="1401">G769/F769</f>
        <v>131.19154285714285</v>
      </c>
      <c r="W769" s="15">
        <f>J769/detalle!$D$2</f>
        <v>296141.45096596249</v>
      </c>
      <c r="X769" s="15">
        <f>E769/detalle!$D$2</f>
        <v>52778.887569101425</v>
      </c>
      <c r="Y769" s="15">
        <f>F769/detalle!$D$2</f>
        <v>399.15993029162217</v>
      </c>
      <c r="AA769" s="14">
        <f>E769/(detalle!$D$2*1000000)</f>
        <v>5.2778887569101429E-2</v>
      </c>
      <c r="AB769" s="14">
        <f>F769/(detalle!$D$2*1000000)</f>
        <v>3.9915993029162212E-4</v>
      </c>
      <c r="AC769" s="31">
        <f t="shared" ref="AC769" si="1402">18/585</f>
        <v>3.0769230769230771E-2</v>
      </c>
      <c r="AD769" s="31">
        <f>59/2373</f>
        <v>2.4863042562157607E-2</v>
      </c>
      <c r="AE769" s="31">
        <f t="shared" ref="AE769" si="1403">12/469</f>
        <v>2.5586353944562899E-2</v>
      </c>
      <c r="AF769" s="22">
        <f t="shared" ref="AF769:AF770" si="1404">F769-F768</f>
        <v>0</v>
      </c>
      <c r="AG769" s="12">
        <v>7195965</v>
      </c>
      <c r="AH769" s="12">
        <v>5944898</v>
      </c>
      <c r="AI769" s="12">
        <v>2308953</v>
      </c>
      <c r="AJ769" s="23">
        <f t="shared" ref="AJ769:AJ770" si="1405">AK769-AK768</f>
        <v>5778</v>
      </c>
      <c r="AK769" s="23">
        <f t="shared" ref="AK769:AK770" si="1406">AG769+AH769+AI769</f>
        <v>15449816</v>
      </c>
      <c r="AL769" s="28">
        <f>AK769/detalle!$D$2</f>
        <v>1409587.9948750602</v>
      </c>
    </row>
    <row r="770" spans="1:38">
      <c r="A770" s="12">
        <v>769</v>
      </c>
      <c r="B770" s="19">
        <v>44659</v>
      </c>
      <c r="C770" s="12">
        <v>751</v>
      </c>
      <c r="D770" s="23">
        <f t="shared" si="1391"/>
        <v>47</v>
      </c>
      <c r="E770" s="12">
        <v>578531</v>
      </c>
      <c r="F770" s="12">
        <v>4375</v>
      </c>
      <c r="G770" s="12">
        <v>574035</v>
      </c>
      <c r="H770" s="23">
        <f t="shared" si="1392"/>
        <v>121</v>
      </c>
      <c r="I770" s="23">
        <f t="shared" si="1393"/>
        <v>1495</v>
      </c>
      <c r="J770" s="12">
        <v>3247359</v>
      </c>
      <c r="K770" s="23">
        <f t="shared" si="1394"/>
        <v>2668828</v>
      </c>
      <c r="L770" s="23">
        <f t="shared" si="1395"/>
        <v>72</v>
      </c>
      <c r="M770" s="14">
        <f t="shared" si="1396"/>
        <v>7.5622568194271354E-3</v>
      </c>
      <c r="N770" s="14">
        <f t="shared" si="1397"/>
        <v>3.1438127090301006E-2</v>
      </c>
      <c r="O770" s="24"/>
      <c r="P770" s="12"/>
      <c r="Q770" s="12"/>
      <c r="R770" s="23">
        <f t="shared" si="1398"/>
        <v>578410</v>
      </c>
      <c r="S770" s="25">
        <f>(((H770+R770)/(H769+R769))-1)+detalle!$D$1</f>
        <v>7.1509818273773701E-2</v>
      </c>
      <c r="T770" s="25">
        <f t="shared" si="1399"/>
        <v>1.0011374558328319</v>
      </c>
      <c r="U770" s="10">
        <f t="shared" si="1400"/>
        <v>0.99222859276339559</v>
      </c>
      <c r="V770" s="21">
        <f t="shared" si="1401"/>
        <v>131.208</v>
      </c>
      <c r="W770" s="15">
        <f>J770/detalle!$D$2</f>
        <v>296277.84961642785</v>
      </c>
      <c r="X770" s="15">
        <f>E770/detalle!$D$2</f>
        <v>52783.175687209703</v>
      </c>
      <c r="Y770" s="15">
        <f>F770/detalle!$D$2</f>
        <v>399.15993029162217</v>
      </c>
      <c r="AA770" s="14">
        <f>E770/(detalle!$D$2*1000000)</f>
        <v>5.27831756872097E-2</v>
      </c>
      <c r="AB770" s="14">
        <f>F770/(detalle!$D$2*1000000)</f>
        <v>3.9915993029162212E-4</v>
      </c>
      <c r="AC770" s="31">
        <f>20/585</f>
        <v>3.4188034188034191E-2</v>
      </c>
      <c r="AD770" s="31">
        <f>59/2373</f>
        <v>2.4863042562157607E-2</v>
      </c>
      <c r="AE770" s="31">
        <f>10/469</f>
        <v>2.1321961620469083E-2</v>
      </c>
      <c r="AF770" s="22">
        <f t="shared" si="1404"/>
        <v>0</v>
      </c>
      <c r="AG770" s="12">
        <v>7196991</v>
      </c>
      <c r="AH770" s="12">
        <v>5946351</v>
      </c>
      <c r="AI770" s="12">
        <v>2310531</v>
      </c>
      <c r="AJ770" s="23">
        <f t="shared" si="1405"/>
        <v>4057</v>
      </c>
      <c r="AK770" s="23">
        <f t="shared" si="1406"/>
        <v>15453873</v>
      </c>
      <c r="AL770" s="28">
        <f>AK770/detalle!$D$2</f>
        <v>1409958.1415807044</v>
      </c>
    </row>
    <row r="771" spans="1:38">
      <c r="A771" s="12">
        <v>770</v>
      </c>
      <c r="B771" s="19">
        <v>44660</v>
      </c>
      <c r="C771" s="12">
        <v>752</v>
      </c>
      <c r="D771" s="23">
        <f t="shared" ref="D771:D773" si="1407">E771-E770</f>
        <v>25</v>
      </c>
      <c r="E771" s="12">
        <v>578556</v>
      </c>
      <c r="F771" s="12">
        <v>4375</v>
      </c>
      <c r="G771" s="12">
        <v>574110</v>
      </c>
      <c r="H771" s="23">
        <f t="shared" ref="H771:H773" si="1408">E771-F771-G771</f>
        <v>71</v>
      </c>
      <c r="I771" s="23">
        <f t="shared" ref="I771:I773" si="1409">J771-J770</f>
        <v>1721</v>
      </c>
      <c r="J771" s="12">
        <v>3249080</v>
      </c>
      <c r="K771" s="23">
        <f t="shared" ref="K771:K773" si="1410">J771-E771</f>
        <v>2670524</v>
      </c>
      <c r="L771" s="23">
        <f t="shared" ref="L771:L773" si="1411">G771-G770</f>
        <v>75</v>
      </c>
      <c r="M771" s="14">
        <f t="shared" ref="M771:M773" si="1412">F771/E771</f>
        <v>7.5619300465296357E-3</v>
      </c>
      <c r="N771" s="14">
        <f t="shared" ref="N771:N773" si="1413">D771/I771</f>
        <v>1.452643811737362E-2</v>
      </c>
      <c r="O771" s="24"/>
      <c r="P771" s="12"/>
      <c r="Q771" s="12"/>
      <c r="R771" s="23">
        <f t="shared" ref="R771:R773" si="1414">F771+G771</f>
        <v>578485</v>
      </c>
      <c r="S771" s="25">
        <f>(((H771+R771)/(H770+R770))-1)+detalle!$D$1</f>
        <v>7.1471784324682403E-2</v>
      </c>
      <c r="T771" s="25">
        <f t="shared" ref="T771:T773" si="1415">S771*14</f>
        <v>1.0006049805455537</v>
      </c>
      <c r="U771" s="10">
        <f t="shared" ref="U771:U773" si="1416">G771/E771</f>
        <v>0.99231535063157239</v>
      </c>
      <c r="V771" s="21">
        <f t="shared" ref="V771:V773" si="1417">G771/F771</f>
        <v>131.22514285714286</v>
      </c>
      <c r="W771" s="15">
        <f>J771/detalle!$D$2</f>
        <v>296434.86772843514</v>
      </c>
      <c r="X771" s="15">
        <f>E771/detalle!$D$2</f>
        <v>52785.456601097081</v>
      </c>
      <c r="Y771" s="15">
        <f>F771/detalle!$D$2</f>
        <v>399.15993029162217</v>
      </c>
      <c r="AA771" s="14">
        <f>E771/(detalle!$D$2*1000000)</f>
        <v>5.2785456601097083E-2</v>
      </c>
      <c r="AB771" s="14">
        <f>F771/(detalle!$D$2*1000000)</f>
        <v>3.9915993029162212E-4</v>
      </c>
      <c r="AC771" s="31">
        <f>21/585</f>
        <v>3.5897435897435895E-2</v>
      </c>
      <c r="AD771" s="31">
        <f>80/2373</f>
        <v>3.3712600084281501E-2</v>
      </c>
      <c r="AE771" s="31">
        <f>20/469</f>
        <v>4.2643923240938165E-2</v>
      </c>
      <c r="AF771" s="22">
        <f t="shared" ref="AF771:AF773" si="1418">F771-F770</f>
        <v>0</v>
      </c>
      <c r="AG771" s="12">
        <v>7197440</v>
      </c>
      <c r="AH771" s="12">
        <v>5946744</v>
      </c>
      <c r="AI771" s="12">
        <v>2311349</v>
      </c>
      <c r="AJ771" s="23">
        <f t="shared" ref="AJ771:AJ773" si="1419">AK771-AK770</f>
        <v>1660</v>
      </c>
      <c r="AK771" s="23">
        <f t="shared" ref="AK771:AK773" si="1420">AG771+AH771+AI771</f>
        <v>15455533</v>
      </c>
      <c r="AL771" s="28">
        <f>AK771/detalle!$D$2</f>
        <v>1410109.5942628265</v>
      </c>
    </row>
    <row r="772" spans="1:38">
      <c r="A772" s="12">
        <v>771</v>
      </c>
      <c r="B772" s="19">
        <v>44661</v>
      </c>
      <c r="C772" s="12">
        <v>753</v>
      </c>
      <c r="D772" s="23">
        <f t="shared" si="1407"/>
        <v>14</v>
      </c>
      <c r="E772" s="12">
        <v>578570</v>
      </c>
      <c r="F772" s="12">
        <v>4375</v>
      </c>
      <c r="G772" s="12">
        <v>574133</v>
      </c>
      <c r="H772" s="23">
        <f t="shared" si="1408"/>
        <v>62</v>
      </c>
      <c r="I772" s="23">
        <f t="shared" si="1409"/>
        <v>478</v>
      </c>
      <c r="J772" s="12">
        <v>3249558</v>
      </c>
      <c r="K772" s="23">
        <f t="shared" si="1410"/>
        <v>2670988</v>
      </c>
      <c r="L772" s="23">
        <f t="shared" si="1411"/>
        <v>23</v>
      </c>
      <c r="M772" s="14">
        <f t="shared" si="1412"/>
        <v>7.5617470660421385E-3</v>
      </c>
      <c r="N772" s="14">
        <f t="shared" si="1413"/>
        <v>2.9288702928870293E-2</v>
      </c>
      <c r="O772" s="24"/>
      <c r="P772" s="12"/>
      <c r="Q772" s="12"/>
      <c r="R772" s="23">
        <f t="shared" si="1414"/>
        <v>578508</v>
      </c>
      <c r="S772" s="25">
        <f>(((H772+R772)/(H771+R771))-1)+detalle!$D$1</f>
        <v>7.1452769604720273E-2</v>
      </c>
      <c r="T772" s="25">
        <f t="shared" si="1415"/>
        <v>1.0003387744660839</v>
      </c>
      <c r="U772" s="10">
        <f t="shared" si="1416"/>
        <v>0.99233109217553628</v>
      </c>
      <c r="V772" s="21">
        <f t="shared" si="1417"/>
        <v>131.2304</v>
      </c>
      <c r="W772" s="15">
        <f>J772/detalle!$D$2</f>
        <v>296478.47880196187</v>
      </c>
      <c r="X772" s="15">
        <f>E772/detalle!$D$2</f>
        <v>52786.73391287402</v>
      </c>
      <c r="Y772" s="15">
        <f>F772/detalle!$D$2</f>
        <v>399.15993029162217</v>
      </c>
      <c r="AA772" s="14">
        <f>E772/(detalle!$D$2*1000000)</f>
        <v>5.2786733912874015E-2</v>
      </c>
      <c r="AB772" s="14">
        <f>F772/(detalle!$D$2*1000000)</f>
        <v>3.9915993029162212E-4</v>
      </c>
      <c r="AC772" s="31">
        <f>13/585</f>
        <v>2.2222222222222223E-2</v>
      </c>
      <c r="AD772" s="31">
        <f>35/2373</f>
        <v>1.4749262536873156E-2</v>
      </c>
      <c r="AE772" s="31">
        <f t="shared" ref="AE772:AE775" si="1421">10/469</f>
        <v>2.1321961620469083E-2</v>
      </c>
      <c r="AF772" s="22">
        <f t="shared" si="1418"/>
        <v>0</v>
      </c>
      <c r="AG772" s="12">
        <v>7197650</v>
      </c>
      <c r="AH772" s="12">
        <v>5946943</v>
      </c>
      <c r="AI772" s="12">
        <v>2311759</v>
      </c>
      <c r="AJ772" s="23">
        <f t="shared" si="1419"/>
        <v>819</v>
      </c>
      <c r="AK772" s="23">
        <f t="shared" si="1420"/>
        <v>15456352</v>
      </c>
      <c r="AL772" s="28">
        <f>AK772/detalle!$D$2</f>
        <v>1410184.317001777</v>
      </c>
    </row>
    <row r="773" spans="1:38">
      <c r="A773" s="12">
        <v>772</v>
      </c>
      <c r="B773" s="19">
        <v>44662</v>
      </c>
      <c r="C773" s="12">
        <v>754</v>
      </c>
      <c r="D773" s="23">
        <f t="shared" si="1407"/>
        <v>56</v>
      </c>
      <c r="E773" s="12">
        <v>578626</v>
      </c>
      <c r="F773" s="12">
        <v>4375</v>
      </c>
      <c r="G773" s="12">
        <v>574132</v>
      </c>
      <c r="H773" s="23">
        <f t="shared" si="1408"/>
        <v>119</v>
      </c>
      <c r="I773" s="23">
        <f t="shared" si="1409"/>
        <v>1633</v>
      </c>
      <c r="J773" s="12">
        <v>3251191</v>
      </c>
      <c r="K773" s="23">
        <f t="shared" si="1410"/>
        <v>2672565</v>
      </c>
      <c r="L773" s="23">
        <f t="shared" si="1411"/>
        <v>-1</v>
      </c>
      <c r="M773" s="14">
        <f t="shared" si="1412"/>
        <v>7.5610152326373165E-3</v>
      </c>
      <c r="N773" s="14">
        <f t="shared" si="1413"/>
        <v>3.4292712798530314E-2</v>
      </c>
      <c r="O773" s="24"/>
      <c r="P773" s="12"/>
      <c r="Q773" s="12"/>
      <c r="R773" s="23">
        <f t="shared" si="1414"/>
        <v>578507</v>
      </c>
      <c r="S773" s="25">
        <f>(((H773+R773)/(H772+R772))-1)+detalle!$D$1</f>
        <v>7.1525361791016789E-2</v>
      </c>
      <c r="T773" s="25">
        <f t="shared" si="1415"/>
        <v>1.0013550650742351</v>
      </c>
      <c r="U773" s="10">
        <f t="shared" si="1416"/>
        <v>0.99223332515303497</v>
      </c>
      <c r="V773" s="21">
        <f t="shared" si="1417"/>
        <v>131.23017142857142</v>
      </c>
      <c r="W773" s="15">
        <f>J773/detalle!$D$2</f>
        <v>296627.46809708554</v>
      </c>
      <c r="X773" s="15">
        <f>E773/detalle!$D$2</f>
        <v>52791.843159981749</v>
      </c>
      <c r="Y773" s="15">
        <f>F773/detalle!$D$2</f>
        <v>399.15993029162217</v>
      </c>
      <c r="AA773" s="14">
        <f>E773/(detalle!$D$2*1000000)</f>
        <v>5.2791843159981748E-2</v>
      </c>
      <c r="AB773" s="14">
        <f>F773/(detalle!$D$2*1000000)</f>
        <v>3.9915993029162212E-4</v>
      </c>
      <c r="AC773" s="31">
        <f>16/585</f>
        <v>2.735042735042735E-2</v>
      </c>
      <c r="AD773" s="31">
        <f>45/2373</f>
        <v>1.8963337547408345E-2</v>
      </c>
      <c r="AE773" s="31">
        <f t="shared" si="1421"/>
        <v>2.1321961620469083E-2</v>
      </c>
      <c r="AF773" s="22">
        <f t="shared" si="1418"/>
        <v>0</v>
      </c>
      <c r="AG773" s="12">
        <v>7198596</v>
      </c>
      <c r="AH773" s="12">
        <v>5947895</v>
      </c>
      <c r="AI773" s="12">
        <v>2313663</v>
      </c>
      <c r="AJ773" s="23">
        <f t="shared" si="1419"/>
        <v>3802</v>
      </c>
      <c r="AK773" s="23">
        <f t="shared" si="1420"/>
        <v>15460154</v>
      </c>
      <c r="AL773" s="28">
        <f>AK773/detalle!$D$2</f>
        <v>1410531.19838577</v>
      </c>
    </row>
    <row r="774" spans="1:38">
      <c r="A774" s="12">
        <v>773</v>
      </c>
      <c r="B774" s="19">
        <v>44663</v>
      </c>
      <c r="C774" s="12">
        <v>755</v>
      </c>
      <c r="D774" s="23">
        <f t="shared" ref="D774:D776" si="1422">E774-E773</f>
        <v>37</v>
      </c>
      <c r="E774" s="12">
        <v>578663</v>
      </c>
      <c r="F774" s="12">
        <v>4375</v>
      </c>
      <c r="G774" s="12">
        <v>574170</v>
      </c>
      <c r="H774" s="23">
        <f t="shared" ref="H774:H776" si="1423">E774-F774-G774</f>
        <v>118</v>
      </c>
      <c r="I774" s="23">
        <f t="shared" ref="I774:I776" si="1424">J774-J773</f>
        <v>1201</v>
      </c>
      <c r="J774" s="12">
        <v>3252392</v>
      </c>
      <c r="K774" s="23">
        <f t="shared" ref="K774:K776" si="1425">J774-E774</f>
        <v>2673729</v>
      </c>
      <c r="L774" s="23">
        <f t="shared" ref="L774:L776" si="1426">G774-G773</f>
        <v>38</v>
      </c>
      <c r="M774" s="14">
        <f t="shared" ref="M774:M776" si="1427">F774/E774</f>
        <v>7.5605317775631065E-3</v>
      </c>
      <c r="N774" s="14">
        <f t="shared" ref="N774:N776" si="1428">D774/I774</f>
        <v>3.0807660283097418E-2</v>
      </c>
      <c r="O774" s="24"/>
      <c r="P774" s="12"/>
      <c r="Q774" s="12"/>
      <c r="R774" s="23">
        <f t="shared" ref="R774:R776" si="1429">F774+G774</f>
        <v>578545</v>
      </c>
      <c r="S774" s="25">
        <f>(((H774+R774)/(H773+R773))-1)+detalle!$D$1</f>
        <v>7.1492516014538793E-2</v>
      </c>
      <c r="T774" s="25">
        <f t="shared" ref="T774:T776" si="1430">S774*14</f>
        <v>1.0008952242035432</v>
      </c>
      <c r="U774" s="10">
        <f t="shared" ref="U774:U776" si="1431">G774/E774</f>
        <v>0.99223554987963636</v>
      </c>
      <c r="V774" s="21">
        <f t="shared" ref="V774:V776" si="1432">G774/F774</f>
        <v>131.23885714285714</v>
      </c>
      <c r="W774" s="15">
        <f>J774/detalle!$D$2</f>
        <v>296737.04320023535</v>
      </c>
      <c r="X774" s="15">
        <f>E774/detalle!$D$2</f>
        <v>52795.218912535071</v>
      </c>
      <c r="Y774" s="15">
        <f>F774/detalle!$D$2</f>
        <v>399.15993029162217</v>
      </c>
      <c r="AA774" s="14">
        <f>E774/(detalle!$D$2*1000000)</f>
        <v>5.2795218912535073E-2</v>
      </c>
      <c r="AB774" s="14">
        <f>F774/(detalle!$D$2*1000000)</f>
        <v>3.9915993029162212E-4</v>
      </c>
      <c r="AC774" s="31">
        <f>15/585</f>
        <v>2.564102564102564E-2</v>
      </c>
      <c r="AD774" s="31">
        <f>40/2373</f>
        <v>1.685630004214075E-2</v>
      </c>
      <c r="AE774" s="31">
        <f t="shared" si="1421"/>
        <v>2.1321961620469083E-2</v>
      </c>
      <c r="AF774" s="22">
        <f t="shared" ref="AF774:AF776" si="1433">F774-F773</f>
        <v>0</v>
      </c>
      <c r="AG774" s="12">
        <v>7199567</v>
      </c>
      <c r="AH774" s="12">
        <v>5948773</v>
      </c>
      <c r="AI774" s="12">
        <v>2315420</v>
      </c>
      <c r="AJ774" s="23">
        <f t="shared" ref="AJ774:AJ776" si="1434">AK774-AK773</f>
        <v>3606</v>
      </c>
      <c r="AK774" s="23">
        <f t="shared" ref="AK774:AK775" si="1435">AG774+AH774+AI774</f>
        <v>15463760</v>
      </c>
      <c r="AL774" s="28">
        <f>AK774/detalle!$D$2</f>
        <v>1410860.1974048857</v>
      </c>
    </row>
    <row r="775" spans="1:38">
      <c r="A775" s="12">
        <v>774</v>
      </c>
      <c r="B775" s="19">
        <v>44664</v>
      </c>
      <c r="C775" s="12">
        <v>756</v>
      </c>
      <c r="D775" s="23">
        <f t="shared" si="1422"/>
        <v>42</v>
      </c>
      <c r="E775" s="12">
        <v>578705</v>
      </c>
      <c r="F775" s="12">
        <v>4375</v>
      </c>
      <c r="G775" s="12">
        <v>574177</v>
      </c>
      <c r="H775" s="23">
        <f t="shared" si="1423"/>
        <v>153</v>
      </c>
      <c r="I775" s="23">
        <f t="shared" si="1424"/>
        <v>1125</v>
      </c>
      <c r="J775" s="12">
        <v>3253517</v>
      </c>
      <c r="K775" s="23">
        <f t="shared" si="1425"/>
        <v>2674812</v>
      </c>
      <c r="L775" s="23">
        <f t="shared" si="1426"/>
        <v>7</v>
      </c>
      <c r="M775" s="14">
        <f t="shared" si="1427"/>
        <v>7.5599830656379327E-3</v>
      </c>
      <c r="N775" s="14">
        <f t="shared" si="1428"/>
        <v>3.7333333333333336E-2</v>
      </c>
      <c r="O775" s="24"/>
      <c r="P775" s="12"/>
      <c r="Q775" s="12"/>
      <c r="R775" s="23">
        <f t="shared" si="1429"/>
        <v>578552</v>
      </c>
      <c r="S775" s="25">
        <f>(((H775+R775)/(H774+R774))-1)+detalle!$D$1</f>
        <v>7.1501152533636009E-2</v>
      </c>
      <c r="T775" s="25">
        <f t="shared" si="1430"/>
        <v>1.0010161354709042</v>
      </c>
      <c r="U775" s="10">
        <f t="shared" si="1431"/>
        <v>0.99217563352658089</v>
      </c>
      <c r="V775" s="21">
        <f t="shared" si="1432"/>
        <v>131.24045714285714</v>
      </c>
      <c r="W775" s="15">
        <f>J775/detalle!$D$2</f>
        <v>296839.68432516744</v>
      </c>
      <c r="X775" s="15">
        <f>E775/detalle!$D$2</f>
        <v>52799.050847865874</v>
      </c>
      <c r="Y775" s="15">
        <f>F775/detalle!$D$2</f>
        <v>399.15993029162217</v>
      </c>
      <c r="AA775" s="14">
        <f>E775/(detalle!$D$2*1000000)</f>
        <v>5.2799050847865875E-2</v>
      </c>
      <c r="AB775" s="14">
        <f>F775/(detalle!$D$2*1000000)</f>
        <v>3.9915993029162212E-4</v>
      </c>
      <c r="AC775" s="31">
        <f>17/585</f>
        <v>2.9059829059829061E-2</v>
      </c>
      <c r="AD775" s="31">
        <f>44/2373</f>
        <v>1.8541930046354824E-2</v>
      </c>
      <c r="AE775" s="31">
        <f t="shared" si="1421"/>
        <v>2.1321961620469083E-2</v>
      </c>
      <c r="AF775" s="22">
        <f t="shared" si="1433"/>
        <v>0</v>
      </c>
      <c r="AG775" s="12">
        <v>7200466</v>
      </c>
      <c r="AH775" s="12">
        <v>5949473</v>
      </c>
      <c r="AI775" s="12">
        <v>2316905</v>
      </c>
      <c r="AJ775" s="23">
        <f t="shared" si="1434"/>
        <v>3084</v>
      </c>
      <c r="AK775" s="23">
        <f t="shared" si="1435"/>
        <v>15466844</v>
      </c>
      <c r="AL775" s="28">
        <f>AK775/detalle!$D$2</f>
        <v>1411141.5709420331</v>
      </c>
    </row>
    <row r="776" spans="1:38">
      <c r="A776" s="12">
        <v>775</v>
      </c>
      <c r="B776" s="19">
        <v>44665</v>
      </c>
      <c r="C776" s="12">
        <v>757</v>
      </c>
      <c r="D776" s="23">
        <f t="shared" si="1422"/>
        <v>28</v>
      </c>
      <c r="E776" s="12">
        <v>578733</v>
      </c>
      <c r="F776" s="12">
        <v>4375</v>
      </c>
      <c r="G776" s="12">
        <v>574240</v>
      </c>
      <c r="H776" s="23">
        <f t="shared" si="1423"/>
        <v>118</v>
      </c>
      <c r="I776" s="23">
        <f t="shared" si="1424"/>
        <v>804</v>
      </c>
      <c r="J776" s="12">
        <v>3254321</v>
      </c>
      <c r="K776" s="23">
        <f t="shared" si="1425"/>
        <v>2675588</v>
      </c>
      <c r="L776" s="23">
        <f t="shared" si="1426"/>
        <v>63</v>
      </c>
      <c r="M776" s="14">
        <f t="shared" si="1427"/>
        <v>7.5596173019337066E-3</v>
      </c>
      <c r="N776" s="14">
        <f t="shared" si="1428"/>
        <v>3.482587064676617E-2</v>
      </c>
      <c r="O776" s="24"/>
      <c r="P776" s="12"/>
      <c r="Q776" s="12"/>
      <c r="R776" s="23">
        <f t="shared" si="1429"/>
        <v>578615</v>
      </c>
      <c r="S776" s="25">
        <f>(((H776+R776)/(H775+R775))-1)+detalle!$D$1</f>
        <v>7.1476955320191521E-2</v>
      </c>
      <c r="T776" s="25">
        <f t="shared" si="1430"/>
        <v>1.0006773744826813</v>
      </c>
      <c r="U776" s="10">
        <f t="shared" si="1431"/>
        <v>0.99223648901997985</v>
      </c>
      <c r="V776" s="21">
        <f t="shared" si="1432"/>
        <v>131.25485714285713</v>
      </c>
      <c r="W776" s="15">
        <f>J776/detalle!$D$2</f>
        <v>296913.03851578559</v>
      </c>
      <c r="X776" s="15">
        <f>E776/detalle!$D$2</f>
        <v>52801.605471419738</v>
      </c>
      <c r="Y776" s="15">
        <f>F776/detalle!$D$2</f>
        <v>399.15993029162217</v>
      </c>
      <c r="AA776" s="14">
        <f>E776/(detalle!$D$2*1000000)</f>
        <v>5.2801605471419738E-2</v>
      </c>
      <c r="AB776" s="14">
        <f>F776/(detalle!$D$2*1000000)</f>
        <v>3.9915993029162212E-4</v>
      </c>
      <c r="AC776" s="31">
        <f>17/585</f>
        <v>2.9059829059829061E-2</v>
      </c>
      <c r="AD776" s="31">
        <f>44/2373</f>
        <v>1.8541930046354824E-2</v>
      </c>
      <c r="AE776" s="31">
        <f>12/469</f>
        <v>2.5586353944562899E-2</v>
      </c>
      <c r="AF776" s="22">
        <f t="shared" si="1433"/>
        <v>0</v>
      </c>
      <c r="AG776" s="12">
        <v>7200466</v>
      </c>
      <c r="AH776" s="12">
        <v>5949473</v>
      </c>
      <c r="AI776" s="12">
        <v>2316905</v>
      </c>
      <c r="AJ776" s="23">
        <f t="shared" si="1434"/>
        <v>0</v>
      </c>
      <c r="AK776" s="23">
        <f>AG776+AH776+AI776</f>
        <v>15466844</v>
      </c>
      <c r="AL776" s="28">
        <f>AK776/detalle!$D$2</f>
        <v>1411141.5709420331</v>
      </c>
    </row>
    <row r="777" spans="1:38">
      <c r="A777" s="12">
        <v>776</v>
      </c>
      <c r="B777" s="19">
        <v>44666</v>
      </c>
      <c r="C777" s="12">
        <v>758</v>
      </c>
      <c r="D777" s="23">
        <f t="shared" ref="D777:D779" si="1436">E777-E776</f>
        <v>12</v>
      </c>
      <c r="E777" s="12">
        <v>578745</v>
      </c>
      <c r="F777" s="12">
        <v>4375</v>
      </c>
      <c r="G777" s="12">
        <v>574242</v>
      </c>
      <c r="H777" s="23">
        <f t="shared" ref="H777:H779" si="1437">E777-F777-G777</f>
        <v>128</v>
      </c>
      <c r="I777" s="23">
        <f t="shared" ref="I777:I779" si="1438">J777-J776</f>
        <v>355</v>
      </c>
      <c r="J777" s="12">
        <v>3254676</v>
      </c>
      <c r="K777" s="23">
        <f t="shared" ref="K777:K779" si="1439">J777-E777</f>
        <v>2675931</v>
      </c>
      <c r="L777" s="23">
        <f t="shared" ref="L777:L779" si="1440">G777-G776</f>
        <v>2</v>
      </c>
      <c r="M777" s="14">
        <f t="shared" ref="M777:M779" si="1441">F777/E777</f>
        <v>7.5594605568946602E-3</v>
      </c>
      <c r="N777" s="14">
        <f t="shared" ref="N777:N779" si="1442">D777/I777</f>
        <v>3.3802816901408447E-2</v>
      </c>
      <c r="O777" s="24"/>
      <c r="P777" s="12"/>
      <c r="Q777" s="12"/>
      <c r="R777" s="23">
        <f t="shared" ref="R777:R779" si="1443">F777+G777</f>
        <v>578617</v>
      </c>
      <c r="S777" s="25">
        <f>(((H777+R777)/(H776+R776))-1)+detalle!$D$1</f>
        <v>7.1449306378885274E-2</v>
      </c>
      <c r="T777" s="25">
        <f t="shared" ref="T777:T779" si="1444">S777*14</f>
        <v>1.0002902893043939</v>
      </c>
      <c r="U777" s="10">
        <f t="shared" ref="U777:U779" si="1445">G777/E777</f>
        <v>0.99221937122566939</v>
      </c>
      <c r="V777" s="21">
        <f t="shared" ref="V777:V779" si="1446">G777/F777</f>
        <v>131.25531428571429</v>
      </c>
      <c r="W777" s="15">
        <f>J777/detalle!$D$2</f>
        <v>296945.42749298643</v>
      </c>
      <c r="X777" s="15">
        <f>E777/detalle!$D$2</f>
        <v>52802.700310085682</v>
      </c>
      <c r="Y777" s="15">
        <f>F777/detalle!$D$2</f>
        <v>399.15993029162217</v>
      </c>
      <c r="AA777" s="14">
        <f>E777/(detalle!$D$2*1000000)</f>
        <v>5.280270031008568E-2</v>
      </c>
      <c r="AB777" s="14">
        <f>F777/(detalle!$D$2*1000000)</f>
        <v>3.9915993029162212E-4</v>
      </c>
      <c r="AC777" s="31">
        <f t="shared" ref="AC777:AC781" si="1447">17/585</f>
        <v>2.9059829059829061E-2</v>
      </c>
      <c r="AD777" s="31">
        <f t="shared" ref="AD777:AD779" si="1448">44/2373</f>
        <v>1.8541930046354824E-2</v>
      </c>
      <c r="AE777" s="31">
        <f t="shared" ref="AE777:AE779" si="1449">12/469</f>
        <v>2.5586353944562899E-2</v>
      </c>
      <c r="AF777" s="22">
        <f t="shared" ref="AF777:AF779" si="1450">F777-F776</f>
        <v>0</v>
      </c>
      <c r="AG777" s="12">
        <v>7200466</v>
      </c>
      <c r="AH777" s="12">
        <v>5949473</v>
      </c>
      <c r="AI777" s="12">
        <v>2316905</v>
      </c>
      <c r="AJ777" s="23">
        <f t="shared" ref="AJ777:AJ779" si="1451">AK777-AK776</f>
        <v>0</v>
      </c>
      <c r="AK777" s="23">
        <f>AG777+AH777+AI777</f>
        <v>15466844</v>
      </c>
      <c r="AL777" s="28">
        <f>AK777/detalle!$D$2</f>
        <v>1411141.5709420331</v>
      </c>
    </row>
    <row r="778" spans="1:38">
      <c r="A778" s="12">
        <v>777</v>
      </c>
      <c r="B778" s="19">
        <v>44667</v>
      </c>
      <c r="C778" s="12">
        <v>759</v>
      </c>
      <c r="D778" s="23">
        <f t="shared" si="1436"/>
        <v>29</v>
      </c>
      <c r="E778" s="12">
        <v>578774</v>
      </c>
      <c r="F778" s="12">
        <v>4375</v>
      </c>
      <c r="G778" s="12">
        <v>574237</v>
      </c>
      <c r="H778" s="23">
        <f t="shared" si="1437"/>
        <v>162</v>
      </c>
      <c r="I778" s="23">
        <f t="shared" si="1438"/>
        <v>749</v>
      </c>
      <c r="J778" s="12">
        <v>3255425</v>
      </c>
      <c r="K778" s="23">
        <f t="shared" si="1439"/>
        <v>2676651</v>
      </c>
      <c r="L778" s="23">
        <f t="shared" si="1440"/>
        <v>-5</v>
      </c>
      <c r="M778" s="14">
        <f t="shared" si="1441"/>
        <v>7.5590817832176293E-3</v>
      </c>
      <c r="N778" s="14">
        <f t="shared" si="1442"/>
        <v>3.8718291054739652E-2</v>
      </c>
      <c r="O778" s="24"/>
      <c r="P778" s="12"/>
      <c r="Q778" s="12"/>
      <c r="R778" s="23">
        <f t="shared" si="1443"/>
        <v>578612</v>
      </c>
      <c r="S778" s="25">
        <f>(((H778+R778)/(H777+R777))-1)+detalle!$D$1</f>
        <v>7.1478679852834209E-2</v>
      </c>
      <c r="T778" s="25">
        <f t="shared" si="1444"/>
        <v>1.000701517939679</v>
      </c>
      <c r="U778" s="10">
        <f t="shared" si="1445"/>
        <v>0.99216101621703812</v>
      </c>
      <c r="V778" s="21">
        <f t="shared" si="1446"/>
        <v>131.25417142857142</v>
      </c>
      <c r="W778" s="15">
        <f>J778/detalle!$D$2</f>
        <v>297013.76367305237</v>
      </c>
      <c r="X778" s="15">
        <f>E778/detalle!$D$2</f>
        <v>52805.346170195044</v>
      </c>
      <c r="Y778" s="15">
        <f>F778/detalle!$D$2</f>
        <v>399.15993029162217</v>
      </c>
      <c r="AA778" s="14">
        <f>E778/(detalle!$D$2*1000000)</f>
        <v>5.2805346170195042E-2</v>
      </c>
      <c r="AB778" s="14">
        <f>F778/(detalle!$D$2*1000000)</f>
        <v>3.9915993029162212E-4</v>
      </c>
      <c r="AC778" s="31">
        <f t="shared" si="1447"/>
        <v>2.9059829059829061E-2</v>
      </c>
      <c r="AD778" s="31">
        <f t="shared" si="1448"/>
        <v>1.8541930046354824E-2</v>
      </c>
      <c r="AE778" s="31">
        <f t="shared" si="1449"/>
        <v>2.5586353944562899E-2</v>
      </c>
      <c r="AF778" s="22">
        <f t="shared" si="1450"/>
        <v>0</v>
      </c>
      <c r="AG778" s="12">
        <v>7200466</v>
      </c>
      <c r="AH778" s="12">
        <v>5949473</v>
      </c>
      <c r="AI778" s="12">
        <v>2316905</v>
      </c>
      <c r="AJ778" s="23">
        <f t="shared" si="1451"/>
        <v>0</v>
      </c>
      <c r="AK778" s="23">
        <f>AG778+AH778+AI778</f>
        <v>15466844</v>
      </c>
      <c r="AL778" s="28">
        <f>AK778/detalle!$D$2</f>
        <v>1411141.5709420331</v>
      </c>
    </row>
    <row r="779" spans="1:38">
      <c r="A779" s="12">
        <v>778</v>
      </c>
      <c r="B779" s="19">
        <v>44668</v>
      </c>
      <c r="C779" s="12">
        <v>760</v>
      </c>
      <c r="D779" s="23">
        <f t="shared" si="1436"/>
        <v>15</v>
      </c>
      <c r="E779" s="12">
        <v>578789</v>
      </c>
      <c r="F779" s="12">
        <v>4375</v>
      </c>
      <c r="G779" s="12">
        <v>574244</v>
      </c>
      <c r="H779" s="23">
        <f t="shared" si="1437"/>
        <v>170</v>
      </c>
      <c r="I779" s="23">
        <f t="shared" si="1438"/>
        <v>397</v>
      </c>
      <c r="J779" s="12">
        <v>3255822</v>
      </c>
      <c r="K779" s="23">
        <f t="shared" si="1439"/>
        <v>2677033</v>
      </c>
      <c r="L779" s="23">
        <f t="shared" si="1440"/>
        <v>7</v>
      </c>
      <c r="M779" s="14">
        <f t="shared" si="1441"/>
        <v>7.558885880692273E-3</v>
      </c>
      <c r="N779" s="14">
        <f t="shared" si="1442"/>
        <v>3.7783375314861464E-2</v>
      </c>
      <c r="O779" s="24"/>
      <c r="P779" s="12"/>
      <c r="Q779" s="12"/>
      <c r="R779" s="23">
        <f t="shared" si="1443"/>
        <v>578619</v>
      </c>
      <c r="S779" s="25">
        <f>(((H779+R779)/(H778+R778))-1)+detalle!$D$1</f>
        <v>7.1454488280399603E-2</v>
      </c>
      <c r="T779" s="25">
        <f t="shared" si="1444"/>
        <v>1.0003628359255945</v>
      </c>
      <c r="U779" s="10">
        <f t="shared" si="1445"/>
        <v>0.99214739741080082</v>
      </c>
      <c r="V779" s="21">
        <f t="shared" si="1446"/>
        <v>131.25577142857142</v>
      </c>
      <c r="W779" s="15">
        <f>J779/detalle!$D$2</f>
        <v>297049.98458558397</v>
      </c>
      <c r="X779" s="15">
        <f>E779/detalle!$D$2</f>
        <v>52806.714718527473</v>
      </c>
      <c r="Y779" s="15">
        <f>F779/detalle!$D$2</f>
        <v>399.15993029162217</v>
      </c>
      <c r="AA779" s="14">
        <f>E779/(detalle!$D$2*1000000)</f>
        <v>5.2806714718527471E-2</v>
      </c>
      <c r="AB779" s="14">
        <f>F779/(detalle!$D$2*1000000)</f>
        <v>3.9915993029162212E-4</v>
      </c>
      <c r="AC779" s="31">
        <f t="shared" si="1447"/>
        <v>2.9059829059829061E-2</v>
      </c>
      <c r="AD779" s="31">
        <f t="shared" si="1448"/>
        <v>1.8541930046354824E-2</v>
      </c>
      <c r="AE779" s="31">
        <f t="shared" si="1449"/>
        <v>2.5586353944562899E-2</v>
      </c>
      <c r="AF779" s="22">
        <f t="shared" si="1450"/>
        <v>0</v>
      </c>
      <c r="AG779" s="12">
        <v>7200919</v>
      </c>
      <c r="AH779" s="12">
        <v>5949941</v>
      </c>
      <c r="AI779" s="12">
        <v>2317772</v>
      </c>
      <c r="AJ779" s="23">
        <f t="shared" si="1451"/>
        <v>1788</v>
      </c>
      <c r="AK779" s="23">
        <f t="shared" ref="AK779:AK800" si="1452">AG779+AH779+AI779</f>
        <v>15468632</v>
      </c>
      <c r="AL779" s="28">
        <f>AK779/detalle!$D$2</f>
        <v>1411304.7019032585</v>
      </c>
    </row>
    <row r="780" spans="1:38">
      <c r="A780" s="12">
        <v>779</v>
      </c>
      <c r="B780" s="19">
        <v>44669</v>
      </c>
      <c r="C780" s="12">
        <v>761</v>
      </c>
      <c r="D780" s="23">
        <f t="shared" ref="D780:D782" si="1453">E780-E779</f>
        <v>54</v>
      </c>
      <c r="E780" s="12">
        <v>578843</v>
      </c>
      <c r="F780" s="12">
        <v>4376</v>
      </c>
      <c r="G780" s="12">
        <v>574244</v>
      </c>
      <c r="H780" s="23">
        <f t="shared" ref="H780:H782" si="1454">E780-F780-G780</f>
        <v>223</v>
      </c>
      <c r="I780" s="23">
        <f t="shared" ref="I780:I782" si="1455">J780-J779</f>
        <v>1401</v>
      </c>
      <c r="J780" s="12">
        <v>3257223</v>
      </c>
      <c r="K780" s="23">
        <f t="shared" ref="K780:K782" si="1456">J780-E780</f>
        <v>2678380</v>
      </c>
      <c r="L780" s="23">
        <f t="shared" ref="L780:L782" si="1457">G780-G779</f>
        <v>0</v>
      </c>
      <c r="M780" s="14">
        <f t="shared" ref="M780:M782" si="1458">F780/E780</f>
        <v>7.5599082998325969E-3</v>
      </c>
      <c r="N780" s="14">
        <f t="shared" ref="N780:N782" si="1459">D780/I780</f>
        <v>3.8543897216274089E-2</v>
      </c>
      <c r="O780" s="24"/>
      <c r="P780" s="12"/>
      <c r="Q780" s="12"/>
      <c r="R780" s="23">
        <f t="shared" ref="R780:R782" si="1460">F780+G780</f>
        <v>578620</v>
      </c>
      <c r="S780" s="25">
        <f>(((H780+R780)/(H779+R779))-1)+detalle!$D$1</f>
        <v>7.1521869677156041E-2</v>
      </c>
      <c r="T780" s="25">
        <f t="shared" ref="T780:T782" si="1461">S780*14</f>
        <v>1.0013061754801846</v>
      </c>
      <c r="U780" s="10">
        <f t="shared" ref="U780:U782" si="1462">G780/E780</f>
        <v>0.99205484043168868</v>
      </c>
      <c r="V780" s="21">
        <f t="shared" ref="V780:V782" si="1463">G780/F780</f>
        <v>131.22577696526508</v>
      </c>
      <c r="W780" s="15">
        <f>J780/detalle!$D$2</f>
        <v>297177.8069998328</v>
      </c>
      <c r="X780" s="15">
        <f>E780/detalle!$D$2</f>
        <v>52811.641492524213</v>
      </c>
      <c r="Y780" s="15">
        <f>F780/detalle!$D$2</f>
        <v>399.25116684711736</v>
      </c>
      <c r="AA780" s="14">
        <f>E780/(detalle!$D$2*1000000)</f>
        <v>5.2811641492524215E-2</v>
      </c>
      <c r="AB780" s="14">
        <f>F780/(detalle!$D$2*1000000)</f>
        <v>3.9925116684711738E-4</v>
      </c>
      <c r="AC780" s="31">
        <f>14/585</f>
        <v>2.3931623931623933E-2</v>
      </c>
      <c r="AD780" s="31">
        <f>43/2373</f>
        <v>1.8120522545301308E-2</v>
      </c>
      <c r="AE780" s="31">
        <f>9/469</f>
        <v>1.9189765458422176E-2</v>
      </c>
      <c r="AF780" s="22">
        <f t="shared" ref="AF780:AF782" si="1464">F780-F779</f>
        <v>1</v>
      </c>
      <c r="AG780" s="12">
        <v>7201478</v>
      </c>
      <c r="AH780" s="12">
        <v>5950727</v>
      </c>
      <c r="AI780" s="12">
        <v>2319012</v>
      </c>
      <c r="AJ780" s="23">
        <f t="shared" ref="AJ780:AJ782" si="1465">AK780-AK779</f>
        <v>2585</v>
      </c>
      <c r="AK780" s="23">
        <f t="shared" si="1452"/>
        <v>15471217</v>
      </c>
      <c r="AL780" s="28">
        <f>AK780/detalle!$D$2</f>
        <v>1411540.5483992137</v>
      </c>
    </row>
    <row r="781" spans="1:38">
      <c r="A781" s="12">
        <v>780</v>
      </c>
      <c r="B781" s="19">
        <v>44670</v>
      </c>
      <c r="C781" s="12">
        <v>762</v>
      </c>
      <c r="D781" s="23">
        <f t="shared" si="1453"/>
        <v>42</v>
      </c>
      <c r="E781" s="12">
        <v>578885</v>
      </c>
      <c r="F781" s="12">
        <v>4376</v>
      </c>
      <c r="G781" s="12">
        <v>574262</v>
      </c>
      <c r="H781" s="23">
        <f t="shared" si="1454"/>
        <v>247</v>
      </c>
      <c r="I781" s="23">
        <f t="shared" si="1455"/>
        <v>1076</v>
      </c>
      <c r="J781" s="12">
        <v>3258299</v>
      </c>
      <c r="K781" s="23">
        <f t="shared" si="1456"/>
        <v>2679414</v>
      </c>
      <c r="L781" s="23">
        <f t="shared" si="1457"/>
        <v>18</v>
      </c>
      <c r="M781" s="14">
        <f t="shared" si="1458"/>
        <v>7.5593598037606777E-3</v>
      </c>
      <c r="N781" s="14">
        <f t="shared" si="1459"/>
        <v>3.9033457249070633E-2</v>
      </c>
      <c r="O781" s="24"/>
      <c r="P781" s="12"/>
      <c r="Q781" s="12"/>
      <c r="R781" s="23">
        <f t="shared" si="1460"/>
        <v>578638</v>
      </c>
      <c r="S781" s="25">
        <f>(((H781+R781)/(H780+R780))-1)+detalle!$D$1</f>
        <v>7.1501129963441851E-2</v>
      </c>
      <c r="T781" s="25">
        <f t="shared" si="1461"/>
        <v>1.001015819488186</v>
      </c>
      <c r="U781" s="10">
        <f t="shared" si="1462"/>
        <v>0.99201395786727931</v>
      </c>
      <c r="V781" s="21">
        <f t="shared" si="1463"/>
        <v>131.22989031078612</v>
      </c>
      <c r="W781" s="15">
        <f>J781/detalle!$D$2</f>
        <v>297275.97753354564</v>
      </c>
      <c r="X781" s="15">
        <f>E781/detalle!$D$2</f>
        <v>52815.473427855017</v>
      </c>
      <c r="Y781" s="15">
        <f>F781/detalle!$D$2</f>
        <v>399.25116684711736</v>
      </c>
      <c r="AA781" s="14">
        <f>E781/(detalle!$D$2*1000000)</f>
        <v>5.281547342785501E-2</v>
      </c>
      <c r="AB781" s="14">
        <f>F781/(detalle!$D$2*1000000)</f>
        <v>3.9925116684711738E-4</v>
      </c>
      <c r="AC781" s="31">
        <f t="shared" si="1447"/>
        <v>2.9059829059829061E-2</v>
      </c>
      <c r="AD781" s="31">
        <f>43/2373</f>
        <v>1.8120522545301308E-2</v>
      </c>
      <c r="AE781" s="31">
        <f>10/469</f>
        <v>2.1321961620469083E-2</v>
      </c>
      <c r="AF781" s="22">
        <f t="shared" si="1464"/>
        <v>0</v>
      </c>
      <c r="AG781" s="12">
        <v>7202152</v>
      </c>
      <c r="AH781" s="12">
        <v>5952192</v>
      </c>
      <c r="AI781" s="12">
        <v>2320370</v>
      </c>
      <c r="AJ781" s="23">
        <f t="shared" si="1465"/>
        <v>3497</v>
      </c>
      <c r="AK781" s="23">
        <f t="shared" si="1452"/>
        <v>15474714</v>
      </c>
      <c r="AL781" s="28">
        <f>AK781/detalle!$D$2</f>
        <v>1411859.6026337803</v>
      </c>
    </row>
    <row r="782" spans="1:38">
      <c r="A782" s="12">
        <v>781</v>
      </c>
      <c r="B782" s="19">
        <v>44671</v>
      </c>
      <c r="C782" s="12">
        <v>763</v>
      </c>
      <c r="D782" s="23">
        <f t="shared" si="1453"/>
        <v>69</v>
      </c>
      <c r="E782" s="12">
        <v>578954</v>
      </c>
      <c r="F782" s="12">
        <v>4376</v>
      </c>
      <c r="G782" s="12">
        <v>574297</v>
      </c>
      <c r="H782" s="23">
        <f t="shared" si="1454"/>
        <v>281</v>
      </c>
      <c r="I782" s="23">
        <f t="shared" si="1455"/>
        <v>2761</v>
      </c>
      <c r="J782" s="12">
        <v>3261060</v>
      </c>
      <c r="K782" s="23">
        <f t="shared" si="1456"/>
        <v>2682106</v>
      </c>
      <c r="L782" s="23">
        <f t="shared" si="1457"/>
        <v>35</v>
      </c>
      <c r="M782" s="14">
        <f t="shared" si="1458"/>
        <v>7.5584588758346952E-3</v>
      </c>
      <c r="N782" s="14">
        <f t="shared" si="1459"/>
        <v>2.4990945309670408E-2</v>
      </c>
      <c r="O782" s="24"/>
      <c r="P782" s="12"/>
      <c r="Q782" s="12"/>
      <c r="R782" s="23">
        <f t="shared" si="1460"/>
        <v>578673</v>
      </c>
      <c r="S782" s="25">
        <f>(((H782+R782)/(H781+R781))-1)+detalle!$D$1</f>
        <v>7.1547766087268788E-2</v>
      </c>
      <c r="T782" s="25">
        <f t="shared" si="1461"/>
        <v>1.0016687252217631</v>
      </c>
      <c r="U782" s="10">
        <f t="shared" si="1462"/>
        <v>0.99195618304735778</v>
      </c>
      <c r="V782" s="21">
        <f t="shared" si="1463"/>
        <v>131.23788848263254</v>
      </c>
      <c r="W782" s="15">
        <f>J782/detalle!$D$2</f>
        <v>297527.88166326797</v>
      </c>
      <c r="X782" s="15">
        <f>E782/detalle!$D$2</f>
        <v>52821.768750184187</v>
      </c>
      <c r="Y782" s="15">
        <f>F782/detalle!$D$2</f>
        <v>399.25116684711736</v>
      </c>
      <c r="AA782" s="14">
        <f>E782/(detalle!$D$2*1000000)</f>
        <v>5.2821768750184184E-2</v>
      </c>
      <c r="AB782" s="14">
        <f>F782/(detalle!$D$2*1000000)</f>
        <v>3.9925116684711738E-4</v>
      </c>
      <c r="AC782" s="31">
        <f>16/585</f>
        <v>2.735042735042735E-2</v>
      </c>
      <c r="AD782" s="31">
        <f>45/2373</f>
        <v>1.8963337547408345E-2</v>
      </c>
      <c r="AE782" s="31">
        <f>9/469</f>
        <v>1.9189765458422176E-2</v>
      </c>
      <c r="AF782" s="22">
        <f t="shared" si="1464"/>
        <v>0</v>
      </c>
      <c r="AG782" s="12">
        <v>7202784</v>
      </c>
      <c r="AH782" s="12">
        <v>5953835</v>
      </c>
      <c r="AI782" s="12">
        <v>2321465</v>
      </c>
      <c r="AJ782" s="23">
        <f t="shared" si="1465"/>
        <v>3370</v>
      </c>
      <c r="AK782" s="23">
        <f t="shared" si="1452"/>
        <v>15478084</v>
      </c>
      <c r="AL782" s="28">
        <f>AK782/detalle!$D$2</f>
        <v>1412167.0698257994</v>
      </c>
    </row>
    <row r="783" spans="1:38">
      <c r="A783" s="12">
        <v>782</v>
      </c>
      <c r="B783" s="19">
        <v>44672</v>
      </c>
      <c r="C783" s="12">
        <v>764</v>
      </c>
      <c r="D783" s="23">
        <f t="shared" ref="D783:D785" si="1466">E783-E782</f>
        <v>71</v>
      </c>
      <c r="E783" s="12">
        <v>579025</v>
      </c>
      <c r="F783" s="12">
        <v>4376</v>
      </c>
      <c r="G783" s="12">
        <v>574361</v>
      </c>
      <c r="H783" s="23">
        <f t="shared" ref="H783:H785" si="1467">E783-F783-G783</f>
        <v>288</v>
      </c>
      <c r="I783" s="23">
        <f t="shared" ref="I783:I785" si="1468">J783-J782</f>
        <v>1839</v>
      </c>
      <c r="J783" s="12">
        <v>3262899</v>
      </c>
      <c r="K783" s="23">
        <f t="shared" ref="K783:K785" si="1469">J783-E783</f>
        <v>2683874</v>
      </c>
      <c r="L783" s="23">
        <f t="shared" ref="L783:L785" si="1470">G783-G782</f>
        <v>64</v>
      </c>
      <c r="M783" s="14">
        <f t="shared" ref="M783:M785" si="1471">F783/E783</f>
        <v>7.5575320582012863E-3</v>
      </c>
      <c r="N783" s="14">
        <f t="shared" ref="N783:N785" si="1472">D783/I783</f>
        <v>3.8607939097335509E-2</v>
      </c>
      <c r="O783" s="24"/>
      <c r="P783" s="12"/>
      <c r="Q783" s="12"/>
      <c r="R783" s="23">
        <f t="shared" ref="R783:R785" si="1473">F783+G783</f>
        <v>578737</v>
      </c>
      <c r="S783" s="25">
        <f>(((H783+R783)/(H782+R782))-1)+detalle!$D$1</f>
        <v>7.1551206387480165E-2</v>
      </c>
      <c r="T783" s="25">
        <f t="shared" ref="T783:T785" si="1474">S783*14</f>
        <v>1.0017168894247224</v>
      </c>
      <c r="U783" s="10">
        <f t="shared" ref="U783:U785" si="1475">G783/E783</f>
        <v>0.99194508009153315</v>
      </c>
      <c r="V783" s="21">
        <f t="shared" ref="V783:V785" si="1476">G783/F783</f>
        <v>131.25251371115175</v>
      </c>
      <c r="W783" s="15">
        <f>J783/detalle!$D$2</f>
        <v>297695.66568882368</v>
      </c>
      <c r="X783" s="15">
        <f>E783/detalle!$D$2</f>
        <v>52828.246545624344</v>
      </c>
      <c r="Y783" s="15">
        <f>F783/detalle!$D$2</f>
        <v>399.25116684711736</v>
      </c>
      <c r="AA783" s="14">
        <f>E783/(detalle!$D$2*1000000)</f>
        <v>5.2828246545624347E-2</v>
      </c>
      <c r="AB783" s="14">
        <f>F783/(detalle!$D$2*1000000)</f>
        <v>3.9925116684711738E-4</v>
      </c>
      <c r="AC783" s="31">
        <f>14/585</f>
        <v>2.3931623931623933E-2</v>
      </c>
      <c r="AD783" s="31">
        <f t="shared" ref="AD783:AD787" si="1477">45/2373</f>
        <v>1.8963337547408345E-2</v>
      </c>
      <c r="AE783" s="31">
        <f>6/469</f>
        <v>1.279317697228145E-2</v>
      </c>
      <c r="AF783" s="22">
        <f t="shared" ref="AF783:AF785" si="1478">F783-F782</f>
        <v>0</v>
      </c>
      <c r="AG783" s="12">
        <v>7202784</v>
      </c>
      <c r="AH783" s="12">
        <v>5953835</v>
      </c>
      <c r="AI783" s="12">
        <v>2321465</v>
      </c>
      <c r="AJ783" s="23">
        <f t="shared" ref="AJ783:AJ785" si="1479">AK783-AK782</f>
        <v>0</v>
      </c>
      <c r="AK783" s="23">
        <f t="shared" si="1452"/>
        <v>15478084</v>
      </c>
      <c r="AL783" s="28">
        <f>AK783/detalle!$D$2</f>
        <v>1412167.0698257994</v>
      </c>
    </row>
    <row r="784" spans="1:38">
      <c r="A784" s="12">
        <v>783</v>
      </c>
      <c r="B784" s="19">
        <v>44673</v>
      </c>
      <c r="C784" s="12">
        <v>765</v>
      </c>
      <c r="D784" s="23">
        <f t="shared" si="1466"/>
        <v>54</v>
      </c>
      <c r="E784" s="12">
        <v>579079</v>
      </c>
      <c r="F784" s="12">
        <v>4376</v>
      </c>
      <c r="G784" s="12">
        <v>574400</v>
      </c>
      <c r="H784" s="23">
        <f t="shared" si="1467"/>
        <v>303</v>
      </c>
      <c r="I784" s="23">
        <f t="shared" si="1468"/>
        <v>1577</v>
      </c>
      <c r="J784" s="12">
        <v>3264476</v>
      </c>
      <c r="K784" s="23">
        <f t="shared" si="1469"/>
        <v>2685397</v>
      </c>
      <c r="L784" s="23">
        <f t="shared" si="1470"/>
        <v>39</v>
      </c>
      <c r="M784" s="14">
        <f t="shared" si="1471"/>
        <v>7.5568273068096067E-3</v>
      </c>
      <c r="N784" s="14">
        <f t="shared" si="1472"/>
        <v>3.4242232086239693E-2</v>
      </c>
      <c r="O784" s="24"/>
      <c r="P784" s="12"/>
      <c r="Q784" s="12"/>
      <c r="R784" s="23">
        <f t="shared" si="1473"/>
        <v>578776</v>
      </c>
      <c r="S784" s="25">
        <f>(((H784+R784)/(H783+R783))-1)+detalle!$D$1</f>
        <v>7.152183165049622E-2</v>
      </c>
      <c r="T784" s="25">
        <f t="shared" si="1474"/>
        <v>1.0013056431069471</v>
      </c>
      <c r="U784" s="10">
        <f t="shared" si="1475"/>
        <v>0.99191992802363749</v>
      </c>
      <c r="V784" s="21">
        <f t="shared" si="1476"/>
        <v>131.26142595978061</v>
      </c>
      <c r="W784" s="15">
        <f>J784/detalle!$D$2</f>
        <v>297839.54573683965</v>
      </c>
      <c r="X784" s="15">
        <f>E784/detalle!$D$2</f>
        <v>52833.173319621092</v>
      </c>
      <c r="Y784" s="15">
        <f>F784/detalle!$D$2</f>
        <v>399.25116684711736</v>
      </c>
      <c r="AA784" s="14">
        <f>E784/(detalle!$D$2*1000000)</f>
        <v>5.2833173319621091E-2</v>
      </c>
      <c r="AB784" s="14">
        <f>F784/(detalle!$D$2*1000000)</f>
        <v>3.9925116684711738E-4</v>
      </c>
      <c r="AC784" s="31">
        <f>14/585</f>
        <v>2.3931623931623933E-2</v>
      </c>
      <c r="AD784" s="31">
        <f t="shared" si="1477"/>
        <v>1.8963337547408345E-2</v>
      </c>
      <c r="AE784" s="31">
        <f>6/469</f>
        <v>1.279317697228145E-2</v>
      </c>
      <c r="AF784" s="22">
        <f t="shared" si="1478"/>
        <v>0</v>
      </c>
      <c r="AG784" s="12">
        <v>7204081</v>
      </c>
      <c r="AH784" s="12">
        <v>5956526</v>
      </c>
      <c r="AI784" s="12">
        <v>2323144</v>
      </c>
      <c r="AJ784" s="23">
        <f t="shared" si="1479"/>
        <v>5667</v>
      </c>
      <c r="AK784" s="23">
        <f t="shared" si="1452"/>
        <v>15483751</v>
      </c>
      <c r="AL784" s="28">
        <f>AK784/detalle!$D$2</f>
        <v>1412684.1073857909</v>
      </c>
    </row>
    <row r="785" spans="1:38">
      <c r="A785" s="12">
        <v>784</v>
      </c>
      <c r="B785" s="19">
        <v>44674</v>
      </c>
      <c r="C785" s="12">
        <v>766</v>
      </c>
      <c r="D785" s="23">
        <f t="shared" si="1466"/>
        <v>35</v>
      </c>
      <c r="E785" s="12">
        <v>579114</v>
      </c>
      <c r="F785" s="12">
        <v>4376</v>
      </c>
      <c r="G785" s="12">
        <v>574446</v>
      </c>
      <c r="H785" s="23">
        <f t="shared" si="1467"/>
        <v>292</v>
      </c>
      <c r="I785" s="23">
        <f t="shared" si="1468"/>
        <v>1169</v>
      </c>
      <c r="J785" s="12">
        <v>3265645</v>
      </c>
      <c r="K785" s="23">
        <f t="shared" si="1469"/>
        <v>2686531</v>
      </c>
      <c r="L785" s="23">
        <f t="shared" si="1470"/>
        <v>46</v>
      </c>
      <c r="M785" s="14">
        <f t="shared" si="1471"/>
        <v>7.5563705937000316E-3</v>
      </c>
      <c r="N785" s="14">
        <f t="shared" si="1472"/>
        <v>2.9940119760479042E-2</v>
      </c>
      <c r="O785" s="24"/>
      <c r="P785" s="12"/>
      <c r="Q785" s="12"/>
      <c r="R785" s="23">
        <f t="shared" si="1473"/>
        <v>578822</v>
      </c>
      <c r="S785" s="25">
        <f>(((H785+R785)/(H784+R784))-1)+detalle!$D$1</f>
        <v>7.1489012231985144E-2</v>
      </c>
      <c r="T785" s="25">
        <f t="shared" si="1474"/>
        <v>1.0008461712477921</v>
      </c>
      <c r="U785" s="10">
        <f t="shared" si="1475"/>
        <v>0.99193941089319204</v>
      </c>
      <c r="V785" s="21">
        <f t="shared" si="1476"/>
        <v>131.27193784277878</v>
      </c>
      <c r="W785" s="15">
        <f>J785/detalle!$D$2</f>
        <v>297946.20127021358</v>
      </c>
      <c r="X785" s="15">
        <f>E785/detalle!$D$2</f>
        <v>52836.366599063425</v>
      </c>
      <c r="Y785" s="15">
        <f>F785/detalle!$D$2</f>
        <v>399.25116684711736</v>
      </c>
      <c r="AA785" s="14">
        <f>E785/(detalle!$D$2*1000000)</f>
        <v>5.283636659906342E-2</v>
      </c>
      <c r="AB785" s="14">
        <f>F785/(detalle!$D$2*1000000)</f>
        <v>3.9925116684711738E-4</v>
      </c>
      <c r="AC785" s="31">
        <f>14/585</f>
        <v>2.3931623931623933E-2</v>
      </c>
      <c r="AD785" s="31">
        <f t="shared" si="1477"/>
        <v>1.8963337547408345E-2</v>
      </c>
      <c r="AE785" s="31">
        <f>6/469</f>
        <v>1.279317697228145E-2</v>
      </c>
      <c r="AF785" s="22">
        <f t="shared" si="1478"/>
        <v>0</v>
      </c>
      <c r="AG785" s="12">
        <v>7204362</v>
      </c>
      <c r="AH785" s="12">
        <v>5956860</v>
      </c>
      <c r="AI785" s="12">
        <v>2323547</v>
      </c>
      <c r="AJ785" s="23">
        <f t="shared" si="1479"/>
        <v>1018</v>
      </c>
      <c r="AK785" s="23">
        <f t="shared" si="1452"/>
        <v>15484769</v>
      </c>
      <c r="AL785" s="28">
        <f>AK785/detalle!$D$2</f>
        <v>1412776.9861992849</v>
      </c>
    </row>
    <row r="786" spans="1:38">
      <c r="A786" s="12">
        <v>785</v>
      </c>
      <c r="B786" s="19">
        <v>44675</v>
      </c>
      <c r="C786" s="12">
        <v>767</v>
      </c>
      <c r="D786" s="23">
        <f t="shared" ref="D786:D788" si="1480">E786-E785</f>
        <v>27</v>
      </c>
      <c r="E786" s="12">
        <v>579141</v>
      </c>
      <c r="F786" s="12">
        <v>4376</v>
      </c>
      <c r="G786" s="12">
        <v>574477</v>
      </c>
      <c r="H786" s="23">
        <f t="shared" ref="H786:H788" si="1481">E786-F786-G786</f>
        <v>288</v>
      </c>
      <c r="I786" s="23">
        <f t="shared" ref="I786:I788" si="1482">J786-J785</f>
        <v>2288</v>
      </c>
      <c r="J786" s="12">
        <v>3267933</v>
      </c>
      <c r="K786" s="23">
        <f t="shared" ref="K786:K788" si="1483">J786-E786</f>
        <v>2688792</v>
      </c>
      <c r="L786" s="23">
        <f t="shared" ref="L786:L788" si="1484">G786-G785</f>
        <v>31</v>
      </c>
      <c r="M786" s="14">
        <f t="shared" ref="M786:M788" si="1485">F786/E786</f>
        <v>7.5560183098761788E-3</v>
      </c>
      <c r="N786" s="14">
        <f t="shared" ref="N786:N788" si="1486">D786/I786</f>
        <v>1.18006993006993E-2</v>
      </c>
      <c r="O786" s="24"/>
      <c r="P786" s="12"/>
      <c r="Q786" s="12"/>
      <c r="R786" s="23">
        <f t="shared" ref="R786:R788" si="1487">F786+G786</f>
        <v>578853</v>
      </c>
      <c r="S786" s="25">
        <f>(((H786+R786)/(H785+R785))-1)+detalle!$D$1</f>
        <v>7.1475194373276568E-2</v>
      </c>
      <c r="T786" s="25">
        <f t="shared" ref="T786:T788" si="1488">S786*14</f>
        <v>1.000652721225872</v>
      </c>
      <c r="U786" s="10">
        <f t="shared" ref="U786:U788" si="1489">G786/E786</f>
        <v>0.99194669346497655</v>
      </c>
      <c r="V786" s="21">
        <f t="shared" ref="V786:V788" si="1490">G786/F786</f>
        <v>131.27902193784277</v>
      </c>
      <c r="W786" s="15">
        <f>J786/detalle!$D$2</f>
        <v>298154.95050918666</v>
      </c>
      <c r="X786" s="15">
        <f>E786/detalle!$D$2</f>
        <v>52838.829986061792</v>
      </c>
      <c r="Y786" s="15">
        <f>F786/detalle!$D$2</f>
        <v>399.25116684711736</v>
      </c>
      <c r="AA786" s="14">
        <f>E786/(detalle!$D$2*1000000)</f>
        <v>5.2838829986061792E-2</v>
      </c>
      <c r="AB786" s="14">
        <f>F786/(detalle!$D$2*1000000)</f>
        <v>3.9925116684711738E-4</v>
      </c>
      <c r="AC786" s="31">
        <f t="shared" ref="AC786:AC787" si="1491">14/585</f>
        <v>2.3931623931623933E-2</v>
      </c>
      <c r="AD786" s="31">
        <f t="shared" si="1477"/>
        <v>1.8963337547408345E-2</v>
      </c>
      <c r="AE786" s="31">
        <f t="shared" ref="AE786:AE787" si="1492">6/469</f>
        <v>1.279317697228145E-2</v>
      </c>
      <c r="AF786" s="22">
        <f t="shared" ref="AF786:AF788" si="1493">F786-F785</f>
        <v>0</v>
      </c>
      <c r="AG786" s="12">
        <v>7204517</v>
      </c>
      <c r="AH786" s="12">
        <v>5957035</v>
      </c>
      <c r="AI786" s="12">
        <v>2323774</v>
      </c>
      <c r="AJ786" s="23">
        <f t="shared" ref="AJ786:AJ788" si="1494">AK786-AK785</f>
        <v>557</v>
      </c>
      <c r="AK786" s="23">
        <f t="shared" si="1452"/>
        <v>15485326</v>
      </c>
      <c r="AL786" s="28">
        <f>AK786/detalle!$D$2</f>
        <v>1412827.8049606958</v>
      </c>
    </row>
    <row r="787" spans="1:38">
      <c r="A787" s="12">
        <v>786</v>
      </c>
      <c r="B787" s="19">
        <v>44676</v>
      </c>
      <c r="C787" s="12">
        <v>768</v>
      </c>
      <c r="D787" s="23">
        <f t="shared" si="1480"/>
        <v>63</v>
      </c>
      <c r="E787" s="12">
        <v>579204</v>
      </c>
      <c r="F787" s="12">
        <v>4376</v>
      </c>
      <c r="G787" s="12">
        <v>574527</v>
      </c>
      <c r="H787" s="23">
        <f t="shared" si="1481"/>
        <v>301</v>
      </c>
      <c r="I787" s="23">
        <f t="shared" si="1482"/>
        <v>4133</v>
      </c>
      <c r="J787" s="12">
        <v>3272066</v>
      </c>
      <c r="K787" s="23">
        <f t="shared" si="1483"/>
        <v>2692862</v>
      </c>
      <c r="L787" s="23">
        <f t="shared" si="1484"/>
        <v>50</v>
      </c>
      <c r="M787" s="14">
        <f t="shared" si="1485"/>
        <v>7.5551964420135223E-3</v>
      </c>
      <c r="N787" s="14">
        <f t="shared" si="1486"/>
        <v>1.5243164771352529E-2</v>
      </c>
      <c r="O787" s="24"/>
      <c r="P787" s="12"/>
      <c r="Q787" s="12"/>
      <c r="R787" s="23">
        <f t="shared" si="1487"/>
        <v>578903</v>
      </c>
      <c r="S787" s="25">
        <f>(((H787+R787)/(H786+R786))-1)+detalle!$D$1</f>
        <v>7.1537353227822315E-2</v>
      </c>
      <c r="T787" s="25">
        <f t="shared" si="1488"/>
        <v>1.0015229451895125</v>
      </c>
      <c r="U787" s="10">
        <f t="shared" si="1489"/>
        <v>0.99192512482648598</v>
      </c>
      <c r="V787" s="21">
        <f t="shared" si="1490"/>
        <v>131.29044789762341</v>
      </c>
      <c r="W787" s="15">
        <f>J787/detalle!$D$2</f>
        <v>298532.03119304846</v>
      </c>
      <c r="X787" s="15">
        <f>E787/detalle!$D$2</f>
        <v>52844.57788905799</v>
      </c>
      <c r="Y787" s="15">
        <f>F787/detalle!$D$2</f>
        <v>399.25116684711736</v>
      </c>
      <c r="AA787" s="14">
        <f>E787/(detalle!$D$2*1000000)</f>
        <v>5.2844577889057991E-2</v>
      </c>
      <c r="AB787" s="14">
        <f>F787/(detalle!$D$2*1000000)</f>
        <v>3.9925116684711738E-4</v>
      </c>
      <c r="AC787" s="31">
        <f t="shared" si="1491"/>
        <v>2.3931623931623933E-2</v>
      </c>
      <c r="AD787" s="31">
        <f t="shared" si="1477"/>
        <v>1.8963337547408345E-2</v>
      </c>
      <c r="AE787" s="31">
        <f t="shared" si="1492"/>
        <v>1.279317697228145E-2</v>
      </c>
      <c r="AF787" s="22">
        <f t="shared" si="1493"/>
        <v>0</v>
      </c>
      <c r="AG787" s="12">
        <v>7204881</v>
      </c>
      <c r="AH787" s="12">
        <v>5957719</v>
      </c>
      <c r="AI787" s="12">
        <v>2324313</v>
      </c>
      <c r="AJ787" s="23">
        <f t="shared" si="1494"/>
        <v>1587</v>
      </c>
      <c r="AK787" s="23">
        <f t="shared" si="1452"/>
        <v>15486913</v>
      </c>
      <c r="AL787" s="28">
        <f>AK787/detalle!$D$2</f>
        <v>1412972.5973742667</v>
      </c>
    </row>
    <row r="788" spans="1:38">
      <c r="A788" s="12">
        <v>787</v>
      </c>
      <c r="B788" s="19">
        <v>44677</v>
      </c>
      <c r="C788" s="12">
        <v>769</v>
      </c>
      <c r="D788" s="23">
        <f t="shared" si="1480"/>
        <v>44</v>
      </c>
      <c r="E788" s="12">
        <v>579248</v>
      </c>
      <c r="F788" s="12">
        <v>4376</v>
      </c>
      <c r="G788" s="12">
        <v>574601</v>
      </c>
      <c r="H788" s="23">
        <f t="shared" si="1481"/>
        <v>271</v>
      </c>
      <c r="I788" s="23">
        <f t="shared" si="1482"/>
        <v>2065</v>
      </c>
      <c r="J788" s="12">
        <v>3274131</v>
      </c>
      <c r="K788" s="23">
        <f t="shared" si="1483"/>
        <v>2694883</v>
      </c>
      <c r="L788" s="23">
        <f t="shared" si="1484"/>
        <v>74</v>
      </c>
      <c r="M788" s="14">
        <f t="shared" si="1485"/>
        <v>7.5546225450929478E-3</v>
      </c>
      <c r="N788" s="14">
        <f t="shared" si="1486"/>
        <v>2.1307506053268765E-2</v>
      </c>
      <c r="O788" s="24"/>
      <c r="P788" s="12"/>
      <c r="Q788" s="12"/>
      <c r="R788" s="23">
        <f t="shared" si="1487"/>
        <v>578977</v>
      </c>
      <c r="S788" s="25">
        <f>(((H788+R788)/(H787+R787))-1)+detalle!$D$1</f>
        <v>7.1504537754770753E-2</v>
      </c>
      <c r="T788" s="25">
        <f t="shared" si="1488"/>
        <v>1.0010635285667906</v>
      </c>
      <c r="U788" s="10">
        <f t="shared" si="1489"/>
        <v>0.99197752948650664</v>
      </c>
      <c r="V788" s="21">
        <f t="shared" si="1490"/>
        <v>131.30735831809872</v>
      </c>
      <c r="W788" s="15">
        <f>J788/detalle!$D$2</f>
        <v>298720.43468014611</v>
      </c>
      <c r="X788" s="15">
        <f>E788/detalle!$D$2</f>
        <v>52848.592297499781</v>
      </c>
      <c r="Y788" s="15">
        <f>F788/detalle!$D$2</f>
        <v>399.25116684711736</v>
      </c>
      <c r="AA788" s="14">
        <f>E788/(detalle!$D$2*1000000)</f>
        <v>5.2848592297499782E-2</v>
      </c>
      <c r="AB788" s="14">
        <f>F788/(detalle!$D$2*1000000)</f>
        <v>3.9925116684711738E-4</v>
      </c>
      <c r="AC788" s="31">
        <f>6/585</f>
        <v>1.0256410256410256E-2</v>
      </c>
      <c r="AD788" s="31">
        <f>52/2373</f>
        <v>2.1913190054782976E-2</v>
      </c>
      <c r="AE788" s="31">
        <f>3/469</f>
        <v>6.3965884861407248E-3</v>
      </c>
      <c r="AF788" s="22">
        <f t="shared" si="1493"/>
        <v>0</v>
      </c>
      <c r="AG788" s="12">
        <v>7205494</v>
      </c>
      <c r="AH788" s="12">
        <v>5958758</v>
      </c>
      <c r="AI788" s="12">
        <v>2324969</v>
      </c>
      <c r="AJ788" s="23">
        <f t="shared" si="1494"/>
        <v>2308</v>
      </c>
      <c r="AK788" s="23">
        <f t="shared" si="1452"/>
        <v>15489221</v>
      </c>
      <c r="AL788" s="28">
        <f>AK788/detalle!$D$2</f>
        <v>1413183.1713443496</v>
      </c>
    </row>
    <row r="789" spans="1:38">
      <c r="A789" s="12">
        <v>788</v>
      </c>
      <c r="B789" s="19">
        <v>44678</v>
      </c>
      <c r="C789" s="12">
        <v>770</v>
      </c>
      <c r="D789" s="23">
        <f t="shared" ref="D789:D791" si="1495">E789-E788</f>
        <v>66</v>
      </c>
      <c r="E789" s="12">
        <v>579314</v>
      </c>
      <c r="F789" s="12">
        <v>4376</v>
      </c>
      <c r="G789" s="12">
        <v>574648</v>
      </c>
      <c r="H789" s="23">
        <f t="shared" ref="H789:H791" si="1496">E789-F789-G789</f>
        <v>290</v>
      </c>
      <c r="I789" s="23">
        <f t="shared" ref="I789:I791" si="1497">J789-J788</f>
        <v>1425</v>
      </c>
      <c r="J789" s="12">
        <v>3275556</v>
      </c>
      <c r="K789" s="23">
        <f t="shared" ref="K789:K791" si="1498">J789-E789</f>
        <v>2696242</v>
      </c>
      <c r="L789" s="23">
        <f t="shared" ref="L789:L791" si="1499">G789-G788</f>
        <v>47</v>
      </c>
      <c r="M789" s="14">
        <f t="shared" ref="M789:M791" si="1500">F789/E789</f>
        <v>7.5537618631691967E-3</v>
      </c>
      <c r="N789" s="14">
        <f t="shared" ref="N789:N791" si="1501">D789/I789</f>
        <v>4.6315789473684213E-2</v>
      </c>
      <c r="O789" s="24"/>
      <c r="P789" s="12"/>
      <c r="Q789" s="12"/>
      <c r="R789" s="23">
        <f t="shared" ref="R789:R791" si="1502">F789+G789</f>
        <v>579024</v>
      </c>
      <c r="S789" s="25">
        <f>(((H789+R789)/(H788+R788))-1)+detalle!$D$1</f>
        <v>7.1542512262204011E-2</v>
      </c>
      <c r="T789" s="25">
        <f t="shared" ref="T789:T791" si="1503">S789*14</f>
        <v>1.0015951716708562</v>
      </c>
      <c r="U789" s="10">
        <f t="shared" ref="U789:U791" si="1504">G789/E789</f>
        <v>0.99194564605723323</v>
      </c>
      <c r="V789" s="21">
        <f t="shared" ref="V789:V791" si="1505">G789/F789</f>
        <v>131.31809872029251</v>
      </c>
      <c r="W789" s="15">
        <f>J789/detalle!$D$2</f>
        <v>298850.44677172677</v>
      </c>
      <c r="X789" s="15">
        <f>E789/detalle!$D$2</f>
        <v>52854.613910162465</v>
      </c>
      <c r="Y789" s="15">
        <f>F789/detalle!$D$2</f>
        <v>399.25116684711736</v>
      </c>
      <c r="AA789" s="14">
        <f>E789/(detalle!$D$2*1000000)</f>
        <v>5.2854613910162468E-2</v>
      </c>
      <c r="AB789" s="14">
        <f>F789/(detalle!$D$2*1000000)</f>
        <v>3.9925116684711738E-4</v>
      </c>
      <c r="AC789" s="31">
        <f>0/585</f>
        <v>0</v>
      </c>
      <c r="AD789" s="31">
        <f>46/2373</f>
        <v>1.9384745048461861E-2</v>
      </c>
      <c r="AE789" s="31">
        <f>0/469</f>
        <v>0</v>
      </c>
      <c r="AF789" s="22">
        <f t="shared" ref="AF789:AF791" si="1506">F789-F788</f>
        <v>0</v>
      </c>
      <c r="AG789" s="12">
        <v>7205944</v>
      </c>
      <c r="AH789" s="12">
        <v>5959754</v>
      </c>
      <c r="AI789" s="12">
        <v>2325616</v>
      </c>
      <c r="AJ789" s="23">
        <f t="shared" ref="AJ789:AJ791" si="1507">AK789-AK788</f>
        <v>2093</v>
      </c>
      <c r="AK789" s="23">
        <f t="shared" si="1452"/>
        <v>15491314</v>
      </c>
      <c r="AL789" s="28">
        <f>AK789/detalle!$D$2</f>
        <v>1413374.1294550013</v>
      </c>
    </row>
    <row r="790" spans="1:38">
      <c r="A790" s="12">
        <v>789</v>
      </c>
      <c r="B790" s="19">
        <v>44679</v>
      </c>
      <c r="C790" s="12">
        <v>771</v>
      </c>
      <c r="D790" s="23">
        <f t="shared" si="1495"/>
        <v>65</v>
      </c>
      <c r="E790" s="12">
        <v>579379</v>
      </c>
      <c r="F790" s="12">
        <v>4376</v>
      </c>
      <c r="G790" s="12">
        <v>574683</v>
      </c>
      <c r="H790" s="23">
        <f t="shared" si="1496"/>
        <v>320</v>
      </c>
      <c r="I790" s="23">
        <f>J790-J789</f>
        <v>2438</v>
      </c>
      <c r="J790" s="12">
        <v>3277994</v>
      </c>
      <c r="K790" s="23">
        <f t="shared" si="1498"/>
        <v>2698615</v>
      </c>
      <c r="L790" s="23">
        <f t="shared" si="1499"/>
        <v>35</v>
      </c>
      <c r="M790" s="14">
        <f t="shared" si="1500"/>
        <v>7.5529144135358722E-3</v>
      </c>
      <c r="N790" s="14">
        <f>D790/I790</f>
        <v>2.6661197703035273E-2</v>
      </c>
      <c r="O790" s="24"/>
      <c r="P790" s="12"/>
      <c r="Q790" s="12"/>
      <c r="R790" s="23">
        <f t="shared" si="1502"/>
        <v>579059</v>
      </c>
      <c r="S790" s="25">
        <f>(((H790+R790)/(H789+R789))-1)+detalle!$D$1</f>
        <v>7.1540773101584715E-2</v>
      </c>
      <c r="T790" s="25">
        <f t="shared" si="1503"/>
        <v>1.0015708234221861</v>
      </c>
      <c r="U790" s="10">
        <f t="shared" si="1504"/>
        <v>0.99189477009004468</v>
      </c>
      <c r="V790" s="21">
        <f t="shared" si="1505"/>
        <v>131.32609689213893</v>
      </c>
      <c r="W790" s="15">
        <f>J790/detalle!$D$2</f>
        <v>299072.88149402413</v>
      </c>
      <c r="X790" s="15">
        <f>E790/detalle!$D$2</f>
        <v>52860.544286269658</v>
      </c>
      <c r="Y790" s="15">
        <f>F790/detalle!$D$2</f>
        <v>399.25116684711736</v>
      </c>
      <c r="AA790" s="14">
        <f>E790/(detalle!$D$2*1000000)</f>
        <v>5.2860544286269656E-2</v>
      </c>
      <c r="AB790" s="14">
        <f>F790/(detalle!$D$2*1000000)</f>
        <v>3.9925116684711738E-4</v>
      </c>
      <c r="AC790" s="31">
        <f t="shared" ref="AC790" si="1508">0/585</f>
        <v>0</v>
      </c>
      <c r="AD790" s="31">
        <f>4/2373</f>
        <v>1.6856300042140751E-3</v>
      </c>
      <c r="AE790" s="31">
        <f t="shared" ref="AE790:AE802" si="1509">0/469</f>
        <v>0</v>
      </c>
      <c r="AF790" s="22">
        <f t="shared" si="1506"/>
        <v>0</v>
      </c>
      <c r="AG790" s="12">
        <v>7206523</v>
      </c>
      <c r="AH790" s="12">
        <v>5960714</v>
      </c>
      <c r="AI790" s="12">
        <v>2326193</v>
      </c>
      <c r="AJ790" s="23">
        <f t="shared" si="1507"/>
        <v>2116</v>
      </c>
      <c r="AK790" s="23">
        <f t="shared" si="1452"/>
        <v>15493430</v>
      </c>
      <c r="AL790" s="28">
        <f>AK790/detalle!$D$2</f>
        <v>1413567.1860064291</v>
      </c>
    </row>
    <row r="791" spans="1:38">
      <c r="A791" s="12">
        <v>790</v>
      </c>
      <c r="B791" s="19">
        <v>44680</v>
      </c>
      <c r="C791" s="12">
        <v>772</v>
      </c>
      <c r="D791" s="23">
        <f t="shared" si="1495"/>
        <v>64</v>
      </c>
      <c r="E791" s="12">
        <v>579443</v>
      </c>
      <c r="F791" s="12">
        <v>4376</v>
      </c>
      <c r="G791" s="12">
        <v>574726</v>
      </c>
      <c r="H791" s="23">
        <f t="shared" si="1496"/>
        <v>341</v>
      </c>
      <c r="I791" s="23">
        <f t="shared" si="1497"/>
        <v>1742</v>
      </c>
      <c r="J791" s="12">
        <v>3279736</v>
      </c>
      <c r="K791" s="23">
        <f t="shared" si="1498"/>
        <v>2700293</v>
      </c>
      <c r="L791" s="23">
        <f t="shared" si="1499"/>
        <v>43</v>
      </c>
      <c r="M791" s="14">
        <f t="shared" si="1500"/>
        <v>7.5520801873523368E-3</v>
      </c>
      <c r="N791" s="14">
        <f t="shared" si="1501"/>
        <v>3.6739380022962113E-2</v>
      </c>
      <c r="O791" s="24"/>
      <c r="P791" s="12"/>
      <c r="Q791" s="12"/>
      <c r="R791" s="23">
        <f t="shared" si="1502"/>
        <v>579102</v>
      </c>
      <c r="S791" s="25">
        <f>(((H791+R791)/(H790+R790))-1)+detalle!$D$1</f>
        <v>7.1539034527855289E-2</v>
      </c>
      <c r="T791" s="25">
        <f t="shared" si="1503"/>
        <v>1.0015464833899741</v>
      </c>
      <c r="U791" s="10">
        <f t="shared" si="1504"/>
        <v>0.99185942361888912</v>
      </c>
      <c r="V791" s="21">
        <f t="shared" si="1505"/>
        <v>131.33592321755029</v>
      </c>
      <c r="W791" s="15">
        <f>J791/detalle!$D$2</f>
        <v>299231.81557369686</v>
      </c>
      <c r="X791" s="15">
        <f>E791/detalle!$D$2</f>
        <v>52866.383425821354</v>
      </c>
      <c r="Y791" s="15">
        <f>F791/detalle!$D$2</f>
        <v>399.25116684711736</v>
      </c>
      <c r="AA791" s="14">
        <f>E791/(detalle!$D$2*1000000)</f>
        <v>5.2866383425821353E-2</v>
      </c>
      <c r="AB791" s="14">
        <f>F791/(detalle!$D$2*1000000)</f>
        <v>3.9925116684711738E-4</v>
      </c>
      <c r="AC791" s="31">
        <f>1/585</f>
        <v>1.7094017094017094E-3</v>
      </c>
      <c r="AD791" s="31">
        <f>6/2373</f>
        <v>2.5284450063211127E-3</v>
      </c>
      <c r="AE791" s="31">
        <f t="shared" si="1509"/>
        <v>0</v>
      </c>
      <c r="AF791" s="22">
        <f t="shared" si="1506"/>
        <v>0</v>
      </c>
      <c r="AG791" s="12">
        <v>7207046</v>
      </c>
      <c r="AH791" s="12">
        <v>5961599</v>
      </c>
      <c r="AI791" s="12">
        <v>2326778</v>
      </c>
      <c r="AJ791" s="23">
        <f t="shared" si="1507"/>
        <v>1993</v>
      </c>
      <c r="AK791" s="23">
        <f t="shared" si="1452"/>
        <v>15495423</v>
      </c>
      <c r="AL791" s="28">
        <f>AK791/detalle!$D$2</f>
        <v>1413749.0204615311</v>
      </c>
    </row>
    <row r="792" spans="1:38">
      <c r="A792" s="12">
        <v>791</v>
      </c>
      <c r="B792" s="19">
        <v>44681</v>
      </c>
      <c r="C792" s="12">
        <v>773</v>
      </c>
      <c r="D792" s="23">
        <f t="shared" ref="D792:D797" si="1510">E792-E791</f>
        <v>22</v>
      </c>
      <c r="E792" s="12">
        <v>579465</v>
      </c>
      <c r="F792" s="12">
        <v>4376</v>
      </c>
      <c r="G792" s="12">
        <v>574759</v>
      </c>
      <c r="H792" s="23">
        <f t="shared" ref="H792:H797" si="1511">E792-F792-G792</f>
        <v>330</v>
      </c>
      <c r="I792" s="23">
        <f t="shared" ref="I792:I797" si="1512">J792-J791</f>
        <v>697</v>
      </c>
      <c r="J792" s="12">
        <v>3280433</v>
      </c>
      <c r="K792" s="23">
        <f t="shared" ref="K792:K797" si="1513">J792-E792</f>
        <v>2700968</v>
      </c>
      <c r="L792" s="23">
        <f t="shared" ref="L792:L797" si="1514">G792-G791</f>
        <v>33</v>
      </c>
      <c r="M792" s="14">
        <f t="shared" ref="M792:M797" si="1515">F792/E792</f>
        <v>7.5517934646613686E-3</v>
      </c>
      <c r="N792" s="14">
        <f t="shared" ref="N792:N797" si="1516">D792/I792</f>
        <v>3.1563845050215207E-2</v>
      </c>
      <c r="O792" s="24"/>
      <c r="P792" s="12"/>
      <c r="Q792" s="12"/>
      <c r="R792" s="23">
        <f t="shared" ref="R792:R797" si="1517">F792+G792</f>
        <v>579135</v>
      </c>
      <c r="S792" s="25">
        <f>(((H792+R792)/(H791+R791))-1)+detalle!$D$1</f>
        <v>7.1466538924942952E-2</v>
      </c>
      <c r="T792" s="25">
        <f t="shared" ref="T792:T797" si="1518">S792*14</f>
        <v>1.0005315449492014</v>
      </c>
      <c r="U792" s="10">
        <f t="shared" ref="U792:U797" si="1519">G792/E792</f>
        <v>0.99187871571190667</v>
      </c>
      <c r="V792" s="21">
        <f t="shared" ref="V792:V797" si="1520">G792/F792</f>
        <v>131.34346435100548</v>
      </c>
      <c r="W792" s="15">
        <f>J792/detalle!$D$2</f>
        <v>299295.40745287703</v>
      </c>
      <c r="X792" s="15">
        <f>E792/detalle!$D$2</f>
        <v>52868.390630042246</v>
      </c>
      <c r="Y792" s="15">
        <f>F792/detalle!$D$2</f>
        <v>399.25116684711736</v>
      </c>
      <c r="AA792" s="14">
        <f>E792/(detalle!$D$2*1000000)</f>
        <v>5.2868390630042242E-2</v>
      </c>
      <c r="AB792" s="14">
        <f>F792/(detalle!$D$2*1000000)</f>
        <v>3.9925116684711738E-4</v>
      </c>
      <c r="AC792" s="31">
        <f t="shared" ref="AC792:AC795" si="1521">1/585</f>
        <v>1.7094017094017094E-3</v>
      </c>
      <c r="AD792" s="31">
        <f t="shared" ref="AD792:AD794" si="1522">6/2373</f>
        <v>2.5284450063211127E-3</v>
      </c>
      <c r="AE792" s="31">
        <f t="shared" si="1509"/>
        <v>0</v>
      </c>
      <c r="AF792" s="22">
        <f t="shared" ref="AF792:AF797" si="1523">F792-F791</f>
        <v>0</v>
      </c>
      <c r="AG792" s="12">
        <v>7207303</v>
      </c>
      <c r="AH792" s="12">
        <v>5961914</v>
      </c>
      <c r="AI792" s="12">
        <v>2327090</v>
      </c>
      <c r="AJ792" s="23">
        <f t="shared" ref="AJ792:AJ795" si="1524">AK792-AK791</f>
        <v>884</v>
      </c>
      <c r="AK792" s="23">
        <f t="shared" si="1452"/>
        <v>15496307</v>
      </c>
      <c r="AL792" s="28">
        <f>AK792/detalle!$D$2</f>
        <v>1413829.673576589</v>
      </c>
    </row>
    <row r="793" spans="1:38">
      <c r="A793" s="12">
        <v>792</v>
      </c>
      <c r="B793" s="19">
        <v>44682</v>
      </c>
      <c r="C793" s="12">
        <v>774</v>
      </c>
      <c r="D793" s="23">
        <f t="shared" si="1510"/>
        <v>55</v>
      </c>
      <c r="E793" s="12">
        <v>579520</v>
      </c>
      <c r="F793" s="12">
        <v>4376</v>
      </c>
      <c r="G793" s="12">
        <v>574821</v>
      </c>
      <c r="H793" s="23">
        <f t="shared" si="1511"/>
        <v>323</v>
      </c>
      <c r="I793" s="23">
        <f t="shared" si="1512"/>
        <v>1419</v>
      </c>
      <c r="J793" s="12">
        <v>3281852</v>
      </c>
      <c r="K793" s="23">
        <f t="shared" si="1513"/>
        <v>2702332</v>
      </c>
      <c r="L793" s="23">
        <f t="shared" si="1514"/>
        <v>62</v>
      </c>
      <c r="M793" s="14">
        <f t="shared" si="1515"/>
        <v>7.5510767531750417E-3</v>
      </c>
      <c r="N793" s="14">
        <f t="shared" si="1516"/>
        <v>3.875968992248062E-2</v>
      </c>
      <c r="O793" s="24"/>
      <c r="P793" s="12"/>
      <c r="Q793" s="12"/>
      <c r="R793" s="23">
        <f t="shared" si="1517"/>
        <v>579197</v>
      </c>
      <c r="S793" s="25">
        <f>(((H793+R793)/(H792+R792))-1)+detalle!$D$1</f>
        <v>7.1523486565810118E-2</v>
      </c>
      <c r="T793" s="25">
        <f t="shared" si="1518"/>
        <v>1.0013288119213417</v>
      </c>
      <c r="U793" s="10">
        <f t="shared" si="1519"/>
        <v>0.99189156543346213</v>
      </c>
      <c r="V793" s="21">
        <f t="shared" si="1520"/>
        <v>131.35763254113346</v>
      </c>
      <c r="W793" s="15">
        <f>J793/detalle!$D$2</f>
        <v>299424.87212512473</v>
      </c>
      <c r="X793" s="15">
        <f>E793/detalle!$D$2</f>
        <v>52873.408640594484</v>
      </c>
      <c r="Y793" s="15">
        <f>F793/detalle!$D$2</f>
        <v>399.25116684711736</v>
      </c>
      <c r="AA793" s="14">
        <f>E793/(detalle!$D$2*1000000)</f>
        <v>5.2873408640594484E-2</v>
      </c>
      <c r="AB793" s="14">
        <f>F793/(detalle!$D$2*1000000)</f>
        <v>3.9925116684711738E-4</v>
      </c>
      <c r="AC793" s="31">
        <f t="shared" si="1521"/>
        <v>1.7094017094017094E-3</v>
      </c>
      <c r="AD793" s="31">
        <f t="shared" si="1522"/>
        <v>2.5284450063211127E-3</v>
      </c>
      <c r="AE793" s="31">
        <f t="shared" si="1509"/>
        <v>0</v>
      </c>
      <c r="AF793" s="22">
        <f t="shared" si="1523"/>
        <v>0</v>
      </c>
      <c r="AG793" s="12">
        <v>7207364</v>
      </c>
      <c r="AH793" s="12">
        <v>5962020</v>
      </c>
      <c r="AI793" s="12">
        <v>2327198</v>
      </c>
      <c r="AJ793" s="23">
        <f t="shared" si="1524"/>
        <v>275</v>
      </c>
      <c r="AK793" s="23">
        <f t="shared" si="1452"/>
        <v>15496582</v>
      </c>
      <c r="AL793" s="28">
        <f>AK793/detalle!$D$2</f>
        <v>1413854.7636293501</v>
      </c>
    </row>
    <row r="794" spans="1:38">
      <c r="A794" s="12">
        <v>793</v>
      </c>
      <c r="B794" s="19">
        <v>44683</v>
      </c>
      <c r="C794" s="12">
        <v>775</v>
      </c>
      <c r="D794" s="23">
        <f t="shared" si="1510"/>
        <v>52</v>
      </c>
      <c r="E794" s="12">
        <v>579572</v>
      </c>
      <c r="F794" s="12">
        <v>4376</v>
      </c>
      <c r="G794" s="12">
        <v>574824</v>
      </c>
      <c r="H794" s="23">
        <f t="shared" si="1511"/>
        <v>372</v>
      </c>
      <c r="I794" s="23">
        <f t="shared" si="1512"/>
        <v>1796</v>
      </c>
      <c r="J794" s="12">
        <v>3283648</v>
      </c>
      <c r="K794" s="23">
        <f t="shared" si="1513"/>
        <v>2704076</v>
      </c>
      <c r="L794" s="23">
        <f t="shared" si="1514"/>
        <v>3</v>
      </c>
      <c r="M794" s="14">
        <f t="shared" si="1515"/>
        <v>7.5503992601436924E-3</v>
      </c>
      <c r="N794" s="14">
        <f t="shared" si="1516"/>
        <v>2.8953229398663696E-2</v>
      </c>
      <c r="O794" s="24"/>
      <c r="P794" s="12"/>
      <c r="Q794" s="12"/>
      <c r="R794" s="23">
        <f t="shared" si="1517"/>
        <v>579200</v>
      </c>
      <c r="S794" s="25">
        <f>(((H794+R794)/(H793+R793))-1)+detalle!$D$1</f>
        <v>7.1518300859824829E-2</v>
      </c>
      <c r="T794" s="25">
        <f t="shared" si="1518"/>
        <v>1.0012562120375477</v>
      </c>
      <c r="U794" s="10">
        <f t="shared" si="1519"/>
        <v>0.99180774778629743</v>
      </c>
      <c r="V794" s="21">
        <f t="shared" si="1520"/>
        <v>131.3583180987203</v>
      </c>
      <c r="W794" s="15">
        <f>J794/detalle!$D$2</f>
        <v>299588.73297879414</v>
      </c>
      <c r="X794" s="15">
        <f>E794/detalle!$D$2</f>
        <v>52878.152941480235</v>
      </c>
      <c r="Y794" s="15">
        <f>F794/detalle!$D$2</f>
        <v>399.25116684711736</v>
      </c>
      <c r="AA794" s="14">
        <f>E794/(detalle!$D$2*1000000)</f>
        <v>5.2878152941480232E-2</v>
      </c>
      <c r="AB794" s="14">
        <f>F794/(detalle!$D$2*1000000)</f>
        <v>3.9925116684711738E-4</v>
      </c>
      <c r="AC794" s="31">
        <f t="shared" si="1521"/>
        <v>1.7094017094017094E-3</v>
      </c>
      <c r="AD794" s="31">
        <f t="shared" si="1522"/>
        <v>2.5284450063211127E-3</v>
      </c>
      <c r="AE794" s="31">
        <f t="shared" si="1509"/>
        <v>0</v>
      </c>
      <c r="AF794" s="22">
        <f t="shared" si="1523"/>
        <v>0</v>
      </c>
      <c r="AG794" s="12">
        <v>7207502</v>
      </c>
      <c r="AH794" s="12">
        <v>5962137</v>
      </c>
      <c r="AI794" s="12">
        <v>2327327</v>
      </c>
      <c r="AJ794" s="23">
        <f t="shared" ref="AJ794" si="1525">AK794-AK793</f>
        <v>384</v>
      </c>
      <c r="AK794" s="23">
        <f t="shared" si="1452"/>
        <v>15496966</v>
      </c>
      <c r="AL794" s="28">
        <f>AK794/detalle!$D$2</f>
        <v>1413889.7984666603</v>
      </c>
    </row>
    <row r="795" spans="1:38">
      <c r="A795" s="12">
        <v>794</v>
      </c>
      <c r="B795" s="19">
        <v>44684</v>
      </c>
      <c r="C795" s="12">
        <v>776</v>
      </c>
      <c r="D795" s="23">
        <f t="shared" si="1510"/>
        <v>64</v>
      </c>
      <c r="E795" s="12">
        <v>579636</v>
      </c>
      <c r="F795" s="12">
        <v>4376</v>
      </c>
      <c r="G795" s="12">
        <v>574889</v>
      </c>
      <c r="H795" s="23">
        <f t="shared" si="1511"/>
        <v>371</v>
      </c>
      <c r="I795" s="23">
        <f t="shared" si="1512"/>
        <v>2194</v>
      </c>
      <c r="J795" s="12">
        <v>3285842</v>
      </c>
      <c r="K795" s="23">
        <f t="shared" si="1513"/>
        <v>2706206</v>
      </c>
      <c r="L795" s="23">
        <f t="shared" si="1514"/>
        <v>65</v>
      </c>
      <c r="M795" s="14">
        <f t="shared" si="1515"/>
        <v>7.5495655894388895E-3</v>
      </c>
      <c r="N795" s="14">
        <f t="shared" si="1516"/>
        <v>2.9170464904284411E-2</v>
      </c>
      <c r="O795" s="24"/>
      <c r="P795" s="12"/>
      <c r="Q795" s="12"/>
      <c r="R795" s="23">
        <f t="shared" si="1517"/>
        <v>579265</v>
      </c>
      <c r="S795" s="25">
        <f>(((H795+R795)/(H794+R794))-1)+detalle!$D$1</f>
        <v>7.1538997743162219E-2</v>
      </c>
      <c r="T795" s="25">
        <f t="shared" si="1518"/>
        <v>1.0015459684042711</v>
      </c>
      <c r="U795" s="10">
        <f t="shared" si="1519"/>
        <v>0.99181037754728829</v>
      </c>
      <c r="V795" s="21">
        <f t="shared" si="1520"/>
        <v>131.3731718464351</v>
      </c>
      <c r="W795" s="15">
        <f>J795/detalle!$D$2</f>
        <v>299788.90598155069</v>
      </c>
      <c r="X795" s="15">
        <f>E795/detalle!$D$2</f>
        <v>52883.992081031931</v>
      </c>
      <c r="Y795" s="15">
        <f>F795/detalle!$D$2</f>
        <v>399.25116684711736</v>
      </c>
      <c r="AA795" s="14">
        <f>E795/(detalle!$D$2*1000000)</f>
        <v>5.2883992081031929E-2</v>
      </c>
      <c r="AB795" s="14">
        <f>F795/(detalle!$D$2*1000000)</f>
        <v>3.9925116684711738E-4</v>
      </c>
      <c r="AC795" s="31">
        <f t="shared" si="1521"/>
        <v>1.7094017094017094E-3</v>
      </c>
      <c r="AD795" s="31">
        <f>5/2373</f>
        <v>2.1070375052675938E-3</v>
      </c>
      <c r="AE795" s="31">
        <f t="shared" si="1509"/>
        <v>0</v>
      </c>
      <c r="AF795" s="22">
        <f t="shared" si="1523"/>
        <v>0</v>
      </c>
      <c r="AG795" s="12">
        <v>7207852</v>
      </c>
      <c r="AH795" s="12">
        <v>5962985</v>
      </c>
      <c r="AI795" s="12">
        <v>2327929</v>
      </c>
      <c r="AJ795" s="23">
        <f t="shared" si="1524"/>
        <v>1800</v>
      </c>
      <c r="AK795" s="23">
        <f t="shared" si="1452"/>
        <v>15498766</v>
      </c>
      <c r="AL795" s="28">
        <f>AK795/detalle!$D$2</f>
        <v>1414054.0242665517</v>
      </c>
    </row>
    <row r="796" spans="1:38">
      <c r="A796" s="12">
        <v>795</v>
      </c>
      <c r="B796" s="19">
        <v>44685</v>
      </c>
      <c r="C796" s="12">
        <v>777</v>
      </c>
      <c r="D796" s="23">
        <f t="shared" si="1510"/>
        <v>40</v>
      </c>
      <c r="E796" s="12">
        <v>579676</v>
      </c>
      <c r="F796" s="12">
        <v>4376</v>
      </c>
      <c r="G796" s="12">
        <v>574926</v>
      </c>
      <c r="H796" s="23">
        <f t="shared" si="1511"/>
        <v>374</v>
      </c>
      <c r="I796" s="23">
        <f t="shared" si="1512"/>
        <v>1305</v>
      </c>
      <c r="J796" s="12">
        <v>3287147</v>
      </c>
      <c r="K796" s="23">
        <f t="shared" si="1513"/>
        <v>2707471</v>
      </c>
      <c r="L796" s="23">
        <f t="shared" si="1514"/>
        <v>37</v>
      </c>
      <c r="M796" s="14">
        <f t="shared" si="1515"/>
        <v>7.549044638729221E-3</v>
      </c>
      <c r="N796" s="14">
        <f t="shared" si="1516"/>
        <v>3.0651340996168581E-2</v>
      </c>
      <c r="O796" s="24"/>
      <c r="P796" s="12"/>
      <c r="Q796" s="12"/>
      <c r="R796" s="23">
        <f t="shared" si="1517"/>
        <v>579302</v>
      </c>
      <c r="S796" s="25">
        <f>(((H796+R796)/(H795+R795))-1)+detalle!$D$1</f>
        <v>7.149758025480038E-2</v>
      </c>
      <c r="T796" s="25">
        <f t="shared" si="1518"/>
        <v>1.0009661235672054</v>
      </c>
      <c r="U796" s="10">
        <f t="shared" si="1519"/>
        <v>0.9918057673596975</v>
      </c>
      <c r="V796" s="21">
        <f t="shared" si="1520"/>
        <v>131.38162705667276</v>
      </c>
      <c r="W796" s="15">
        <f>J796/detalle!$D$2</f>
        <v>299907.96968647197</v>
      </c>
      <c r="X796" s="15">
        <f>E796/detalle!$D$2</f>
        <v>52887.641543251739</v>
      </c>
      <c r="Y796" s="15">
        <f>F796/detalle!$D$2</f>
        <v>399.25116684711736</v>
      </c>
      <c r="AA796" s="14">
        <f>E796/(detalle!$D$2*1000000)</f>
        <v>5.2887641543251741E-2</v>
      </c>
      <c r="AB796" s="14">
        <f>F796/(detalle!$D$2*1000000)</f>
        <v>3.9925116684711738E-4</v>
      </c>
      <c r="AC796" s="31">
        <f>0/585</f>
        <v>0</v>
      </c>
      <c r="AD796" s="31">
        <f>7/2373</f>
        <v>2.9498525073746312E-3</v>
      </c>
      <c r="AE796" s="31">
        <f t="shared" si="1509"/>
        <v>0</v>
      </c>
      <c r="AF796" s="22">
        <f t="shared" si="1523"/>
        <v>0</v>
      </c>
      <c r="AG796" s="12">
        <v>7208541</v>
      </c>
      <c r="AH796" s="12">
        <v>5963983</v>
      </c>
      <c r="AI796" s="12">
        <v>2328394</v>
      </c>
      <c r="AJ796" s="23">
        <f t="shared" ref="AJ796:AJ797" si="1526">AK796-AK795</f>
        <v>2152</v>
      </c>
      <c r="AK796" s="23">
        <f t="shared" si="1452"/>
        <v>15500918</v>
      </c>
      <c r="AL796" s="28">
        <f>AK796/detalle!$D$2</f>
        <v>1414250.3653339774</v>
      </c>
    </row>
    <row r="797" spans="1:38">
      <c r="A797" s="12">
        <v>796</v>
      </c>
      <c r="B797" s="19">
        <v>44686</v>
      </c>
      <c r="C797" s="12">
        <v>778</v>
      </c>
      <c r="D797" s="23">
        <f t="shared" si="1510"/>
        <v>67</v>
      </c>
      <c r="E797" s="12">
        <v>579743</v>
      </c>
      <c r="F797" s="12">
        <v>4376</v>
      </c>
      <c r="G797" s="12">
        <v>574987</v>
      </c>
      <c r="H797" s="23">
        <f t="shared" si="1511"/>
        <v>380</v>
      </c>
      <c r="I797" s="23">
        <f t="shared" si="1512"/>
        <v>1725</v>
      </c>
      <c r="J797" s="12">
        <v>3288872</v>
      </c>
      <c r="K797" s="23">
        <f t="shared" si="1513"/>
        <v>2709129</v>
      </c>
      <c r="L797" s="23">
        <f t="shared" si="1514"/>
        <v>61</v>
      </c>
      <c r="M797" s="14">
        <f t="shared" si="1515"/>
        <v>7.5481722073401491E-3</v>
      </c>
      <c r="N797" s="14">
        <f t="shared" si="1516"/>
        <v>3.8840579710144929E-2</v>
      </c>
      <c r="O797" s="24"/>
      <c r="P797" s="12"/>
      <c r="Q797" s="12"/>
      <c r="R797" s="23">
        <f t="shared" si="1517"/>
        <v>579363</v>
      </c>
      <c r="S797" s="25">
        <f>(((H797+R797)/(H796+R796))-1)+detalle!$D$1</f>
        <v>7.1544153236339919E-2</v>
      </c>
      <c r="T797" s="25">
        <f t="shared" si="1518"/>
        <v>1.0016181453087589</v>
      </c>
      <c r="U797" s="10">
        <f t="shared" si="1519"/>
        <v>0.99179636494101697</v>
      </c>
      <c r="V797" s="21">
        <f t="shared" si="1520"/>
        <v>131.39556672760511</v>
      </c>
      <c r="W797" s="15">
        <f>J797/detalle!$D$2</f>
        <v>300065.35274470126</v>
      </c>
      <c r="X797" s="15">
        <f>E797/detalle!$D$2</f>
        <v>52893.75439246992</v>
      </c>
      <c r="Y797" s="15">
        <f>F797/detalle!$D$2</f>
        <v>399.25116684711736</v>
      </c>
      <c r="AA797" s="14">
        <f>E797/(detalle!$D$2*1000000)</f>
        <v>5.2893754392469919E-2</v>
      </c>
      <c r="AB797" s="14">
        <f>F797/(detalle!$D$2*1000000)</f>
        <v>3.9925116684711738E-4</v>
      </c>
      <c r="AC797" s="31">
        <f>0/585</f>
        <v>0</v>
      </c>
      <c r="AD797" s="31">
        <f>5/2373</f>
        <v>2.1070375052675938E-3</v>
      </c>
      <c r="AE797" s="31">
        <f t="shared" si="1509"/>
        <v>0</v>
      </c>
      <c r="AF797" s="22">
        <f t="shared" si="1523"/>
        <v>0</v>
      </c>
      <c r="AG797" s="12">
        <v>7208988</v>
      </c>
      <c r="AH797" s="12">
        <v>5964717</v>
      </c>
      <c r="AI797" s="12">
        <v>2328930</v>
      </c>
      <c r="AJ797" s="23">
        <f t="shared" si="1526"/>
        <v>1717</v>
      </c>
      <c r="AK797" s="23">
        <f t="shared" si="1452"/>
        <v>15502635</v>
      </c>
      <c r="AL797" s="28">
        <f>AK797/detalle!$D$2</f>
        <v>1414407.0184997628</v>
      </c>
    </row>
    <row r="798" spans="1:38">
      <c r="A798" s="12">
        <v>797</v>
      </c>
      <c r="B798" s="19">
        <v>44687</v>
      </c>
      <c r="C798" s="12">
        <v>779</v>
      </c>
      <c r="D798" s="23">
        <f t="shared" ref="D798:D800" si="1527">E798-E797</f>
        <v>64</v>
      </c>
      <c r="E798" s="12">
        <v>579807</v>
      </c>
      <c r="F798" s="12">
        <v>4376</v>
      </c>
      <c r="G798" s="12">
        <v>575024</v>
      </c>
      <c r="H798" s="23">
        <f t="shared" ref="H798:H800" si="1528">E798-F798-G798</f>
        <v>407</v>
      </c>
      <c r="I798" s="23">
        <f t="shared" ref="I798:I800" si="1529">J798-J797</f>
        <v>1789</v>
      </c>
      <c r="J798" s="12">
        <v>3290661</v>
      </c>
      <c r="K798" s="23">
        <f t="shared" ref="K798:K800" si="1530">J798-E798</f>
        <v>2710854</v>
      </c>
      <c r="L798" s="23">
        <f t="shared" ref="L798:L800" si="1531">G798-G797</f>
        <v>37</v>
      </c>
      <c r="M798" s="14">
        <f t="shared" ref="M798:M800" si="1532">F798/E798</f>
        <v>7.5473390283318413E-3</v>
      </c>
      <c r="N798" s="14">
        <f t="shared" ref="N798:N800" si="1533">D798/I798</f>
        <v>3.5774175517048631E-2</v>
      </c>
      <c r="O798" s="24"/>
      <c r="P798" s="12"/>
      <c r="Q798" s="12"/>
      <c r="R798" s="23">
        <f t="shared" ref="R798:R800" si="1534">F798+G798</f>
        <v>579400</v>
      </c>
      <c r="S798" s="25">
        <f>(((H798+R798)/(H797+R797))-1)+detalle!$D$1</f>
        <v>7.1538965172006003E-2</v>
      </c>
      <c r="T798" s="25">
        <f t="shared" ref="T798:T800" si="1535">S798*14</f>
        <v>1.0015455124080841</v>
      </c>
      <c r="U798" s="10">
        <f t="shared" ref="U798:U800" si="1536">G798/E798</f>
        <v>0.99175070325125425</v>
      </c>
      <c r="V798" s="21">
        <f t="shared" ref="V798:V800" si="1537">G798/F798</f>
        <v>131.40402193784277</v>
      </c>
      <c r="W798" s="15">
        <f>J798/detalle!$D$2</f>
        <v>300228.57494248223</v>
      </c>
      <c r="X798" s="15">
        <f>E798/detalle!$D$2</f>
        <v>52899.593532021616</v>
      </c>
      <c r="Y798" s="15">
        <f>F798/detalle!$D$2</f>
        <v>399.25116684711736</v>
      </c>
      <c r="AA798" s="14">
        <f>E798/(detalle!$D$2*1000000)</f>
        <v>5.2899593532021616E-2</v>
      </c>
      <c r="AB798" s="14">
        <f>F798/(detalle!$D$2*1000000)</f>
        <v>3.9925116684711738E-4</v>
      </c>
      <c r="AC798" s="31">
        <f>0/585</f>
        <v>0</v>
      </c>
      <c r="AD798" s="31">
        <f>6/2373</f>
        <v>2.5284450063211127E-3</v>
      </c>
      <c r="AE798" s="31">
        <f t="shared" si="1509"/>
        <v>0</v>
      </c>
      <c r="AF798" s="22">
        <f t="shared" ref="AF798:AF800" si="1538">F798-F797</f>
        <v>0</v>
      </c>
      <c r="AG798" s="12">
        <v>7209324</v>
      </c>
      <c r="AH798" s="12">
        <v>5965404</v>
      </c>
      <c r="AI798" s="12">
        <v>2329441</v>
      </c>
      <c r="AJ798" s="23">
        <f>AK798-AK797</f>
        <v>1534</v>
      </c>
      <c r="AK798" s="23">
        <f t="shared" si="1452"/>
        <v>15504169</v>
      </c>
      <c r="AL798" s="28">
        <f>AK798/detalle!$D$2</f>
        <v>1414546.9753758924</v>
      </c>
    </row>
    <row r="799" spans="1:38">
      <c r="A799" s="12">
        <v>798</v>
      </c>
      <c r="B799" s="19">
        <v>44688</v>
      </c>
      <c r="C799" s="12">
        <v>780</v>
      </c>
      <c r="D799" s="23">
        <f>E799-E798</f>
        <v>126</v>
      </c>
      <c r="E799" s="12">
        <v>579933</v>
      </c>
      <c r="F799" s="12">
        <v>4376</v>
      </c>
      <c r="G799" s="12">
        <v>575144</v>
      </c>
      <c r="H799" s="23">
        <f>E799-F799-G799</f>
        <v>413</v>
      </c>
      <c r="I799" s="23">
        <f t="shared" si="1529"/>
        <v>3238</v>
      </c>
      <c r="J799" s="12">
        <v>3293899</v>
      </c>
      <c r="K799" s="23">
        <f t="shared" si="1530"/>
        <v>2713966</v>
      </c>
      <c r="L799" s="23">
        <f t="shared" si="1531"/>
        <v>120</v>
      </c>
      <c r="M799" s="14">
        <f t="shared" si="1532"/>
        <v>7.5456992445679071E-3</v>
      </c>
      <c r="N799" s="14">
        <f>D799/I799</f>
        <v>3.891290920321186E-2</v>
      </c>
      <c r="O799" s="24"/>
      <c r="P799" s="12"/>
      <c r="Q799" s="12"/>
      <c r="R799" s="23">
        <f t="shared" si="1534"/>
        <v>579520</v>
      </c>
      <c r="S799" s="25">
        <f>(((H799+R799)/(H798+R798))-1)+detalle!$D$1</f>
        <v>7.1645885120886349E-2</v>
      </c>
      <c r="T799" s="25">
        <f t="shared" si="1535"/>
        <v>1.0030423916924089</v>
      </c>
      <c r="U799" s="10">
        <f t="shared" si="1536"/>
        <v>0.99174214952416917</v>
      </c>
      <c r="V799" s="21">
        <f t="shared" si="1537"/>
        <v>131.43144424131626</v>
      </c>
      <c r="W799" s="15">
        <f>J799/detalle!$D$2</f>
        <v>300523.99890917575</v>
      </c>
      <c r="X799" s="15">
        <f>E799/detalle!$D$2</f>
        <v>52911.089338014011</v>
      </c>
      <c r="Y799" s="15">
        <f>F799/detalle!$D$2</f>
        <v>399.25116684711736</v>
      </c>
      <c r="AA799" s="14">
        <f>E799/(detalle!$D$2*1000000)</f>
        <v>5.2911089338014014E-2</v>
      </c>
      <c r="AB799" s="14">
        <f>F799/(detalle!$D$2*1000000)</f>
        <v>3.9925116684711738E-4</v>
      </c>
      <c r="AC799" s="31">
        <f>0/585</f>
        <v>0</v>
      </c>
      <c r="AD799" s="31">
        <f>6/2373</f>
        <v>2.5284450063211127E-3</v>
      </c>
      <c r="AE799" s="31">
        <f t="shared" si="1509"/>
        <v>0</v>
      </c>
      <c r="AF799" s="22">
        <f t="shared" si="1538"/>
        <v>0</v>
      </c>
      <c r="AG799" s="12">
        <v>7209502</v>
      </c>
      <c r="AH799" s="12">
        <v>5965611</v>
      </c>
      <c r="AI799" s="12">
        <v>2329672</v>
      </c>
      <c r="AJ799" s="23">
        <f>AK799-AK798</f>
        <v>616</v>
      </c>
      <c r="AK799" s="23">
        <f>AG799+AH799+AI799</f>
        <v>15504785</v>
      </c>
      <c r="AL799" s="28">
        <f>AK799/detalle!$D$2</f>
        <v>1414603.1770940775</v>
      </c>
    </row>
    <row r="800" spans="1:38">
      <c r="A800" s="12">
        <v>799</v>
      </c>
      <c r="B800" s="19">
        <v>44689</v>
      </c>
      <c r="C800" s="12">
        <v>781</v>
      </c>
      <c r="D800" s="23">
        <f t="shared" si="1527"/>
        <v>87</v>
      </c>
      <c r="E800" s="12">
        <v>580020</v>
      </c>
      <c r="F800" s="12">
        <v>4376</v>
      </c>
      <c r="G800" s="12">
        <v>575175</v>
      </c>
      <c r="H800" s="23">
        <f t="shared" si="1528"/>
        <v>469</v>
      </c>
      <c r="I800" s="23">
        <f t="shared" si="1529"/>
        <v>2217</v>
      </c>
      <c r="J800" s="12">
        <v>3296116</v>
      </c>
      <c r="K800" s="23">
        <f t="shared" si="1530"/>
        <v>2716096</v>
      </c>
      <c r="L800" s="23">
        <f t="shared" si="1531"/>
        <v>31</v>
      </c>
      <c r="M800" s="14">
        <f t="shared" si="1532"/>
        <v>7.5445674287093548E-3</v>
      </c>
      <c r="N800" s="14">
        <f t="shared" si="1533"/>
        <v>3.9242219215155617E-2</v>
      </c>
      <c r="O800" s="24"/>
      <c r="P800" s="12"/>
      <c r="Q800" s="12"/>
      <c r="R800" s="23">
        <f t="shared" si="1534"/>
        <v>579551</v>
      </c>
      <c r="S800" s="25">
        <f>(((H800+R800)/(H799+R799))-1)+detalle!$D$1</f>
        <v>7.1578588758159506E-2</v>
      </c>
      <c r="T800" s="25">
        <f t="shared" si="1535"/>
        <v>1.0021002426142331</v>
      </c>
      <c r="U800" s="10">
        <f t="shared" si="1536"/>
        <v>0.99164683976414603</v>
      </c>
      <c r="V800" s="21">
        <f t="shared" si="1537"/>
        <v>131.43852833638024</v>
      </c>
      <c r="W800" s="15">
        <f>J800/detalle!$D$2</f>
        <v>300726.2703527087</v>
      </c>
      <c r="X800" s="15">
        <f>E800/detalle!$D$2</f>
        <v>52919.026918342097</v>
      </c>
      <c r="Y800" s="15">
        <f>F800/detalle!$D$2</f>
        <v>399.25116684711736</v>
      </c>
      <c r="AA800" s="14">
        <f>E800/(detalle!$D$2*1000000)</f>
        <v>5.2919026918342098E-2</v>
      </c>
      <c r="AB800" s="14">
        <f>F800/(detalle!$D$2*1000000)</f>
        <v>3.9925116684711738E-4</v>
      </c>
      <c r="AC800" s="31">
        <f>0/585</f>
        <v>0</v>
      </c>
      <c r="AD800" s="31">
        <f>6/2373</f>
        <v>2.5284450063211127E-3</v>
      </c>
      <c r="AE800" s="31">
        <f t="shared" si="1509"/>
        <v>0</v>
      </c>
      <c r="AF800" s="22">
        <f t="shared" si="1538"/>
        <v>0</v>
      </c>
      <c r="AG800" s="12">
        <v>7209639</v>
      </c>
      <c r="AH800" s="12">
        <v>5965763</v>
      </c>
      <c r="AI800" s="12">
        <v>2329811</v>
      </c>
      <c r="AJ800" s="23">
        <f t="shared" ref="AJ800" si="1539">AK800-AK799</f>
        <v>428</v>
      </c>
      <c r="AK800" s="23">
        <f t="shared" si="1452"/>
        <v>15505213</v>
      </c>
      <c r="AL800" s="28">
        <f>AK800/detalle!$D$2</f>
        <v>1414642.2263398294</v>
      </c>
    </row>
    <row r="801" spans="1:38">
      <c r="A801" s="12">
        <v>800</v>
      </c>
      <c r="B801" s="19">
        <v>44690</v>
      </c>
      <c r="C801" s="12">
        <v>782</v>
      </c>
      <c r="D801" s="23">
        <f t="shared" ref="D801:D804" si="1540">E801-E800</f>
        <v>79</v>
      </c>
      <c r="E801" s="12">
        <v>580099</v>
      </c>
      <c r="F801" s="12">
        <v>4376</v>
      </c>
      <c r="G801" s="12">
        <v>575231</v>
      </c>
      <c r="H801" s="23">
        <f t="shared" ref="H801:H804" si="1541">E801-F801-G801</f>
        <v>492</v>
      </c>
      <c r="I801" s="23">
        <f t="shared" ref="I801:I804" si="1542">J801-J800</f>
        <v>2275</v>
      </c>
      <c r="J801" s="12">
        <v>3298391</v>
      </c>
      <c r="K801" s="23">
        <f t="shared" ref="K801:K804" si="1543">J801-E801</f>
        <v>2718292</v>
      </c>
      <c r="L801" s="23">
        <f t="shared" ref="L801:L804" si="1544">G801-G800</f>
        <v>56</v>
      </c>
      <c r="M801" s="14">
        <f t="shared" ref="M801:M804" si="1545">F801/E801</f>
        <v>7.5435399819685951E-3</v>
      </c>
      <c r="N801" s="14">
        <f t="shared" ref="N801:N804" si="1546">D801/I801</f>
        <v>3.4725274725274723E-2</v>
      </c>
      <c r="O801" s="24"/>
      <c r="P801" s="12"/>
      <c r="Q801" s="12"/>
      <c r="R801" s="23">
        <f t="shared" ref="R801:R804" si="1547">F801+G801</f>
        <v>579607</v>
      </c>
      <c r="S801" s="25">
        <f>(((H801+R801)/(H800+R800))-1)+detalle!$D$1</f>
        <v>7.1564773628495476E-2</v>
      </c>
      <c r="T801" s="25">
        <f t="shared" ref="T801:T804" si="1548">S801*14</f>
        <v>1.0019068307989367</v>
      </c>
      <c r="U801" s="10">
        <f t="shared" ref="U801:U804" si="1549">G801/E801</f>
        <v>0.99160832892316653</v>
      </c>
      <c r="V801" s="21">
        <f t="shared" ref="V801:V804" si="1550">G801/F801</f>
        <v>131.45132541133455</v>
      </c>
      <c r="W801" s="15">
        <f>J801/detalle!$D$2</f>
        <v>300933.83351646032</v>
      </c>
      <c r="X801" s="15">
        <f>E801/detalle!$D$2</f>
        <v>52926.234606226222</v>
      </c>
      <c r="Y801" s="15">
        <f>F801/detalle!$D$2</f>
        <v>399.25116684711736</v>
      </c>
      <c r="AA801" s="14">
        <f>E801/(detalle!$D$2*1000000)</f>
        <v>5.2926234606226218E-2</v>
      </c>
      <c r="AB801" s="14">
        <f>F801/(detalle!$D$2*1000000)</f>
        <v>3.9925116684711738E-4</v>
      </c>
      <c r="AC801" s="31">
        <f>1/585</f>
        <v>1.7094017094017094E-3</v>
      </c>
      <c r="AD801" s="31">
        <f>4/2373</f>
        <v>1.6856300042140751E-3</v>
      </c>
      <c r="AE801" s="31">
        <f t="shared" si="1509"/>
        <v>0</v>
      </c>
      <c r="AF801" s="22">
        <f t="shared" ref="AF801:AF804" si="1551">F801-F800</f>
        <v>0</v>
      </c>
      <c r="AG801" s="12">
        <v>7210084</v>
      </c>
      <c r="AH801" s="12">
        <v>5966520</v>
      </c>
      <c r="AI801" s="12">
        <v>2330450</v>
      </c>
      <c r="AJ801" s="23">
        <f t="shared" ref="AJ801:AJ804" si="1552">AK801-AK800</f>
        <v>1841</v>
      </c>
      <c r="AK801" s="23">
        <f t="shared" ref="AK801:AK804" si="1553">AG801+AH801+AI801</f>
        <v>15507054</v>
      </c>
      <c r="AL801" s="28">
        <f>AK801/detalle!$D$2</f>
        <v>1414810.1928384961</v>
      </c>
    </row>
    <row r="802" spans="1:38">
      <c r="A802" s="12">
        <v>801</v>
      </c>
      <c r="B802" s="19">
        <v>44691</v>
      </c>
      <c r="C802" s="12">
        <v>783</v>
      </c>
      <c r="D802" s="23">
        <f t="shared" si="1540"/>
        <v>102</v>
      </c>
      <c r="E802" s="12">
        <v>580201</v>
      </c>
      <c r="F802" s="12">
        <v>4376</v>
      </c>
      <c r="G802" s="12">
        <v>575302</v>
      </c>
      <c r="H802" s="23">
        <f t="shared" si="1541"/>
        <v>523</v>
      </c>
      <c r="I802" s="23">
        <f t="shared" si="1542"/>
        <v>2583</v>
      </c>
      <c r="J802" s="12">
        <v>3300974</v>
      </c>
      <c r="K802" s="23">
        <f t="shared" si="1543"/>
        <v>2720773</v>
      </c>
      <c r="L802" s="23">
        <f t="shared" si="1544"/>
        <v>71</v>
      </c>
      <c r="M802" s="14">
        <f t="shared" si="1545"/>
        <v>7.542213819004104E-3</v>
      </c>
      <c r="N802" s="14">
        <f t="shared" si="1546"/>
        <v>3.9488966318234613E-2</v>
      </c>
      <c r="O802" s="24"/>
      <c r="P802" s="12"/>
      <c r="Q802" s="12"/>
      <c r="R802" s="23">
        <f t="shared" si="1547"/>
        <v>579678</v>
      </c>
      <c r="S802" s="25">
        <f>(((H802+R802)/(H801+R801))-1)+detalle!$D$1</f>
        <v>7.1604403484823803E-2</v>
      </c>
      <c r="T802" s="25">
        <f t="shared" si="1548"/>
        <v>1.0024616487875333</v>
      </c>
      <c r="U802" s="10">
        <f t="shared" si="1549"/>
        <v>0.99155637442886169</v>
      </c>
      <c r="V802" s="21">
        <f t="shared" si="1550"/>
        <v>131.46755027422304</v>
      </c>
      <c r="W802" s="15">
        <f>J802/detalle!$D$2</f>
        <v>301169.49753930449</v>
      </c>
      <c r="X802" s="15">
        <f>E802/detalle!$D$2</f>
        <v>52935.540734886737</v>
      </c>
      <c r="Y802" s="15">
        <f>F802/detalle!$D$2</f>
        <v>399.25116684711736</v>
      </c>
      <c r="AA802" s="14">
        <f>E802/(detalle!$D$2*1000000)</f>
        <v>5.2935540734886731E-2</v>
      </c>
      <c r="AB802" s="14">
        <f>F802/(detalle!$D$2*1000000)</f>
        <v>3.9925116684711738E-4</v>
      </c>
      <c r="AC802" s="31">
        <f>2/585</f>
        <v>3.4188034188034188E-3</v>
      </c>
      <c r="AD802" s="31">
        <f>4/2373</f>
        <v>1.6856300042140751E-3</v>
      </c>
      <c r="AE802" s="31">
        <f t="shared" si="1509"/>
        <v>0</v>
      </c>
      <c r="AF802" s="22">
        <f t="shared" si="1551"/>
        <v>0</v>
      </c>
      <c r="AG802" s="12">
        <v>7210579</v>
      </c>
      <c r="AH802" s="12">
        <v>5967509</v>
      </c>
      <c r="AI802" s="12">
        <v>2331128</v>
      </c>
      <c r="AJ802" s="23">
        <f t="shared" si="1552"/>
        <v>2162</v>
      </c>
      <c r="AK802" s="23">
        <f t="shared" si="1553"/>
        <v>15509216</v>
      </c>
      <c r="AL802" s="28">
        <f>AK802/detalle!$D$2</f>
        <v>1415007.4462714768</v>
      </c>
    </row>
    <row r="803" spans="1:38">
      <c r="A803" s="12">
        <v>802</v>
      </c>
      <c r="B803" s="19">
        <v>44692</v>
      </c>
      <c r="C803" s="12">
        <v>784</v>
      </c>
      <c r="D803" s="23">
        <f t="shared" si="1540"/>
        <v>72</v>
      </c>
      <c r="E803" s="12">
        <v>580273</v>
      </c>
      <c r="F803" s="12">
        <v>4376</v>
      </c>
      <c r="G803" s="12">
        <v>575302</v>
      </c>
      <c r="H803" s="23">
        <f t="shared" si="1541"/>
        <v>595</v>
      </c>
      <c r="I803" s="23">
        <f t="shared" si="1542"/>
        <v>1841</v>
      </c>
      <c r="J803" s="12">
        <v>3302815</v>
      </c>
      <c r="K803" s="23">
        <f t="shared" si="1543"/>
        <v>2722542</v>
      </c>
      <c r="L803" s="23">
        <f t="shared" si="1544"/>
        <v>0</v>
      </c>
      <c r="M803" s="14">
        <f t="shared" si="1545"/>
        <v>7.5412779846727312E-3</v>
      </c>
      <c r="N803" s="14">
        <f t="shared" si="1546"/>
        <v>3.9109179793590437E-2</v>
      </c>
      <c r="O803" s="24"/>
      <c r="P803" s="12"/>
      <c r="Q803" s="12"/>
      <c r="R803" s="23">
        <f t="shared" si="1547"/>
        <v>579678</v>
      </c>
      <c r="S803" s="25">
        <f>(((H803+R803)/(H802+R802))-1)+detalle!$D$1</f>
        <v>7.1552666354295386E-2</v>
      </c>
      <c r="T803" s="25">
        <f t="shared" si="1548"/>
        <v>1.0017373289601355</v>
      </c>
      <c r="U803" s="10">
        <f t="shared" si="1549"/>
        <v>0.99143334258185367</v>
      </c>
      <c r="V803" s="21">
        <f t="shared" si="1550"/>
        <v>131.46755027422304</v>
      </c>
      <c r="W803" s="15">
        <f>J803/detalle!$D$2</f>
        <v>301337.46403797122</v>
      </c>
      <c r="X803" s="15">
        <f>E803/detalle!$D$2</f>
        <v>52942.109766882393</v>
      </c>
      <c r="Y803" s="15">
        <f>F803/detalle!$D$2</f>
        <v>399.25116684711736</v>
      </c>
      <c r="AA803" s="14">
        <f>E803/(detalle!$D$2*1000000)</f>
        <v>5.2942109766882392E-2</v>
      </c>
      <c r="AB803" s="14">
        <f>F803/(detalle!$D$2*1000000)</f>
        <v>3.9925116684711738E-4</v>
      </c>
      <c r="AC803" s="31">
        <f>1/585</f>
        <v>1.7094017094017094E-3</v>
      </c>
      <c r="AD803" s="31">
        <f>7/2373</f>
        <v>2.9498525073746312E-3</v>
      </c>
      <c r="AE803" s="31">
        <f>1/469</f>
        <v>2.1321961620469083E-3</v>
      </c>
      <c r="AF803" s="22">
        <f t="shared" si="1551"/>
        <v>0</v>
      </c>
      <c r="AG803" s="12">
        <v>7211053</v>
      </c>
      <c r="AH803" s="12">
        <v>5968453</v>
      </c>
      <c r="AI803" s="12">
        <v>2331941</v>
      </c>
      <c r="AJ803" s="23">
        <f t="shared" si="1552"/>
        <v>2231</v>
      </c>
      <c r="AK803" s="23">
        <f t="shared" si="1553"/>
        <v>15511447</v>
      </c>
      <c r="AL803" s="28">
        <f>AK803/detalle!$D$2</f>
        <v>1415210.9950267866</v>
      </c>
    </row>
    <row r="804" spans="1:38">
      <c r="A804" s="12">
        <v>803</v>
      </c>
      <c r="B804" s="19">
        <v>44693</v>
      </c>
      <c r="C804" s="12">
        <v>785</v>
      </c>
      <c r="D804" s="23">
        <f t="shared" si="1540"/>
        <v>63</v>
      </c>
      <c r="E804" s="12">
        <v>580336</v>
      </c>
      <c r="F804" s="12">
        <v>4376</v>
      </c>
      <c r="G804" s="12">
        <v>575485</v>
      </c>
      <c r="H804" s="23">
        <f t="shared" si="1541"/>
        <v>475</v>
      </c>
      <c r="I804" s="23">
        <f t="shared" si="1542"/>
        <v>1643</v>
      </c>
      <c r="J804" s="12">
        <v>3304458</v>
      </c>
      <c r="K804" s="23">
        <f t="shared" si="1543"/>
        <v>2724122</v>
      </c>
      <c r="L804" s="23">
        <f t="shared" si="1544"/>
        <v>183</v>
      </c>
      <c r="M804" s="14">
        <f t="shared" si="1545"/>
        <v>7.5404593201180009E-3</v>
      </c>
      <c r="N804" s="14">
        <f t="shared" si="1546"/>
        <v>3.8344491783323192E-2</v>
      </c>
      <c r="O804" s="24"/>
      <c r="P804" s="12"/>
      <c r="Q804" s="12"/>
      <c r="R804" s="23">
        <f t="shared" si="1547"/>
        <v>579861</v>
      </c>
      <c r="S804" s="25">
        <f>(((H804+R804)/(H803+R803))-1)+detalle!$D$1</f>
        <v>7.153714101564515E-2</v>
      </c>
      <c r="T804" s="25">
        <f t="shared" si="1548"/>
        <v>1.0015199742190322</v>
      </c>
      <c r="U804" s="10">
        <f t="shared" si="1549"/>
        <v>0.99164104932315078</v>
      </c>
      <c r="V804" s="21">
        <f t="shared" si="1550"/>
        <v>131.50936928702012</v>
      </c>
      <c r="W804" s="15">
        <f>J804/detalle!$D$2</f>
        <v>301487.36569864984</v>
      </c>
      <c r="X804" s="15">
        <f>E804/detalle!$D$2</f>
        <v>52947.857669878591</v>
      </c>
      <c r="Y804" s="15">
        <f>F804/detalle!$D$2</f>
        <v>399.25116684711736</v>
      </c>
      <c r="AA804" s="14">
        <f>E804/(detalle!$D$2*1000000)</f>
        <v>5.2947857669878591E-2</v>
      </c>
      <c r="AB804" s="14">
        <f>F804/(detalle!$D$2*1000000)</f>
        <v>3.9925116684711738E-4</v>
      </c>
      <c r="AC804" s="31">
        <f>1/585</f>
        <v>1.7094017094017094E-3</v>
      </c>
      <c r="AD804" s="31">
        <f>9/2373</f>
        <v>3.7926675094816687E-3</v>
      </c>
      <c r="AE804" s="31">
        <f>1/469</f>
        <v>2.1321961620469083E-3</v>
      </c>
      <c r="AF804" s="22">
        <f t="shared" si="1551"/>
        <v>0</v>
      </c>
      <c r="AG804" s="12">
        <v>7211537</v>
      </c>
      <c r="AH804" s="12">
        <v>5969284</v>
      </c>
      <c r="AI804" s="12">
        <v>2332621</v>
      </c>
      <c r="AJ804" s="23">
        <f t="shared" si="1552"/>
        <v>1995</v>
      </c>
      <c r="AK804" s="23">
        <f t="shared" si="1553"/>
        <v>15513442</v>
      </c>
      <c r="AL804" s="28">
        <f>AK804/detalle!$D$2</f>
        <v>1415393.0119549995</v>
      </c>
    </row>
    <row r="805" spans="1:38">
      <c r="A805" s="12">
        <v>804</v>
      </c>
      <c r="B805" s="19">
        <v>44694</v>
      </c>
      <c r="C805" s="12">
        <v>786</v>
      </c>
      <c r="D805" s="23">
        <f t="shared" ref="D805:D807" si="1554">E805-E804</f>
        <v>76</v>
      </c>
      <c r="E805" s="12">
        <v>580412</v>
      </c>
      <c r="F805" s="12">
        <v>4376</v>
      </c>
      <c r="G805" s="12">
        <v>575583</v>
      </c>
      <c r="H805" s="23">
        <f t="shared" ref="H805:H807" si="1555">E805-F805-G805</f>
        <v>453</v>
      </c>
      <c r="I805" s="23">
        <f t="shared" ref="I805:I807" si="1556">J805-J804</f>
        <v>1371</v>
      </c>
      <c r="J805" s="12">
        <v>3305829</v>
      </c>
      <c r="K805" s="23">
        <f t="shared" ref="K805:K807" si="1557">J805-E805</f>
        <v>2725417</v>
      </c>
      <c r="L805" s="23">
        <f t="shared" ref="L805:L807" si="1558">G805-G804</f>
        <v>98</v>
      </c>
      <c r="M805" s="14">
        <f t="shared" ref="M805:M807" si="1559">F805/E805</f>
        <v>7.5394719612964581E-3</v>
      </c>
      <c r="N805" s="14">
        <f t="shared" ref="N805:N807" si="1560">D805/I805</f>
        <v>5.5433989788475566E-2</v>
      </c>
      <c r="O805" s="24"/>
      <c r="P805" s="12"/>
      <c r="Q805" s="12"/>
      <c r="R805" s="23">
        <f t="shared" ref="R805:R807" si="1561">F805+G805</f>
        <v>579959</v>
      </c>
      <c r="S805" s="25">
        <f>(((H805+R805)/(H804+R804))-1)+detalle!$D$1</f>
        <v>7.155953004564844E-2</v>
      </c>
      <c r="T805" s="25">
        <f t="shared" ref="T805:T807" si="1562">S805*14</f>
        <v>1.0018334206390782</v>
      </c>
      <c r="U805" s="10">
        <f t="shared" ref="U805:U807" si="1563">G805/E805</f>
        <v>0.99168004796592768</v>
      </c>
      <c r="V805" s="21">
        <f t="shared" ref="V805:V807" si="1564">G805/F805</f>
        <v>131.53176416819014</v>
      </c>
      <c r="W805" s="15">
        <f>J805/detalle!$D$2</f>
        <v>301612.45101623383</v>
      </c>
      <c r="X805" s="15">
        <f>E805/detalle!$D$2</f>
        <v>52954.79164809623</v>
      </c>
      <c r="Y805" s="15">
        <f>F805/detalle!$D$2</f>
        <v>399.25116684711736</v>
      </c>
      <c r="AA805" s="14">
        <f>E805/(detalle!$D$2*1000000)</f>
        <v>5.2954791648096224E-2</v>
      </c>
      <c r="AB805" s="14">
        <f>F805/(detalle!$D$2*1000000)</f>
        <v>3.9925116684711738E-4</v>
      </c>
      <c r="AC805" s="31">
        <f t="shared" ref="AC805:AC814" si="1565">1/585</f>
        <v>1.7094017094017094E-3</v>
      </c>
      <c r="AD805" s="31">
        <f t="shared" ref="AD805:AD807" si="1566">9/2373</f>
        <v>3.7926675094816687E-3</v>
      </c>
      <c r="AE805" s="31">
        <f>2/469</f>
        <v>4.2643923240938165E-3</v>
      </c>
      <c r="AF805" s="22">
        <f t="shared" ref="AF805:AF807" si="1567">F805-F804</f>
        <v>0</v>
      </c>
      <c r="AG805" s="12">
        <v>7212100</v>
      </c>
      <c r="AH805" s="12">
        <v>5969938</v>
      </c>
      <c r="AI805" s="12">
        <v>2333299</v>
      </c>
      <c r="AJ805" s="23">
        <f t="shared" ref="AJ805:AJ807" si="1568">AK805-AK804</f>
        <v>1895</v>
      </c>
      <c r="AK805" s="23">
        <f t="shared" ref="AK805:AK807" si="1569">AG805+AH805+AI805</f>
        <v>15515337</v>
      </c>
      <c r="AL805" s="28">
        <f>AK805/detalle!$D$2</f>
        <v>1415565.905227663</v>
      </c>
    </row>
    <row r="806" spans="1:38">
      <c r="A806" s="12">
        <v>805</v>
      </c>
      <c r="B806" s="19">
        <v>44695</v>
      </c>
      <c r="C806" s="12">
        <v>787</v>
      </c>
      <c r="D806" s="23">
        <f t="shared" si="1554"/>
        <v>142</v>
      </c>
      <c r="E806" s="12">
        <v>580554</v>
      </c>
      <c r="F806" s="12">
        <v>4376</v>
      </c>
      <c r="G806" s="12">
        <v>575686</v>
      </c>
      <c r="H806" s="23">
        <f t="shared" si="1555"/>
        <v>492</v>
      </c>
      <c r="I806" s="23">
        <f t="shared" si="1556"/>
        <v>2654</v>
      </c>
      <c r="J806" s="12">
        <v>3308483</v>
      </c>
      <c r="K806" s="23">
        <f t="shared" si="1557"/>
        <v>2727929</v>
      </c>
      <c r="L806" s="23">
        <f t="shared" si="1558"/>
        <v>103</v>
      </c>
      <c r="M806" s="14">
        <f t="shared" si="1559"/>
        <v>7.537627852017211E-3</v>
      </c>
      <c r="N806" s="14">
        <f t="shared" si="1560"/>
        <v>5.3504144687264506E-2</v>
      </c>
      <c r="O806" s="24"/>
      <c r="P806" s="12"/>
      <c r="Q806" s="12"/>
      <c r="R806" s="23">
        <f t="shared" si="1561"/>
        <v>580062</v>
      </c>
      <c r="S806" s="25">
        <f>(((H806+R806)/(H805+R805))-1)+detalle!$D$1</f>
        <v>7.167322522621869E-2</v>
      </c>
      <c r="T806" s="25">
        <f t="shared" si="1562"/>
        <v>1.0034251531670617</v>
      </c>
      <c r="U806" s="10">
        <f t="shared" si="1563"/>
        <v>0.99161490576242695</v>
      </c>
      <c r="V806" s="21">
        <f t="shared" si="1564"/>
        <v>131.5553016453382</v>
      </c>
      <c r="W806" s="15">
        <f>J806/detalle!$D$2</f>
        <v>301854.59283451817</v>
      </c>
      <c r="X806" s="15">
        <f>E806/detalle!$D$2</f>
        <v>52967.747238976553</v>
      </c>
      <c r="Y806" s="15">
        <f>F806/detalle!$D$2</f>
        <v>399.25116684711736</v>
      </c>
      <c r="AA806" s="14">
        <f>E806/(detalle!$D$2*1000000)</f>
        <v>5.2967747238976549E-2</v>
      </c>
      <c r="AB806" s="14">
        <f>F806/(detalle!$D$2*1000000)</f>
        <v>3.9925116684711738E-4</v>
      </c>
      <c r="AC806" s="31">
        <f t="shared" si="1565"/>
        <v>1.7094017094017094E-3</v>
      </c>
      <c r="AD806" s="31">
        <f t="shared" si="1566"/>
        <v>3.7926675094816687E-3</v>
      </c>
      <c r="AE806" s="31">
        <f>2/469</f>
        <v>4.2643923240938165E-3</v>
      </c>
      <c r="AF806" s="22">
        <f t="shared" si="1567"/>
        <v>0</v>
      </c>
      <c r="AG806" s="12">
        <v>7212399</v>
      </c>
      <c r="AH806" s="12">
        <v>5970287</v>
      </c>
      <c r="AI806" s="12">
        <v>2333688</v>
      </c>
      <c r="AJ806" s="23">
        <f t="shared" si="1568"/>
        <v>1037</v>
      </c>
      <c r="AK806" s="23">
        <f t="shared" si="1569"/>
        <v>15516374</v>
      </c>
      <c r="AL806" s="28">
        <f>AK806/detalle!$D$2</f>
        <v>1415660.5175357116</v>
      </c>
    </row>
    <row r="807" spans="1:38">
      <c r="A807" s="12">
        <v>806</v>
      </c>
      <c r="B807" s="19">
        <v>44696</v>
      </c>
      <c r="C807" s="12">
        <v>788</v>
      </c>
      <c r="D807" s="23">
        <f t="shared" si="1554"/>
        <v>107</v>
      </c>
      <c r="E807" s="12">
        <v>580661</v>
      </c>
      <c r="F807" s="12">
        <v>4377</v>
      </c>
      <c r="G807" s="12">
        <v>575748</v>
      </c>
      <c r="H807" s="23">
        <f t="shared" si="1555"/>
        <v>536</v>
      </c>
      <c r="I807" s="23">
        <f t="shared" si="1556"/>
        <v>1891</v>
      </c>
      <c r="J807" s="12">
        <v>3310374</v>
      </c>
      <c r="K807" s="23">
        <f t="shared" si="1557"/>
        <v>2729713</v>
      </c>
      <c r="L807" s="23">
        <f t="shared" si="1558"/>
        <v>62</v>
      </c>
      <c r="M807" s="14">
        <f t="shared" si="1559"/>
        <v>7.5379610478403065E-3</v>
      </c>
      <c r="N807" s="14">
        <f t="shared" si="1560"/>
        <v>5.6583818085668959E-2</v>
      </c>
      <c r="O807" s="24"/>
      <c r="P807" s="12"/>
      <c r="Q807" s="12"/>
      <c r="R807" s="23">
        <f t="shared" si="1561"/>
        <v>580125</v>
      </c>
      <c r="S807" s="25">
        <f>(((H807+R807)/(H806+R806))-1)+detalle!$D$1</f>
        <v>7.1612878142503195E-2</v>
      </c>
      <c r="T807" s="25">
        <f t="shared" si="1562"/>
        <v>1.0025802939950448</v>
      </c>
      <c r="U807" s="10">
        <f t="shared" si="1563"/>
        <v>0.99153895302078154</v>
      </c>
      <c r="V807" s="21">
        <f t="shared" si="1564"/>
        <v>131.53941055517478</v>
      </c>
      <c r="W807" s="15">
        <f>J807/detalle!$D$2</f>
        <v>302027.12116095965</v>
      </c>
      <c r="X807" s="15">
        <f>E807/detalle!$D$2</f>
        <v>52977.509550414543</v>
      </c>
      <c r="Y807" s="15">
        <f>F807/detalle!$D$2</f>
        <v>399.3424034026126</v>
      </c>
      <c r="AA807" s="14">
        <f>E807/(detalle!$D$2*1000000)</f>
        <v>5.2977509550414539E-2</v>
      </c>
      <c r="AB807" s="14">
        <f>F807/(detalle!$D$2*1000000)</f>
        <v>3.993424034026126E-4</v>
      </c>
      <c r="AC807" s="31">
        <f t="shared" si="1565"/>
        <v>1.7094017094017094E-3</v>
      </c>
      <c r="AD807" s="31">
        <f t="shared" si="1566"/>
        <v>3.7926675094816687E-3</v>
      </c>
      <c r="AE807" s="31">
        <f>2/469</f>
        <v>4.2643923240938165E-3</v>
      </c>
      <c r="AF807" s="22">
        <f t="shared" si="1567"/>
        <v>1</v>
      </c>
      <c r="AG807" s="12">
        <v>7212536</v>
      </c>
      <c r="AH807" s="12">
        <v>5970491</v>
      </c>
      <c r="AI807" s="12">
        <v>2333883</v>
      </c>
      <c r="AJ807" s="23">
        <f t="shared" si="1568"/>
        <v>536</v>
      </c>
      <c r="AK807" s="23">
        <f t="shared" si="1569"/>
        <v>15516910</v>
      </c>
      <c r="AL807" s="28">
        <f>AK807/detalle!$D$2</f>
        <v>1415709.4203294571</v>
      </c>
    </row>
    <row r="808" spans="1:38">
      <c r="A808" s="12">
        <v>807</v>
      </c>
      <c r="B808" s="19">
        <v>44697</v>
      </c>
      <c r="C808" s="12">
        <v>789</v>
      </c>
      <c r="D808" s="23">
        <f t="shared" ref="D808:D812" si="1570">E808-E807</f>
        <v>130</v>
      </c>
      <c r="E808" s="12">
        <v>580791</v>
      </c>
      <c r="F808" s="12">
        <v>4377</v>
      </c>
      <c r="G808" s="12">
        <v>575869</v>
      </c>
      <c r="H808" s="23">
        <f t="shared" ref="H808:H812" si="1571">E808-F808-G808</f>
        <v>545</v>
      </c>
      <c r="I808" s="23">
        <f t="shared" ref="I808:I812" si="1572">J808-J807</f>
        <v>2353</v>
      </c>
      <c r="J808" s="12">
        <v>3312727</v>
      </c>
      <c r="K808" s="23">
        <f t="shared" ref="K808:K812" si="1573">J808-E808</f>
        <v>2731936</v>
      </c>
      <c r="L808" s="23">
        <f t="shared" ref="L808:L812" si="1574">G808-G807</f>
        <v>121</v>
      </c>
      <c r="M808" s="14">
        <f t="shared" ref="M808:M812" si="1575">F808/E808</f>
        <v>7.5362738058957525E-3</v>
      </c>
      <c r="N808" s="14">
        <f t="shared" ref="N808:N812" si="1576">D808/I808</f>
        <v>5.5248618784530384E-2</v>
      </c>
      <c r="O808" s="24"/>
      <c r="P808" s="12"/>
      <c r="Q808" s="12"/>
      <c r="R808" s="23">
        <f t="shared" ref="R808:R812" si="1577">F808+G808</f>
        <v>580246</v>
      </c>
      <c r="S808" s="25">
        <f>(((H808+R808)/(H807+R807))-1)+detalle!$D$1</f>
        <v>7.1652454210435562E-2</v>
      </c>
      <c r="T808" s="25">
        <f t="shared" ref="T808:T812" si="1578">S808*14</f>
        <v>1.0031343589460979</v>
      </c>
      <c r="U808" s="10">
        <f t="shared" ref="U808:U812" si="1579">G808/E808</f>
        <v>0.99152535077162007</v>
      </c>
      <c r="V808" s="21">
        <f t="shared" ref="V808:V812" si="1580">G808/F808</f>
        <v>131.56705506054377</v>
      </c>
      <c r="W808" s="15">
        <f>J808/detalle!$D$2</f>
        <v>302241.80077603989</v>
      </c>
      <c r="X808" s="15">
        <f>E808/detalle!$D$2</f>
        <v>52989.370302628922</v>
      </c>
      <c r="Y808" s="15">
        <f>F808/detalle!$D$2</f>
        <v>399.3424034026126</v>
      </c>
      <c r="AA808" s="14">
        <f>E808/(detalle!$D$2*1000000)</f>
        <v>5.2989370302628916E-2</v>
      </c>
      <c r="AB808" s="14">
        <f>F808/(detalle!$D$2*1000000)</f>
        <v>3.993424034026126E-4</v>
      </c>
      <c r="AC808" s="31">
        <f t="shared" si="1565"/>
        <v>1.7094017094017094E-3</v>
      </c>
      <c r="AD808" s="31">
        <f>18/2373</f>
        <v>7.5853350189633373E-3</v>
      </c>
      <c r="AE808" s="31">
        <f>1/469</f>
        <v>2.1321961620469083E-3</v>
      </c>
      <c r="AF808" s="22">
        <f t="shared" ref="AF808:AF812" si="1581">F808-F807</f>
        <v>0</v>
      </c>
      <c r="AG808" s="12">
        <v>7213012</v>
      </c>
      <c r="AH808" s="12">
        <v>5971168</v>
      </c>
      <c r="AI808" s="12">
        <v>2334602</v>
      </c>
      <c r="AJ808" s="23">
        <f t="shared" ref="AJ808:AJ812" si="1582">AK808-AK807</f>
        <v>1872</v>
      </c>
      <c r="AK808" s="23">
        <f t="shared" ref="AK808:AK812" si="1583">AG808+AH808+AI808</f>
        <v>15518782</v>
      </c>
      <c r="AL808" s="28">
        <f>AK808/detalle!$D$2</f>
        <v>1415880.215161344</v>
      </c>
    </row>
    <row r="809" spans="1:38">
      <c r="A809" s="12">
        <v>808</v>
      </c>
      <c r="B809" s="19">
        <v>44698</v>
      </c>
      <c r="C809" s="12">
        <v>790</v>
      </c>
      <c r="D809" s="23">
        <f t="shared" si="1570"/>
        <v>163</v>
      </c>
      <c r="E809" s="12">
        <v>580954</v>
      </c>
      <c r="F809" s="12">
        <v>4377</v>
      </c>
      <c r="G809" s="12">
        <v>575949</v>
      </c>
      <c r="H809" s="23">
        <f t="shared" si="1571"/>
        <v>628</v>
      </c>
      <c r="I809" s="23">
        <f t="shared" si="1572"/>
        <v>2882</v>
      </c>
      <c r="J809" s="12">
        <v>3315609</v>
      </c>
      <c r="K809" s="23">
        <f t="shared" si="1573"/>
        <v>2734655</v>
      </c>
      <c r="L809" s="23">
        <f t="shared" si="1574"/>
        <v>80</v>
      </c>
      <c r="M809" s="14">
        <f t="shared" si="1575"/>
        <v>7.5341593310313728E-3</v>
      </c>
      <c r="N809" s="14">
        <f t="shared" si="1576"/>
        <v>5.6557945870922971E-2</v>
      </c>
      <c r="O809" s="24"/>
      <c r="P809" s="12"/>
      <c r="Q809" s="12"/>
      <c r="R809" s="23">
        <f t="shared" si="1577"/>
        <v>580326</v>
      </c>
      <c r="S809" s="25">
        <f>(((H809+R809)/(H808+R808))-1)+detalle!$D$1</f>
        <v>7.1709223160433738E-2</v>
      </c>
      <c r="T809" s="25">
        <f t="shared" si="1578"/>
        <v>1.0039291242460724</v>
      </c>
      <c r="U809" s="10">
        <f t="shared" si="1579"/>
        <v>0.99138486007498017</v>
      </c>
      <c r="V809" s="21">
        <f t="shared" si="1580"/>
        <v>131.58533241946537</v>
      </c>
      <c r="W809" s="15">
        <f>J809/detalle!$D$2</f>
        <v>302504.74452897714</v>
      </c>
      <c r="X809" s="15">
        <f>E809/detalle!$D$2</f>
        <v>53004.24186117464</v>
      </c>
      <c r="Y809" s="15">
        <f>F809/detalle!$D$2</f>
        <v>399.3424034026126</v>
      </c>
      <c r="AA809" s="14">
        <f>E809/(detalle!$D$2*1000000)</f>
        <v>5.3004241861174639E-2</v>
      </c>
      <c r="AB809" s="14">
        <f>F809/(detalle!$D$2*1000000)</f>
        <v>3.993424034026126E-4</v>
      </c>
      <c r="AC809" s="31">
        <f>0/585</f>
        <v>0</v>
      </c>
      <c r="AD809" s="31">
        <f>30/2373</f>
        <v>1.2642225031605562E-2</v>
      </c>
      <c r="AE809" s="31">
        <f t="shared" ref="AE809:AE822" si="1584">0/469</f>
        <v>0</v>
      </c>
      <c r="AF809" s="22">
        <f t="shared" si="1581"/>
        <v>0</v>
      </c>
      <c r="AG809" s="12">
        <v>7213563</v>
      </c>
      <c r="AH809" s="12">
        <v>5971960</v>
      </c>
      <c r="AI809" s="12">
        <v>2335504</v>
      </c>
      <c r="AJ809" s="23">
        <f t="shared" si="1582"/>
        <v>2245</v>
      </c>
      <c r="AK809" s="23">
        <f t="shared" si="1583"/>
        <v>15521027</v>
      </c>
      <c r="AL809" s="28">
        <f>AK809/detalle!$D$2</f>
        <v>1416085.0412284308</v>
      </c>
    </row>
    <row r="810" spans="1:38">
      <c r="A810" s="12">
        <v>809</v>
      </c>
      <c r="B810" s="19">
        <v>44699</v>
      </c>
      <c r="C810" s="12">
        <v>791</v>
      </c>
      <c r="D810" s="23">
        <f t="shared" si="1570"/>
        <v>90</v>
      </c>
      <c r="E810" s="12">
        <v>581044</v>
      </c>
      <c r="F810" s="12">
        <v>4377</v>
      </c>
      <c r="G810" s="12">
        <v>576006</v>
      </c>
      <c r="H810" s="23">
        <f t="shared" si="1571"/>
        <v>661</v>
      </c>
      <c r="I810" s="23">
        <f t="shared" si="1572"/>
        <v>1529</v>
      </c>
      <c r="J810" s="12">
        <v>3317138</v>
      </c>
      <c r="K810" s="23">
        <f t="shared" si="1573"/>
        <v>2736094</v>
      </c>
      <c r="L810" s="23">
        <f t="shared" si="1574"/>
        <v>57</v>
      </c>
      <c r="M810" s="14">
        <f t="shared" si="1575"/>
        <v>7.5329923379296579E-3</v>
      </c>
      <c r="N810" s="14">
        <f t="shared" si="1576"/>
        <v>5.8862001308044476E-2</v>
      </c>
      <c r="O810" s="24"/>
      <c r="P810" s="12"/>
      <c r="Q810" s="12"/>
      <c r="R810" s="23">
        <f t="shared" si="1577"/>
        <v>580383</v>
      </c>
      <c r="S810" s="25">
        <f>(((H810+R810)/(H809+R809))-1)+detalle!$D$1</f>
        <v>7.1583489029620778E-2</v>
      </c>
      <c r="T810" s="25">
        <f t="shared" si="1578"/>
        <v>1.002168846414691</v>
      </c>
      <c r="U810" s="10">
        <f t="shared" si="1579"/>
        <v>0.99132940018311866</v>
      </c>
      <c r="V810" s="21">
        <f t="shared" si="1580"/>
        <v>131.59835503769705</v>
      </c>
      <c r="W810" s="15">
        <f>J810/detalle!$D$2</f>
        <v>302644.24522232934</v>
      </c>
      <c r="X810" s="15">
        <f>E810/detalle!$D$2</f>
        <v>53012.453151169211</v>
      </c>
      <c r="Y810" s="15">
        <f>F810/detalle!$D$2</f>
        <v>399.3424034026126</v>
      </c>
      <c r="AA810" s="14">
        <f>E810/(detalle!$D$2*1000000)</f>
        <v>5.301245315116921E-2</v>
      </c>
      <c r="AB810" s="14">
        <f>F810/(detalle!$D$2*1000000)</f>
        <v>3.993424034026126E-4</v>
      </c>
      <c r="AC810" s="31">
        <f t="shared" si="1565"/>
        <v>1.7094017094017094E-3</v>
      </c>
      <c r="AD810" s="31">
        <f>31/2373</f>
        <v>1.3063632532659082E-2</v>
      </c>
      <c r="AE810" s="31">
        <f t="shared" si="1584"/>
        <v>0</v>
      </c>
      <c r="AF810" s="22">
        <f t="shared" si="1581"/>
        <v>0</v>
      </c>
      <c r="AG810" s="12">
        <v>7214167</v>
      </c>
      <c r="AH810" s="12">
        <v>5972700</v>
      </c>
      <c r="AI810" s="12">
        <v>2336600</v>
      </c>
      <c r="AJ810" s="23">
        <f t="shared" si="1582"/>
        <v>2440</v>
      </c>
      <c r="AK810" s="23">
        <f t="shared" si="1583"/>
        <v>15523467</v>
      </c>
      <c r="AL810" s="28">
        <f>AK810/detalle!$D$2</f>
        <v>1416307.6584238394</v>
      </c>
    </row>
    <row r="811" spans="1:38">
      <c r="A811" s="12">
        <v>810</v>
      </c>
      <c r="B811" s="19">
        <v>44700</v>
      </c>
      <c r="C811" s="12">
        <v>792</v>
      </c>
      <c r="D811" s="23">
        <f t="shared" si="1570"/>
        <v>109</v>
      </c>
      <c r="E811" s="12">
        <v>581153</v>
      </c>
      <c r="F811" s="12">
        <v>4377</v>
      </c>
      <c r="G811" s="12">
        <v>576147</v>
      </c>
      <c r="H811" s="23">
        <f t="shared" si="1571"/>
        <v>629</v>
      </c>
      <c r="I811" s="23">
        <f t="shared" si="1572"/>
        <v>1857</v>
      </c>
      <c r="J811" s="12">
        <v>3318995</v>
      </c>
      <c r="K811" s="23">
        <f t="shared" si="1573"/>
        <v>2737842</v>
      </c>
      <c r="L811" s="23">
        <f t="shared" si="1574"/>
        <v>141</v>
      </c>
      <c r="M811" s="14">
        <f t="shared" si="1575"/>
        <v>7.5315794635836004E-3</v>
      </c>
      <c r="N811" s="14">
        <f t="shared" si="1576"/>
        <v>5.8696822832525579E-2</v>
      </c>
      <c r="O811" s="24"/>
      <c r="P811" s="12"/>
      <c r="Q811" s="12"/>
      <c r="R811" s="23">
        <f t="shared" si="1577"/>
        <v>580524</v>
      </c>
      <c r="S811" s="25">
        <f>(((H811+R811)/(H810+R810))-1)+detalle!$D$1</f>
        <v>7.1616164794994691E-2</v>
      </c>
      <c r="T811" s="25">
        <f t="shared" si="1578"/>
        <v>1.0026263071299257</v>
      </c>
      <c r="U811" s="10">
        <f t="shared" si="1579"/>
        <v>0.99138608937749606</v>
      </c>
      <c r="V811" s="21">
        <f t="shared" si="1580"/>
        <v>131.63056888279644</v>
      </c>
      <c r="W811" s="15">
        <f>J811/detalle!$D$2</f>
        <v>302813.67150588398</v>
      </c>
      <c r="X811" s="15">
        <f>E811/detalle!$D$2</f>
        <v>53022.397935718189</v>
      </c>
      <c r="Y811" s="15">
        <f>F811/detalle!$D$2</f>
        <v>399.3424034026126</v>
      </c>
      <c r="AA811" s="14">
        <f>E811/(detalle!$D$2*1000000)</f>
        <v>5.3022397935718189E-2</v>
      </c>
      <c r="AB811" s="14">
        <f>F811/(detalle!$D$2*1000000)</f>
        <v>3.993424034026126E-4</v>
      </c>
      <c r="AC811" s="31">
        <f t="shared" si="1565"/>
        <v>1.7094017094017094E-3</v>
      </c>
      <c r="AD811" s="31">
        <f>31/2373</f>
        <v>1.3063632532659082E-2</v>
      </c>
      <c r="AE811" s="31">
        <f t="shared" si="1584"/>
        <v>0</v>
      </c>
      <c r="AF811" s="22">
        <f t="shared" si="1581"/>
        <v>0</v>
      </c>
      <c r="AG811" s="12">
        <v>7214928</v>
      </c>
      <c r="AH811" s="12">
        <v>5973542</v>
      </c>
      <c r="AI811" s="12">
        <v>2337709</v>
      </c>
      <c r="AJ811" s="23">
        <f t="shared" si="1582"/>
        <v>2712</v>
      </c>
      <c r="AK811" s="23">
        <f t="shared" si="1583"/>
        <v>15526179</v>
      </c>
      <c r="AL811" s="28">
        <f>AK811/detalle!$D$2</f>
        <v>1416555.0919623424</v>
      </c>
    </row>
    <row r="812" spans="1:38">
      <c r="A812" s="12">
        <v>811</v>
      </c>
      <c r="B812" s="19">
        <v>44701</v>
      </c>
      <c r="C812" s="12">
        <v>793</v>
      </c>
      <c r="D812" s="23">
        <f t="shared" si="1570"/>
        <v>97</v>
      </c>
      <c r="E812" s="12">
        <v>581250</v>
      </c>
      <c r="F812" s="12">
        <v>4377</v>
      </c>
      <c r="G812" s="12">
        <v>576233</v>
      </c>
      <c r="H812" s="23">
        <f t="shared" si="1571"/>
        <v>640</v>
      </c>
      <c r="I812" s="23">
        <f t="shared" si="1572"/>
        <v>1874</v>
      </c>
      <c r="J812" s="12">
        <v>3320869</v>
      </c>
      <c r="K812" s="23">
        <f t="shared" si="1573"/>
        <v>2739619</v>
      </c>
      <c r="L812" s="23">
        <f t="shared" si="1574"/>
        <v>86</v>
      </c>
      <c r="M812" s="14">
        <f t="shared" si="1575"/>
        <v>7.5303225806451612E-3</v>
      </c>
      <c r="N812" s="14">
        <f t="shared" si="1576"/>
        <v>5.176093916755603E-2</v>
      </c>
      <c r="O812" s="24"/>
      <c r="P812" s="12"/>
      <c r="Q812" s="12"/>
      <c r="R812" s="23">
        <f t="shared" si="1577"/>
        <v>580610</v>
      </c>
      <c r="S812" s="25">
        <f>(((H812+R812)/(H811+R811))-1)+detalle!$D$1</f>
        <v>7.1595481003158518E-2</v>
      </c>
      <c r="T812" s="25">
        <f t="shared" si="1578"/>
        <v>1.0023367340442193</v>
      </c>
      <c r="U812" s="10">
        <f t="shared" si="1579"/>
        <v>0.99136860215053768</v>
      </c>
      <c r="V812" s="21">
        <f t="shared" si="1580"/>
        <v>131.65021704363718</v>
      </c>
      <c r="W812" s="15">
        <f>J812/detalle!$D$2</f>
        <v>302984.64881088206</v>
      </c>
      <c r="X812" s="15">
        <f>E812/detalle!$D$2</f>
        <v>53031.24788160123</v>
      </c>
      <c r="Y812" s="15">
        <f>F812/detalle!$D$2</f>
        <v>399.3424034026126</v>
      </c>
      <c r="AA812" s="14">
        <f>E812/(detalle!$D$2*1000000)</f>
        <v>5.3031247881601226E-2</v>
      </c>
      <c r="AB812" s="14">
        <f>F812/(detalle!$D$2*1000000)</f>
        <v>3.993424034026126E-4</v>
      </c>
      <c r="AC812" s="31">
        <f t="shared" si="1565"/>
        <v>1.7094017094017094E-3</v>
      </c>
      <c r="AD812" s="31">
        <f>31/2373</f>
        <v>1.3063632532659082E-2</v>
      </c>
      <c r="AE812" s="31">
        <f t="shared" si="1584"/>
        <v>0</v>
      </c>
      <c r="AF812" s="22">
        <f t="shared" si="1581"/>
        <v>0</v>
      </c>
      <c r="AG812" s="12">
        <v>7215707</v>
      </c>
      <c r="AH812" s="12">
        <v>5974431</v>
      </c>
      <c r="AI812" s="12">
        <v>2338698</v>
      </c>
      <c r="AJ812" s="23">
        <f t="shared" si="1582"/>
        <v>2657</v>
      </c>
      <c r="AK812" s="23">
        <f t="shared" si="1583"/>
        <v>15528836</v>
      </c>
      <c r="AL812" s="28">
        <f>AK812/detalle!$D$2</f>
        <v>1416797.5074902931</v>
      </c>
    </row>
    <row r="813" spans="1:38">
      <c r="A813" s="12">
        <v>812</v>
      </c>
      <c r="B813" s="19">
        <v>44702</v>
      </c>
      <c r="C813" s="12">
        <v>794</v>
      </c>
      <c r="D813" s="23">
        <f t="shared" ref="D813:D815" si="1585">E813-E812</f>
        <v>101</v>
      </c>
      <c r="E813" s="12">
        <v>581351</v>
      </c>
      <c r="F813" s="12">
        <v>4377</v>
      </c>
      <c r="G813" s="12">
        <v>576334</v>
      </c>
      <c r="H813" s="23">
        <f t="shared" ref="H813:H815" si="1586">E813-F813-G813</f>
        <v>640</v>
      </c>
      <c r="I813" s="23">
        <f t="shared" ref="I813:I815" si="1587">J813-J812</f>
        <v>1676</v>
      </c>
      <c r="J813" s="12">
        <v>3322545</v>
      </c>
      <c r="K813" s="23">
        <f t="shared" ref="K813:K815" si="1588">J813-E813</f>
        <v>2741194</v>
      </c>
      <c r="L813" s="23">
        <f t="shared" ref="L813:L815" si="1589">G813-G812</f>
        <v>101</v>
      </c>
      <c r="M813" s="14">
        <f t="shared" ref="M813:M815" si="1590">F813/E813</f>
        <v>7.5290143132118121E-3</v>
      </c>
      <c r="N813" s="14">
        <f t="shared" ref="N813:N815" si="1591">D813/I813</f>
        <v>6.0262529832935563E-2</v>
      </c>
      <c r="O813" s="24"/>
      <c r="P813" s="12"/>
      <c r="Q813" s="12"/>
      <c r="R813" s="23">
        <f t="shared" ref="R813:R815" si="1592">F813+G813</f>
        <v>580711</v>
      </c>
      <c r="S813" s="25">
        <f>(((H813+R813)/(H812+R812))-1)+detalle!$D$1</f>
        <v>7.1602334869431711E-2</v>
      </c>
      <c r="T813" s="25">
        <f t="shared" ref="T813:T815" si="1593">S813*14</f>
        <v>1.002432688172044</v>
      </c>
      <c r="U813" s="10">
        <f t="shared" ref="U813:U815" si="1594">G813/E813</f>
        <v>0.99137010171135853</v>
      </c>
      <c r="V813" s="21">
        <f t="shared" ref="V813:V815" si="1595">G813/F813</f>
        <v>131.67329220927576</v>
      </c>
      <c r="W813" s="15">
        <f>J813/detalle!$D$2</f>
        <v>303137.56127789203</v>
      </c>
      <c r="X813" s="15">
        <f>E813/detalle!$D$2</f>
        <v>53040.462773706247</v>
      </c>
      <c r="Y813" s="15">
        <f>F813/detalle!$D$2</f>
        <v>399.3424034026126</v>
      </c>
      <c r="AA813" s="14">
        <f>E813/(detalle!$D$2*1000000)</f>
        <v>5.3040462773706248E-2</v>
      </c>
      <c r="AB813" s="14">
        <f>F813/(detalle!$D$2*1000000)</f>
        <v>3.993424034026126E-4</v>
      </c>
      <c r="AC813" s="31">
        <f t="shared" si="1565"/>
        <v>1.7094017094017094E-3</v>
      </c>
      <c r="AD813" s="31">
        <f>31/2373</f>
        <v>1.3063632532659082E-2</v>
      </c>
      <c r="AE813" s="31">
        <f t="shared" si="1584"/>
        <v>0</v>
      </c>
      <c r="AF813" s="22">
        <f t="shared" ref="AF813:AF815" si="1596">F813-F812</f>
        <v>0</v>
      </c>
      <c r="AG813" s="12">
        <v>7216150</v>
      </c>
      <c r="AH813" s="12">
        <v>5974769</v>
      </c>
      <c r="AI813" s="12">
        <v>2339233</v>
      </c>
      <c r="AJ813" s="23">
        <f t="shared" ref="AJ813:AJ815" si="1597">AK813-AK812</f>
        <v>1316</v>
      </c>
      <c r="AK813" s="23">
        <f t="shared" ref="AK813:AK815" si="1598">AG813+AH813+AI813</f>
        <v>15530152</v>
      </c>
      <c r="AL813" s="28">
        <f>AK813/detalle!$D$2</f>
        <v>1416917.5747973248</v>
      </c>
    </row>
    <row r="814" spans="1:38">
      <c r="A814" s="12">
        <v>813</v>
      </c>
      <c r="B814" s="19">
        <v>44703</v>
      </c>
      <c r="C814" s="12">
        <v>795</v>
      </c>
      <c r="D814" s="23">
        <f t="shared" si="1585"/>
        <v>113</v>
      </c>
      <c r="E814" s="12">
        <v>581464</v>
      </c>
      <c r="F814" s="12">
        <v>4377</v>
      </c>
      <c r="G814" s="12">
        <v>576408</v>
      </c>
      <c r="H814" s="23">
        <f t="shared" si="1586"/>
        <v>679</v>
      </c>
      <c r="I814" s="23">
        <f t="shared" si="1587"/>
        <v>1642</v>
      </c>
      <c r="J814" s="12">
        <v>3324187</v>
      </c>
      <c r="K814" s="23">
        <f t="shared" si="1588"/>
        <v>2742723</v>
      </c>
      <c r="L814" s="23">
        <f t="shared" si="1589"/>
        <v>74</v>
      </c>
      <c r="M814" s="14">
        <f t="shared" si="1590"/>
        <v>7.5275511467605902E-3</v>
      </c>
      <c r="N814" s="14">
        <f t="shared" si="1591"/>
        <v>6.8818514007308165E-2</v>
      </c>
      <c r="O814" s="24"/>
      <c r="P814" s="12"/>
      <c r="Q814" s="12"/>
      <c r="R814" s="23">
        <f t="shared" si="1592"/>
        <v>580785</v>
      </c>
      <c r="S814" s="25">
        <f>(((H814+R814)/(H813+R813))-1)+detalle!$D$1</f>
        <v>7.1622946255483183E-2</v>
      </c>
      <c r="T814" s="25">
        <f t="shared" si="1593"/>
        <v>1.0027212475767646</v>
      </c>
      <c r="U814" s="10">
        <f t="shared" si="1594"/>
        <v>0.99130470674022808</v>
      </c>
      <c r="V814" s="21">
        <f t="shared" si="1595"/>
        <v>131.69019876627829</v>
      </c>
      <c r="W814" s="15">
        <f>J814/detalle!$D$2</f>
        <v>303287.37170201523</v>
      </c>
      <c r="X814" s="15">
        <f>E814/detalle!$D$2</f>
        <v>53050.772504477209</v>
      </c>
      <c r="Y814" s="15">
        <f>F814/detalle!$D$2</f>
        <v>399.3424034026126</v>
      </c>
      <c r="AA814" s="14">
        <f>E814/(detalle!$D$2*1000000)</f>
        <v>5.3050772504477206E-2</v>
      </c>
      <c r="AB814" s="14">
        <f>F814/(detalle!$D$2*1000000)</f>
        <v>3.993424034026126E-4</v>
      </c>
      <c r="AC814" s="31">
        <f t="shared" si="1565"/>
        <v>1.7094017094017094E-3</v>
      </c>
      <c r="AD814" s="31">
        <f>31/2373</f>
        <v>1.3063632532659082E-2</v>
      </c>
      <c r="AE814" s="31">
        <f t="shared" si="1584"/>
        <v>0</v>
      </c>
      <c r="AF814" s="22">
        <f t="shared" si="1596"/>
        <v>0</v>
      </c>
      <c r="AG814" s="12">
        <v>7216349</v>
      </c>
      <c r="AH814" s="12">
        <v>5974958</v>
      </c>
      <c r="AI814" s="12">
        <v>2339474</v>
      </c>
      <c r="AJ814" s="23">
        <f t="shared" si="1597"/>
        <v>629</v>
      </c>
      <c r="AK814" s="23">
        <f t="shared" si="1598"/>
        <v>15530781</v>
      </c>
      <c r="AL814" s="28">
        <f>AK814/detalle!$D$2</f>
        <v>1416974.9625907314</v>
      </c>
    </row>
    <row r="815" spans="1:38">
      <c r="A815" s="12">
        <v>814</v>
      </c>
      <c r="B815" s="19">
        <v>44704</v>
      </c>
      <c r="C815" s="12">
        <v>796</v>
      </c>
      <c r="D815" s="23">
        <f t="shared" si="1585"/>
        <v>183</v>
      </c>
      <c r="E815" s="12">
        <v>581647</v>
      </c>
      <c r="F815" s="12">
        <v>4377</v>
      </c>
      <c r="G815" s="12">
        <v>576469</v>
      </c>
      <c r="H815" s="23">
        <f t="shared" si="1586"/>
        <v>801</v>
      </c>
      <c r="I815" s="23">
        <f t="shared" si="1587"/>
        <v>2876</v>
      </c>
      <c r="J815" s="12">
        <v>3327063</v>
      </c>
      <c r="K815" s="23">
        <f t="shared" si="1588"/>
        <v>2745416</v>
      </c>
      <c r="L815" s="23">
        <f t="shared" si="1589"/>
        <v>61</v>
      </c>
      <c r="M815" s="14">
        <f t="shared" si="1590"/>
        <v>7.5251827998769009E-3</v>
      </c>
      <c r="N815" s="14">
        <f t="shared" si="1591"/>
        <v>6.3630041724617531E-2</v>
      </c>
      <c r="O815" s="24"/>
      <c r="P815" s="12"/>
      <c r="Q815" s="12"/>
      <c r="R815" s="23">
        <f t="shared" si="1592"/>
        <v>580846</v>
      </c>
      <c r="S815" s="25">
        <f>(((H815+R815)/(H814+R814))-1)+detalle!$D$1</f>
        <v>7.1743294266098739E-2</v>
      </c>
      <c r="T815" s="25">
        <f t="shared" si="1593"/>
        <v>1.0044061197253824</v>
      </c>
      <c r="U815" s="10">
        <f t="shared" si="1594"/>
        <v>0.99109769327444308</v>
      </c>
      <c r="V815" s="21">
        <f t="shared" si="1595"/>
        <v>131.70413525245601</v>
      </c>
      <c r="W815" s="15">
        <f>J815/detalle!$D$2</f>
        <v>303549.76803561946</v>
      </c>
      <c r="X815" s="15">
        <f>E815/detalle!$D$2</f>
        <v>53067.468794132838</v>
      </c>
      <c r="Y815" s="15">
        <f>F815/detalle!$D$2</f>
        <v>399.3424034026126</v>
      </c>
      <c r="AA815" s="14">
        <f>E815/(detalle!$D$2*1000000)</f>
        <v>5.3067468794132835E-2</v>
      </c>
      <c r="AB815" s="14">
        <f>F815/(detalle!$D$2*1000000)</f>
        <v>3.993424034026126E-4</v>
      </c>
      <c r="AC815" s="31">
        <f>6/585</f>
        <v>1.0256410256410256E-2</v>
      </c>
      <c r="AD815" s="31">
        <f>39/2373</f>
        <v>1.643489254108723E-2</v>
      </c>
      <c r="AE815" s="31">
        <f t="shared" si="1584"/>
        <v>0</v>
      </c>
      <c r="AF815" s="22">
        <f t="shared" si="1596"/>
        <v>0</v>
      </c>
      <c r="AG815" s="12">
        <v>7216891</v>
      </c>
      <c r="AH815" s="12">
        <v>5975774</v>
      </c>
      <c r="AI815" s="12">
        <v>2340413</v>
      </c>
      <c r="AJ815" s="23">
        <f t="shared" si="1597"/>
        <v>2297</v>
      </c>
      <c r="AK815" s="23">
        <f t="shared" si="1598"/>
        <v>15533078</v>
      </c>
      <c r="AL815" s="28">
        <f>AK815/detalle!$D$2</f>
        <v>1417184.5329587038</v>
      </c>
    </row>
    <row r="816" spans="1:38">
      <c r="A816" s="12">
        <v>815</v>
      </c>
      <c r="B816" s="19">
        <v>44705</v>
      </c>
      <c r="C816" s="12">
        <v>797</v>
      </c>
      <c r="D816" s="23">
        <f t="shared" ref="D816:D819" si="1599">E816-E815</f>
        <v>222</v>
      </c>
      <c r="E816" s="12">
        <v>581869</v>
      </c>
      <c r="F816" s="12">
        <v>4377</v>
      </c>
      <c r="G816" s="12">
        <v>576420</v>
      </c>
      <c r="H816" s="23">
        <f t="shared" ref="H816:H819" si="1600">E816-F816-G816</f>
        <v>1072</v>
      </c>
      <c r="I816" s="23">
        <f t="shared" ref="I816:I819" si="1601">J816-J815</f>
        <v>3385</v>
      </c>
      <c r="J816" s="12">
        <v>3330448</v>
      </c>
      <c r="K816" s="23">
        <f t="shared" ref="K816:K819" si="1602">J816-E816</f>
        <v>2748579</v>
      </c>
      <c r="L816" s="23">
        <f t="shared" ref="L816:L819" si="1603">G816-G815</f>
        <v>-49</v>
      </c>
      <c r="M816" s="14">
        <f t="shared" ref="M816:M819" si="1604">F816/E816</f>
        <v>7.5223117230854364E-3</v>
      </c>
      <c r="N816" s="14">
        <f t="shared" ref="N816:N819" si="1605">D816/I816</f>
        <v>6.5583456425406209E-2</v>
      </c>
      <c r="O816" s="24"/>
      <c r="P816" s="12"/>
      <c r="Q816" s="12"/>
      <c r="R816" s="23">
        <f t="shared" ref="R816:R819" si="1606">F816+G816</f>
        <v>580797</v>
      </c>
      <c r="S816" s="25">
        <f>(((H816+R816)/(H815+R815))-1)+detalle!$D$1</f>
        <v>7.1810246224452784E-2</v>
      </c>
      <c r="T816" s="25">
        <f t="shared" ref="T816:T819" si="1607">S816*14</f>
        <v>1.005343447142339</v>
      </c>
      <c r="U816" s="10">
        <f t="shared" ref="U816:U819" si="1608">G816/E816</f>
        <v>0.99063534919371887</v>
      </c>
      <c r="V816" s="21">
        <f t="shared" ref="V816:V819" si="1609">G816/F816</f>
        <v>131.69294037011653</v>
      </c>
      <c r="W816" s="15">
        <f>J816/detalle!$D$2</f>
        <v>303858.60377597081</v>
      </c>
      <c r="X816" s="15">
        <f>E816/detalle!$D$2</f>
        <v>53087.723309452776</v>
      </c>
      <c r="Y816" s="15">
        <f>F816/detalle!$D$2</f>
        <v>399.3424034026126</v>
      </c>
      <c r="AA816" s="14">
        <f>E816/(detalle!$D$2*1000000)</f>
        <v>5.3087723309452772E-2</v>
      </c>
      <c r="AB816" s="14">
        <f>F816/(detalle!$D$2*1000000)</f>
        <v>3.993424034026126E-4</v>
      </c>
      <c r="AC816" s="31">
        <f>4/585</f>
        <v>6.8376068376068376E-3</v>
      </c>
      <c r="AD816" s="31">
        <f>40/2373</f>
        <v>1.685630004214075E-2</v>
      </c>
      <c r="AE816" s="31">
        <f t="shared" si="1584"/>
        <v>0</v>
      </c>
      <c r="AF816" s="22">
        <f t="shared" ref="AF816:AF819" si="1610">F816-F815</f>
        <v>0</v>
      </c>
      <c r="AG816" s="12">
        <v>7217444</v>
      </c>
      <c r="AH816" s="12">
        <v>5976606</v>
      </c>
      <c r="AI816" s="12">
        <v>2341633</v>
      </c>
      <c r="AJ816" s="23">
        <f t="shared" ref="AJ816:AJ819" si="1611">AK816-AK815</f>
        <v>2605</v>
      </c>
      <c r="AK816" s="23">
        <f t="shared" ref="AK816:AK819" si="1612">AG816+AH816+AI816</f>
        <v>15535683</v>
      </c>
      <c r="AL816" s="28">
        <f>AK816/detalle!$D$2</f>
        <v>1417422.204185769</v>
      </c>
    </row>
    <row r="817" spans="1:38">
      <c r="A817" s="12">
        <v>816</v>
      </c>
      <c r="B817" s="19">
        <v>44706</v>
      </c>
      <c r="C817" s="12">
        <v>798</v>
      </c>
      <c r="D817" s="23">
        <f t="shared" si="1599"/>
        <v>324</v>
      </c>
      <c r="E817" s="12">
        <v>582193</v>
      </c>
      <c r="F817" s="12">
        <v>4377</v>
      </c>
      <c r="G817" s="12">
        <v>576632</v>
      </c>
      <c r="H817" s="23">
        <f t="shared" si="1600"/>
        <v>1184</v>
      </c>
      <c r="I817" s="23">
        <f t="shared" si="1601"/>
        <v>4020</v>
      </c>
      <c r="J817" s="12">
        <v>3334468</v>
      </c>
      <c r="K817" s="23">
        <f t="shared" si="1602"/>
        <v>2752275</v>
      </c>
      <c r="L817" s="23">
        <f t="shared" si="1603"/>
        <v>212</v>
      </c>
      <c r="M817" s="14">
        <f t="shared" si="1604"/>
        <v>7.5181254326314468E-3</v>
      </c>
      <c r="N817" s="14">
        <f t="shared" si="1605"/>
        <v>8.0597014925373134E-2</v>
      </c>
      <c r="O817" s="24"/>
      <c r="P817" s="12"/>
      <c r="Q817" s="12"/>
      <c r="R817" s="23">
        <f t="shared" si="1606"/>
        <v>581009</v>
      </c>
      <c r="S817" s="25">
        <f>(((H817+R817)/(H816+R816))-1)+detalle!$D$1</f>
        <v>7.1985397793268541E-2</v>
      </c>
      <c r="T817" s="25">
        <f t="shared" si="1607"/>
        <v>1.0077955691057596</v>
      </c>
      <c r="U817" s="10">
        <f t="shared" si="1608"/>
        <v>0.99044818470850726</v>
      </c>
      <c r="V817" s="21">
        <f t="shared" si="1609"/>
        <v>131.74137537125884</v>
      </c>
      <c r="W817" s="15">
        <f>J817/detalle!$D$2</f>
        <v>304225.37472906167</v>
      </c>
      <c r="X817" s="15">
        <f>E817/detalle!$D$2</f>
        <v>53117.283953433231</v>
      </c>
      <c r="Y817" s="15">
        <f>F817/detalle!$D$2</f>
        <v>399.3424034026126</v>
      </c>
      <c r="AA817" s="14">
        <f>E817/(detalle!$D$2*1000000)</f>
        <v>5.3117283953433229E-2</v>
      </c>
      <c r="AB817" s="14">
        <f>F817/(detalle!$D$2*1000000)</f>
        <v>3.993424034026126E-4</v>
      </c>
      <c r="AC817" s="31">
        <f>4/585</f>
        <v>6.8376068376068376E-3</v>
      </c>
      <c r="AD817" s="31">
        <f>51/2373</f>
        <v>2.1491782553729456E-2</v>
      </c>
      <c r="AE817" s="31">
        <f t="shared" si="1584"/>
        <v>0</v>
      </c>
      <c r="AF817" s="22">
        <f t="shared" si="1610"/>
        <v>0</v>
      </c>
      <c r="AG817" s="12">
        <v>7127995</v>
      </c>
      <c r="AH817" s="12">
        <v>5977798</v>
      </c>
      <c r="AI817" s="12">
        <v>2342699</v>
      </c>
      <c r="AJ817" s="23">
        <f t="shared" si="1611"/>
        <v>-87191</v>
      </c>
      <c r="AK817" s="23">
        <f t="shared" si="1612"/>
        <v>15448492</v>
      </c>
      <c r="AL817" s="28">
        <f>AK817/detalle!$D$2</f>
        <v>1409467.1976755846</v>
      </c>
    </row>
    <row r="818" spans="1:38">
      <c r="A818" s="12">
        <v>817</v>
      </c>
      <c r="B818" s="19">
        <v>44707</v>
      </c>
      <c r="C818" s="12">
        <v>799</v>
      </c>
      <c r="D818" s="23">
        <f t="shared" si="1599"/>
        <v>500</v>
      </c>
      <c r="E818" s="12">
        <v>582693</v>
      </c>
      <c r="F818" s="12">
        <v>4377</v>
      </c>
      <c r="G818" s="12">
        <v>576749</v>
      </c>
      <c r="H818" s="23">
        <f t="shared" si="1600"/>
        <v>1567</v>
      </c>
      <c r="I818" s="23">
        <f t="shared" si="1601"/>
        <v>5801</v>
      </c>
      <c r="J818" s="12">
        <v>3340269</v>
      </c>
      <c r="K818" s="23">
        <f t="shared" si="1602"/>
        <v>2757576</v>
      </c>
      <c r="L818" s="23">
        <f t="shared" si="1603"/>
        <v>117</v>
      </c>
      <c r="M818" s="14">
        <f t="shared" si="1604"/>
        <v>7.5116742435553541E-3</v>
      </c>
      <c r="N818" s="14">
        <f t="shared" si="1605"/>
        <v>8.6192035855886917E-2</v>
      </c>
      <c r="O818" s="24"/>
      <c r="P818" s="12"/>
      <c r="Q818" s="12"/>
      <c r="R818" s="23">
        <f t="shared" si="1606"/>
        <v>581126</v>
      </c>
      <c r="S818" s="25">
        <f>(((H818+R818)/(H817+R817))-1)+detalle!$D$1</f>
        <v>7.2287393159509411E-2</v>
      </c>
      <c r="T818" s="25">
        <f t="shared" si="1607"/>
        <v>1.0120235042331318</v>
      </c>
      <c r="U818" s="10">
        <f t="shared" si="1608"/>
        <v>0.98979908802748617</v>
      </c>
      <c r="V818" s="21">
        <f t="shared" si="1609"/>
        <v>131.76810600868174</v>
      </c>
      <c r="W818" s="15">
        <f>J818/detalle!$D$2</f>
        <v>304754.63798748946</v>
      </c>
      <c r="X818" s="15">
        <f>E818/detalle!$D$2</f>
        <v>53162.902231180844</v>
      </c>
      <c r="Y818" s="15">
        <f>F818/detalle!$D$2</f>
        <v>399.3424034026126</v>
      </c>
      <c r="AA818" s="14">
        <f>E818/(detalle!$D$2*1000000)</f>
        <v>5.3162902231180843E-2</v>
      </c>
      <c r="AB818" s="14">
        <f>F818/(detalle!$D$2*1000000)</f>
        <v>3.993424034026126E-4</v>
      </c>
      <c r="AC818" s="31">
        <f>5/585</f>
        <v>8.5470085470085479E-3</v>
      </c>
      <c r="AD818" s="31">
        <f>64/2373</f>
        <v>2.6970080067425201E-2</v>
      </c>
      <c r="AE818" s="31">
        <f t="shared" si="1584"/>
        <v>0</v>
      </c>
      <c r="AF818" s="22">
        <f t="shared" si="1610"/>
        <v>0</v>
      </c>
      <c r="AG818" s="12">
        <v>7218571</v>
      </c>
      <c r="AH818" s="12">
        <v>5978500</v>
      </c>
      <c r="AI818" s="12">
        <v>2343665</v>
      </c>
      <c r="AJ818" s="23">
        <f t="shared" si="1611"/>
        <v>92244</v>
      </c>
      <c r="AK818" s="23">
        <f t="shared" si="1612"/>
        <v>15540736</v>
      </c>
      <c r="AL818" s="28">
        <f>AK818/detalle!$D$2</f>
        <v>1417883.2225006863</v>
      </c>
    </row>
    <row r="819" spans="1:38">
      <c r="A819" s="12">
        <v>818</v>
      </c>
      <c r="B819" s="19">
        <v>44708</v>
      </c>
      <c r="C819" s="12">
        <v>800</v>
      </c>
      <c r="D819" s="23">
        <f t="shared" si="1599"/>
        <v>466</v>
      </c>
      <c r="E819" s="12">
        <v>583159</v>
      </c>
      <c r="F819" s="12">
        <v>4377</v>
      </c>
      <c r="G819" s="12">
        <v>576976</v>
      </c>
      <c r="H819" s="23">
        <f t="shared" si="1600"/>
        <v>1806</v>
      </c>
      <c r="I819" s="23">
        <f t="shared" si="1601"/>
        <v>5068</v>
      </c>
      <c r="J819" s="12">
        <v>3345337</v>
      </c>
      <c r="K819" s="23">
        <f t="shared" si="1602"/>
        <v>2762178</v>
      </c>
      <c r="L819" s="23">
        <f t="shared" si="1603"/>
        <v>227</v>
      </c>
      <c r="M819" s="14">
        <f t="shared" si="1604"/>
        <v>7.5056716950265704E-3</v>
      </c>
      <c r="N819" s="14">
        <f t="shared" si="1605"/>
        <v>9.1949486977111292E-2</v>
      </c>
      <c r="O819" s="24"/>
      <c r="P819" s="12"/>
      <c r="Q819" s="12"/>
      <c r="R819" s="23">
        <f t="shared" si="1606"/>
        <v>581353</v>
      </c>
      <c r="S819" s="25">
        <f>(((H819+R819)/(H818+R818))-1)+detalle!$D$1</f>
        <v>7.2228306451988661E-2</v>
      </c>
      <c r="T819" s="25">
        <f t="shared" si="1607"/>
        <v>1.0111962903278413</v>
      </c>
      <c r="U819" s="10">
        <f t="shared" si="1608"/>
        <v>0.98939740276665544</v>
      </c>
      <c r="V819" s="21">
        <f t="shared" si="1609"/>
        <v>131.81996801462188</v>
      </c>
      <c r="W819" s="15">
        <f>J819/detalle!$D$2</f>
        <v>305217.02485073928</v>
      </c>
      <c r="X819" s="15">
        <f>E819/detalle!$D$2</f>
        <v>53205.418466041621</v>
      </c>
      <c r="Y819" s="15">
        <f>F819/detalle!$D$2</f>
        <v>399.3424034026126</v>
      </c>
      <c r="AA819" s="14">
        <f>E819/(detalle!$D$2*1000000)</f>
        <v>5.3205418466041619E-2</v>
      </c>
      <c r="AB819" s="14">
        <f>F819/(detalle!$D$2*1000000)</f>
        <v>3.993424034026126E-4</v>
      </c>
      <c r="AC819" s="31">
        <f>10/585</f>
        <v>1.7094017094017096E-2</v>
      </c>
      <c r="AD819" s="31">
        <f>68/2373</f>
        <v>2.8655710071639275E-2</v>
      </c>
      <c r="AE819" s="31">
        <f t="shared" si="1584"/>
        <v>0</v>
      </c>
      <c r="AF819" s="22">
        <f t="shared" si="1610"/>
        <v>0</v>
      </c>
      <c r="AG819" s="12">
        <v>7219167</v>
      </c>
      <c r="AH819" s="12">
        <v>5979195</v>
      </c>
      <c r="AI819" s="12">
        <v>2344647</v>
      </c>
      <c r="AJ819" s="23">
        <f t="shared" si="1611"/>
        <v>2273</v>
      </c>
      <c r="AK819" s="23">
        <f t="shared" si="1612"/>
        <v>15543009</v>
      </c>
      <c r="AL819" s="28">
        <f>AK819/detalle!$D$2</f>
        <v>1418090.6031913271</v>
      </c>
    </row>
    <row r="820" spans="1:38">
      <c r="A820" s="12">
        <v>819</v>
      </c>
      <c r="B820" s="19">
        <v>44709</v>
      </c>
      <c r="C820" s="12">
        <v>801</v>
      </c>
      <c r="D820" s="23">
        <f t="shared" ref="D820:D822" si="1613">E820-E819</f>
        <v>264</v>
      </c>
      <c r="E820" s="12">
        <v>583423</v>
      </c>
      <c r="F820" s="12">
        <v>4377</v>
      </c>
      <c r="G820" s="12">
        <v>577188</v>
      </c>
      <c r="H820" s="23">
        <f t="shared" ref="H820:H822" si="1614">E820-F820-G820</f>
        <v>1858</v>
      </c>
      <c r="I820" s="23">
        <f t="shared" ref="I820:I822" si="1615">J820-J819</f>
        <v>2832</v>
      </c>
      <c r="J820" s="12">
        <v>3348169</v>
      </c>
      <c r="K820" s="23">
        <f t="shared" ref="K820:K822" si="1616">J820-E820</f>
        <v>2764746</v>
      </c>
      <c r="L820" s="23">
        <f t="shared" ref="L820:L822" si="1617">G820-G819</f>
        <v>212</v>
      </c>
      <c r="M820" s="14">
        <f t="shared" ref="M820:M822" si="1618">F820/E820</f>
        <v>7.5022753645296808E-3</v>
      </c>
      <c r="N820" s="14">
        <f t="shared" ref="N820:N822" si="1619">D820/I820</f>
        <v>9.3220338983050849E-2</v>
      </c>
      <c r="O820" s="24"/>
      <c r="P820" s="12"/>
      <c r="Q820" s="12"/>
      <c r="R820" s="23">
        <f t="shared" ref="R820:R822" si="1620">F820+G820</f>
        <v>581565</v>
      </c>
      <c r="S820" s="25">
        <f>(((H820+R820)/(H819+R819))-1)+detalle!$D$1</f>
        <v>7.1881278151780609E-2</v>
      </c>
      <c r="T820" s="25">
        <f t="shared" ref="T820:T822" si="1621">S820*14</f>
        <v>1.0063378941249286</v>
      </c>
      <c r="U820" s="10">
        <f t="shared" ref="U820:U822" si="1622">G820/E820</f>
        <v>0.98931307130503943</v>
      </c>
      <c r="V820" s="21">
        <f t="shared" ref="V820:V822" si="1623">G820/F820</f>
        <v>131.86840301576422</v>
      </c>
      <c r="W820" s="15">
        <f>J820/detalle!$D$2</f>
        <v>305475.40677590179</v>
      </c>
      <c r="X820" s="15">
        <f>E820/detalle!$D$2</f>
        <v>53229.504916692356</v>
      </c>
      <c r="Y820" s="15">
        <f>F820/detalle!$D$2</f>
        <v>399.3424034026126</v>
      </c>
      <c r="AA820" s="14">
        <f>E820/(detalle!$D$2*1000000)</f>
        <v>5.3229504916692358E-2</v>
      </c>
      <c r="AB820" s="14">
        <f>F820/(detalle!$D$2*1000000)</f>
        <v>3.993424034026126E-4</v>
      </c>
      <c r="AC820" s="31">
        <f t="shared" ref="AC820:AC821" si="1624">10/585</f>
        <v>1.7094017094017096E-2</v>
      </c>
      <c r="AD820" s="31">
        <f t="shared" ref="AD820:AD821" si="1625">68/2373</f>
        <v>2.8655710071639275E-2</v>
      </c>
      <c r="AE820" s="31">
        <f t="shared" si="1584"/>
        <v>0</v>
      </c>
      <c r="AF820" s="22">
        <f t="shared" ref="AF820:AF822" si="1626">F820-F819</f>
        <v>0</v>
      </c>
      <c r="AG820" s="12">
        <v>7219505</v>
      </c>
      <c r="AH820" s="12">
        <v>5979582</v>
      </c>
      <c r="AI820" s="12">
        <v>2345273</v>
      </c>
      <c r="AJ820" s="23">
        <f t="shared" ref="AJ820:AJ822" si="1627">AK820-AK819</f>
        <v>1351</v>
      </c>
      <c r="AK820" s="23">
        <f t="shared" ref="AK820:AK822" si="1628">AG820+AH820+AI820</f>
        <v>15544360</v>
      </c>
      <c r="AL820" s="28">
        <f>AK820/detalle!$D$2</f>
        <v>1418213.8637778012</v>
      </c>
    </row>
    <row r="821" spans="1:38">
      <c r="A821" s="12">
        <v>820</v>
      </c>
      <c r="B821" s="19">
        <v>44710</v>
      </c>
      <c r="C821" s="12">
        <v>802</v>
      </c>
      <c r="D821" s="23">
        <f t="shared" si="1613"/>
        <v>299</v>
      </c>
      <c r="E821" s="12">
        <v>583722</v>
      </c>
      <c r="F821" s="12">
        <v>4377</v>
      </c>
      <c r="G821" s="12">
        <v>577481</v>
      </c>
      <c r="H821" s="23">
        <f t="shared" si="1614"/>
        <v>1864</v>
      </c>
      <c r="I821" s="23">
        <f t="shared" si="1615"/>
        <v>3229</v>
      </c>
      <c r="J821" s="12">
        <v>3351398</v>
      </c>
      <c r="K821" s="23">
        <f t="shared" si="1616"/>
        <v>2767676</v>
      </c>
      <c r="L821" s="23">
        <f t="shared" si="1617"/>
        <v>293</v>
      </c>
      <c r="M821" s="14">
        <f t="shared" si="1618"/>
        <v>7.4984324729922809E-3</v>
      </c>
      <c r="N821" s="14">
        <f t="shared" si="1619"/>
        <v>9.2598327655620941E-2</v>
      </c>
      <c r="O821" s="24"/>
      <c r="P821" s="12"/>
      <c r="Q821" s="12"/>
      <c r="R821" s="23">
        <f t="shared" si="1620"/>
        <v>581858</v>
      </c>
      <c r="S821" s="25">
        <f>(((H821+R821)/(H820+R820))-1)+detalle!$D$1</f>
        <v>7.1941064079701161E-2</v>
      </c>
      <c r="T821" s="25">
        <f t="shared" si="1621"/>
        <v>1.0071748971158163</v>
      </c>
      <c r="U821" s="10">
        <f t="shared" si="1622"/>
        <v>0.98930826660636395</v>
      </c>
      <c r="V821" s="21">
        <f t="shared" si="1623"/>
        <v>131.93534384281472</v>
      </c>
      <c r="W821" s="15">
        <f>J821/detalle!$D$2</f>
        <v>305770.00961359584</v>
      </c>
      <c r="X821" s="15">
        <f>E821/detalle!$D$2</f>
        <v>53256.784646785432</v>
      </c>
      <c r="Y821" s="15">
        <f>F821/detalle!$D$2</f>
        <v>399.3424034026126</v>
      </c>
      <c r="AA821" s="14">
        <f>E821/(detalle!$D$2*1000000)</f>
        <v>5.3256784646785432E-2</v>
      </c>
      <c r="AB821" s="14">
        <f>F821/(detalle!$D$2*1000000)</f>
        <v>3.993424034026126E-4</v>
      </c>
      <c r="AC821" s="31">
        <f t="shared" si="1624"/>
        <v>1.7094017094017096E-2</v>
      </c>
      <c r="AD821" s="31">
        <f t="shared" si="1625"/>
        <v>2.8655710071639275E-2</v>
      </c>
      <c r="AE821" s="31">
        <f t="shared" si="1584"/>
        <v>0</v>
      </c>
      <c r="AF821" s="22">
        <f t="shared" si="1626"/>
        <v>0</v>
      </c>
      <c r="AG821" s="12">
        <v>7219619</v>
      </c>
      <c r="AH821" s="12">
        <v>5979686</v>
      </c>
      <c r="AI821" s="12">
        <v>2345412</v>
      </c>
      <c r="AJ821" s="23">
        <f t="shared" si="1627"/>
        <v>357</v>
      </c>
      <c r="AK821" s="23">
        <f t="shared" si="1628"/>
        <v>15544717</v>
      </c>
      <c r="AL821" s="28">
        <f>AK821/detalle!$D$2</f>
        <v>1418246.4352281129</v>
      </c>
    </row>
    <row r="822" spans="1:38">
      <c r="A822" s="12">
        <v>821</v>
      </c>
      <c r="B822" s="19">
        <v>44711</v>
      </c>
      <c r="C822" s="12">
        <v>803</v>
      </c>
      <c r="D822" s="23">
        <f t="shared" si="1613"/>
        <v>307</v>
      </c>
      <c r="E822" s="12">
        <v>584029</v>
      </c>
      <c r="F822" s="12">
        <v>4377</v>
      </c>
      <c r="G822" s="12">
        <v>577549</v>
      </c>
      <c r="H822" s="23">
        <f t="shared" si="1614"/>
        <v>2103</v>
      </c>
      <c r="I822" s="23">
        <f t="shared" si="1615"/>
        <v>2955</v>
      </c>
      <c r="J822" s="12">
        <v>3354353</v>
      </c>
      <c r="K822" s="23">
        <f t="shared" si="1616"/>
        <v>2770324</v>
      </c>
      <c r="L822" s="23">
        <f t="shared" si="1617"/>
        <v>68</v>
      </c>
      <c r="M822" s="14">
        <f t="shared" si="1618"/>
        <v>7.4944908557622991E-3</v>
      </c>
      <c r="N822" s="14">
        <f t="shared" si="1619"/>
        <v>0.1038917089678511</v>
      </c>
      <c r="O822" s="24"/>
      <c r="P822" s="12"/>
      <c r="Q822" s="12"/>
      <c r="R822" s="23">
        <f t="shared" si="1620"/>
        <v>581926</v>
      </c>
      <c r="S822" s="25">
        <f>(((H822+R822)/(H821+R821))-1)+detalle!$D$1</f>
        <v>7.195450671968609E-2</v>
      </c>
      <c r="T822" s="25">
        <f t="shared" si="1621"/>
        <v>1.0073630940756053</v>
      </c>
      <c r="U822" s="10">
        <f t="shared" si="1622"/>
        <v>0.98890466055623949</v>
      </c>
      <c r="V822" s="21">
        <f t="shared" si="1623"/>
        <v>131.95087959789811</v>
      </c>
      <c r="W822" s="15">
        <f>J822/detalle!$D$2</f>
        <v>306039.61363508424</v>
      </c>
      <c r="X822" s="15">
        <f>E822/detalle!$D$2</f>
        <v>53284.794269322469</v>
      </c>
      <c r="Y822" s="15">
        <f>F822/detalle!$D$2</f>
        <v>399.3424034026126</v>
      </c>
      <c r="AA822" s="14">
        <f>E822/(detalle!$D$2*1000000)</f>
        <v>5.3284794269322464E-2</v>
      </c>
      <c r="AB822" s="14">
        <f>F822/(detalle!$D$2*1000000)</f>
        <v>3.993424034026126E-4</v>
      </c>
      <c r="AC822" s="31">
        <f>8/585</f>
        <v>1.3675213675213675E-2</v>
      </c>
      <c r="AD822" s="31">
        <f>63/2373</f>
        <v>2.6548672566371681E-2</v>
      </c>
      <c r="AE822" s="31">
        <f t="shared" si="1584"/>
        <v>0</v>
      </c>
      <c r="AF822" s="22">
        <f t="shared" si="1626"/>
        <v>0</v>
      </c>
      <c r="AG822" s="12">
        <v>7220192</v>
      </c>
      <c r="AH822" s="12">
        <v>5980345</v>
      </c>
      <c r="AI822" s="12">
        <v>2346534</v>
      </c>
      <c r="AJ822" s="23">
        <f t="shared" si="1627"/>
        <v>2354</v>
      </c>
      <c r="AK822" s="23">
        <f t="shared" si="1628"/>
        <v>15547071</v>
      </c>
      <c r="AL822" s="28">
        <f>AK822/detalle!$D$2</f>
        <v>1418461.2060797487</v>
      </c>
    </row>
    <row r="823" spans="1:38">
      <c r="A823" s="12">
        <v>822</v>
      </c>
      <c r="B823" s="19">
        <v>44712</v>
      </c>
      <c r="C823" s="12">
        <v>804</v>
      </c>
      <c r="D823" s="23">
        <f t="shared" ref="D823" si="1629">E823-E822</f>
        <v>497</v>
      </c>
      <c r="E823" s="12">
        <v>584526</v>
      </c>
      <c r="F823" s="12">
        <v>4377</v>
      </c>
      <c r="G823" s="12">
        <v>577934</v>
      </c>
      <c r="H823" s="23">
        <f t="shared" ref="H823" si="1630">E823-F823-G823</f>
        <v>2215</v>
      </c>
      <c r="I823" s="23">
        <f t="shared" ref="I823" si="1631">J823-J822</f>
        <v>4560</v>
      </c>
      <c r="J823" s="12">
        <v>3358913</v>
      </c>
      <c r="K823" s="23">
        <f t="shared" ref="K823" si="1632">J823-E823</f>
        <v>2774387</v>
      </c>
      <c r="L823" s="23">
        <f t="shared" ref="L823" si="1633">G823-G822</f>
        <v>385</v>
      </c>
      <c r="M823" s="14">
        <f t="shared" ref="M823" si="1634">F823/E823</f>
        <v>7.4881185781299721E-3</v>
      </c>
      <c r="N823" s="14">
        <f t="shared" ref="N823" si="1635">D823/I823</f>
        <v>0.10899122807017544</v>
      </c>
      <c r="O823" s="24"/>
      <c r="P823" s="12"/>
      <c r="Q823" s="12"/>
      <c r="R823" s="23">
        <f t="shared" ref="R823" si="1636">F823+G823</f>
        <v>582311</v>
      </c>
      <c r="S823" s="25">
        <f>(((H823+R823)/(H822+R822))-1)+detalle!$D$1</f>
        <v>7.2279556568007913E-2</v>
      </c>
      <c r="T823" s="25">
        <f t="shared" ref="T823" si="1637">S823*14</f>
        <v>1.0119137919521108</v>
      </c>
      <c r="U823" s="10">
        <f t="shared" ref="U823" si="1638">G823/E823</f>
        <v>0.98872248625381931</v>
      </c>
      <c r="V823" s="21">
        <f t="shared" ref="V823" si="1639">G823/F823</f>
        <v>132.03883938770846</v>
      </c>
      <c r="W823" s="15">
        <f>J823/detalle!$D$2</f>
        <v>306455.65232814249</v>
      </c>
      <c r="X823" s="15">
        <f>E823/detalle!$D$2</f>
        <v>53330.138837403596</v>
      </c>
      <c r="Y823" s="15">
        <f>F823/detalle!$D$2</f>
        <v>399.3424034026126</v>
      </c>
      <c r="AA823" s="14">
        <f>E823/(detalle!$D$2*1000000)</f>
        <v>5.3330138837403597E-2</v>
      </c>
      <c r="AB823" s="14">
        <f>F823/(detalle!$D$2*1000000)</f>
        <v>3.993424034026126E-4</v>
      </c>
      <c r="AC823" s="31">
        <f>10/585</f>
        <v>1.7094017094017096E-2</v>
      </c>
      <c r="AD823" s="31">
        <f>54/2373</f>
        <v>2.2756005056890013E-2</v>
      </c>
      <c r="AE823" s="31">
        <f>1/469</f>
        <v>2.1321961620469083E-3</v>
      </c>
      <c r="AF823" s="22">
        <f t="shared" ref="AF823" si="1640">F823-F822</f>
        <v>0</v>
      </c>
      <c r="AG823" s="12">
        <v>7220831</v>
      </c>
      <c r="AH823" s="12">
        <v>5981218</v>
      </c>
      <c r="AI823" s="12">
        <v>2347821</v>
      </c>
      <c r="AJ823" s="23">
        <f t="shared" ref="AJ823" si="1641">AK823-AK822</f>
        <v>2799</v>
      </c>
      <c r="AK823" s="23">
        <f t="shared" ref="AK823" si="1642">AG823+AH823+AI823</f>
        <v>15549870</v>
      </c>
      <c r="AL823" s="28">
        <f>AK823/detalle!$D$2</f>
        <v>1418716.5771985797</v>
      </c>
    </row>
    <row r="824" spans="1:38">
      <c r="A824" s="12">
        <v>823</v>
      </c>
      <c r="B824" s="19">
        <v>44713</v>
      </c>
      <c r="C824" s="12">
        <v>805</v>
      </c>
      <c r="D824" s="23">
        <f t="shared" ref="D824:D827" si="1643">E824-E823</f>
        <v>558</v>
      </c>
      <c r="E824" s="12">
        <v>585084</v>
      </c>
      <c r="F824" s="12">
        <v>4377</v>
      </c>
      <c r="G824" s="12">
        <v>578148</v>
      </c>
      <c r="H824" s="23">
        <f t="shared" ref="H824:H827" si="1644">E824-F824-G824</f>
        <v>2559</v>
      </c>
      <c r="I824" s="23">
        <f t="shared" ref="I824:I827" si="1645">J824-J823</f>
        <v>5276</v>
      </c>
      <c r="J824" s="12">
        <v>3364189</v>
      </c>
      <c r="K824" s="23">
        <f t="shared" ref="K824:K827" si="1646">J824-E824</f>
        <v>2779105</v>
      </c>
      <c r="L824" s="23">
        <f t="shared" ref="L824:L827" si="1647">G824-G823</f>
        <v>214</v>
      </c>
      <c r="M824" s="14">
        <f t="shared" ref="M824:M827" si="1648">F824/E824</f>
        <v>7.4809770904690608E-3</v>
      </c>
      <c r="N824" s="14">
        <f t="shared" ref="N824:N827" si="1649">D824/I824</f>
        <v>0.10576194086429112</v>
      </c>
      <c r="O824" s="24"/>
      <c r="P824" s="12"/>
      <c r="Q824" s="12"/>
      <c r="R824" s="23">
        <f t="shared" ref="R824:R827" si="1650">F824+G824</f>
        <v>582525</v>
      </c>
      <c r="S824" s="25">
        <f>(((H824+R824)/(H823+R823))-1)+detalle!$D$1</f>
        <v>7.2383191069100655E-2</v>
      </c>
      <c r="T824" s="25">
        <f t="shared" ref="T824:T827" si="1651">S824*14</f>
        <v>1.0133646749674092</v>
      </c>
      <c r="U824" s="10">
        <f t="shared" ref="U824:U827" si="1652">G824/E824</f>
        <v>0.98814529195807776</v>
      </c>
      <c r="V824" s="21">
        <f t="shared" ref="V824:V827" si="1653">G824/F824</f>
        <v>132.08773132282386</v>
      </c>
      <c r="W824" s="15">
        <f>J824/detalle!$D$2</f>
        <v>306937.01639493532</v>
      </c>
      <c r="X824" s="15">
        <f>E824/detalle!$D$2</f>
        <v>53381.048835369933</v>
      </c>
      <c r="Y824" s="15">
        <f>F824/detalle!$D$2</f>
        <v>399.3424034026126</v>
      </c>
      <c r="AA824" s="14">
        <f>E824/(detalle!$D$2*1000000)</f>
        <v>5.3381048835369933E-2</v>
      </c>
      <c r="AB824" s="14">
        <f>F824/(detalle!$D$2*1000000)</f>
        <v>3.993424034026126E-4</v>
      </c>
      <c r="AC824" s="31">
        <f>12/585</f>
        <v>2.0512820512820513E-2</v>
      </c>
      <c r="AD824" s="31">
        <f>60/2373</f>
        <v>2.5284450063211124E-2</v>
      </c>
      <c r="AE824" s="31">
        <f>0/469</f>
        <v>0</v>
      </c>
      <c r="AF824" s="22">
        <f t="shared" ref="AF824:AF827" si="1654">F824-F823</f>
        <v>0</v>
      </c>
      <c r="AG824" s="12">
        <v>7221479</v>
      </c>
      <c r="AH824" s="12">
        <v>5982108</v>
      </c>
      <c r="AI824" s="12">
        <v>2349243</v>
      </c>
      <c r="AJ824" s="23">
        <f t="shared" ref="AJ824:AJ827" si="1655">AK824-AK823</f>
        <v>2960</v>
      </c>
      <c r="AK824" s="23">
        <f t="shared" ref="AK824:AK827" si="1656">AG824+AH824+AI824</f>
        <v>15552830</v>
      </c>
      <c r="AL824" s="28">
        <f>AK824/detalle!$D$2</f>
        <v>1418986.6374028455</v>
      </c>
    </row>
    <row r="825" spans="1:38">
      <c r="A825" s="12">
        <v>824</v>
      </c>
      <c r="B825" s="19">
        <v>44714</v>
      </c>
      <c r="C825" s="12">
        <v>806</v>
      </c>
      <c r="D825" s="23">
        <f t="shared" si="1643"/>
        <v>483</v>
      </c>
      <c r="E825" s="12">
        <v>585567</v>
      </c>
      <c r="F825" s="12">
        <v>4377</v>
      </c>
      <c r="G825" s="12">
        <v>578604</v>
      </c>
      <c r="H825" s="23">
        <f t="shared" si="1644"/>
        <v>2586</v>
      </c>
      <c r="I825" s="23">
        <f t="shared" si="1645"/>
        <v>4073</v>
      </c>
      <c r="J825" s="12">
        <v>3368262</v>
      </c>
      <c r="K825" s="23">
        <f t="shared" si="1646"/>
        <v>2782695</v>
      </c>
      <c r="L825" s="23">
        <f t="shared" si="1647"/>
        <v>456</v>
      </c>
      <c r="M825" s="14">
        <f t="shared" si="1648"/>
        <v>7.4748064696268744E-3</v>
      </c>
      <c r="N825" s="14">
        <f t="shared" si="1649"/>
        <v>0.1185858089860054</v>
      </c>
      <c r="O825" s="24"/>
      <c r="P825" s="12"/>
      <c r="Q825" s="12"/>
      <c r="R825" s="23">
        <f t="shared" si="1650"/>
        <v>582981</v>
      </c>
      <c r="S825" s="25">
        <f>(((H825+R825)/(H824+R824))-1)+detalle!$D$1</f>
        <v>7.2254093917649947E-2</v>
      </c>
      <c r="T825" s="25">
        <f t="shared" si="1651"/>
        <v>1.0115573148470993</v>
      </c>
      <c r="U825" s="10">
        <f t="shared" si="1652"/>
        <v>0.98810896105825641</v>
      </c>
      <c r="V825" s="21">
        <f t="shared" si="1653"/>
        <v>132.19191226867719</v>
      </c>
      <c r="W825" s="15">
        <f>J825/detalle!$D$2</f>
        <v>307308.62288546737</v>
      </c>
      <c r="X825" s="15">
        <f>E825/detalle!$D$2</f>
        <v>53425.116091674128</v>
      </c>
      <c r="Y825" s="15">
        <f>F825/detalle!$D$2</f>
        <v>399.3424034026126</v>
      </c>
      <c r="AA825" s="14">
        <f>E825/(detalle!$D$2*1000000)</f>
        <v>5.3425116091674128E-2</v>
      </c>
      <c r="AB825" s="14">
        <f>F825/(detalle!$D$2*1000000)</f>
        <v>3.993424034026126E-4</v>
      </c>
      <c r="AC825" s="31">
        <f>8/585</f>
        <v>1.3675213675213675E-2</v>
      </c>
      <c r="AD825" s="31">
        <f>87/2373</f>
        <v>3.6662452591656132E-2</v>
      </c>
      <c r="AE825" s="31">
        <f>0/469</f>
        <v>0</v>
      </c>
      <c r="AF825" s="22">
        <f t="shared" si="1654"/>
        <v>0</v>
      </c>
      <c r="AG825" s="12">
        <v>7222205</v>
      </c>
      <c r="AH825" s="12">
        <v>5982874</v>
      </c>
      <c r="AI825" s="12">
        <v>2350713</v>
      </c>
      <c r="AJ825" s="23">
        <f t="shared" si="1655"/>
        <v>2962</v>
      </c>
      <c r="AK825" s="23">
        <f t="shared" si="1656"/>
        <v>15555792</v>
      </c>
      <c r="AL825" s="28">
        <f>AK825/detalle!$D$2</f>
        <v>1419256.8800802226</v>
      </c>
    </row>
    <row r="826" spans="1:38">
      <c r="A826" s="12">
        <v>825</v>
      </c>
      <c r="B826" s="19">
        <v>44715</v>
      </c>
      <c r="C826" s="12">
        <v>807</v>
      </c>
      <c r="D826" s="23">
        <f t="shared" si="1643"/>
        <v>532</v>
      </c>
      <c r="E826" s="12">
        <v>586099</v>
      </c>
      <c r="F826" s="12">
        <v>4377</v>
      </c>
      <c r="G826" s="12">
        <v>579434</v>
      </c>
      <c r="H826" s="23">
        <f t="shared" si="1644"/>
        <v>2288</v>
      </c>
      <c r="I826" s="23">
        <f t="shared" si="1645"/>
        <v>4123</v>
      </c>
      <c r="J826" s="12">
        <v>3372385</v>
      </c>
      <c r="K826" s="23">
        <f t="shared" si="1646"/>
        <v>2786286</v>
      </c>
      <c r="L826" s="23">
        <f t="shared" si="1647"/>
        <v>830</v>
      </c>
      <c r="M826" s="14">
        <f t="shared" si="1648"/>
        <v>7.4680216140959122E-3</v>
      </c>
      <c r="N826" s="14">
        <f t="shared" si="1649"/>
        <v>0.12903225806451613</v>
      </c>
      <c r="O826" s="24"/>
      <c r="P826" s="12"/>
      <c r="Q826" s="12"/>
      <c r="R826" s="23">
        <f t="shared" si="1650"/>
        <v>583811</v>
      </c>
      <c r="S826" s="25">
        <f>(((H826+R826)/(H825+R825))-1)+detalle!$D$1</f>
        <v>7.2337092571327172E-2</v>
      </c>
      <c r="T826" s="25">
        <f t="shared" si="1651"/>
        <v>1.0127192959985805</v>
      </c>
      <c r="U826" s="10">
        <f t="shared" si="1652"/>
        <v>0.98862820103770865</v>
      </c>
      <c r="V826" s="21">
        <f t="shared" si="1653"/>
        <v>132.38153986748915</v>
      </c>
      <c r="W826" s="15">
        <f>J826/detalle!$D$2</f>
        <v>307684.79120377422</v>
      </c>
      <c r="X826" s="15">
        <f>E826/detalle!$D$2</f>
        <v>53473.653939197589</v>
      </c>
      <c r="Y826" s="15">
        <f>F826/detalle!$D$2</f>
        <v>399.3424034026126</v>
      </c>
      <c r="AA826" s="14">
        <f>E826/(detalle!$D$2*1000000)</f>
        <v>5.3473653939197591E-2</v>
      </c>
      <c r="AB826" s="14">
        <f>F826/(detalle!$D$2*1000000)</f>
        <v>3.993424034026126E-4</v>
      </c>
      <c r="AC826" s="31">
        <f>11/585</f>
        <v>1.8803418803418803E-2</v>
      </c>
      <c r="AD826" s="31">
        <f>107/2373</f>
        <v>4.5090602612726509E-2</v>
      </c>
      <c r="AE826" s="31">
        <f>0/469</f>
        <v>0</v>
      </c>
      <c r="AF826" s="22">
        <f t="shared" si="1654"/>
        <v>0</v>
      </c>
      <c r="AG826" s="12">
        <v>7222205</v>
      </c>
      <c r="AH826" s="12">
        <v>5982874</v>
      </c>
      <c r="AI826" s="12">
        <v>2350713</v>
      </c>
      <c r="AJ826" s="23">
        <f t="shared" si="1655"/>
        <v>0</v>
      </c>
      <c r="AK826" s="23">
        <f t="shared" si="1656"/>
        <v>15555792</v>
      </c>
      <c r="AL826" s="28">
        <f>AK826/detalle!$D$2</f>
        <v>1419256.8800802226</v>
      </c>
    </row>
    <row r="827" spans="1:38">
      <c r="A827" s="12">
        <v>826</v>
      </c>
      <c r="B827" s="19">
        <v>44716</v>
      </c>
      <c r="C827" s="12">
        <v>808</v>
      </c>
      <c r="D827" s="23">
        <f t="shared" si="1643"/>
        <v>827</v>
      </c>
      <c r="E827" s="12">
        <v>586926</v>
      </c>
      <c r="F827" s="12">
        <v>4377</v>
      </c>
      <c r="G827" s="12">
        <v>579749</v>
      </c>
      <c r="H827" s="23">
        <f t="shared" si="1644"/>
        <v>2800</v>
      </c>
      <c r="I827" s="23">
        <f t="shared" si="1645"/>
        <v>5576</v>
      </c>
      <c r="J827" s="12">
        <v>3377961</v>
      </c>
      <c r="K827" s="23">
        <f t="shared" si="1646"/>
        <v>2791035</v>
      </c>
      <c r="L827" s="23">
        <f t="shared" si="1647"/>
        <v>315</v>
      </c>
      <c r="M827" s="14">
        <f t="shared" si="1648"/>
        <v>7.4574989010539657E-3</v>
      </c>
      <c r="N827" s="14">
        <f t="shared" si="1649"/>
        <v>0.1483142037302726</v>
      </c>
      <c r="O827" s="24"/>
      <c r="P827" s="12"/>
      <c r="Q827" s="12"/>
      <c r="R827" s="23">
        <f t="shared" si="1650"/>
        <v>584126</v>
      </c>
      <c r="S827" s="25">
        <f>(((H827+R827)/(H826+R826))-1)+detalle!$D$1</f>
        <v>7.2839595845948041E-2</v>
      </c>
      <c r="T827" s="25">
        <f t="shared" si="1651"/>
        <v>1.0197543418432726</v>
      </c>
      <c r="U827" s="10">
        <f t="shared" si="1652"/>
        <v>0.98777188265641669</v>
      </c>
      <c r="V827" s="21">
        <f t="shared" si="1653"/>
        <v>132.45350696824309</v>
      </c>
      <c r="W827" s="15">
        <f>J827/detalle!$D$2</f>
        <v>308193.52623721561</v>
      </c>
      <c r="X827" s="15">
        <f>E827/detalle!$D$2</f>
        <v>53549.106570592143</v>
      </c>
      <c r="Y827" s="15">
        <f>F827/detalle!$D$2</f>
        <v>399.3424034026126</v>
      </c>
      <c r="AA827" s="14">
        <f>E827/(detalle!$D$2*1000000)</f>
        <v>5.3549106570592142E-2</v>
      </c>
      <c r="AB827" s="14">
        <f>F827/(detalle!$D$2*1000000)</f>
        <v>3.993424034026126E-4</v>
      </c>
      <c r="AC827" s="31">
        <f>11/585</f>
        <v>1.8803418803418803E-2</v>
      </c>
      <c r="AD827" s="31">
        <f>107/2373</f>
        <v>4.5090602612726509E-2</v>
      </c>
      <c r="AE827" s="31">
        <f>0/469</f>
        <v>0</v>
      </c>
      <c r="AF827" s="22">
        <f t="shared" si="1654"/>
        <v>0</v>
      </c>
      <c r="AG827" s="12">
        <v>7223210</v>
      </c>
      <c r="AH827" s="12">
        <v>5983833</v>
      </c>
      <c r="AI827" s="12">
        <v>2352603</v>
      </c>
      <c r="AJ827" s="23">
        <f t="shared" si="1655"/>
        <v>3854</v>
      </c>
      <c r="AK827" s="23">
        <f t="shared" si="1656"/>
        <v>15559646</v>
      </c>
      <c r="AL827" s="28">
        <f>AK827/detalle!$D$2</f>
        <v>1419608.5057651012</v>
      </c>
    </row>
    <row r="828" spans="1:38">
      <c r="A828" s="12">
        <v>827</v>
      </c>
      <c r="B828" s="19">
        <v>44717</v>
      </c>
      <c r="C828" s="12">
        <v>809</v>
      </c>
      <c r="D828" s="23">
        <f t="shared" ref="D828:D829" si="1657">E828-E827</f>
        <v>652</v>
      </c>
      <c r="E828" s="12">
        <v>587578</v>
      </c>
      <c r="F828" s="12">
        <v>4377</v>
      </c>
      <c r="G828" s="12">
        <v>579840</v>
      </c>
      <c r="H828" s="23">
        <f t="shared" ref="H828:H829" si="1658">E828-F828-G828</f>
        <v>3361</v>
      </c>
      <c r="I828" s="23">
        <f t="shared" ref="I828:I829" si="1659">J828-J827</f>
        <v>4360</v>
      </c>
      <c r="J828" s="12">
        <v>3382321</v>
      </c>
      <c r="K828" s="23">
        <f t="shared" ref="K828:K829" si="1660">J828-E828</f>
        <v>2794743</v>
      </c>
      <c r="L828" s="23">
        <f t="shared" ref="L828:L829" si="1661">G828-G827</f>
        <v>91</v>
      </c>
      <c r="M828" s="14">
        <f t="shared" ref="M828:M829" si="1662">F828/E828</f>
        <v>7.4492237626323657E-3</v>
      </c>
      <c r="N828" s="14">
        <f t="shared" ref="N828:N829" si="1663">D828/I828</f>
        <v>0.14954128440366973</v>
      </c>
      <c r="O828" s="24"/>
      <c r="P828" s="12"/>
      <c r="Q828" s="12"/>
      <c r="R828" s="23">
        <f t="shared" ref="R828:R829" si="1664">F828+G828</f>
        <v>584217</v>
      </c>
      <c r="S828" s="25">
        <f>(((H828+R828)/(H827+R827))-1)+detalle!$D$1</f>
        <v>7.2539444008760362E-2</v>
      </c>
      <c r="T828" s="25">
        <f t="shared" ref="T828:T829" si="1665">S828*14</f>
        <v>1.0155522161226451</v>
      </c>
      <c r="U828" s="10">
        <f t="shared" ref="U828:U829" si="1666">G828/E828</f>
        <v>0.98683068460697987</v>
      </c>
      <c r="V828" s="21">
        <f t="shared" ref="V828:V829" si="1667">G828/F828</f>
        <v>132.47429746401644</v>
      </c>
      <c r="W828" s="15">
        <f>J828/detalle!$D$2</f>
        <v>308591.31761917478</v>
      </c>
      <c r="X828" s="15">
        <f>E828/detalle!$D$2</f>
        <v>53608.592804775028</v>
      </c>
      <c r="Y828" s="15">
        <f>F828/detalle!$D$2</f>
        <v>399.3424034026126</v>
      </c>
      <c r="AA828" s="14">
        <f>E828/(detalle!$D$2*1000000)</f>
        <v>5.3608592804775028E-2</v>
      </c>
      <c r="AB828" s="14">
        <f>F828/(detalle!$D$2*1000000)</f>
        <v>3.993424034026126E-4</v>
      </c>
      <c r="AC828" s="31">
        <f t="shared" ref="AC828" si="1668">11/585</f>
        <v>1.8803418803418803E-2</v>
      </c>
      <c r="AD828" s="31">
        <f t="shared" ref="AD828" si="1669">107/2373</f>
        <v>4.5090602612726509E-2</v>
      </c>
      <c r="AE828" s="31">
        <f t="shared" ref="AE828" si="1670">0/469</f>
        <v>0</v>
      </c>
      <c r="AF828" s="22">
        <f t="shared" ref="AF828:AF829" si="1671">F828-F827</f>
        <v>0</v>
      </c>
      <c r="AG828" s="12">
        <v>7223399</v>
      </c>
      <c r="AH828" s="12">
        <v>5983972</v>
      </c>
      <c r="AI828" s="12">
        <v>2352921</v>
      </c>
      <c r="AJ828" s="23">
        <f t="shared" ref="AJ828:AJ829" si="1672">AK828-AK827</f>
        <v>646</v>
      </c>
      <c r="AK828" s="23">
        <f t="shared" ref="AK828:AK829" si="1673">AG828+AH828+AI828</f>
        <v>15560292</v>
      </c>
      <c r="AL828" s="28">
        <f>AK828/detalle!$D$2</f>
        <v>1419667.444579951</v>
      </c>
    </row>
    <row r="829" spans="1:38">
      <c r="A829" s="12">
        <v>828</v>
      </c>
      <c r="B829" s="19">
        <v>44718</v>
      </c>
      <c r="C829" s="12">
        <v>810</v>
      </c>
      <c r="D829" s="23">
        <f t="shared" si="1657"/>
        <v>830</v>
      </c>
      <c r="E829" s="12">
        <v>588408</v>
      </c>
      <c r="F829" s="12">
        <v>4379</v>
      </c>
      <c r="G829" s="12">
        <v>580224</v>
      </c>
      <c r="H829" s="23">
        <f t="shared" si="1658"/>
        <v>3805</v>
      </c>
      <c r="I829" s="23">
        <f t="shared" si="1659"/>
        <v>5216</v>
      </c>
      <c r="J829" s="12">
        <v>3387537</v>
      </c>
      <c r="K829" s="23">
        <f t="shared" si="1660"/>
        <v>2799129</v>
      </c>
      <c r="L829" s="23">
        <f t="shared" si="1661"/>
        <v>384</v>
      </c>
      <c r="M829" s="14">
        <f t="shared" si="1662"/>
        <v>7.4421149950374566E-3</v>
      </c>
      <c r="N829" s="14">
        <f t="shared" si="1663"/>
        <v>0.15912576687116564</v>
      </c>
      <c r="O829" s="24"/>
      <c r="P829" s="12"/>
      <c r="Q829" s="12"/>
      <c r="R829" s="23">
        <f t="shared" si="1664"/>
        <v>584603</v>
      </c>
      <c r="S829" s="25">
        <f>(((H829+R829)/(H828+R828))-1)+detalle!$D$1</f>
        <v>7.2841149843692526E-2</v>
      </c>
      <c r="T829" s="25">
        <f t="shared" si="1665"/>
        <v>1.0197760978116954</v>
      </c>
      <c r="U829" s="10">
        <f t="shared" si="1666"/>
        <v>0.98609128359913534</v>
      </c>
      <c r="V829" s="21">
        <f t="shared" si="1667"/>
        <v>132.50148435715917</v>
      </c>
      <c r="W829" s="15">
        <f>J829/detalle!$D$2</f>
        <v>309067.20749263791</v>
      </c>
      <c r="X829" s="15">
        <f>E829/detalle!$D$2</f>
        <v>53684.319145836067</v>
      </c>
      <c r="Y829" s="15">
        <f>F829/detalle!$D$2</f>
        <v>399.52487651360309</v>
      </c>
      <c r="AA829" s="14">
        <f>E829/(detalle!$D$2*1000000)</f>
        <v>5.3684319145836067E-2</v>
      </c>
      <c r="AB829" s="14">
        <f>F829/(detalle!$D$2*1000000)</f>
        <v>3.9952487651360308E-4</v>
      </c>
      <c r="AC829" s="31">
        <f>9/585</f>
        <v>1.5384615384615385E-2</v>
      </c>
      <c r="AD829" s="31">
        <f>120/2373</f>
        <v>5.0568900126422248E-2</v>
      </c>
      <c r="AE829" s="31">
        <f>1/469</f>
        <v>2.1321961620469083E-3</v>
      </c>
      <c r="AF829" s="22">
        <f t="shared" si="1671"/>
        <v>2</v>
      </c>
      <c r="AG829" s="12">
        <v>7224035</v>
      </c>
      <c r="AH829" s="12">
        <v>5984678</v>
      </c>
      <c r="AI829" s="12">
        <v>2354431</v>
      </c>
      <c r="AJ829" s="23">
        <f t="shared" si="1672"/>
        <v>2852</v>
      </c>
      <c r="AK829" s="23">
        <f t="shared" si="1673"/>
        <v>15563144</v>
      </c>
      <c r="AL829" s="28">
        <f>AK829/detalle!$D$2</f>
        <v>1419927.6512362235</v>
      </c>
    </row>
    <row r="830" spans="1:38">
      <c r="A830" s="12">
        <v>829</v>
      </c>
      <c r="B830" s="19">
        <v>44719</v>
      </c>
      <c r="C830" s="12">
        <v>811</v>
      </c>
      <c r="D830" s="23">
        <f t="shared" ref="D830:D834" si="1674">E830-E829</f>
        <v>570</v>
      </c>
      <c r="E830" s="12">
        <v>588978</v>
      </c>
      <c r="F830" s="12">
        <v>4380</v>
      </c>
      <c r="G830" s="12">
        <v>580764</v>
      </c>
      <c r="H830" s="23">
        <f t="shared" ref="H830:H834" si="1675">E830-F830-G830</f>
        <v>3834</v>
      </c>
      <c r="I830" s="23">
        <f t="shared" ref="I830:I834" si="1676">J830-J829</f>
        <v>3535</v>
      </c>
      <c r="J830" s="12">
        <v>3391072</v>
      </c>
      <c r="K830" s="23">
        <f t="shared" ref="K830:K834" si="1677">J830-E830</f>
        <v>2802094</v>
      </c>
      <c r="L830" s="23">
        <f t="shared" ref="L830:L834" si="1678">G830-G829</f>
        <v>540</v>
      </c>
      <c r="M830" s="14">
        <f t="shared" ref="M830:M834" si="1679">F830/E830</f>
        <v>7.43661053553783E-3</v>
      </c>
      <c r="N830" s="14">
        <f t="shared" ref="N830:N834" si="1680">D830/I830</f>
        <v>0.16124469589816123</v>
      </c>
      <c r="O830" s="24"/>
      <c r="P830" s="12"/>
      <c r="Q830" s="12"/>
      <c r="R830" s="23">
        <f t="shared" ref="R830:R834" si="1681">F830+G830</f>
        <v>585144</v>
      </c>
      <c r="S830" s="25">
        <f>(((H830+R830)/(H829+R829))-1)+detalle!$D$1</f>
        <v>7.2397287013675565E-2</v>
      </c>
      <c r="T830" s="25">
        <f t="shared" ref="T830:T834" si="1682">S830*14</f>
        <v>1.013562018191458</v>
      </c>
      <c r="U830" s="10">
        <f t="shared" ref="U830:U834" si="1683">G830/E830</f>
        <v>0.98605380846143664</v>
      </c>
      <c r="V830" s="21">
        <f t="shared" ref="V830:V834" si="1684">G830/F830</f>
        <v>132.59452054794519</v>
      </c>
      <c r="W830" s="15">
        <f>J830/detalle!$D$2</f>
        <v>309389.72871631355</v>
      </c>
      <c r="X830" s="15">
        <f>E830/detalle!$D$2</f>
        <v>53736.323982468348</v>
      </c>
      <c r="Y830" s="15">
        <f>F830/detalle!$D$2</f>
        <v>399.61611306909828</v>
      </c>
      <c r="AA830" s="14">
        <f>E830/(detalle!$D$2*1000000)</f>
        <v>5.3736323982468345E-2</v>
      </c>
      <c r="AB830" s="14">
        <f>F830/(detalle!$D$2*1000000)</f>
        <v>3.9961611306909829E-4</v>
      </c>
      <c r="AC830" s="31">
        <f>13/585</f>
        <v>2.2222222222222223E-2</v>
      </c>
      <c r="AD830" s="31">
        <f>146/2373</f>
        <v>6.1525495153813739E-2</v>
      </c>
      <c r="AE830" s="31">
        <f>4/469</f>
        <v>8.5287846481876331E-3</v>
      </c>
      <c r="AF830" s="22">
        <f t="shared" ref="AF830:AF834" si="1685">F830-F829</f>
        <v>1</v>
      </c>
      <c r="AG830" s="12">
        <v>7224681</v>
      </c>
      <c r="AH830" s="12">
        <v>5985409</v>
      </c>
      <c r="AI830" s="12">
        <v>2355819</v>
      </c>
      <c r="AJ830" s="23">
        <f t="shared" ref="AJ830:AJ834" si="1686">AK830-AK829</f>
        <v>2765</v>
      </c>
      <c r="AK830" s="23">
        <f t="shared" ref="AK830:AK834" si="1687">AG830+AH830+AI830</f>
        <v>15565909</v>
      </c>
      <c r="AL830" s="28">
        <f>AK830/detalle!$D$2</f>
        <v>1420179.9203121678</v>
      </c>
    </row>
    <row r="831" spans="1:38">
      <c r="A831" s="12">
        <v>830</v>
      </c>
      <c r="B831" s="19">
        <v>44720</v>
      </c>
      <c r="C831" s="12">
        <v>812</v>
      </c>
      <c r="D831" s="23">
        <f t="shared" si="1674"/>
        <v>543</v>
      </c>
      <c r="E831" s="12">
        <v>589521</v>
      </c>
      <c r="F831" s="12">
        <v>4380</v>
      </c>
      <c r="G831" s="12">
        <v>581799</v>
      </c>
      <c r="H831" s="23">
        <f t="shared" si="1675"/>
        <v>3342</v>
      </c>
      <c r="I831" s="23">
        <f t="shared" si="1676"/>
        <v>3243</v>
      </c>
      <c r="J831" s="12">
        <v>3394315</v>
      </c>
      <c r="K831" s="23">
        <f t="shared" si="1677"/>
        <v>2804794</v>
      </c>
      <c r="L831" s="23">
        <f t="shared" si="1678"/>
        <v>1035</v>
      </c>
      <c r="M831" s="14">
        <f t="shared" si="1679"/>
        <v>7.4297607718809E-3</v>
      </c>
      <c r="N831" s="14">
        <f t="shared" si="1680"/>
        <v>0.16743755781683625</v>
      </c>
      <c r="O831" s="24"/>
      <c r="P831" s="12"/>
      <c r="Q831" s="12"/>
      <c r="R831" s="23">
        <f t="shared" si="1681"/>
        <v>586179</v>
      </c>
      <c r="S831" s="25">
        <f>(((H831+R831)/(H830+R830))-1)+detalle!$D$1</f>
        <v>7.2350507392223734E-2</v>
      </c>
      <c r="T831" s="25">
        <f t="shared" si="1682"/>
        <v>1.0129071034911323</v>
      </c>
      <c r="U831" s="10">
        <f t="shared" si="1683"/>
        <v>0.9869012299816291</v>
      </c>
      <c r="V831" s="21">
        <f t="shared" si="1684"/>
        <v>132.83082191780821</v>
      </c>
      <c r="W831" s="15">
        <f>J831/detalle!$D$2</f>
        <v>309685.60886578454</v>
      </c>
      <c r="X831" s="15">
        <f>E831/detalle!$D$2</f>
        <v>53785.865432102262</v>
      </c>
      <c r="Y831" s="15">
        <f>F831/detalle!$D$2</f>
        <v>399.61611306909828</v>
      </c>
      <c r="AA831" s="14">
        <f>E831/(detalle!$D$2*1000000)</f>
        <v>5.3785865432102259E-2</v>
      </c>
      <c r="AB831" s="14">
        <f>F831/(detalle!$D$2*1000000)</f>
        <v>3.9961611306909829E-4</v>
      </c>
      <c r="AC831" s="31">
        <f>17/585</f>
        <v>2.9059829059829061E-2</v>
      </c>
      <c r="AD831" s="31">
        <f>158/2373</f>
        <v>6.6582385166455968E-2</v>
      </c>
      <c r="AE831" s="31">
        <f>3/469</f>
        <v>6.3965884861407248E-3</v>
      </c>
      <c r="AF831" s="22">
        <f t="shared" si="1685"/>
        <v>0</v>
      </c>
      <c r="AG831" s="12">
        <v>7225394</v>
      </c>
      <c r="AH831" s="12">
        <v>5986091</v>
      </c>
      <c r="AI831" s="12">
        <v>2357361</v>
      </c>
      <c r="AJ831" s="23">
        <f t="shared" si="1686"/>
        <v>2937</v>
      </c>
      <c r="AK831" s="23">
        <f t="shared" si="1687"/>
        <v>15568846</v>
      </c>
      <c r="AL831" s="28">
        <f>AK831/detalle!$D$2</f>
        <v>1420447.8820756571</v>
      </c>
    </row>
    <row r="832" spans="1:38">
      <c r="A832" s="12">
        <v>831</v>
      </c>
      <c r="B832" s="19">
        <v>44721</v>
      </c>
      <c r="C832" s="12">
        <v>813</v>
      </c>
      <c r="D832" s="23">
        <f t="shared" si="1674"/>
        <v>537</v>
      </c>
      <c r="E832" s="12">
        <v>590058</v>
      </c>
      <c r="F832" s="12">
        <v>4380</v>
      </c>
      <c r="G832" s="12">
        <v>582339</v>
      </c>
      <c r="H832" s="23">
        <f t="shared" si="1675"/>
        <v>3339</v>
      </c>
      <c r="I832" s="23">
        <f t="shared" si="1676"/>
        <v>3074</v>
      </c>
      <c r="J832" s="12">
        <v>3397389</v>
      </c>
      <c r="K832" s="23">
        <f t="shared" si="1677"/>
        <v>2807331</v>
      </c>
      <c r="L832" s="23">
        <f t="shared" si="1678"/>
        <v>540</v>
      </c>
      <c r="M832" s="14">
        <f t="shared" si="1679"/>
        <v>7.4229990950042202E-3</v>
      </c>
      <c r="N832" s="14">
        <f t="shared" si="1680"/>
        <v>0.17469095640858817</v>
      </c>
      <c r="O832" s="24"/>
      <c r="P832" s="12"/>
      <c r="Q832" s="12"/>
      <c r="R832" s="23">
        <f t="shared" si="1681"/>
        <v>586719</v>
      </c>
      <c r="S832" s="25">
        <f>(((H832+R832)/(H831+R831))-1)+detalle!$D$1</f>
        <v>7.2339480454713084E-2</v>
      </c>
      <c r="T832" s="25">
        <f t="shared" si="1682"/>
        <v>1.0127527263659832</v>
      </c>
      <c r="U832" s="10">
        <f t="shared" si="1683"/>
        <v>0.98691823515654398</v>
      </c>
      <c r="V832" s="21">
        <f t="shared" si="1684"/>
        <v>132.95410958904111</v>
      </c>
      <c r="W832" s="15">
        <f>J832/detalle!$D$2</f>
        <v>309966.07003737689</v>
      </c>
      <c r="X832" s="15">
        <f>E832/detalle!$D$2</f>
        <v>53834.859462403198</v>
      </c>
      <c r="Y832" s="15">
        <f>F832/detalle!$D$2</f>
        <v>399.61611306909828</v>
      </c>
      <c r="AA832" s="14">
        <f>E832/(detalle!$D$2*1000000)</f>
        <v>5.3834859462403198E-2</v>
      </c>
      <c r="AB832" s="14">
        <f>F832/(detalle!$D$2*1000000)</f>
        <v>3.9961611306909829E-4</v>
      </c>
      <c r="AC832" s="31">
        <f>18/585</f>
        <v>3.0769230769230771E-2</v>
      </c>
      <c r="AD832" s="31">
        <f>174/2373</f>
        <v>7.3324905183312264E-2</v>
      </c>
      <c r="AE832" s="31">
        <f>3/469</f>
        <v>6.3965884861407248E-3</v>
      </c>
      <c r="AF832" s="22">
        <f t="shared" si="1685"/>
        <v>0</v>
      </c>
      <c r="AG832" s="12">
        <v>7225953</v>
      </c>
      <c r="AH832" s="12">
        <v>5986828</v>
      </c>
      <c r="AI832" s="12">
        <v>2358742</v>
      </c>
      <c r="AJ832" s="23">
        <f t="shared" si="1686"/>
        <v>2677</v>
      </c>
      <c r="AK832" s="23">
        <f t="shared" si="1687"/>
        <v>15571523</v>
      </c>
      <c r="AL832" s="28">
        <f>AK832/detalle!$D$2</f>
        <v>1420692.122334718</v>
      </c>
    </row>
    <row r="833" spans="1:38">
      <c r="A833" s="12">
        <v>832</v>
      </c>
      <c r="B833" s="19">
        <v>44722</v>
      </c>
      <c r="C833" s="12">
        <v>814</v>
      </c>
      <c r="D833" s="23">
        <f t="shared" si="1674"/>
        <v>706</v>
      </c>
      <c r="E833" s="12">
        <v>590764</v>
      </c>
      <c r="F833" s="12">
        <v>4380</v>
      </c>
      <c r="G833" s="12">
        <v>583196</v>
      </c>
      <c r="H833" s="23">
        <f t="shared" si="1675"/>
        <v>3188</v>
      </c>
      <c r="I833" s="23">
        <f t="shared" si="1676"/>
        <v>3902</v>
      </c>
      <c r="J833" s="12">
        <v>3401291</v>
      </c>
      <c r="K833" s="23">
        <f t="shared" si="1677"/>
        <v>2810527</v>
      </c>
      <c r="L833" s="23">
        <f t="shared" si="1678"/>
        <v>857</v>
      </c>
      <c r="M833" s="14">
        <f t="shared" si="1679"/>
        <v>7.4141281459262917E-3</v>
      </c>
      <c r="N833" s="14">
        <f t="shared" si="1680"/>
        <v>0.18093285494618144</v>
      </c>
      <c r="O833" s="24"/>
      <c r="P833" s="12"/>
      <c r="Q833" s="12"/>
      <c r="R833" s="23">
        <f t="shared" si="1681"/>
        <v>587576</v>
      </c>
      <c r="S833" s="25">
        <f>(((H833+R833)/(H832+R832))-1)+detalle!$D$1</f>
        <v>7.2625063976761633E-2</v>
      </c>
      <c r="T833" s="25">
        <f t="shared" si="1682"/>
        <v>1.0167508956746629</v>
      </c>
      <c r="U833" s="10">
        <f t="shared" si="1683"/>
        <v>0.98718946990676482</v>
      </c>
      <c r="V833" s="21">
        <f t="shared" si="1684"/>
        <v>133.14977168949773</v>
      </c>
      <c r="W833" s="15">
        <f>J833/detalle!$D$2</f>
        <v>310322.07507691928</v>
      </c>
      <c r="X833" s="15">
        <f>E833/detalle!$D$2</f>
        <v>53899.27247058283</v>
      </c>
      <c r="Y833" s="15">
        <f>F833/detalle!$D$2</f>
        <v>399.61611306909828</v>
      </c>
      <c r="AA833" s="14">
        <f>E833/(detalle!$D$2*1000000)</f>
        <v>5.3899272470582828E-2</v>
      </c>
      <c r="AB833" s="14">
        <f>F833/(detalle!$D$2*1000000)</f>
        <v>3.9961611306909829E-4</v>
      </c>
      <c r="AC833" s="31">
        <f>14/585</f>
        <v>2.3931623931623933E-2</v>
      </c>
      <c r="AD833" s="31">
        <f>127/2373</f>
        <v>5.3518752633796879E-2</v>
      </c>
      <c r="AE833" s="31">
        <f>4/469</f>
        <v>8.5287846481876331E-3</v>
      </c>
      <c r="AF833" s="22">
        <f t="shared" si="1685"/>
        <v>0</v>
      </c>
      <c r="AG833" s="12">
        <v>7226741</v>
      </c>
      <c r="AH833" s="12">
        <v>5987646</v>
      </c>
      <c r="AI833" s="12">
        <v>2360080</v>
      </c>
      <c r="AJ833" s="23">
        <f t="shared" si="1686"/>
        <v>2944</v>
      </c>
      <c r="AK833" s="23">
        <f t="shared" si="1687"/>
        <v>15574467</v>
      </c>
      <c r="AL833" s="28">
        <f>AK833/detalle!$D$2</f>
        <v>1420960.7227540959</v>
      </c>
    </row>
    <row r="834" spans="1:38">
      <c r="A834" s="12">
        <v>833</v>
      </c>
      <c r="B834" s="19">
        <v>44723</v>
      </c>
      <c r="C834" s="12">
        <v>815</v>
      </c>
      <c r="D834" s="23">
        <f t="shared" si="1674"/>
        <v>918</v>
      </c>
      <c r="E834" s="12">
        <v>591682</v>
      </c>
      <c r="F834" s="12">
        <v>4380</v>
      </c>
      <c r="G834" s="12">
        <v>584155</v>
      </c>
      <c r="H834" s="23">
        <f t="shared" si="1675"/>
        <v>3147</v>
      </c>
      <c r="I834" s="23">
        <f t="shared" si="1676"/>
        <v>4890</v>
      </c>
      <c r="J834" s="12">
        <v>3406181</v>
      </c>
      <c r="K834" s="23">
        <f t="shared" si="1677"/>
        <v>2814499</v>
      </c>
      <c r="L834" s="23">
        <f t="shared" si="1678"/>
        <v>959</v>
      </c>
      <c r="M834" s="14">
        <f t="shared" si="1679"/>
        <v>7.4026250587308721E-3</v>
      </c>
      <c r="N834" s="14">
        <f t="shared" si="1680"/>
        <v>0.18773006134969325</v>
      </c>
      <c r="O834" s="24"/>
      <c r="P834" s="12"/>
      <c r="Q834" s="12"/>
      <c r="R834" s="23">
        <f t="shared" si="1681"/>
        <v>588535</v>
      </c>
      <c r="S834" s="25">
        <f>(((H834+R834)/(H833+R833))-1)+detalle!$D$1</f>
        <v>7.2982491437238145E-2</v>
      </c>
      <c r="T834" s="25">
        <f t="shared" si="1682"/>
        <v>1.0217548801213341</v>
      </c>
      <c r="U834" s="10">
        <f t="shared" si="1683"/>
        <v>0.98727863953948236</v>
      </c>
      <c r="V834" s="21">
        <f t="shared" si="1684"/>
        <v>133.36872146118722</v>
      </c>
      <c r="W834" s="15">
        <f>J834/detalle!$D$2</f>
        <v>310768.22183329094</v>
      </c>
      <c r="X834" s="15">
        <f>E834/detalle!$D$2</f>
        <v>53983.027628527445</v>
      </c>
      <c r="Y834" s="15">
        <f>F834/detalle!$D$2</f>
        <v>399.61611306909828</v>
      </c>
      <c r="AA834" s="14">
        <f>E834/(detalle!$D$2*1000000)</f>
        <v>5.3983027628527441E-2</v>
      </c>
      <c r="AB834" s="14">
        <f>F834/(detalle!$D$2*1000000)</f>
        <v>3.9961611306909829E-4</v>
      </c>
      <c r="AC834" s="31">
        <f>18/585</f>
        <v>3.0769230769230771E-2</v>
      </c>
      <c r="AD834" s="31">
        <f>194/2373</f>
        <v>8.1753055204382641E-2</v>
      </c>
      <c r="AE834" s="31">
        <f>3/469</f>
        <v>6.3965884861407248E-3</v>
      </c>
      <c r="AF834" s="22">
        <f t="shared" si="1685"/>
        <v>0</v>
      </c>
      <c r="AG834" s="12">
        <v>7227159</v>
      </c>
      <c r="AH834" s="12">
        <v>5988041</v>
      </c>
      <c r="AI834" s="12">
        <v>2360835</v>
      </c>
      <c r="AJ834" s="23">
        <f t="shared" si="1686"/>
        <v>1568</v>
      </c>
      <c r="AK834" s="23">
        <f t="shared" si="1687"/>
        <v>15576035</v>
      </c>
      <c r="AL834" s="28">
        <f>AK834/detalle!$D$2</f>
        <v>1421103.7816731124</v>
      </c>
    </row>
    <row r="835" spans="1:38">
      <c r="A835" s="12">
        <v>834</v>
      </c>
      <c r="B835" s="19">
        <v>44724</v>
      </c>
      <c r="C835" s="12">
        <v>816</v>
      </c>
      <c r="D835" s="23">
        <f t="shared" ref="D835" si="1688">E835-E834</f>
        <v>896</v>
      </c>
      <c r="E835" s="12">
        <v>592578</v>
      </c>
      <c r="F835" s="12">
        <v>4380</v>
      </c>
      <c r="G835" s="12">
        <v>584682</v>
      </c>
      <c r="H835" s="23">
        <f t="shared" ref="H835" si="1689">E835-F835-G835</f>
        <v>3516</v>
      </c>
      <c r="I835" s="23">
        <f t="shared" ref="I835" si="1690">J835-J834</f>
        <v>4870</v>
      </c>
      <c r="J835" s="12">
        <v>3411051</v>
      </c>
      <c r="K835" s="23">
        <f t="shared" ref="K835" si="1691">J835-E835</f>
        <v>2818473</v>
      </c>
      <c r="L835" s="23">
        <f t="shared" ref="L835" si="1692">G835-G834</f>
        <v>527</v>
      </c>
      <c r="M835" s="14">
        <f t="shared" ref="M835" si="1693">F835/E835</f>
        <v>7.391432014013345E-3</v>
      </c>
      <c r="N835" s="14">
        <f t="shared" ref="N835" si="1694">D835/I835</f>
        <v>0.1839835728952772</v>
      </c>
      <c r="O835" s="24"/>
      <c r="P835" s="12"/>
      <c r="Q835" s="12"/>
      <c r="R835" s="23">
        <f t="shared" ref="R835" si="1695">F835+G835</f>
        <v>589062</v>
      </c>
      <c r="S835" s="25">
        <f>(((H835+R835)/(H834+R834))-1)+detalle!$D$1</f>
        <v>7.2942898381225058E-2</v>
      </c>
      <c r="T835" s="25">
        <f t="shared" ref="T835" si="1696">S835*14</f>
        <v>1.0212005773371509</v>
      </c>
      <c r="U835" s="10">
        <f t="shared" ref="U835" si="1697">G835/E835</f>
        <v>0.98667517187610743</v>
      </c>
      <c r="V835" s="21">
        <f t="shared" ref="V835" si="1698">G835/F835</f>
        <v>133.4890410958904</v>
      </c>
      <c r="W835" s="15">
        <f>J835/detalle!$D$2</f>
        <v>311212.5438585527</v>
      </c>
      <c r="X835" s="15">
        <f>E835/detalle!$D$2</f>
        <v>54064.775582251168</v>
      </c>
      <c r="Y835" s="15">
        <f>F835/detalle!$D$2</f>
        <v>399.61611306909828</v>
      </c>
      <c r="AA835" s="14">
        <f>E835/(detalle!$D$2*1000000)</f>
        <v>5.4064775582251166E-2</v>
      </c>
      <c r="AB835" s="14">
        <f>F835/(detalle!$D$2*1000000)</f>
        <v>3.9961611306909829E-4</v>
      </c>
      <c r="AC835" s="31">
        <f>19/585</f>
        <v>3.2478632478632481E-2</v>
      </c>
      <c r="AD835" s="31">
        <f>192/2373</f>
        <v>8.0910240202275607E-2</v>
      </c>
      <c r="AE835" s="31">
        <f>2/469</f>
        <v>4.2643923240938165E-3</v>
      </c>
      <c r="AF835" s="22">
        <f t="shared" ref="AF835" si="1699">F835-F834</f>
        <v>0</v>
      </c>
      <c r="AG835" s="12">
        <v>7227364</v>
      </c>
      <c r="AH835" s="12">
        <v>5988206</v>
      </c>
      <c r="AI835" s="12">
        <v>2361120</v>
      </c>
      <c r="AJ835" s="23">
        <f t="shared" ref="AJ835" si="1700">AK835-AK834</f>
        <v>655</v>
      </c>
      <c r="AK835" s="23">
        <f t="shared" ref="AK835" si="1701">AG835+AH835+AI835</f>
        <v>15576690</v>
      </c>
      <c r="AL835" s="28">
        <f>AK835/detalle!$D$2</f>
        <v>1421163.5416169618</v>
      </c>
    </row>
    <row r="836" spans="1:38">
      <c r="A836" s="12">
        <v>835</v>
      </c>
      <c r="B836" s="19">
        <v>44725</v>
      </c>
      <c r="C836" s="12">
        <v>817</v>
      </c>
      <c r="D836" s="23">
        <f t="shared" ref="D836" si="1702">E836-E835</f>
        <v>746</v>
      </c>
      <c r="E836" s="12">
        <v>593324</v>
      </c>
      <c r="F836" s="12">
        <v>4382</v>
      </c>
      <c r="G836" s="12">
        <v>584727</v>
      </c>
      <c r="H836" s="23">
        <f t="shared" ref="H836" si="1703">E836-F836-G836</f>
        <v>4215</v>
      </c>
      <c r="I836" s="23">
        <f t="shared" ref="I836" si="1704">J836-J835</f>
        <v>3868</v>
      </c>
      <c r="J836" s="12">
        <v>3414919</v>
      </c>
      <c r="K836" s="23">
        <f t="shared" ref="K836" si="1705">J836-E836</f>
        <v>2821595</v>
      </c>
      <c r="L836" s="23">
        <f t="shared" ref="L836" si="1706">G836-G835</f>
        <v>45</v>
      </c>
      <c r="M836" s="14">
        <f t="shared" ref="M836" si="1707">F836/E836</f>
        <v>7.3855094349798761E-3</v>
      </c>
      <c r="N836" s="14">
        <f t="shared" ref="N836" si="1708">D836/I836</f>
        <v>0.19286452947259566</v>
      </c>
      <c r="O836" s="24"/>
      <c r="P836" s="12"/>
      <c r="Q836" s="12"/>
      <c r="R836" s="23">
        <f t="shared" ref="R836" si="1709">F836+G836</f>
        <v>589109</v>
      </c>
      <c r="S836" s="25">
        <f>(((H836+R836)/(H835+R835))-1)+detalle!$D$1</f>
        <v>7.2687477429131758E-2</v>
      </c>
      <c r="T836" s="25">
        <f t="shared" ref="T836" si="1710">S836*14</f>
        <v>1.0176246840078447</v>
      </c>
      <c r="U836" s="10">
        <f t="shared" ref="U836" si="1711">G836/E836</f>
        <v>0.98551044623173845</v>
      </c>
      <c r="V836" s="21">
        <f t="shared" ref="V836" si="1712">G836/F836</f>
        <v>133.43838429940666</v>
      </c>
      <c r="W836" s="15">
        <f>J836/detalle!$D$2</f>
        <v>311565.44685520825</v>
      </c>
      <c r="X836" s="15">
        <f>E836/detalle!$D$2</f>
        <v>54132.838052650608</v>
      </c>
      <c r="Y836" s="15">
        <f>F836/detalle!$D$2</f>
        <v>399.79858618008876</v>
      </c>
      <c r="AA836" s="14">
        <f>E836/(detalle!$D$2*1000000)</f>
        <v>5.4132838052650609E-2</v>
      </c>
      <c r="AB836" s="14">
        <f>F836/(detalle!$D$2*1000000)</f>
        <v>3.9979858618008872E-4</v>
      </c>
      <c r="AC836" s="31">
        <f>23/585</f>
        <v>3.9316239316239315E-2</v>
      </c>
      <c r="AD836" s="31">
        <f>187/2373</f>
        <v>7.880320269700801E-2</v>
      </c>
      <c r="AE836" s="31">
        <f>2/469</f>
        <v>4.2643923240938165E-3</v>
      </c>
      <c r="AF836" s="22">
        <f t="shared" ref="AF836" si="1713">F836-F835</f>
        <v>2</v>
      </c>
      <c r="AG836" s="12">
        <v>7227971</v>
      </c>
      <c r="AH836" s="12">
        <v>5988937</v>
      </c>
      <c r="AI836" s="12">
        <v>2362489</v>
      </c>
      <c r="AJ836" s="23">
        <f t="shared" ref="AJ836" si="1714">AK836-AK835</f>
        <v>2707</v>
      </c>
      <c r="AK836" s="23">
        <f t="shared" ref="AK836" si="1715">AG836+AH836+AI836</f>
        <v>15579397</v>
      </c>
      <c r="AL836" s="28">
        <f>AK836/detalle!$D$2</f>
        <v>1421410.5189726874</v>
      </c>
    </row>
    <row r="837" spans="1:38">
      <c r="A837" s="12">
        <v>836</v>
      </c>
      <c r="B837" s="19">
        <v>44726</v>
      </c>
      <c r="C837" s="12">
        <v>818</v>
      </c>
      <c r="D837" s="23">
        <f t="shared" ref="D837:D841" si="1716">E837-E836</f>
        <v>737</v>
      </c>
      <c r="E837" s="12">
        <v>594061</v>
      </c>
      <c r="F837" s="12">
        <v>4382</v>
      </c>
      <c r="G837" s="12">
        <v>585940</v>
      </c>
      <c r="H837" s="23">
        <f t="shared" ref="H837:H841" si="1717">E837-F837-G837</f>
        <v>3739</v>
      </c>
      <c r="I837" s="23">
        <f t="shared" ref="I837:I841" si="1718">J837-J836</f>
        <v>4451</v>
      </c>
      <c r="J837" s="12">
        <v>3419370</v>
      </c>
      <c r="K837" s="23">
        <f t="shared" ref="K837:K841" si="1719">J837-E837</f>
        <v>2825309</v>
      </c>
      <c r="L837" s="23">
        <f t="shared" ref="L837:L841" si="1720">G837-G836</f>
        <v>1213</v>
      </c>
      <c r="M837" s="14">
        <f t="shared" ref="M837:M841" si="1721">F837/E837</f>
        <v>7.3763468734692229E-3</v>
      </c>
      <c r="N837" s="14">
        <f t="shared" ref="N837:N841" si="1722">D837/I837</f>
        <v>0.16558076836665916</v>
      </c>
      <c r="O837" s="24"/>
      <c r="P837" s="12"/>
      <c r="Q837" s="12"/>
      <c r="R837" s="23">
        <f t="shared" ref="R837:R841" si="1723">F837+G837</f>
        <v>590322</v>
      </c>
      <c r="S837" s="25">
        <f>(((H837+R837)/(H836+R836))-1)+detalle!$D$1</f>
        <v>7.2670725799538954E-2</v>
      </c>
      <c r="T837" s="25">
        <f t="shared" ref="T837:T841" si="1724">S837*14</f>
        <v>1.0173901611935454</v>
      </c>
      <c r="U837" s="10">
        <f t="shared" ref="U837:U841" si="1725">G837/E837</f>
        <v>0.98632968668200738</v>
      </c>
      <c r="V837" s="21">
        <f t="shared" ref="V837:V841" si="1726">G837/F837</f>
        <v>133.7151985394797</v>
      </c>
      <c r="W837" s="15">
        <f>J837/detalle!$D$2</f>
        <v>311971.54076371749</v>
      </c>
      <c r="X837" s="15">
        <f>E837/detalle!$D$2</f>
        <v>54200.07939405059</v>
      </c>
      <c r="Y837" s="15">
        <f>F837/detalle!$D$2</f>
        <v>399.79858618008876</v>
      </c>
      <c r="AA837" s="14">
        <f>E837/(detalle!$D$2*1000000)</f>
        <v>5.4200079394050589E-2</v>
      </c>
      <c r="AB837" s="14">
        <f>F837/(detalle!$D$2*1000000)</f>
        <v>3.9979858618008872E-4</v>
      </c>
      <c r="AC837" s="31">
        <f>29/585</f>
        <v>4.957264957264957E-2</v>
      </c>
      <c r="AD837" s="31">
        <f>214/2373</f>
        <v>9.0181205225453018E-2</v>
      </c>
      <c r="AE837" s="31">
        <f>3/469</f>
        <v>6.3965884861407248E-3</v>
      </c>
      <c r="AF837" s="22">
        <f t="shared" ref="AF837:AF841" si="1727">F837-F836</f>
        <v>0</v>
      </c>
      <c r="AG837" s="12">
        <v>7228579</v>
      </c>
      <c r="AH837" s="12">
        <v>5989793</v>
      </c>
      <c r="AI837" s="12">
        <v>2363958</v>
      </c>
      <c r="AJ837" s="23">
        <f t="shared" ref="AJ837:AJ841" si="1728">AK837-AK836</f>
        <v>2933</v>
      </c>
      <c r="AK837" s="23">
        <f t="shared" ref="AK837:AK841" si="1729">AG837+AH837+AI837</f>
        <v>15582330</v>
      </c>
      <c r="AL837" s="28">
        <f>AK837/detalle!$D$2</f>
        <v>1421678.1157899548</v>
      </c>
    </row>
    <row r="838" spans="1:38">
      <c r="A838" s="12">
        <v>837</v>
      </c>
      <c r="B838" s="19">
        <v>44727</v>
      </c>
      <c r="C838" s="12">
        <v>819</v>
      </c>
      <c r="D838" s="23">
        <f t="shared" si="1716"/>
        <v>903</v>
      </c>
      <c r="E838" s="12">
        <v>594964</v>
      </c>
      <c r="F838" s="12">
        <v>4382</v>
      </c>
      <c r="G838" s="12">
        <v>587006</v>
      </c>
      <c r="H838" s="23">
        <f t="shared" si="1717"/>
        <v>3576</v>
      </c>
      <c r="I838" s="23">
        <f t="shared" si="1718"/>
        <v>5937</v>
      </c>
      <c r="J838" s="12">
        <v>3425307</v>
      </c>
      <c r="K838" s="23">
        <f t="shared" si="1719"/>
        <v>2830343</v>
      </c>
      <c r="L838" s="23">
        <f t="shared" si="1720"/>
        <v>1066</v>
      </c>
      <c r="M838" s="14">
        <f t="shared" si="1721"/>
        <v>7.3651515049650059E-3</v>
      </c>
      <c r="N838" s="14">
        <f t="shared" si="1722"/>
        <v>0.15209701869631126</v>
      </c>
      <c r="O838" s="24"/>
      <c r="P838" s="12"/>
      <c r="Q838" s="12"/>
      <c r="R838" s="23">
        <f t="shared" si="1723"/>
        <v>591388</v>
      </c>
      <c r="S838" s="25">
        <f>(((H838+R838)/(H837+R837))-1)+detalle!$D$1</f>
        <v>7.2948617349781558E-2</v>
      </c>
      <c r="T838" s="25">
        <f t="shared" si="1724"/>
        <v>1.0212806428969419</v>
      </c>
      <c r="U838" s="10">
        <f t="shared" si="1725"/>
        <v>0.98662440080408231</v>
      </c>
      <c r="V838" s="21">
        <f t="shared" si="1726"/>
        <v>133.95846645367413</v>
      </c>
      <c r="W838" s="15">
        <f>J838/detalle!$D$2</f>
        <v>312513.21219369269</v>
      </c>
      <c r="X838" s="15">
        <f>E838/detalle!$D$2</f>
        <v>54282.466003662783</v>
      </c>
      <c r="Y838" s="15">
        <f>F838/detalle!$D$2</f>
        <v>399.79858618008876</v>
      </c>
      <c r="AA838" s="14">
        <f>E838/(detalle!$D$2*1000000)</f>
        <v>5.428246600366278E-2</v>
      </c>
      <c r="AB838" s="14">
        <f>F838/(detalle!$D$2*1000000)</f>
        <v>3.9979858618008872E-4</v>
      </c>
      <c r="AC838" s="31">
        <f>30/585</f>
        <v>5.128205128205128E-2</v>
      </c>
      <c r="AD838" s="31">
        <f>207/2373</f>
        <v>8.7231352718078387E-2</v>
      </c>
      <c r="AE838" s="31">
        <f>3/469</f>
        <v>6.3965884861407248E-3</v>
      </c>
      <c r="AF838" s="22">
        <f t="shared" si="1727"/>
        <v>0</v>
      </c>
      <c r="AG838" s="12">
        <v>7229395</v>
      </c>
      <c r="AH838" s="12">
        <v>5990488</v>
      </c>
      <c r="AI838" s="12">
        <v>2365562</v>
      </c>
      <c r="AJ838" s="23">
        <f t="shared" si="1728"/>
        <v>3115</v>
      </c>
      <c r="AK838" s="23">
        <f t="shared" si="1729"/>
        <v>15585445</v>
      </c>
      <c r="AL838" s="28">
        <f>AK838/detalle!$D$2</f>
        <v>1421962.3176603224</v>
      </c>
    </row>
    <row r="839" spans="1:38">
      <c r="A839" s="12">
        <v>838</v>
      </c>
      <c r="B839" s="19">
        <v>44728</v>
      </c>
      <c r="C839" s="12">
        <v>820</v>
      </c>
      <c r="D839" s="23">
        <f t="shared" si="1716"/>
        <v>963</v>
      </c>
      <c r="E839" s="12">
        <v>595927</v>
      </c>
      <c r="F839" s="12">
        <v>4382</v>
      </c>
      <c r="G839" s="12">
        <v>587746</v>
      </c>
      <c r="H839" s="23">
        <f t="shared" si="1717"/>
        <v>3799</v>
      </c>
      <c r="I839" s="23">
        <f t="shared" si="1718"/>
        <v>5896</v>
      </c>
      <c r="J839" s="12">
        <v>3431203</v>
      </c>
      <c r="K839" s="23">
        <f t="shared" si="1719"/>
        <v>2835276</v>
      </c>
      <c r="L839" s="23">
        <f t="shared" si="1720"/>
        <v>740</v>
      </c>
      <c r="M839" s="14">
        <f t="shared" si="1721"/>
        <v>7.3532496429931857E-3</v>
      </c>
      <c r="N839" s="14">
        <f t="shared" si="1722"/>
        <v>0.16333107191316146</v>
      </c>
      <c r="O839" s="24"/>
      <c r="P839" s="12"/>
      <c r="Q839" s="12"/>
      <c r="R839" s="23">
        <f t="shared" si="1723"/>
        <v>592128</v>
      </c>
      <c r="S839" s="25">
        <f>(((H839+R839)/(H838+R838))-1)+detalle!$D$1</f>
        <v>7.3047156754742409E-2</v>
      </c>
      <c r="T839" s="25">
        <f t="shared" si="1724"/>
        <v>1.0226601945663938</v>
      </c>
      <c r="U839" s="10">
        <f t="shared" si="1725"/>
        <v>0.98627180845976103</v>
      </c>
      <c r="V839" s="21">
        <f t="shared" si="1726"/>
        <v>134.12733911455956</v>
      </c>
      <c r="W839" s="15">
        <f>J839/detalle!$D$2</f>
        <v>313051.14292489254</v>
      </c>
      <c r="X839" s="15">
        <f>E839/detalle!$D$2</f>
        <v>54370.326806604688</v>
      </c>
      <c r="Y839" s="15">
        <f>F839/detalle!$D$2</f>
        <v>399.79858618008876</v>
      </c>
      <c r="AA839" s="14">
        <f>E839/(detalle!$D$2*1000000)</f>
        <v>5.4370326806604689E-2</v>
      </c>
      <c r="AB839" s="14">
        <f>F839/(detalle!$D$2*1000000)</f>
        <v>3.9979858618008872E-4</v>
      </c>
      <c r="AC839" s="31">
        <f>29/585</f>
        <v>4.957264957264957E-2</v>
      </c>
      <c r="AD839" s="31">
        <f>211/2373</f>
        <v>8.8916982722292454E-2</v>
      </c>
      <c r="AE839" s="31">
        <f>4/469</f>
        <v>8.5287846481876331E-3</v>
      </c>
      <c r="AF839" s="22">
        <f t="shared" si="1727"/>
        <v>0</v>
      </c>
      <c r="AG839" s="12">
        <v>7229395</v>
      </c>
      <c r="AH839" s="12">
        <v>5990488</v>
      </c>
      <c r="AI839" s="12">
        <v>2365562</v>
      </c>
      <c r="AJ839" s="23">
        <f t="shared" si="1728"/>
        <v>0</v>
      </c>
      <c r="AK839" s="23">
        <f t="shared" si="1729"/>
        <v>15585445</v>
      </c>
      <c r="AL839" s="28">
        <f>AK839/detalle!$D$2</f>
        <v>1421962.3176603224</v>
      </c>
    </row>
    <row r="840" spans="1:38">
      <c r="A840" s="12">
        <v>839</v>
      </c>
      <c r="B840" s="19">
        <v>44729</v>
      </c>
      <c r="C840" s="12">
        <v>821</v>
      </c>
      <c r="D840" s="23">
        <f t="shared" si="1716"/>
        <v>755</v>
      </c>
      <c r="E840" s="12">
        <v>596682</v>
      </c>
      <c r="F840" s="12">
        <v>4382</v>
      </c>
      <c r="G840" s="12">
        <v>588591</v>
      </c>
      <c r="H840" s="23">
        <f t="shared" si="1717"/>
        <v>3709</v>
      </c>
      <c r="I840" s="23">
        <f t="shared" si="1718"/>
        <v>4615</v>
      </c>
      <c r="J840" s="12">
        <v>3435818</v>
      </c>
      <c r="K840" s="23">
        <f t="shared" si="1719"/>
        <v>2839136</v>
      </c>
      <c r="L840" s="23">
        <f t="shared" si="1720"/>
        <v>845</v>
      </c>
      <c r="M840" s="14">
        <f t="shared" si="1721"/>
        <v>7.3439453511250545E-3</v>
      </c>
      <c r="N840" s="14">
        <f t="shared" si="1722"/>
        <v>0.16359696641386781</v>
      </c>
      <c r="O840" s="24"/>
      <c r="P840" s="12"/>
      <c r="Q840" s="12"/>
      <c r="R840" s="23">
        <f t="shared" si="1723"/>
        <v>592973</v>
      </c>
      <c r="S840" s="25">
        <f>(((H840+R840)/(H839+R839))-1)+detalle!$D$1</f>
        <v>7.2695505130182553E-2</v>
      </c>
      <c r="T840" s="25">
        <f t="shared" si="1724"/>
        <v>1.0177370718225558</v>
      </c>
      <c r="U840" s="10">
        <f t="shared" si="1725"/>
        <v>0.98644001327340192</v>
      </c>
      <c r="V840" s="21">
        <f t="shared" si="1726"/>
        <v>134.32017343678686</v>
      </c>
      <c r="W840" s="15">
        <f>J840/detalle!$D$2</f>
        <v>313472.199628503</v>
      </c>
      <c r="X840" s="15">
        <f>E840/detalle!$D$2</f>
        <v>54439.210406003585</v>
      </c>
      <c r="Y840" s="15">
        <f>F840/detalle!$D$2</f>
        <v>399.79858618008876</v>
      </c>
      <c r="AA840" s="14">
        <f>E840/(detalle!$D$2*1000000)</f>
        <v>5.4439210406003587E-2</v>
      </c>
      <c r="AB840" s="14">
        <f>F840/(detalle!$D$2*1000000)</f>
        <v>3.9979858618008872E-4</v>
      </c>
      <c r="AC840" s="31">
        <f>25/585</f>
        <v>4.2735042735042736E-2</v>
      </c>
      <c r="AD840" s="31">
        <f>219/2373</f>
        <v>9.2288242730720602E-2</v>
      </c>
      <c r="AE840" s="31">
        <f>3/469</f>
        <v>6.3965884861407248E-3</v>
      </c>
      <c r="AF840" s="22">
        <f t="shared" si="1727"/>
        <v>0</v>
      </c>
      <c r="AG840" s="12">
        <v>7230311</v>
      </c>
      <c r="AH840" s="12">
        <v>5991518</v>
      </c>
      <c r="AI840" s="12">
        <v>2367313</v>
      </c>
      <c r="AJ840" s="23">
        <f t="shared" si="1728"/>
        <v>3697</v>
      </c>
      <c r="AK840" s="23">
        <f t="shared" si="1729"/>
        <v>15589142</v>
      </c>
      <c r="AL840" s="28">
        <f>AK840/detalle!$D$2</f>
        <v>1422299.6192059885</v>
      </c>
    </row>
    <row r="841" spans="1:38">
      <c r="A841" s="12">
        <v>840</v>
      </c>
      <c r="B841" s="19">
        <v>44730</v>
      </c>
      <c r="C841" s="12">
        <v>822</v>
      </c>
      <c r="D841" s="23">
        <f t="shared" si="1716"/>
        <v>794</v>
      </c>
      <c r="E841" s="12">
        <v>597476</v>
      </c>
      <c r="F841" s="12">
        <v>4383</v>
      </c>
      <c r="G841" s="12">
        <v>589482</v>
      </c>
      <c r="H841" s="23">
        <f t="shared" si="1717"/>
        <v>3611</v>
      </c>
      <c r="I841" s="23">
        <f t="shared" si="1718"/>
        <v>4796</v>
      </c>
      <c r="J841" s="12">
        <v>3440614</v>
      </c>
      <c r="K841" s="23">
        <f t="shared" si="1719"/>
        <v>2843138</v>
      </c>
      <c r="L841" s="23">
        <f t="shared" si="1720"/>
        <v>891</v>
      </c>
      <c r="M841" s="14">
        <f t="shared" si="1721"/>
        <v>7.3358595156960277E-3</v>
      </c>
      <c r="N841" s="14">
        <f t="shared" si="1722"/>
        <v>0.16555462885738115</v>
      </c>
      <c r="O841" s="24"/>
      <c r="P841" s="12"/>
      <c r="Q841" s="12"/>
      <c r="R841" s="23">
        <f t="shared" si="1723"/>
        <v>593865</v>
      </c>
      <c r="S841" s="25">
        <f>(((H841+R841)/(H840+R840))-1)+detalle!$D$1</f>
        <v>7.2759263488998888E-2</v>
      </c>
      <c r="T841" s="25">
        <f t="shared" si="1724"/>
        <v>1.0186296888459845</v>
      </c>
      <c r="U841" s="10">
        <f t="shared" si="1725"/>
        <v>0.9866203830781487</v>
      </c>
      <c r="V841" s="21">
        <f t="shared" si="1726"/>
        <v>134.49281314168377</v>
      </c>
      <c r="W841" s="15">
        <f>J841/detalle!$D$2</f>
        <v>313909.77014865814</v>
      </c>
      <c r="X841" s="15">
        <f>E841/detalle!$D$2</f>
        <v>54511.652231066793</v>
      </c>
      <c r="Y841" s="15">
        <f>F841/detalle!$D$2</f>
        <v>399.88982273558395</v>
      </c>
      <c r="AA841" s="14">
        <f>E841/(detalle!$D$2*1000000)</f>
        <v>5.4511652231066798E-2</v>
      </c>
      <c r="AB841" s="14">
        <f>F841/(detalle!$D$2*1000000)</f>
        <v>3.9988982273558399E-4</v>
      </c>
      <c r="AC841" s="31">
        <f>25/585</f>
        <v>4.2735042735042736E-2</v>
      </c>
      <c r="AD841" s="31">
        <f>219/2373</f>
        <v>9.2288242730720602E-2</v>
      </c>
      <c r="AE841" s="31">
        <f>3/469</f>
        <v>6.3965884861407248E-3</v>
      </c>
      <c r="AF841" s="22">
        <f t="shared" si="1727"/>
        <v>1</v>
      </c>
      <c r="AG841" s="12">
        <f>AH841+1238805</f>
        <v>7230664</v>
      </c>
      <c r="AH841" s="12">
        <v>5991859</v>
      </c>
      <c r="AI841" s="12">
        <v>2362489</v>
      </c>
      <c r="AJ841" s="23">
        <f t="shared" si="1728"/>
        <v>-4130</v>
      </c>
      <c r="AK841" s="23">
        <f t="shared" si="1729"/>
        <v>15585012</v>
      </c>
      <c r="AL841" s="28">
        <f>AK841/detalle!$D$2</f>
        <v>1421922.8122317931</v>
      </c>
    </row>
    <row r="842" spans="1:38">
      <c r="A842" s="12">
        <v>841</v>
      </c>
      <c r="B842" s="19">
        <v>44731</v>
      </c>
      <c r="C842" s="12">
        <v>823</v>
      </c>
      <c r="D842" s="23">
        <f t="shared" ref="D842:D846" si="1730">E842-E841</f>
        <v>603</v>
      </c>
      <c r="E842" s="12">
        <v>598079</v>
      </c>
      <c r="F842" s="12">
        <v>4383</v>
      </c>
      <c r="G842" s="12">
        <v>589756</v>
      </c>
      <c r="H842" s="23">
        <f t="shared" ref="H842:H846" si="1731">E842-F842-G842</f>
        <v>3940</v>
      </c>
      <c r="I842" s="23">
        <f t="shared" ref="I842:I846" si="1732">J842-J841</f>
        <v>3637</v>
      </c>
      <c r="J842" s="12">
        <v>3444251</v>
      </c>
      <c r="K842" s="23">
        <f t="shared" ref="K842:K846" si="1733">J842-E842</f>
        <v>2846172</v>
      </c>
      <c r="L842" s="23">
        <f t="shared" ref="L842:L846" si="1734">G842-G841</f>
        <v>274</v>
      </c>
      <c r="M842" s="14">
        <f t="shared" ref="M842:M846" si="1735">F842/E842</f>
        <v>7.3284632966547896E-3</v>
      </c>
      <c r="N842" s="14">
        <f t="shared" ref="N842:N846" si="1736">D842/I842</f>
        <v>0.16579598570250206</v>
      </c>
      <c r="O842" s="24"/>
      <c r="P842" s="12"/>
      <c r="Q842" s="12"/>
      <c r="R842" s="23">
        <f t="shared" ref="R842:R846" si="1737">F842+G842</f>
        <v>594139</v>
      </c>
      <c r="S842" s="25">
        <f>(((H842+R842)/(H841+R841))-1)+detalle!$D$1</f>
        <v>7.2437816988225628E-2</v>
      </c>
      <c r="T842" s="25">
        <f t="shared" ref="T842:T846" si="1738">S842*14</f>
        <v>1.0141294378351589</v>
      </c>
      <c r="U842" s="10">
        <f t="shared" ref="U842:U846" si="1739">G842/E842</f>
        <v>0.98608377822996629</v>
      </c>
      <c r="V842" s="21">
        <f t="shared" ref="V842:V846" si="1740">G842/F842</f>
        <v>134.5553274013233</v>
      </c>
      <c r="W842" s="15">
        <f>J842/detalle!$D$2</f>
        <v>314241.59750099428</v>
      </c>
      <c r="X842" s="15">
        <f>E842/detalle!$D$2</f>
        <v>54566.66787403042</v>
      </c>
      <c r="Y842" s="15">
        <f>F842/detalle!$D$2</f>
        <v>399.88982273558395</v>
      </c>
      <c r="AA842" s="14">
        <f>E842/(detalle!$D$2*1000000)</f>
        <v>5.4566667874030417E-2</v>
      </c>
      <c r="AB842" s="14">
        <f>F842/(detalle!$D$2*1000000)</f>
        <v>3.9988982273558399E-4</v>
      </c>
      <c r="AC842" s="31">
        <f t="shared" ref="AC842:AC846" si="1741">25/585</f>
        <v>4.2735042735042736E-2</v>
      </c>
      <c r="AD842" s="31">
        <f t="shared" ref="AD842" si="1742">219/2373</f>
        <v>9.2288242730720602E-2</v>
      </c>
      <c r="AE842" s="31">
        <f t="shared" ref="AE842" si="1743">3/469</f>
        <v>6.3965884861407248E-3</v>
      </c>
      <c r="AF842" s="22">
        <f t="shared" ref="AF842:AF846" si="1744">F842-F841</f>
        <v>0</v>
      </c>
      <c r="AG842" s="12">
        <v>7230772</v>
      </c>
      <c r="AH842" s="12">
        <v>5992001</v>
      </c>
      <c r="AI842" s="12">
        <v>2368092</v>
      </c>
      <c r="AJ842" s="23">
        <f t="shared" ref="AJ842:AJ846" si="1745">AK842-AK841</f>
        <v>5853</v>
      </c>
      <c r="AK842" s="23">
        <f t="shared" ref="AK842:AK846" si="1746">AG842+AH842+AI842</f>
        <v>15590865</v>
      </c>
      <c r="AL842" s="28">
        <f>AK842/detalle!$D$2</f>
        <v>1422456.8197911067</v>
      </c>
    </row>
    <row r="843" spans="1:38">
      <c r="A843" s="12">
        <v>842</v>
      </c>
      <c r="B843" s="19">
        <v>44732</v>
      </c>
      <c r="C843" s="12">
        <v>824</v>
      </c>
      <c r="D843" s="23">
        <f t="shared" si="1730"/>
        <v>515</v>
      </c>
      <c r="E843" s="12">
        <v>598594</v>
      </c>
      <c r="F843" s="12">
        <v>4383</v>
      </c>
      <c r="G843" s="12">
        <v>589818</v>
      </c>
      <c r="H843" s="23">
        <f t="shared" si="1731"/>
        <v>4393</v>
      </c>
      <c r="I843" s="23">
        <f t="shared" si="1732"/>
        <v>3258</v>
      </c>
      <c r="J843" s="12">
        <v>3447509</v>
      </c>
      <c r="K843" s="23">
        <f t="shared" si="1733"/>
        <v>2848915</v>
      </c>
      <c r="L843" s="23">
        <f t="shared" si="1734"/>
        <v>62</v>
      </c>
      <c r="M843" s="14">
        <f t="shared" si="1735"/>
        <v>7.322158257516781E-3</v>
      </c>
      <c r="N843" s="14">
        <f t="shared" si="1736"/>
        <v>0.15807243707796195</v>
      </c>
      <c r="O843" s="24"/>
      <c r="P843" s="12"/>
      <c r="Q843" s="12"/>
      <c r="R843" s="23">
        <f t="shared" si="1737"/>
        <v>594201</v>
      </c>
      <c r="S843" s="25">
        <f>(((H843+R843)/(H842+R842))-1)+detalle!$D$1</f>
        <v>7.2289661685878609E-2</v>
      </c>
      <c r="T843" s="25">
        <f t="shared" si="1738"/>
        <v>1.0120552636023006</v>
      </c>
      <c r="U843" s="10">
        <f t="shared" si="1739"/>
        <v>0.98533897767100909</v>
      </c>
      <c r="V843" s="21">
        <f t="shared" si="1740"/>
        <v>134.56947296372348</v>
      </c>
      <c r="W843" s="15">
        <f>J843/detalle!$D$2</f>
        <v>314538.84619879769</v>
      </c>
      <c r="X843" s="15">
        <f>E843/detalle!$D$2</f>
        <v>54613.654700110463</v>
      </c>
      <c r="Y843" s="15">
        <f>F843/detalle!$D$2</f>
        <v>399.88982273558395</v>
      </c>
      <c r="AA843" s="14">
        <f>E843/(detalle!$D$2*1000000)</f>
        <v>5.461365470011046E-2</v>
      </c>
      <c r="AB843" s="14">
        <f>F843/(detalle!$D$2*1000000)</f>
        <v>3.9988982273558399E-4</v>
      </c>
      <c r="AC843" s="31">
        <f t="shared" si="1741"/>
        <v>4.2735042735042736E-2</v>
      </c>
      <c r="AD843" s="31">
        <f>225/2373</f>
        <v>9.4816687737041716E-2</v>
      </c>
      <c r="AE843" s="31">
        <f>2/469</f>
        <v>4.2643923240938165E-3</v>
      </c>
      <c r="AF843" s="22">
        <f t="shared" si="1744"/>
        <v>0</v>
      </c>
      <c r="AG843" s="12">
        <v>7231360</v>
      </c>
      <c r="AH843" s="12">
        <v>5992716</v>
      </c>
      <c r="AI843" s="12">
        <v>2369520</v>
      </c>
      <c r="AJ843" s="23">
        <f t="shared" si="1745"/>
        <v>2731</v>
      </c>
      <c r="AK843" s="23">
        <f t="shared" si="1746"/>
        <v>15593596</v>
      </c>
      <c r="AL843" s="28">
        <f>AK843/detalle!$D$2</f>
        <v>1422705.9868241642</v>
      </c>
    </row>
    <row r="844" spans="1:38">
      <c r="A844" s="12">
        <v>843</v>
      </c>
      <c r="B844" s="19">
        <v>44733</v>
      </c>
      <c r="C844" s="12">
        <v>825</v>
      </c>
      <c r="D844" s="23">
        <f t="shared" si="1730"/>
        <v>875</v>
      </c>
      <c r="E844" s="12">
        <v>599469</v>
      </c>
      <c r="F844" s="12">
        <v>4383</v>
      </c>
      <c r="G844" s="12">
        <v>591149</v>
      </c>
      <c r="H844" s="23">
        <f t="shared" si="1731"/>
        <v>3937</v>
      </c>
      <c r="I844" s="23">
        <f t="shared" si="1732"/>
        <v>4625</v>
      </c>
      <c r="J844" s="12">
        <v>3452134</v>
      </c>
      <c r="K844" s="23">
        <f t="shared" si="1733"/>
        <v>2852665</v>
      </c>
      <c r="L844" s="23">
        <f t="shared" si="1734"/>
        <v>1331</v>
      </c>
      <c r="M844" s="14">
        <f t="shared" si="1735"/>
        <v>7.3114706515266014E-3</v>
      </c>
      <c r="N844" s="14">
        <f t="shared" si="1736"/>
        <v>0.1891891891891892</v>
      </c>
      <c r="O844" s="24"/>
      <c r="P844" s="12"/>
      <c r="Q844" s="12"/>
      <c r="R844" s="23">
        <f t="shared" si="1737"/>
        <v>595532</v>
      </c>
      <c r="S844" s="25">
        <f>(((H844+R844)/(H843+R843))-1)+detalle!$D$1</f>
        <v>7.2890330149841615E-2</v>
      </c>
      <c r="T844" s="25">
        <f t="shared" si="1738"/>
        <v>1.0204646220977827</v>
      </c>
      <c r="U844" s="10">
        <f t="shared" si="1739"/>
        <v>0.98612105046299303</v>
      </c>
      <c r="V844" s="21">
        <f t="shared" si="1740"/>
        <v>134.87314624686289</v>
      </c>
      <c r="W844" s="15">
        <f>J844/detalle!$D$2</f>
        <v>314960.81526796316</v>
      </c>
      <c r="X844" s="15">
        <f>E844/detalle!$D$2</f>
        <v>54693.486686168784</v>
      </c>
      <c r="Y844" s="15">
        <f>F844/detalle!$D$2</f>
        <v>399.88982273558395</v>
      </c>
      <c r="AA844" s="14">
        <f>E844/(detalle!$D$2*1000000)</f>
        <v>5.4693486686168788E-2</v>
      </c>
      <c r="AB844" s="14">
        <f>F844/(detalle!$D$2*1000000)</f>
        <v>3.9988982273558399E-4</v>
      </c>
      <c r="AC844" s="31">
        <f t="shared" si="1741"/>
        <v>4.2735042735042736E-2</v>
      </c>
      <c r="AD844" s="31">
        <f>248/2373</f>
        <v>0.10450906026127266</v>
      </c>
      <c r="AE844" s="31">
        <f>2/469</f>
        <v>4.2643923240938165E-3</v>
      </c>
      <c r="AF844" s="22">
        <f t="shared" si="1744"/>
        <v>0</v>
      </c>
      <c r="AG844" s="12">
        <v>7232013</v>
      </c>
      <c r="AH844" s="12">
        <v>5993393</v>
      </c>
      <c r="AI844" s="12">
        <v>2370817</v>
      </c>
      <c r="AJ844" s="23">
        <f t="shared" si="1745"/>
        <v>2627</v>
      </c>
      <c r="AK844" s="23">
        <f t="shared" si="1746"/>
        <v>15596223</v>
      </c>
      <c r="AL844" s="28">
        <f>AK844/detalle!$D$2</f>
        <v>1422945.6652554502</v>
      </c>
    </row>
    <row r="845" spans="1:38">
      <c r="A845" s="12">
        <v>844</v>
      </c>
      <c r="B845" s="19">
        <v>44734</v>
      </c>
      <c r="C845" s="12">
        <v>826</v>
      </c>
      <c r="D845" s="23">
        <f t="shared" si="1730"/>
        <v>941</v>
      </c>
      <c r="E845" s="12">
        <v>600410</v>
      </c>
      <c r="F845" s="12">
        <v>4383</v>
      </c>
      <c r="G845" s="12">
        <v>592323</v>
      </c>
      <c r="H845" s="23">
        <f t="shared" si="1731"/>
        <v>3704</v>
      </c>
      <c r="I845" s="23">
        <f t="shared" si="1732"/>
        <v>4465</v>
      </c>
      <c r="J845" s="12">
        <v>3456599</v>
      </c>
      <c r="K845" s="23">
        <f t="shared" si="1733"/>
        <v>2856189</v>
      </c>
      <c r="L845" s="23">
        <f t="shared" si="1734"/>
        <v>1174</v>
      </c>
      <c r="M845" s="14">
        <f t="shared" si="1735"/>
        <v>7.3000116586998884E-3</v>
      </c>
      <c r="N845" s="14">
        <f t="shared" si="1736"/>
        <v>0.21075027995520718</v>
      </c>
      <c r="O845" s="24"/>
      <c r="P845" s="12"/>
      <c r="Q845" s="12"/>
      <c r="R845" s="23">
        <f t="shared" si="1737"/>
        <v>596706</v>
      </c>
      <c r="S845" s="25">
        <f>(((H845+R845)/(H844+R844))-1)+detalle!$D$1</f>
        <v>7.2998293966350741E-2</v>
      </c>
      <c r="T845" s="25">
        <f t="shared" si="1738"/>
        <v>1.0219761155289104</v>
      </c>
      <c r="U845" s="10">
        <f t="shared" si="1739"/>
        <v>0.98653087057177591</v>
      </c>
      <c r="V845" s="21">
        <f t="shared" si="1740"/>
        <v>135.1409993155373</v>
      </c>
      <c r="W845" s="15">
        <f>J845/detalle!$D$2</f>
        <v>315368.18648824934</v>
      </c>
      <c r="X845" s="15">
        <f>E845/detalle!$D$2</f>
        <v>54779.340284889797</v>
      </c>
      <c r="Y845" s="15">
        <f>F845/detalle!$D$2</f>
        <v>399.88982273558395</v>
      </c>
      <c r="AA845" s="14">
        <f>E845/(detalle!$D$2*1000000)</f>
        <v>5.4779340284889795E-2</v>
      </c>
      <c r="AB845" s="14">
        <f>F845/(detalle!$D$2*1000000)</f>
        <v>3.9988982273558399E-4</v>
      </c>
      <c r="AC845" s="31">
        <f>32/585</f>
        <v>5.4700854700854701E-2</v>
      </c>
      <c r="AD845" s="31">
        <f>235/2373</f>
        <v>9.9030762747576911E-2</v>
      </c>
      <c r="AE845" s="31">
        <f>2/469</f>
        <v>4.2643923240938165E-3</v>
      </c>
      <c r="AF845" s="22">
        <f t="shared" si="1744"/>
        <v>0</v>
      </c>
      <c r="AG845" s="12">
        <v>7233059</v>
      </c>
      <c r="AH845" s="12">
        <v>5994493</v>
      </c>
      <c r="AI845" s="12">
        <v>2372321</v>
      </c>
      <c r="AJ845" s="23">
        <f t="shared" si="1745"/>
        <v>3650</v>
      </c>
      <c r="AK845" s="23">
        <f t="shared" si="1746"/>
        <v>15599873</v>
      </c>
      <c r="AL845" s="28">
        <f>AK845/detalle!$D$2</f>
        <v>1423278.6786830076</v>
      </c>
    </row>
    <row r="846" spans="1:38">
      <c r="A846" s="12">
        <v>845</v>
      </c>
      <c r="B846" s="19">
        <v>44735</v>
      </c>
      <c r="C846" s="12">
        <v>827</v>
      </c>
      <c r="D846" s="23">
        <f t="shared" si="1730"/>
        <v>962</v>
      </c>
      <c r="E846" s="12">
        <v>601372</v>
      </c>
      <c r="F846" s="12">
        <v>4383</v>
      </c>
      <c r="G846" s="12">
        <v>593801</v>
      </c>
      <c r="H846" s="23">
        <f t="shared" si="1731"/>
        <v>3188</v>
      </c>
      <c r="I846" s="23">
        <f t="shared" si="1732"/>
        <v>4621</v>
      </c>
      <c r="J846" s="12">
        <v>3461220</v>
      </c>
      <c r="K846" s="23">
        <f t="shared" si="1733"/>
        <v>2859848</v>
      </c>
      <c r="L846" s="23">
        <f t="shared" si="1734"/>
        <v>1478</v>
      </c>
      <c r="M846" s="14">
        <f t="shared" si="1735"/>
        <v>7.2883340095647947E-3</v>
      </c>
      <c r="N846" s="14">
        <f t="shared" si="1736"/>
        <v>0.2081800476087427</v>
      </c>
      <c r="O846" s="24"/>
      <c r="P846" s="12"/>
      <c r="Q846" s="12"/>
      <c r="R846" s="23">
        <f t="shared" si="1737"/>
        <v>598184</v>
      </c>
      <c r="S846" s="25">
        <f>(((H846+R846)/(H845+R845))-1)+detalle!$D$1</f>
        <v>7.3030809898950083E-2</v>
      </c>
      <c r="T846" s="25">
        <f t="shared" si="1738"/>
        <v>1.0224313385853012</v>
      </c>
      <c r="U846" s="10">
        <f t="shared" si="1739"/>
        <v>0.98741045476011524</v>
      </c>
      <c r="V846" s="21">
        <f t="shared" si="1740"/>
        <v>135.47821127081906</v>
      </c>
      <c r="W846" s="15">
        <f>J846/detalle!$D$2</f>
        <v>315789.79061119276</v>
      </c>
      <c r="X846" s="15">
        <f>E846/detalle!$D$2</f>
        <v>54867.109851276204</v>
      </c>
      <c r="Y846" s="15">
        <f>F846/detalle!$D$2</f>
        <v>399.88982273558395</v>
      </c>
      <c r="AA846" s="14">
        <f>E846/(detalle!$D$2*1000000)</f>
        <v>5.4867109851276206E-2</v>
      </c>
      <c r="AB846" s="14">
        <f>F846/(detalle!$D$2*1000000)</f>
        <v>3.9988982273558399E-4</v>
      </c>
      <c r="AC846" s="31">
        <f t="shared" si="1741"/>
        <v>4.2735042735042736E-2</v>
      </c>
      <c r="AD846" s="31">
        <f>228/2373</f>
        <v>9.608091024020228E-2</v>
      </c>
      <c r="AE846" s="31">
        <f>4/469</f>
        <v>8.5287846481876331E-3</v>
      </c>
      <c r="AF846" s="22">
        <f t="shared" si="1744"/>
        <v>0</v>
      </c>
      <c r="AG846" s="12">
        <v>7233410</v>
      </c>
      <c r="AH846" s="12">
        <v>5994958</v>
      </c>
      <c r="AI846" s="12">
        <v>2373693</v>
      </c>
      <c r="AJ846" s="23">
        <f t="shared" si="1745"/>
        <v>2188</v>
      </c>
      <c r="AK846" s="23">
        <f t="shared" si="1746"/>
        <v>15602061</v>
      </c>
      <c r="AL846" s="28">
        <f>AK846/detalle!$D$2</f>
        <v>1423478.3042664311</v>
      </c>
    </row>
    <row r="847" spans="1:38">
      <c r="A847" s="12">
        <v>846</v>
      </c>
      <c r="B847" s="19">
        <v>44736</v>
      </c>
      <c r="C847" s="12">
        <v>828</v>
      </c>
      <c r="D847" s="23">
        <f t="shared" ref="D847:D848" si="1747">E847-E846</f>
        <v>982</v>
      </c>
      <c r="E847" s="12">
        <v>602354</v>
      </c>
      <c r="F847" s="12">
        <v>4383</v>
      </c>
      <c r="G847" s="12">
        <v>594274</v>
      </c>
      <c r="H847" s="23">
        <f t="shared" ref="H847" si="1748">E847-F847-G847</f>
        <v>3697</v>
      </c>
      <c r="I847" s="23">
        <f t="shared" ref="I847:I848" si="1749">J847-J846</f>
        <v>4541</v>
      </c>
      <c r="J847" s="12">
        <v>3465761</v>
      </c>
      <c r="K847" s="23">
        <f t="shared" ref="K847:K848" si="1750">J847-E847</f>
        <v>2863407</v>
      </c>
      <c r="L847" s="23">
        <f t="shared" ref="L847:L848" si="1751">G847-G846</f>
        <v>473</v>
      </c>
      <c r="M847" s="14">
        <f t="shared" ref="M847:M848" si="1752">F847/E847</f>
        <v>7.2764520531116254E-3</v>
      </c>
      <c r="N847" s="14">
        <f t="shared" ref="N847:N848" si="1753">D847/I847</f>
        <v>0.21625192688835057</v>
      </c>
      <c r="O847" s="24"/>
      <c r="P847" s="12"/>
      <c r="Q847" s="12"/>
      <c r="R847" s="23">
        <f t="shared" ref="R847:R848" si="1754">F847+G847</f>
        <v>598657</v>
      </c>
      <c r="S847" s="25">
        <f>(((H847+R847)/(H846+R846))-1)+detalle!$D$1</f>
        <v>7.3061504122478055E-2</v>
      </c>
      <c r="T847" s="25">
        <f t="shared" ref="T847:T848" si="1755">S847*14</f>
        <v>1.0228610577146928</v>
      </c>
      <c r="U847" s="10">
        <f t="shared" ref="U847:U848" si="1756">G847/E847</f>
        <v>0.98658596107936525</v>
      </c>
      <c r="V847" s="21">
        <f t="shared" ref="V847:V848" si="1757">G847/F847</f>
        <v>135.58612822267852</v>
      </c>
      <c r="W847" s="15">
        <f>J847/detalle!$D$2</f>
        <v>316204.09580969659</v>
      </c>
      <c r="X847" s="15">
        <f>E847/detalle!$D$2</f>
        <v>54956.704148772522</v>
      </c>
      <c r="Y847" s="15">
        <f>F847/detalle!$D$2</f>
        <v>399.88982273558395</v>
      </c>
      <c r="AA847" s="14">
        <f>E847/(detalle!$D$2*1000000)</f>
        <v>5.4956704148772517E-2</v>
      </c>
      <c r="AB847" s="14">
        <f>F847/(detalle!$D$2*1000000)</f>
        <v>3.9988982273558399E-4</v>
      </c>
      <c r="AC847" s="31">
        <f>26/585</f>
        <v>4.4444444444444446E-2</v>
      </c>
      <c r="AD847" s="31">
        <f>233/2373</f>
        <v>9.8187947745469864E-2</v>
      </c>
      <c r="AE847" s="31">
        <f t="shared" ref="AE847:AE850" si="1758">4/469</f>
        <v>8.5287846481876331E-3</v>
      </c>
      <c r="AF847" s="22">
        <f t="shared" ref="AF847:AF848" si="1759">F847-F846</f>
        <v>0</v>
      </c>
      <c r="AG847" s="12">
        <v>7233410</v>
      </c>
      <c r="AH847" s="12">
        <v>5994958</v>
      </c>
      <c r="AI847" s="12">
        <v>2373693</v>
      </c>
      <c r="AJ847" s="23">
        <f t="shared" ref="AJ847:AJ848" si="1760">AK847-AK846</f>
        <v>0</v>
      </c>
      <c r="AK847" s="23">
        <f t="shared" ref="AK847:AK848" si="1761">AG847+AH847+AI847</f>
        <v>15602061</v>
      </c>
      <c r="AL847" s="28">
        <f>AK847/detalle!$D$2</f>
        <v>1423478.3042664311</v>
      </c>
    </row>
    <row r="848" spans="1:38">
      <c r="A848" s="12">
        <v>847</v>
      </c>
      <c r="B848" s="19">
        <v>44737</v>
      </c>
      <c r="C848" s="12">
        <v>829</v>
      </c>
      <c r="D848" s="23">
        <f t="shared" si="1747"/>
        <v>902</v>
      </c>
      <c r="E848" s="12">
        <v>603256</v>
      </c>
      <c r="F848" s="12">
        <v>4383</v>
      </c>
      <c r="G848" s="12">
        <v>595317</v>
      </c>
      <c r="H848" s="23">
        <f>E848-F848-G848</f>
        <v>3556</v>
      </c>
      <c r="I848" s="23">
        <f t="shared" si="1749"/>
        <v>4124</v>
      </c>
      <c r="J848" s="12">
        <v>3469885</v>
      </c>
      <c r="K848" s="23">
        <f t="shared" si="1750"/>
        <v>2866629</v>
      </c>
      <c r="L848" s="23">
        <f t="shared" si="1751"/>
        <v>1043</v>
      </c>
      <c r="M848" s="14">
        <f t="shared" si="1752"/>
        <v>7.265572161735648E-3</v>
      </c>
      <c r="N848" s="14">
        <f t="shared" si="1753"/>
        <v>0.21871968962172647</v>
      </c>
      <c r="O848" s="24"/>
      <c r="P848" s="12"/>
      <c r="Q848" s="12"/>
      <c r="R848" s="23">
        <f t="shared" si="1754"/>
        <v>599700</v>
      </c>
      <c r="S848" s="25">
        <f>(((H848+R848)/(H847+R847))-1)+detalle!$D$1</f>
        <v>7.2926029733820591E-2</v>
      </c>
      <c r="T848" s="25">
        <f t="shared" si="1755"/>
        <v>1.0209644162734883</v>
      </c>
      <c r="U848" s="10">
        <f t="shared" si="1756"/>
        <v>0.98683974962536636</v>
      </c>
      <c r="V848" s="21">
        <f t="shared" si="1757"/>
        <v>135.82409308692675</v>
      </c>
      <c r="W848" s="15">
        <f>J848/detalle!$D$2</f>
        <v>316580.35536455893</v>
      </c>
      <c r="X848" s="15">
        <f>E848/detalle!$D$2</f>
        <v>55038.999521829217</v>
      </c>
      <c r="Y848" s="15">
        <f>F848/detalle!$D$2</f>
        <v>399.88982273558395</v>
      </c>
      <c r="AA848" s="14">
        <f>E848/(detalle!$D$2*1000000)</f>
        <v>5.503899952182921E-2</v>
      </c>
      <c r="AB848" s="14">
        <f>F848/(detalle!$D$2*1000000)</f>
        <v>3.9988982273558399E-4</v>
      </c>
      <c r="AC848" s="31">
        <f>26/585</f>
        <v>4.4444444444444446E-2</v>
      </c>
      <c r="AD848" s="31">
        <f>233/2373</f>
        <v>9.8187947745469864E-2</v>
      </c>
      <c r="AE848" s="31">
        <f t="shared" si="1758"/>
        <v>8.5287846481876331E-3</v>
      </c>
      <c r="AF848" s="22">
        <f t="shared" si="1759"/>
        <v>0</v>
      </c>
      <c r="AG848" s="12">
        <v>7234462</v>
      </c>
      <c r="AH848" s="12">
        <v>5996090</v>
      </c>
      <c r="AI848" s="12">
        <v>2375774</v>
      </c>
      <c r="AJ848" s="23">
        <f t="shared" si="1760"/>
        <v>4265</v>
      </c>
      <c r="AK848" s="23">
        <f t="shared" si="1761"/>
        <v>15606326</v>
      </c>
      <c r="AL848" s="28">
        <f>AK848/detalle!$D$2</f>
        <v>1423867.4281756184</v>
      </c>
    </row>
    <row r="849" spans="1:38">
      <c r="A849" s="12">
        <v>848</v>
      </c>
      <c r="B849" s="19">
        <v>44738</v>
      </c>
      <c r="C849" s="12">
        <v>830</v>
      </c>
      <c r="D849" s="23">
        <f t="shared" ref="D849:D851" si="1762">E849-E848</f>
        <v>942</v>
      </c>
      <c r="E849" s="12">
        <v>604198</v>
      </c>
      <c r="F849" s="12">
        <v>4383</v>
      </c>
      <c r="G849" s="12">
        <v>595992</v>
      </c>
      <c r="H849" s="23">
        <f t="shared" ref="H849:H851" si="1763">E849-F849-G849</f>
        <v>3823</v>
      </c>
      <c r="I849" s="23">
        <f t="shared" ref="I849:I851" si="1764">J849-J848</f>
        <v>4295</v>
      </c>
      <c r="J849" s="12">
        <v>3474180</v>
      </c>
      <c r="K849" s="23">
        <f t="shared" ref="K849:K851" si="1765">J849-E849</f>
        <v>2869982</v>
      </c>
      <c r="L849" s="23">
        <f t="shared" ref="L849:L851" si="1766">G849-G848</f>
        <v>675</v>
      </c>
      <c r="M849" s="14">
        <f t="shared" ref="M849:M851" si="1767">F849/E849</f>
        <v>7.254244469528201E-3</v>
      </c>
      <c r="N849" s="14">
        <f t="shared" ref="N849:N851" si="1768">D849/I849</f>
        <v>0.21932479627473805</v>
      </c>
      <c r="O849" s="24"/>
      <c r="P849" s="12"/>
      <c r="Q849" s="12"/>
      <c r="R849" s="23">
        <f t="shared" ref="R849:R851" si="1769">F849+G849</f>
        <v>600375</v>
      </c>
      <c r="S849" s="25">
        <f>(((H849+R849)/(H848+R848))-1)+detalle!$D$1</f>
        <v>7.2990097546836302E-2</v>
      </c>
      <c r="T849" s="25">
        <f t="shared" ref="T849:T851" si="1770">S849*14</f>
        <v>1.0218613656557083</v>
      </c>
      <c r="U849" s="10">
        <f t="shared" ref="U849:U851" si="1771">G849/E849</f>
        <v>0.98641835954438772</v>
      </c>
      <c r="V849" s="21">
        <f t="shared" ref="V849:V851" si="1772">G849/F849</f>
        <v>135.97809719370295</v>
      </c>
      <c r="W849" s="15">
        <f>J849/detalle!$D$2</f>
        <v>316972.21637041093</v>
      </c>
      <c r="X849" s="15">
        <f>E849/detalle!$D$2</f>
        <v>55124.94435710572</v>
      </c>
      <c r="Y849" s="15">
        <f>F849/detalle!$D$2</f>
        <v>399.88982273558395</v>
      </c>
      <c r="AA849" s="14">
        <f>E849/(detalle!$D$2*1000000)</f>
        <v>5.5124944357105715E-2</v>
      </c>
      <c r="AB849" s="14">
        <f>F849/(detalle!$D$2*1000000)</f>
        <v>3.9988982273558399E-4</v>
      </c>
      <c r="AC849" s="31">
        <f t="shared" ref="AC849" si="1773">26/585</f>
        <v>4.4444444444444446E-2</v>
      </c>
      <c r="AD849" s="31">
        <f t="shared" ref="AD849" si="1774">233/2373</f>
        <v>9.8187947745469864E-2</v>
      </c>
      <c r="AE849" s="31">
        <f t="shared" si="1758"/>
        <v>8.5287846481876331E-3</v>
      </c>
      <c r="AF849" s="22">
        <f t="shared" ref="AF849:AF851" si="1775">F849-F848</f>
        <v>0</v>
      </c>
      <c r="AG849" s="12">
        <v>7234620</v>
      </c>
      <c r="AH849" s="12">
        <v>5996244</v>
      </c>
      <c r="AI849" s="12">
        <v>2376069</v>
      </c>
      <c r="AJ849" s="23">
        <f t="shared" ref="AJ849:AJ851" si="1776">AK849-AK848</f>
        <v>607</v>
      </c>
      <c r="AK849" s="23">
        <f t="shared" ref="AK849:AK851" si="1777">AG849+AH849+AI849</f>
        <v>15606933</v>
      </c>
      <c r="AL849" s="28">
        <f>AK849/detalle!$D$2</f>
        <v>1423922.8087648039</v>
      </c>
    </row>
    <row r="850" spans="1:38">
      <c r="A850" s="12">
        <v>849</v>
      </c>
      <c r="B850" s="19">
        <v>44739</v>
      </c>
      <c r="C850" s="12">
        <v>831</v>
      </c>
      <c r="D850" s="23">
        <f t="shared" si="1762"/>
        <v>572</v>
      </c>
      <c r="E850" s="12">
        <v>604770</v>
      </c>
      <c r="F850" s="12">
        <v>4383</v>
      </c>
      <c r="G850" s="12">
        <v>596386</v>
      </c>
      <c r="H850" s="23">
        <f t="shared" si="1763"/>
        <v>4001</v>
      </c>
      <c r="I850" s="23">
        <f t="shared" si="1764"/>
        <v>2698</v>
      </c>
      <c r="J850" s="12">
        <v>3476878</v>
      </c>
      <c r="K850" s="23">
        <f t="shared" si="1765"/>
        <v>2872108</v>
      </c>
      <c r="L850" s="23">
        <f t="shared" si="1766"/>
        <v>394</v>
      </c>
      <c r="M850" s="14">
        <f t="shared" si="1767"/>
        <v>7.2473833027431912E-3</v>
      </c>
      <c r="N850" s="14">
        <f t="shared" si="1768"/>
        <v>0.21200889547813195</v>
      </c>
      <c r="O850" s="24"/>
      <c r="P850" s="12"/>
      <c r="Q850" s="12"/>
      <c r="R850" s="23">
        <f t="shared" si="1769"/>
        <v>600769</v>
      </c>
      <c r="S850" s="25">
        <f>(((H850+R850)/(H849+R849))-1)+detalle!$D$1</f>
        <v>7.2375280950946613E-2</v>
      </c>
      <c r="T850" s="25">
        <f t="shared" si="1770"/>
        <v>1.0132539333132526</v>
      </c>
      <c r="U850" s="10">
        <f t="shared" si="1771"/>
        <v>0.98613687848272902</v>
      </c>
      <c r="V850" s="21">
        <f t="shared" si="1772"/>
        <v>136.06798996121378</v>
      </c>
      <c r="W850" s="15">
        <f>J850/detalle!$D$2</f>
        <v>317218.37259713706</v>
      </c>
      <c r="X850" s="15">
        <f>E850/detalle!$D$2</f>
        <v>55177.131666848989</v>
      </c>
      <c r="Y850" s="15">
        <f>F850/detalle!$D$2</f>
        <v>399.88982273558395</v>
      </c>
      <c r="AA850" s="14">
        <f>E850/(detalle!$D$2*1000000)</f>
        <v>5.517713166684899E-2</v>
      </c>
      <c r="AB850" s="14">
        <f>F850/(detalle!$D$2*1000000)</f>
        <v>3.9988982273558399E-4</v>
      </c>
      <c r="AC850" s="31">
        <f>30/585</f>
        <v>5.128205128205128E-2</v>
      </c>
      <c r="AD850" s="31">
        <f>210/2373</f>
        <v>8.8495575221238937E-2</v>
      </c>
      <c r="AE850" s="31">
        <f t="shared" si="1758"/>
        <v>8.5287846481876331E-3</v>
      </c>
      <c r="AF850" s="22">
        <f t="shared" si="1775"/>
        <v>0</v>
      </c>
      <c r="AG850" s="12">
        <v>7235324</v>
      </c>
      <c r="AH850" s="12">
        <v>5997095</v>
      </c>
      <c r="AI850" s="12">
        <v>2377358</v>
      </c>
      <c r="AJ850" s="23">
        <f>AK850-AK849</f>
        <v>2844</v>
      </c>
      <c r="AK850" s="23">
        <f>AG850+AH850+AI850</f>
        <v>15609777</v>
      </c>
      <c r="AL850" s="28">
        <f>AK850/detalle!$D$2</f>
        <v>1424182.2855286323</v>
      </c>
    </row>
    <row r="851" spans="1:38">
      <c r="A851" s="12">
        <v>850</v>
      </c>
      <c r="B851" s="19">
        <v>44740</v>
      </c>
      <c r="C851" s="12">
        <v>832</v>
      </c>
      <c r="D851" s="23">
        <f t="shared" si="1762"/>
        <v>1014</v>
      </c>
      <c r="E851" s="12">
        <v>605784</v>
      </c>
      <c r="F851" s="12">
        <v>4383</v>
      </c>
      <c r="G851" s="12">
        <v>598698</v>
      </c>
      <c r="H851" s="23">
        <f t="shared" si="1763"/>
        <v>2703</v>
      </c>
      <c r="I851" s="23">
        <f t="shared" si="1764"/>
        <v>4576</v>
      </c>
      <c r="J851" s="12">
        <v>3481454</v>
      </c>
      <c r="K851" s="23">
        <f t="shared" si="1765"/>
        <v>2875670</v>
      </c>
      <c r="L851" s="23">
        <f t="shared" si="1766"/>
        <v>2312</v>
      </c>
      <c r="M851" s="14">
        <f t="shared" si="1767"/>
        <v>7.2352521690899722E-3</v>
      </c>
      <c r="N851" s="14">
        <f t="shared" si="1768"/>
        <v>0.22159090909090909</v>
      </c>
      <c r="O851" s="24"/>
      <c r="P851" s="12"/>
      <c r="Q851" s="12"/>
      <c r="R851" s="23">
        <f t="shared" si="1769"/>
        <v>603081</v>
      </c>
      <c r="S851" s="25">
        <f>(((H851+R851)/(H850+R850))-1)+detalle!$D$1</f>
        <v>7.3105241898336698E-2</v>
      </c>
      <c r="T851" s="25">
        <f t="shared" si="1770"/>
        <v>1.0234733865767138</v>
      </c>
      <c r="U851" s="10">
        <f t="shared" si="1771"/>
        <v>0.98830276138029394</v>
      </c>
      <c r="V851" s="21">
        <f t="shared" si="1772"/>
        <v>136.59548254620123</v>
      </c>
      <c r="W851" s="15">
        <f>J851/detalle!$D$2</f>
        <v>317635.87107508321</v>
      </c>
      <c r="X851" s="15">
        <f>E851/detalle!$D$2</f>
        <v>55269.645534121148</v>
      </c>
      <c r="Y851" s="15">
        <f>F851/detalle!$D$2</f>
        <v>399.88982273558395</v>
      </c>
      <c r="AA851" s="14">
        <f>E851/(detalle!$D$2*1000000)</f>
        <v>5.5269645534121149E-2</v>
      </c>
      <c r="AB851" s="14">
        <f>F851/(detalle!$D$2*1000000)</f>
        <v>3.9988982273558399E-4</v>
      </c>
      <c r="AC851" s="31">
        <f>36/585</f>
        <v>6.1538461538461542E-2</v>
      </c>
      <c r="AD851" s="31">
        <f>227/2373</f>
        <v>9.5659502739148763E-2</v>
      </c>
      <c r="AE851" s="31">
        <f>9/469</f>
        <v>1.9189765458422176E-2</v>
      </c>
      <c r="AF851" s="22">
        <f t="shared" si="1775"/>
        <v>0</v>
      </c>
      <c r="AG851" s="12">
        <v>7235994</v>
      </c>
      <c r="AH851" s="12">
        <v>5997912</v>
      </c>
      <c r="AI851" s="12">
        <v>2378805</v>
      </c>
      <c r="AJ851" s="23">
        <f t="shared" si="1776"/>
        <v>2934</v>
      </c>
      <c r="AK851" s="23">
        <f t="shared" si="1777"/>
        <v>15612711</v>
      </c>
      <c r="AL851" s="28">
        <f>AK851/detalle!$D$2</f>
        <v>1424449.9735824554</v>
      </c>
    </row>
    <row r="852" spans="1:38">
      <c r="A852" s="12">
        <v>851</v>
      </c>
      <c r="B852" s="19">
        <v>44741</v>
      </c>
      <c r="C852" s="12">
        <v>833</v>
      </c>
      <c r="D852" s="23">
        <f t="shared" ref="D852:D856" si="1778">E852-E851</f>
        <v>1028</v>
      </c>
      <c r="E852" s="12">
        <v>606812</v>
      </c>
      <c r="F852" s="12">
        <v>4383</v>
      </c>
      <c r="G852" s="12">
        <v>598584</v>
      </c>
      <c r="H852" s="23">
        <f t="shared" ref="H852:H856" si="1779">E852-F852-G852</f>
        <v>3845</v>
      </c>
      <c r="I852" s="23">
        <f t="shared" ref="I852:I856" si="1780">J852-J851</f>
        <v>5040</v>
      </c>
      <c r="J852" s="12">
        <v>3486494</v>
      </c>
      <c r="K852" s="23">
        <f t="shared" ref="K852:K856" si="1781">J852-E852</f>
        <v>2879682</v>
      </c>
      <c r="L852" s="23">
        <f t="shared" ref="L852:L856" si="1782">G852-G851</f>
        <v>-114</v>
      </c>
      <c r="M852" s="14">
        <f t="shared" ref="M852:M856" si="1783">F852/E852</f>
        <v>7.2229949308846896E-3</v>
      </c>
      <c r="N852" s="14">
        <f t="shared" ref="N852:N856" si="1784">D852/I852</f>
        <v>0.20396825396825397</v>
      </c>
      <c r="O852" s="24"/>
      <c r="P852" s="12"/>
      <c r="Q852" s="12"/>
      <c r="R852" s="23">
        <f t="shared" ref="R852:R856" si="1785">F852+G852</f>
        <v>602967</v>
      </c>
      <c r="S852" s="25">
        <f>(((H852+R852)/(H851+R851))-1)+detalle!$D$1</f>
        <v>7.3125545927732932E-2</v>
      </c>
      <c r="T852" s="25">
        <f t="shared" ref="T852:T856" si="1786">S852*14</f>
        <v>1.0237576429882611</v>
      </c>
      <c r="U852" s="10">
        <f t="shared" ref="U852:U856" si="1787">G852/E852</f>
        <v>0.98644061093056823</v>
      </c>
      <c r="V852" s="21">
        <f t="shared" ref="V852:V856" si="1788">G852/F852</f>
        <v>136.56947296372348</v>
      </c>
      <c r="W852" s="15">
        <f>J852/detalle!$D$2</f>
        <v>318095.70331477915</v>
      </c>
      <c r="X852" s="15">
        <f>E852/detalle!$D$2</f>
        <v>55363.436713170246</v>
      </c>
      <c r="Y852" s="15">
        <f>F852/detalle!$D$2</f>
        <v>399.88982273558395</v>
      </c>
      <c r="AA852" s="14">
        <f>E852/(detalle!$D$2*1000000)</f>
        <v>5.536343671317024E-2</v>
      </c>
      <c r="AB852" s="14">
        <f>F852/(detalle!$D$2*1000000)</f>
        <v>3.9988982273558399E-4</v>
      </c>
      <c r="AC852" s="31">
        <f>39/585</f>
        <v>6.6666666666666666E-2</v>
      </c>
      <c r="AD852" s="31">
        <f>217/2373</f>
        <v>9.1445427728613568E-2</v>
      </c>
      <c r="AE852" s="31">
        <f t="shared" ref="AE852" si="1789">9/469</f>
        <v>1.9189765458422176E-2</v>
      </c>
      <c r="AF852" s="22">
        <f t="shared" ref="AF852:AF856" si="1790">F852-F851</f>
        <v>0</v>
      </c>
      <c r="AG852" s="12">
        <v>7236727</v>
      </c>
      <c r="AH852" s="12">
        <v>5998771</v>
      </c>
      <c r="AI852" s="12">
        <v>2380312</v>
      </c>
      <c r="AJ852" s="23">
        <f t="shared" ref="AJ852:AJ856" si="1791">AK852-AK851</f>
        <v>3099</v>
      </c>
      <c r="AK852" s="23">
        <f t="shared" ref="AK852:AK856" si="1792">AG852+AH852+AI852</f>
        <v>15615810</v>
      </c>
      <c r="AL852" s="28">
        <f>AK852/detalle!$D$2</f>
        <v>1424732.7156679351</v>
      </c>
    </row>
    <row r="853" spans="1:38">
      <c r="A853" s="12">
        <v>852</v>
      </c>
      <c r="B853" s="19">
        <v>44742</v>
      </c>
      <c r="C853" s="12">
        <v>834</v>
      </c>
      <c r="D853" s="23">
        <f t="shared" si="1778"/>
        <v>1364</v>
      </c>
      <c r="E853" s="12">
        <v>608176</v>
      </c>
      <c r="F853" s="12">
        <v>4383</v>
      </c>
      <c r="G853" s="12">
        <v>600771</v>
      </c>
      <c r="H853" s="23">
        <f t="shared" si="1779"/>
        <v>3022</v>
      </c>
      <c r="I853" s="23">
        <f t="shared" si="1780"/>
        <v>6156</v>
      </c>
      <c r="J853" s="12">
        <v>3492650</v>
      </c>
      <c r="K853" s="23">
        <f t="shared" si="1781"/>
        <v>2884474</v>
      </c>
      <c r="L853" s="23">
        <f t="shared" si="1782"/>
        <v>2187</v>
      </c>
      <c r="M853" s="14">
        <f t="shared" si="1783"/>
        <v>7.2067954013311933E-3</v>
      </c>
      <c r="N853" s="14">
        <f t="shared" si="1784"/>
        <v>0.22157244964262507</v>
      </c>
      <c r="O853" s="24"/>
      <c r="P853" s="12"/>
      <c r="Q853" s="12"/>
      <c r="R853" s="23">
        <f t="shared" si="1785"/>
        <v>605154</v>
      </c>
      <c r="S853" s="25">
        <f>(((H853+R853)/(H852+R852))-1)+detalle!$D$1</f>
        <v>7.3676384589814098E-2</v>
      </c>
      <c r="T853" s="25">
        <f t="shared" si="1786"/>
        <v>1.0314693842573974</v>
      </c>
      <c r="U853" s="10">
        <f t="shared" si="1787"/>
        <v>0.98782424824392934</v>
      </c>
      <c r="V853" s="21">
        <f t="shared" si="1788"/>
        <v>137.0684462696783</v>
      </c>
      <c r="W853" s="15">
        <f>J853/detalle!$D$2</f>
        <v>318657.35555040778</v>
      </c>
      <c r="X853" s="15">
        <f>E853/detalle!$D$2</f>
        <v>55487.883374865734</v>
      </c>
      <c r="Y853" s="15">
        <f>F853/detalle!$D$2</f>
        <v>399.88982273558395</v>
      </c>
      <c r="AA853" s="14">
        <f>E853/(detalle!$D$2*1000000)</f>
        <v>5.5487883374865737E-2</v>
      </c>
      <c r="AB853" s="14">
        <f>F853/(detalle!$D$2*1000000)</f>
        <v>3.9988982273558399E-4</v>
      </c>
      <c r="AC853" s="31">
        <f>40/585</f>
        <v>6.8376068376068383E-2</v>
      </c>
      <c r="AD853" s="31">
        <f>217/2373</f>
        <v>9.1445427728613568E-2</v>
      </c>
      <c r="AE853" s="31">
        <f>8/469</f>
        <v>1.7057569296375266E-2</v>
      </c>
      <c r="AF853" s="22">
        <f t="shared" si="1790"/>
        <v>0</v>
      </c>
      <c r="AG853" s="12">
        <v>7237525</v>
      </c>
      <c r="AH853" s="12">
        <v>5999469</v>
      </c>
      <c r="AI853" s="12">
        <v>2381643</v>
      </c>
      <c r="AJ853" s="23">
        <f t="shared" si="1791"/>
        <v>2827</v>
      </c>
      <c r="AK853" s="23">
        <f t="shared" si="1792"/>
        <v>15618637</v>
      </c>
      <c r="AL853" s="28">
        <f>AK853/detalle!$D$2</f>
        <v>1424990.6414103201</v>
      </c>
    </row>
    <row r="854" spans="1:38">
      <c r="A854" s="12">
        <v>853</v>
      </c>
      <c r="B854" s="19">
        <v>44743</v>
      </c>
      <c r="C854" s="12">
        <v>835</v>
      </c>
      <c r="D854" s="23">
        <f t="shared" si="1778"/>
        <v>1214</v>
      </c>
      <c r="E854" s="12">
        <v>609390</v>
      </c>
      <c r="F854" s="12">
        <v>4383</v>
      </c>
      <c r="G854" s="12">
        <v>601354</v>
      </c>
      <c r="H854" s="23">
        <f t="shared" si="1779"/>
        <v>3653</v>
      </c>
      <c r="I854" s="23">
        <f t="shared" si="1780"/>
        <v>5368</v>
      </c>
      <c r="J854" s="12">
        <v>3498018</v>
      </c>
      <c r="K854" s="23">
        <f t="shared" si="1781"/>
        <v>2888628</v>
      </c>
      <c r="L854" s="23">
        <f t="shared" si="1782"/>
        <v>583</v>
      </c>
      <c r="M854" s="14">
        <f t="shared" si="1783"/>
        <v>7.192438339979324E-3</v>
      </c>
      <c r="N854" s="14">
        <f t="shared" si="1784"/>
        <v>0.22615499254843516</v>
      </c>
      <c r="O854" s="24"/>
      <c r="P854" s="12"/>
      <c r="Q854" s="12"/>
      <c r="R854" s="23">
        <f t="shared" si="1785"/>
        <v>605737</v>
      </c>
      <c r="S854" s="25">
        <f>(((H854+R854)/(H853+R853))-1)+detalle!$D$1</f>
        <v>7.3424704127000889E-2</v>
      </c>
      <c r="T854" s="25">
        <f t="shared" si="1786"/>
        <v>1.0279458577780125</v>
      </c>
      <c r="U854" s="10">
        <f t="shared" si="1787"/>
        <v>0.98681304255074742</v>
      </c>
      <c r="V854" s="21">
        <f t="shared" si="1788"/>
        <v>137.20146018708647</v>
      </c>
      <c r="W854" s="15">
        <f>J854/detalle!$D$2</f>
        <v>319147.11338030617</v>
      </c>
      <c r="X854" s="15">
        <f>E854/detalle!$D$2</f>
        <v>55598.64455323694</v>
      </c>
      <c r="Y854" s="15">
        <f>F854/detalle!$D$2</f>
        <v>399.88982273558395</v>
      </c>
      <c r="AA854" s="14">
        <f>E854/(detalle!$D$2*1000000)</f>
        <v>5.5598644553236938E-2</v>
      </c>
      <c r="AB854" s="14">
        <f>F854/(detalle!$D$2*1000000)</f>
        <v>3.9988982273558399E-4</v>
      </c>
      <c r="AC854" s="31">
        <f>35/585</f>
        <v>5.9829059829059832E-2</v>
      </c>
      <c r="AD854" s="31">
        <f>219/2373</f>
        <v>9.2288242730720602E-2</v>
      </c>
      <c r="AE854" s="31">
        <f>8/469</f>
        <v>1.7057569296375266E-2</v>
      </c>
      <c r="AF854" s="22">
        <f t="shared" si="1790"/>
        <v>0</v>
      </c>
      <c r="AG854" s="12">
        <v>7237525</v>
      </c>
      <c r="AH854" s="12">
        <v>5999469</v>
      </c>
      <c r="AI854" s="12">
        <v>2381643</v>
      </c>
      <c r="AJ854" s="23">
        <f t="shared" si="1791"/>
        <v>0</v>
      </c>
      <c r="AK854" s="23">
        <f t="shared" si="1792"/>
        <v>15618637</v>
      </c>
      <c r="AL854" s="28">
        <f>AK854/detalle!$D$2</f>
        <v>1424990.6414103201</v>
      </c>
    </row>
    <row r="855" spans="1:38">
      <c r="A855" s="12">
        <v>854</v>
      </c>
      <c r="B855" s="19">
        <v>44744</v>
      </c>
      <c r="C855" s="12">
        <v>836</v>
      </c>
      <c r="D855" s="23">
        <f t="shared" si="1778"/>
        <v>1317</v>
      </c>
      <c r="E855" s="12">
        <v>610707</v>
      </c>
      <c r="F855" s="12">
        <v>4383</v>
      </c>
      <c r="G855" s="12">
        <v>601532</v>
      </c>
      <c r="H855" s="23">
        <f t="shared" si="1779"/>
        <v>4792</v>
      </c>
      <c r="I855" s="23">
        <f t="shared" si="1780"/>
        <v>6113</v>
      </c>
      <c r="J855" s="12">
        <v>3504131</v>
      </c>
      <c r="K855" s="23">
        <f t="shared" si="1781"/>
        <v>2893424</v>
      </c>
      <c r="L855" s="23">
        <f t="shared" si="1782"/>
        <v>178</v>
      </c>
      <c r="M855" s="14">
        <f t="shared" si="1783"/>
        <v>7.1769277247518042E-3</v>
      </c>
      <c r="N855" s="14">
        <f t="shared" si="1784"/>
        <v>0.21544249959103551</v>
      </c>
      <c r="O855" s="24"/>
      <c r="P855" s="12"/>
      <c r="Q855" s="12"/>
      <c r="R855" s="23">
        <f t="shared" si="1785"/>
        <v>605915</v>
      </c>
      <c r="S855" s="25">
        <f>(((H855+R855)/(H854+R854))-1)+detalle!$D$1</f>
        <v>7.3589748999584953E-2</v>
      </c>
      <c r="T855" s="25">
        <f t="shared" si="1786"/>
        <v>1.0302564859941894</v>
      </c>
      <c r="U855" s="10">
        <f t="shared" si="1787"/>
        <v>0.98497642895856774</v>
      </c>
      <c r="V855" s="21">
        <f t="shared" si="1788"/>
        <v>137.24207164042892</v>
      </c>
      <c r="W855" s="15">
        <f>J855/detalle!$D$2</f>
        <v>319704.8424440485</v>
      </c>
      <c r="X855" s="15">
        <f>E855/detalle!$D$2</f>
        <v>55718.803096824158</v>
      </c>
      <c r="Y855" s="15">
        <f>F855/detalle!$D$2</f>
        <v>399.88982273558395</v>
      </c>
      <c r="AA855" s="14">
        <f>E855/(detalle!$D$2*1000000)</f>
        <v>5.5718803096824157E-2</v>
      </c>
      <c r="AB855" s="14">
        <f>F855/(detalle!$D$2*1000000)</f>
        <v>3.9988982273558399E-4</v>
      </c>
      <c r="AC855" s="31">
        <f>35/585</f>
        <v>5.9829059829059832E-2</v>
      </c>
      <c r="AD855" s="31">
        <f>219/2373</f>
        <v>9.2288242730720602E-2</v>
      </c>
      <c r="AE855" s="31">
        <f>8/469</f>
        <v>1.7057569296375266E-2</v>
      </c>
      <c r="AF855" s="22">
        <f t="shared" si="1790"/>
        <v>0</v>
      </c>
      <c r="AG855" s="12">
        <v>7238652</v>
      </c>
      <c r="AH855" s="12">
        <v>6000578</v>
      </c>
      <c r="AI855" s="12">
        <v>2383691</v>
      </c>
      <c r="AJ855" s="23">
        <f t="shared" si="1791"/>
        <v>4284</v>
      </c>
      <c r="AK855" s="23">
        <f t="shared" si="1792"/>
        <v>15622921</v>
      </c>
      <c r="AL855" s="28">
        <f>AK855/detalle!$D$2</f>
        <v>1425381.4988140617</v>
      </c>
    </row>
    <row r="856" spans="1:38">
      <c r="A856" s="12">
        <v>855</v>
      </c>
      <c r="B856" s="19">
        <v>44745</v>
      </c>
      <c r="C856" s="12">
        <v>837</v>
      </c>
      <c r="D856" s="23">
        <f t="shared" si="1778"/>
        <v>874</v>
      </c>
      <c r="E856" s="12">
        <v>611581</v>
      </c>
      <c r="F856" s="12">
        <v>4383</v>
      </c>
      <c r="G856" s="12">
        <v>602825</v>
      </c>
      <c r="H856" s="23">
        <f t="shared" si="1779"/>
        <v>4373</v>
      </c>
      <c r="I856" s="23">
        <f t="shared" si="1780"/>
        <v>4133</v>
      </c>
      <c r="J856" s="12">
        <v>3508264</v>
      </c>
      <c r="K856" s="23">
        <f t="shared" si="1781"/>
        <v>2896683</v>
      </c>
      <c r="L856" s="23">
        <f t="shared" si="1782"/>
        <v>1293</v>
      </c>
      <c r="M856" s="14">
        <f t="shared" si="1783"/>
        <v>7.1666712994680999E-3</v>
      </c>
      <c r="N856" s="14">
        <f t="shared" si="1784"/>
        <v>0.21146866682797</v>
      </c>
      <c r="O856" s="24"/>
      <c r="P856" s="12"/>
      <c r="Q856" s="12"/>
      <c r="R856" s="23">
        <f t="shared" si="1785"/>
        <v>607208</v>
      </c>
      <c r="S856" s="25">
        <f>(((H856+R856)/(H855+R855))-1)+detalle!$D$1</f>
        <v>7.2859699612790624E-2</v>
      </c>
      <c r="T856" s="25">
        <f t="shared" si="1786"/>
        <v>1.0200357945790688</v>
      </c>
      <c r="U856" s="10">
        <f t="shared" si="1787"/>
        <v>0.98568300846494572</v>
      </c>
      <c r="V856" s="21">
        <f t="shared" si="1788"/>
        <v>137.53707506274242</v>
      </c>
      <c r="W856" s="15">
        <f>J856/detalle!$D$2</f>
        <v>320081.9231279103</v>
      </c>
      <c r="X856" s="15">
        <f>E856/detalle!$D$2</f>
        <v>55798.543846326989</v>
      </c>
      <c r="Y856" s="15">
        <f>F856/detalle!$D$2</f>
        <v>399.88982273558395</v>
      </c>
      <c r="AA856" s="14">
        <f>E856/(detalle!$D$2*1000000)</f>
        <v>5.5798543846326987E-2</v>
      </c>
      <c r="AB856" s="14">
        <f>F856/(detalle!$D$2*1000000)</f>
        <v>3.9988982273558399E-4</v>
      </c>
      <c r="AC856" s="31">
        <f>35/585</f>
        <v>5.9829059829059832E-2</v>
      </c>
      <c r="AD856" s="31">
        <f>219/2373</f>
        <v>9.2288242730720602E-2</v>
      </c>
      <c r="AE856" s="31">
        <f>8/469</f>
        <v>1.7057569296375266E-2</v>
      </c>
      <c r="AF856" s="22">
        <f t="shared" si="1790"/>
        <v>0</v>
      </c>
      <c r="AG856" s="12">
        <v>7238759</v>
      </c>
      <c r="AH856" s="12">
        <v>6000716</v>
      </c>
      <c r="AI856" s="12">
        <v>2383916</v>
      </c>
      <c r="AJ856" s="23">
        <f t="shared" si="1791"/>
        <v>470</v>
      </c>
      <c r="AK856" s="23">
        <f t="shared" si="1792"/>
        <v>15623391</v>
      </c>
      <c r="AL856" s="28">
        <f>AK856/detalle!$D$2</f>
        <v>1425424.3799951444</v>
      </c>
    </row>
    <row r="857" spans="1:38">
      <c r="A857" s="12">
        <v>856</v>
      </c>
      <c r="B857" s="19">
        <v>44746</v>
      </c>
      <c r="C857" s="12">
        <v>838</v>
      </c>
      <c r="D857" s="23">
        <f t="shared" ref="D857:D858" si="1793">E857-E856</f>
        <v>967</v>
      </c>
      <c r="E857" s="12">
        <v>612548</v>
      </c>
      <c r="F857" s="12">
        <v>4383</v>
      </c>
      <c r="G857" s="12">
        <v>603501</v>
      </c>
      <c r="H857" s="23">
        <f t="shared" ref="H857:H858" si="1794">E857-F857-G857</f>
        <v>4664</v>
      </c>
      <c r="I857" s="23">
        <f t="shared" ref="I857:I858" si="1795">J857-J856</f>
        <v>4456</v>
      </c>
      <c r="J857" s="12">
        <v>3512720</v>
      </c>
      <c r="K857" s="23">
        <f t="shared" ref="K857:K858" si="1796">J857-E857</f>
        <v>2900172</v>
      </c>
      <c r="L857" s="23">
        <f t="shared" ref="L857:L858" si="1797">G857-G856</f>
        <v>676</v>
      </c>
      <c r="M857" s="14">
        <f t="shared" ref="M857:M858" si="1798">F857/E857</f>
        <v>7.1553576209537869E-3</v>
      </c>
      <c r="N857" s="14">
        <f t="shared" ref="N857:N858" si="1799">D857/I857</f>
        <v>0.21701077199281868</v>
      </c>
      <c r="O857" s="24"/>
      <c r="P857" s="12"/>
      <c r="Q857" s="12"/>
      <c r="R857" s="23">
        <f t="shared" ref="R857:R858" si="1800">F857+G857</f>
        <v>607884</v>
      </c>
      <c r="S857" s="25">
        <f>(((H857+R857)/(H856+R856))-1)+detalle!$D$1</f>
        <v>7.3009719305958037E-2</v>
      </c>
      <c r="T857" s="25">
        <f t="shared" ref="T857:T858" si="1801">S857*14</f>
        <v>1.0221360702834126</v>
      </c>
      <c r="U857" s="10">
        <f t="shared" ref="U857:U858" si="1802">G857/E857</f>
        <v>0.98523054519809061</v>
      </c>
      <c r="V857" s="21">
        <f t="shared" ref="V857:V858" si="1803">G857/F857</f>
        <v>137.69130732375086</v>
      </c>
      <c r="W857" s="15">
        <f>J857/detalle!$D$2</f>
        <v>320488.47321919701</v>
      </c>
      <c r="X857" s="15">
        <f>E857/detalle!$D$2</f>
        <v>55886.76959549087</v>
      </c>
      <c r="Y857" s="15">
        <f>F857/detalle!$D$2</f>
        <v>399.88982273558395</v>
      </c>
      <c r="AA857" s="14">
        <f>E857/(detalle!$D$2*1000000)</f>
        <v>5.5886769595490868E-2</v>
      </c>
      <c r="AB857" s="14">
        <f>F857/(detalle!$D$2*1000000)</f>
        <v>3.9988982273558399E-4</v>
      </c>
      <c r="AC857" s="31">
        <f>32/585</f>
        <v>5.4700854700854701E-2</v>
      </c>
      <c r="AD857" s="31">
        <f>216/2373</f>
        <v>9.1024020227560051E-2</v>
      </c>
      <c r="AE857" s="31">
        <f>6/469</f>
        <v>1.279317697228145E-2</v>
      </c>
      <c r="AF857" s="22">
        <f t="shared" ref="AF857:AF858" si="1804">F857-F856</f>
        <v>0</v>
      </c>
      <c r="AG857" s="12">
        <v>7239446</v>
      </c>
      <c r="AH857" s="12">
        <v>6001407</v>
      </c>
      <c r="AI857" s="12">
        <v>2385122</v>
      </c>
      <c r="AJ857" s="23">
        <f t="shared" ref="AJ857:AJ858" si="1805">AK857-AK856</f>
        <v>2584</v>
      </c>
      <c r="AK857" s="23">
        <f t="shared" ref="AK857:AK858" si="1806">AG857+AH857+AI857</f>
        <v>15625975</v>
      </c>
      <c r="AL857" s="28">
        <f>AK857/detalle!$D$2</f>
        <v>1425660.1352545442</v>
      </c>
    </row>
    <row r="858" spans="1:38">
      <c r="A858" s="12">
        <v>857</v>
      </c>
      <c r="B858" s="19">
        <v>44747</v>
      </c>
      <c r="C858" s="12">
        <v>839</v>
      </c>
      <c r="D858" s="23">
        <f t="shared" si="1793"/>
        <v>1080</v>
      </c>
      <c r="E858" s="12">
        <v>613628</v>
      </c>
      <c r="F858" s="12">
        <v>4383</v>
      </c>
      <c r="G858" s="12">
        <v>604845</v>
      </c>
      <c r="H858" s="23">
        <f t="shared" si="1794"/>
        <v>4400</v>
      </c>
      <c r="I858" s="23">
        <f t="shared" si="1795"/>
        <v>5008</v>
      </c>
      <c r="J858" s="12">
        <v>3517728</v>
      </c>
      <c r="K858" s="23">
        <f t="shared" si="1796"/>
        <v>2904100</v>
      </c>
      <c r="L858" s="23">
        <f t="shared" si="1797"/>
        <v>1344</v>
      </c>
      <c r="M858" s="14">
        <f t="shared" si="1798"/>
        <v>7.14276401989479E-3</v>
      </c>
      <c r="N858" s="14">
        <f t="shared" si="1799"/>
        <v>0.21565495207667731</v>
      </c>
      <c r="O858" s="24"/>
      <c r="P858" s="12"/>
      <c r="Q858" s="12"/>
      <c r="R858" s="23">
        <f t="shared" si="1800"/>
        <v>609228</v>
      </c>
      <c r="S858" s="25">
        <f>(((H858+R858)/(H857+R857))-1)+detalle!$D$1</f>
        <v>7.3191698563098068E-2</v>
      </c>
      <c r="T858" s="25">
        <f t="shared" si="1801"/>
        <v>1.024683779883373</v>
      </c>
      <c r="U858" s="10">
        <f t="shared" si="1802"/>
        <v>0.9856867678789103</v>
      </c>
      <c r="V858" s="21">
        <f t="shared" si="1803"/>
        <v>137.99794661190964</v>
      </c>
      <c r="W858" s="15">
        <f>J858/detalle!$D$2</f>
        <v>320945.38588911714</v>
      </c>
      <c r="X858" s="15">
        <f>E858/detalle!$D$2</f>
        <v>55985.30507542572</v>
      </c>
      <c r="Y858" s="15">
        <f>F858/detalle!$D$2</f>
        <v>399.88982273558395</v>
      </c>
      <c r="AA858" s="14">
        <f>E858/(detalle!$D$2*1000000)</f>
        <v>5.5985305075425713E-2</v>
      </c>
      <c r="AB858" s="14">
        <f>F858/(detalle!$D$2*1000000)</f>
        <v>3.9988982273558399E-4</v>
      </c>
      <c r="AC858" s="31">
        <f>28/585</f>
        <v>4.7863247863247867E-2</v>
      </c>
      <c r="AD858" s="31">
        <f>196/2373</f>
        <v>8.2595870206489674E-2</v>
      </c>
      <c r="AE858" s="31">
        <f>8/469</f>
        <v>1.7057569296375266E-2</v>
      </c>
      <c r="AF858" s="22">
        <f t="shared" si="1804"/>
        <v>0</v>
      </c>
      <c r="AG858" s="12">
        <v>7240155</v>
      </c>
      <c r="AH858" s="12">
        <v>6002122</v>
      </c>
      <c r="AI858" s="12">
        <v>2386486</v>
      </c>
      <c r="AJ858" s="23">
        <f t="shared" si="1805"/>
        <v>2788</v>
      </c>
      <c r="AK858" s="23">
        <f t="shared" si="1806"/>
        <v>15628763</v>
      </c>
      <c r="AL858" s="28">
        <f>AK858/detalle!$D$2</f>
        <v>1425914.5027712649</v>
      </c>
    </row>
    <row r="859" spans="1:38">
      <c r="A859" s="12">
        <v>858</v>
      </c>
      <c r="B859" s="19">
        <v>44748</v>
      </c>
      <c r="C859" s="12">
        <v>840</v>
      </c>
      <c r="D859" s="23">
        <f t="shared" ref="D859:D860" si="1807">E859-E858</f>
        <v>1079</v>
      </c>
      <c r="E859" s="12">
        <v>614707</v>
      </c>
      <c r="F859" s="12">
        <v>4383</v>
      </c>
      <c r="G859" s="12">
        <v>604696</v>
      </c>
      <c r="H859" s="23">
        <f t="shared" ref="H859:H860" si="1808">E859-F859-G859</f>
        <v>5628</v>
      </c>
      <c r="I859" s="23">
        <f t="shared" ref="I859:I860" si="1809">J859-J858</f>
        <v>5012</v>
      </c>
      <c r="J859" s="12">
        <v>3522740</v>
      </c>
      <c r="K859" s="23">
        <f t="shared" ref="K859:K860" si="1810">J859-E859</f>
        <v>2908033</v>
      </c>
      <c r="L859" s="23">
        <f t="shared" ref="L859:L860" si="1811">G859-G858</f>
        <v>-149</v>
      </c>
      <c r="M859" s="14">
        <f t="shared" ref="M859:M860" si="1812">F859/E859</f>
        <v>7.1302262704019967E-3</v>
      </c>
      <c r="N859" s="14">
        <f t="shared" ref="N859:N860" si="1813">D859/I859</f>
        <v>0.21528332003192338</v>
      </c>
      <c r="O859" s="24"/>
      <c r="P859" s="12"/>
      <c r="Q859" s="12"/>
      <c r="R859" s="23">
        <f t="shared" ref="R859:R860" si="1814">F859+G859</f>
        <v>609079</v>
      </c>
      <c r="S859" s="25">
        <f>(((H859+R859)/(H858+R858))-1)+detalle!$D$1</f>
        <v>7.3186965765205364E-2</v>
      </c>
      <c r="T859" s="25">
        <f t="shared" ref="T859:T860" si="1815">S859*14</f>
        <v>1.0246175207128752</v>
      </c>
      <c r="U859" s="10">
        <f t="shared" ref="U859:U860" si="1816">G859/E859</f>
        <v>0.98371419228998536</v>
      </c>
      <c r="V859" s="21">
        <f t="shared" ref="V859:V860" si="1817">G859/F859</f>
        <v>137.96395163130276</v>
      </c>
      <c r="W859" s="15">
        <f>J859/detalle!$D$2</f>
        <v>321402.6635052592</v>
      </c>
      <c r="X859" s="15">
        <f>E859/detalle!$D$2</f>
        <v>56083.749318805072</v>
      </c>
      <c r="Y859" s="15">
        <f>F859/detalle!$D$2</f>
        <v>399.88982273558395</v>
      </c>
      <c r="AA859" s="14">
        <f>E859/(detalle!$D$2*1000000)</f>
        <v>5.6083749318805068E-2</v>
      </c>
      <c r="AB859" s="14">
        <f>F859/(detalle!$D$2*1000000)</f>
        <v>3.9988982273558399E-4</v>
      </c>
      <c r="AC859" s="31">
        <f t="shared" ref="AC859" si="1818">28/585</f>
        <v>4.7863247863247867E-2</v>
      </c>
      <c r="AD859" s="31">
        <f>204/2373</f>
        <v>8.5967130214917822E-2</v>
      </c>
      <c r="AE859" s="31">
        <f t="shared" ref="AE859" si="1819">8/469</f>
        <v>1.7057569296375266E-2</v>
      </c>
      <c r="AF859" s="22">
        <f t="shared" ref="AF859:AF860" si="1820">F859-F858</f>
        <v>0</v>
      </c>
      <c r="AG859" s="12">
        <v>7240940</v>
      </c>
      <c r="AH859" s="12">
        <v>6002916</v>
      </c>
      <c r="AI859" s="12">
        <v>2387978</v>
      </c>
      <c r="AJ859" s="23">
        <f t="shared" ref="AJ859:AJ860" si="1821">AK859-AK858</f>
        <v>3071</v>
      </c>
      <c r="AK859" s="23">
        <f t="shared" ref="AK859:AK860" si="1822">AG859+AH859+AI859</f>
        <v>15631834</v>
      </c>
      <c r="AL859" s="28">
        <f>AK859/detalle!$D$2</f>
        <v>1426194.6902331905</v>
      </c>
    </row>
    <row r="860" spans="1:38">
      <c r="A860" s="12">
        <v>859</v>
      </c>
      <c r="B860" s="19">
        <v>44749</v>
      </c>
      <c r="C860" s="12">
        <v>841</v>
      </c>
      <c r="D860" s="23">
        <f t="shared" si="1807"/>
        <v>1317</v>
      </c>
      <c r="E860" s="12">
        <v>616024</v>
      </c>
      <c r="F860" s="12">
        <v>4383</v>
      </c>
      <c r="G860" s="12">
        <v>605970</v>
      </c>
      <c r="H860" s="23">
        <f t="shared" si="1808"/>
        <v>5671</v>
      </c>
      <c r="I860" s="23">
        <f t="shared" si="1809"/>
        <v>5999</v>
      </c>
      <c r="J860" s="12">
        <v>3528739</v>
      </c>
      <c r="K860" s="23">
        <f t="shared" si="1810"/>
        <v>2912715</v>
      </c>
      <c r="L860" s="23">
        <f t="shared" si="1811"/>
        <v>1274</v>
      </c>
      <c r="M860" s="14">
        <f t="shared" si="1812"/>
        <v>7.1149825331480593E-3</v>
      </c>
      <c r="N860" s="14">
        <f t="shared" si="1813"/>
        <v>0.21953658943157192</v>
      </c>
      <c r="O860" s="24"/>
      <c r="P860" s="12"/>
      <c r="Q860" s="12"/>
      <c r="R860" s="23">
        <f t="shared" si="1814"/>
        <v>610353</v>
      </c>
      <c r="S860" s="25">
        <f>(((H860+R860)/(H859+R859))-1)+detalle!$D$1</f>
        <v>7.3571055571423322E-2</v>
      </c>
      <c r="T860" s="25">
        <f t="shared" si="1815"/>
        <v>1.0299947779999266</v>
      </c>
      <c r="U860" s="10">
        <f t="shared" si="1816"/>
        <v>0.98367920730361158</v>
      </c>
      <c r="V860" s="21">
        <f t="shared" si="1817"/>
        <v>138.2546201232033</v>
      </c>
      <c r="W860" s="15">
        <f>J860/detalle!$D$2</f>
        <v>321949.99160167505</v>
      </c>
      <c r="X860" s="15">
        <f>E860/detalle!$D$2</f>
        <v>56203.907862392283</v>
      </c>
      <c r="Y860" s="15">
        <f>F860/detalle!$D$2</f>
        <v>399.88982273558395</v>
      </c>
      <c r="AA860" s="14">
        <f>E860/(detalle!$D$2*1000000)</f>
        <v>5.620390786239228E-2</v>
      </c>
      <c r="AB860" s="14">
        <f>F860/(detalle!$D$2*1000000)</f>
        <v>3.9988982273558399E-4</v>
      </c>
      <c r="AC860" s="31">
        <f>27/585</f>
        <v>4.6153846153846156E-2</v>
      </c>
      <c r="AD860" s="31">
        <f>198/2373</f>
        <v>8.3438685208596708E-2</v>
      </c>
      <c r="AE860" s="31">
        <f>7/469</f>
        <v>1.4925373134328358E-2</v>
      </c>
      <c r="AF860" s="22">
        <f t="shared" si="1820"/>
        <v>0</v>
      </c>
      <c r="AG860" s="12">
        <v>7240940</v>
      </c>
      <c r="AH860" s="12">
        <v>6002916</v>
      </c>
      <c r="AI860" s="12">
        <v>2387978</v>
      </c>
      <c r="AJ860" s="23">
        <f t="shared" si="1821"/>
        <v>0</v>
      </c>
      <c r="AK860" s="23">
        <f t="shared" si="1822"/>
        <v>15631834</v>
      </c>
      <c r="AL860" s="28">
        <f>AK860/detalle!$D$2</f>
        <v>1426194.6902331905</v>
      </c>
    </row>
    <row r="861" spans="1:38">
      <c r="A861" s="12">
        <v>860</v>
      </c>
      <c r="B861" s="19">
        <v>44750</v>
      </c>
      <c r="C861" s="12">
        <v>842</v>
      </c>
      <c r="D861" s="23">
        <f t="shared" ref="D861:D865" si="1823">E861-E860</f>
        <v>1029</v>
      </c>
      <c r="E861" s="12">
        <v>617053</v>
      </c>
      <c r="F861" s="12">
        <v>4383</v>
      </c>
      <c r="G861" s="12">
        <v>607110</v>
      </c>
      <c r="H861" s="23">
        <f t="shared" ref="H861:H865" si="1824">E861-F861-G861</f>
        <v>5560</v>
      </c>
      <c r="I861" s="23">
        <f t="shared" ref="I861:I865" si="1825">J861-J860</f>
        <v>4785</v>
      </c>
      <c r="J861" s="12">
        <v>3533524</v>
      </c>
      <c r="K861" s="23">
        <f t="shared" ref="K861:K865" si="1826">J861-E861</f>
        <v>2916471</v>
      </c>
      <c r="L861" s="23">
        <f t="shared" ref="L861:L865" si="1827">G861-G860</f>
        <v>1140</v>
      </c>
      <c r="M861" s="14">
        <f t="shared" ref="M861:M865" si="1828">F861/E861</f>
        <v>7.1031175604040495E-3</v>
      </c>
      <c r="N861" s="14">
        <f t="shared" ref="N861:N865" si="1829">D861/I861</f>
        <v>0.21504702194357367</v>
      </c>
      <c r="O861" s="24"/>
      <c r="P861" s="12"/>
      <c r="Q861" s="12"/>
      <c r="R861" s="23">
        <f t="shared" ref="R861:R865" si="1830">F861+G861</f>
        <v>611493</v>
      </c>
      <c r="S861" s="25">
        <f>(((H861+R861)/(H860+R860))-1)+detalle!$D$1</f>
        <v>7.3098960893917014E-2</v>
      </c>
      <c r="T861" s="25">
        <f t="shared" ref="T861:T865" si="1831">S861*14</f>
        <v>1.0233854525148383</v>
      </c>
      <c r="U861" s="10">
        <f t="shared" ref="U861:U865" si="1832">G861/E861</f>
        <v>0.98388631122448156</v>
      </c>
      <c r="V861" s="21">
        <f t="shared" ref="V861:V865" si="1833">G861/F861</f>
        <v>138.51471594798085</v>
      </c>
      <c r="W861" s="15">
        <f>J861/detalle!$D$2</f>
        <v>322386.55851971975</v>
      </c>
      <c r="X861" s="15">
        <f>E861/detalle!$D$2</f>
        <v>56297.790277996872</v>
      </c>
      <c r="Y861" s="15">
        <f>F861/detalle!$D$2</f>
        <v>399.88982273558395</v>
      </c>
      <c r="AA861" s="14">
        <f>E861/(detalle!$D$2*1000000)</f>
        <v>5.6297790277996869E-2</v>
      </c>
      <c r="AB861" s="14">
        <f>F861/(detalle!$D$2*1000000)</f>
        <v>3.9988982273558399E-4</v>
      </c>
      <c r="AC861" s="31">
        <f t="shared" ref="AC861:AC863" si="1834">27/585</f>
        <v>4.6153846153846156E-2</v>
      </c>
      <c r="AD861" s="31">
        <f t="shared" ref="AD861:AD863" si="1835">198/2373</f>
        <v>8.3438685208596708E-2</v>
      </c>
      <c r="AE861" s="31">
        <f t="shared" ref="AE861:AE863" si="1836">7/469</f>
        <v>1.4925373134328358E-2</v>
      </c>
      <c r="AF861" s="22">
        <f t="shared" ref="AF861:AF865" si="1837">F861-F860</f>
        <v>0</v>
      </c>
      <c r="AG861" s="12">
        <v>7242363</v>
      </c>
      <c r="AH861" s="12">
        <v>6004280</v>
      </c>
      <c r="AI861" s="12">
        <v>2390867</v>
      </c>
      <c r="AJ861" s="23">
        <f t="shared" ref="AJ861:AJ865" si="1838">AK861-AK860</f>
        <v>5676</v>
      </c>
      <c r="AK861" s="23">
        <f t="shared" ref="AK861:AK865" si="1839">AG861+AH861+AI861</f>
        <v>15637510</v>
      </c>
      <c r="AL861" s="28">
        <f>AK861/detalle!$D$2</f>
        <v>1426712.5489221816</v>
      </c>
    </row>
    <row r="862" spans="1:38">
      <c r="A862" s="12">
        <v>861</v>
      </c>
      <c r="B862" s="19">
        <v>44751</v>
      </c>
      <c r="C862" s="12">
        <v>843</v>
      </c>
      <c r="D862" s="23">
        <f t="shared" si="1823"/>
        <v>725</v>
      </c>
      <c r="E862" s="12">
        <v>617778</v>
      </c>
      <c r="F862" s="12">
        <v>4383</v>
      </c>
      <c r="G862" s="12">
        <v>608328</v>
      </c>
      <c r="H862" s="23">
        <f t="shared" si="1824"/>
        <v>5067</v>
      </c>
      <c r="I862" s="23">
        <f t="shared" si="1825"/>
        <v>3312</v>
      </c>
      <c r="J862" s="12">
        <v>3536836</v>
      </c>
      <c r="K862" s="23">
        <f t="shared" si="1826"/>
        <v>2919058</v>
      </c>
      <c r="L862" s="23">
        <f t="shared" si="1827"/>
        <v>1218</v>
      </c>
      <c r="M862" s="14">
        <f t="shared" si="1828"/>
        <v>7.0947816205821513E-3</v>
      </c>
      <c r="N862" s="14">
        <f t="shared" si="1829"/>
        <v>0.21890096618357488</v>
      </c>
      <c r="O862" s="24"/>
      <c r="P862" s="12"/>
      <c r="Q862" s="12"/>
      <c r="R862" s="23">
        <f t="shared" si="1830"/>
        <v>612711</v>
      </c>
      <c r="S862" s="25">
        <f>(((H862+R862)/(H861+R861))-1)+detalle!$D$1</f>
        <v>7.2603511020470385E-2</v>
      </c>
      <c r="T862" s="25">
        <f t="shared" si="1831"/>
        <v>1.0164491542865854</v>
      </c>
      <c r="U862" s="10">
        <f t="shared" si="1832"/>
        <v>0.98470324291250255</v>
      </c>
      <c r="V862" s="21">
        <f t="shared" si="1833"/>
        <v>138.79260780287476</v>
      </c>
      <c r="W862" s="15">
        <f>J862/detalle!$D$2</f>
        <v>322688.73399151996</v>
      </c>
      <c r="X862" s="15">
        <f>E862/detalle!$D$2</f>
        <v>56363.936780730917</v>
      </c>
      <c r="Y862" s="15">
        <f>F862/detalle!$D$2</f>
        <v>399.88982273558395</v>
      </c>
      <c r="AA862" s="14">
        <f>E862/(detalle!$D$2*1000000)</f>
        <v>5.6363936780730914E-2</v>
      </c>
      <c r="AB862" s="14">
        <f>F862/(detalle!$D$2*1000000)</f>
        <v>3.9988982273558399E-4</v>
      </c>
      <c r="AC862" s="31">
        <f t="shared" si="1834"/>
        <v>4.6153846153846156E-2</v>
      </c>
      <c r="AD862" s="31">
        <f t="shared" si="1835"/>
        <v>8.3438685208596708E-2</v>
      </c>
      <c r="AE862" s="31">
        <f t="shared" si="1836"/>
        <v>1.4925373134328358E-2</v>
      </c>
      <c r="AF862" s="22">
        <f t="shared" si="1837"/>
        <v>0</v>
      </c>
      <c r="AG862" s="12">
        <v>7242699</v>
      </c>
      <c r="AH862" s="12">
        <v>6004703</v>
      </c>
      <c r="AI862" s="12">
        <v>2391557</v>
      </c>
      <c r="AJ862" s="23">
        <f t="shared" si="1838"/>
        <v>1449</v>
      </c>
      <c r="AK862" s="23">
        <f t="shared" si="1839"/>
        <v>15638959</v>
      </c>
      <c r="AL862" s="28">
        <f>AK862/detalle!$D$2</f>
        <v>1426844.7506910942</v>
      </c>
    </row>
    <row r="863" spans="1:38">
      <c r="A863" s="12">
        <v>862</v>
      </c>
      <c r="B863" s="19">
        <v>44752</v>
      </c>
      <c r="C863" s="12">
        <v>844</v>
      </c>
      <c r="D863" s="23">
        <f t="shared" si="1823"/>
        <v>1095</v>
      </c>
      <c r="E863" s="12">
        <v>618873</v>
      </c>
      <c r="F863" s="12">
        <v>4383</v>
      </c>
      <c r="G863" s="12">
        <v>609795</v>
      </c>
      <c r="H863" s="23">
        <f t="shared" si="1824"/>
        <v>4695</v>
      </c>
      <c r="I863" s="23">
        <f t="shared" si="1825"/>
        <v>5211</v>
      </c>
      <c r="J863" s="12">
        <v>3542047</v>
      </c>
      <c r="K863" s="23">
        <f t="shared" si="1826"/>
        <v>2923174</v>
      </c>
      <c r="L863" s="23">
        <f t="shared" si="1827"/>
        <v>1467</v>
      </c>
      <c r="M863" s="14">
        <f t="shared" si="1828"/>
        <v>7.0822285024552695E-3</v>
      </c>
      <c r="N863" s="14">
        <f t="shared" si="1829"/>
        <v>0.21013241220495107</v>
      </c>
      <c r="O863" s="24"/>
      <c r="P863" s="12"/>
      <c r="Q863" s="12"/>
      <c r="R863" s="23">
        <f t="shared" si="1830"/>
        <v>614178</v>
      </c>
      <c r="S863" s="25">
        <f>(((H863+R863)/(H862+R862))-1)+detalle!$D$1</f>
        <v>7.3201052805376615E-2</v>
      </c>
      <c r="T863" s="25">
        <f t="shared" si="1831"/>
        <v>1.0248147392752727</v>
      </c>
      <c r="U863" s="10">
        <f t="shared" si="1832"/>
        <v>0.98533140078820691</v>
      </c>
      <c r="V863" s="21">
        <f t="shared" si="1833"/>
        <v>139.12731006160163</v>
      </c>
      <c r="W863" s="15">
        <f>J863/detalle!$D$2</f>
        <v>323164.16768220556</v>
      </c>
      <c r="X863" s="15">
        <f>E863/detalle!$D$2</f>
        <v>56463.840808998189</v>
      </c>
      <c r="Y863" s="15">
        <f>F863/detalle!$D$2</f>
        <v>399.88982273558395</v>
      </c>
      <c r="AA863" s="14">
        <f>E863/(detalle!$D$2*1000000)</f>
        <v>5.6463840808998189E-2</v>
      </c>
      <c r="AB863" s="14">
        <f>F863/(detalle!$D$2*1000000)</f>
        <v>3.9988982273558399E-4</v>
      </c>
      <c r="AC863" s="31">
        <f t="shared" si="1834"/>
        <v>4.6153846153846156E-2</v>
      </c>
      <c r="AD863" s="31">
        <f t="shared" si="1835"/>
        <v>8.3438685208596708E-2</v>
      </c>
      <c r="AE863" s="31">
        <f t="shared" si="1836"/>
        <v>1.4925373134328358E-2</v>
      </c>
      <c r="AF863" s="22">
        <f t="shared" si="1837"/>
        <v>0</v>
      </c>
      <c r="AG863" s="12">
        <v>7242852</v>
      </c>
      <c r="AH863" s="12">
        <v>6004864</v>
      </c>
      <c r="AI863" s="12">
        <v>2391811</v>
      </c>
      <c r="AJ863" s="23">
        <f t="shared" si="1838"/>
        <v>568</v>
      </c>
      <c r="AK863" s="23">
        <f t="shared" si="1839"/>
        <v>15639527</v>
      </c>
      <c r="AL863" s="28">
        <f>AK863/detalle!$D$2</f>
        <v>1426896.5730546154</v>
      </c>
    </row>
    <row r="864" spans="1:38">
      <c r="A864" s="12">
        <v>863</v>
      </c>
      <c r="B864" s="19">
        <v>44753</v>
      </c>
      <c r="C864" s="12">
        <v>845</v>
      </c>
      <c r="D864" s="23">
        <f t="shared" si="1823"/>
        <v>628</v>
      </c>
      <c r="E864" s="12">
        <v>619501</v>
      </c>
      <c r="F864" s="12">
        <v>4383</v>
      </c>
      <c r="G864" s="12">
        <v>610768</v>
      </c>
      <c r="H864" s="23">
        <f t="shared" si="1824"/>
        <v>4350</v>
      </c>
      <c r="I864" s="23">
        <f t="shared" si="1825"/>
        <v>2880</v>
      </c>
      <c r="J864" s="12">
        <v>3544927</v>
      </c>
      <c r="K864" s="23">
        <f t="shared" si="1826"/>
        <v>2925426</v>
      </c>
      <c r="L864" s="23">
        <f t="shared" si="1827"/>
        <v>973</v>
      </c>
      <c r="M864" s="14">
        <f t="shared" si="1828"/>
        <v>7.0750491121079704E-3</v>
      </c>
      <c r="N864" s="14">
        <f t="shared" si="1829"/>
        <v>0.21805555555555556</v>
      </c>
      <c r="O864" s="24"/>
      <c r="P864" s="12"/>
      <c r="Q864" s="12"/>
      <c r="R864" s="23">
        <f t="shared" si="1830"/>
        <v>615151</v>
      </c>
      <c r="S864" s="25">
        <f>(((H864+R864)/(H863+R863))-1)+detalle!$D$1</f>
        <v>7.2443319203963102E-2</v>
      </c>
      <c r="T864" s="25">
        <f t="shared" si="1831"/>
        <v>1.0142064688554835</v>
      </c>
      <c r="U864" s="10">
        <f t="shared" si="1832"/>
        <v>0.9859031704549307</v>
      </c>
      <c r="V864" s="21">
        <f t="shared" si="1833"/>
        <v>139.34930412959162</v>
      </c>
      <c r="W864" s="15">
        <f>J864/detalle!$D$2</f>
        <v>323426.92896203185</v>
      </c>
      <c r="X864" s="15">
        <f>E864/detalle!$D$2</f>
        <v>56521.137365849194</v>
      </c>
      <c r="Y864" s="15">
        <f>F864/detalle!$D$2</f>
        <v>399.88982273558395</v>
      </c>
      <c r="AA864" s="14">
        <f>E864/(detalle!$D$2*1000000)</f>
        <v>5.652113736584919E-2</v>
      </c>
      <c r="AB864" s="14">
        <f>F864/(detalle!$D$2*1000000)</f>
        <v>3.9988982273558399E-4</v>
      </c>
      <c r="AC864" s="31">
        <f>16/585</f>
        <v>2.735042735042735E-2</v>
      </c>
      <c r="AD864" s="31">
        <f>178/2373</f>
        <v>7.5010535187526345E-2</v>
      </c>
      <c r="AE864" s="31">
        <f>4/469</f>
        <v>8.5287846481876331E-3</v>
      </c>
      <c r="AF864" s="22">
        <f t="shared" si="1837"/>
        <v>0</v>
      </c>
      <c r="AG864" s="12">
        <v>7243495</v>
      </c>
      <c r="AH864" s="12">
        <v>6005579</v>
      </c>
      <c r="AI864" s="12">
        <v>2393132</v>
      </c>
      <c r="AJ864" s="23">
        <f t="shared" si="1838"/>
        <v>2679</v>
      </c>
      <c r="AK864" s="23">
        <f t="shared" si="1839"/>
        <v>15642206</v>
      </c>
      <c r="AL864" s="28">
        <f>AK864/detalle!$D$2</f>
        <v>1427140.9957867872</v>
      </c>
    </row>
    <row r="865" spans="1:38">
      <c r="A865" s="12">
        <v>864</v>
      </c>
      <c r="B865" s="19">
        <v>44754</v>
      </c>
      <c r="C865" s="12">
        <v>846</v>
      </c>
      <c r="D865" s="23">
        <f t="shared" si="1823"/>
        <v>736</v>
      </c>
      <c r="E865" s="12">
        <v>620237</v>
      </c>
      <c r="F865" s="12">
        <v>4383</v>
      </c>
      <c r="G865" s="12">
        <v>611355</v>
      </c>
      <c r="H865" s="23">
        <f t="shared" si="1824"/>
        <v>4499</v>
      </c>
      <c r="I865" s="23">
        <f t="shared" si="1825"/>
        <v>3422</v>
      </c>
      <c r="J865" s="12">
        <v>3548349</v>
      </c>
      <c r="K865" s="23">
        <f t="shared" si="1826"/>
        <v>2928112</v>
      </c>
      <c r="L865" s="23">
        <f t="shared" si="1827"/>
        <v>587</v>
      </c>
      <c r="M865" s="14">
        <f t="shared" si="1828"/>
        <v>7.0666535533997488E-3</v>
      </c>
      <c r="N865" s="14">
        <f t="shared" si="1829"/>
        <v>0.21507890122735243</v>
      </c>
      <c r="O865" s="24"/>
      <c r="P865" s="12"/>
      <c r="Q865" s="12"/>
      <c r="R865" s="23">
        <f t="shared" si="1830"/>
        <v>615738</v>
      </c>
      <c r="S865" s="25">
        <f>(((H865+R865)/(H864+R864))-1)+detalle!$D$1</f>
        <v>7.2616624393780499E-2</v>
      </c>
      <c r="T865" s="25">
        <f t="shared" si="1831"/>
        <v>1.016632741512927</v>
      </c>
      <c r="U865" s="10">
        <f t="shared" si="1832"/>
        <v>0.9856796676109294</v>
      </c>
      <c r="V865" s="21">
        <f t="shared" si="1833"/>
        <v>139.48323066392882</v>
      </c>
      <c r="W865" s="15">
        <f>J865/detalle!$D$2</f>
        <v>323739.14045493648</v>
      </c>
      <c r="X865" s="15">
        <f>E865/detalle!$D$2</f>
        <v>56588.287470693678</v>
      </c>
      <c r="Y865" s="15">
        <f>F865/detalle!$D$2</f>
        <v>399.88982273558395</v>
      </c>
      <c r="AA865" s="14">
        <f>E865/(detalle!$D$2*1000000)</f>
        <v>5.6588287470693679E-2</v>
      </c>
      <c r="AB865" s="14">
        <f>F865/(detalle!$D$2*1000000)</f>
        <v>3.9988982273558399E-4</v>
      </c>
      <c r="AC865" s="31">
        <f>16/585</f>
        <v>2.735042735042735E-2</v>
      </c>
      <c r="AD865" s="31">
        <f>179/2373</f>
        <v>7.5431942688579862E-2</v>
      </c>
      <c r="AE865" s="31">
        <f>3/469</f>
        <v>6.3965884861407248E-3</v>
      </c>
      <c r="AF865" s="22">
        <f t="shared" si="1837"/>
        <v>0</v>
      </c>
      <c r="AG865" s="12">
        <v>7244174</v>
      </c>
      <c r="AH865" s="12">
        <v>6006300</v>
      </c>
      <c r="AI865" s="12">
        <v>2394558</v>
      </c>
      <c r="AJ865" s="23">
        <f t="shared" si="1838"/>
        <v>2826</v>
      </c>
      <c r="AK865" s="23">
        <f t="shared" si="1839"/>
        <v>15645032</v>
      </c>
      <c r="AL865" s="28">
        <f>AK865/detalle!$D$2</f>
        <v>1427398.8302926167</v>
      </c>
    </row>
    <row r="866" spans="1:38">
      <c r="A866" s="12">
        <v>865</v>
      </c>
      <c r="B866" s="19">
        <v>44755</v>
      </c>
      <c r="C866" s="12">
        <v>847</v>
      </c>
      <c r="D866" s="23">
        <f t="shared" ref="D866:D869" si="1840">E866-E865</f>
        <v>810</v>
      </c>
      <c r="E866" s="12">
        <v>621047</v>
      </c>
      <c r="F866" s="12">
        <v>4383</v>
      </c>
      <c r="G866" s="12">
        <v>611734</v>
      </c>
      <c r="H866" s="23">
        <f t="shared" ref="H866:H869" si="1841">E866-F866-G866</f>
        <v>4930</v>
      </c>
      <c r="I866" s="23">
        <f t="shared" ref="I866:I869" si="1842">J866-J865</f>
        <v>3801</v>
      </c>
      <c r="J866" s="12">
        <v>3552150</v>
      </c>
      <c r="K866" s="23">
        <f t="shared" ref="K866:K869" si="1843">J866-E866</f>
        <v>2931103</v>
      </c>
      <c r="L866" s="23">
        <f t="shared" ref="L866:L869" si="1844">G866-G865</f>
        <v>379</v>
      </c>
      <c r="M866" s="14">
        <f t="shared" ref="M866:M869" si="1845">F866/E866</f>
        <v>7.0574368767581195E-3</v>
      </c>
      <c r="N866" s="14">
        <f t="shared" ref="N866:N869" si="1846">D866/I866</f>
        <v>0.21310181531176006</v>
      </c>
      <c r="O866" s="24"/>
      <c r="P866" s="12"/>
      <c r="Q866" s="12"/>
      <c r="R866" s="23">
        <f t="shared" ref="R866:R869" si="1847">F866+G866</f>
        <v>616117</v>
      </c>
      <c r="S866" s="25">
        <f>(((H866+R866)/(H865+R865))-1)+detalle!$D$1</f>
        <v>7.2734523830637193E-2</v>
      </c>
      <c r="T866" s="25">
        <f t="shared" ref="T866:T869" si="1848">S866*14</f>
        <v>1.0182833336289208</v>
      </c>
      <c r="U866" s="10">
        <f t="shared" ref="U866:U869" si="1849">G866/E866</f>
        <v>0.98500435554796983</v>
      </c>
      <c r="V866" s="21">
        <f t="shared" ref="V866:V869" si="1850">G866/F866</f>
        <v>139.56970111795573</v>
      </c>
      <c r="W866" s="15">
        <f>J866/detalle!$D$2</f>
        <v>324085.93060237385</v>
      </c>
      <c r="X866" s="15">
        <f>E866/detalle!$D$2</f>
        <v>56662.189080644814</v>
      </c>
      <c r="Y866" s="15">
        <f>F866/detalle!$D$2</f>
        <v>399.88982273558395</v>
      </c>
      <c r="AA866" s="14">
        <f>E866/(detalle!$D$2*1000000)</f>
        <v>5.6662189080644812E-2</v>
      </c>
      <c r="AB866" s="14">
        <f>F866/(detalle!$D$2*1000000)</f>
        <v>3.9988982273558399E-4</v>
      </c>
      <c r="AC866" s="31">
        <f>17/585</f>
        <v>2.9059829059829061E-2</v>
      </c>
      <c r="AD866" s="31">
        <f t="shared" ref="AD866" si="1851">179/2373</f>
        <v>7.5431942688579862E-2</v>
      </c>
      <c r="AE866" s="31">
        <f t="shared" ref="AE866" si="1852">3/469</f>
        <v>6.3965884861407248E-3</v>
      </c>
      <c r="AF866" s="22">
        <f t="shared" ref="AF866:AF869" si="1853">F866-F865</f>
        <v>0</v>
      </c>
      <c r="AG866" s="12">
        <v>7244875</v>
      </c>
      <c r="AH866" s="12">
        <v>6007000</v>
      </c>
      <c r="AI866" s="12">
        <v>2396104</v>
      </c>
      <c r="AJ866" s="23">
        <f t="shared" ref="AJ866:AJ869" si="1854">AK866-AK865</f>
        <v>2947</v>
      </c>
      <c r="AK866" s="23">
        <f t="shared" ref="AK866:AK869" si="1855">AG866+AH866+AI866</f>
        <v>15647979</v>
      </c>
      <c r="AL866" s="28">
        <f>AK866/detalle!$D$2</f>
        <v>1427667.7044216611</v>
      </c>
    </row>
    <row r="867" spans="1:38">
      <c r="A867" s="12">
        <v>866</v>
      </c>
      <c r="B867" s="19">
        <v>44756</v>
      </c>
      <c r="C867" s="12">
        <v>848</v>
      </c>
      <c r="D867" s="23">
        <f t="shared" si="1840"/>
        <v>496</v>
      </c>
      <c r="E867" s="12">
        <v>621543</v>
      </c>
      <c r="F867" s="12">
        <v>4383</v>
      </c>
      <c r="G867" s="12">
        <v>612346</v>
      </c>
      <c r="H867" s="23">
        <f t="shared" si="1841"/>
        <v>4814</v>
      </c>
      <c r="I867" s="23">
        <f t="shared" si="1842"/>
        <v>2271</v>
      </c>
      <c r="J867" s="12">
        <v>3554421</v>
      </c>
      <c r="K867" s="23">
        <f t="shared" si="1843"/>
        <v>2932878</v>
      </c>
      <c r="L867" s="23">
        <f t="shared" si="1844"/>
        <v>612</v>
      </c>
      <c r="M867" s="14">
        <f t="shared" si="1845"/>
        <v>7.0518049435035063E-3</v>
      </c>
      <c r="N867" s="14">
        <f t="shared" si="1846"/>
        <v>0.21840598855129897</v>
      </c>
      <c r="O867" s="24"/>
      <c r="P867" s="12"/>
      <c r="Q867" s="12"/>
      <c r="R867" s="23">
        <f t="shared" si="1847"/>
        <v>616729</v>
      </c>
      <c r="S867" s="25">
        <f>(((H867+R867)/(H866+R866))-1)+detalle!$D$1</f>
        <v>7.222722273837559E-2</v>
      </c>
      <c r="T867" s="25">
        <f t="shared" si="1848"/>
        <v>1.0111811183372583</v>
      </c>
      <c r="U867" s="10">
        <f t="shared" si="1849"/>
        <v>0.98520295458238605</v>
      </c>
      <c r="V867" s="21">
        <f t="shared" si="1850"/>
        <v>139.70933150809947</v>
      </c>
      <c r="W867" s="15">
        <f>J867/detalle!$D$2</f>
        <v>324293.12881990353</v>
      </c>
      <c r="X867" s="15">
        <f>E867/detalle!$D$2</f>
        <v>56707.442412170451</v>
      </c>
      <c r="Y867" s="15">
        <f>F867/detalle!$D$2</f>
        <v>399.88982273558395</v>
      </c>
      <c r="AA867" s="14">
        <f>E867/(detalle!$D$2*1000000)</f>
        <v>5.6707442412170447E-2</v>
      </c>
      <c r="AB867" s="14">
        <f>F867/(detalle!$D$2*1000000)</f>
        <v>3.9988982273558399E-4</v>
      </c>
      <c r="AC867" s="31">
        <f>19/585</f>
        <v>3.2478632478632481E-2</v>
      </c>
      <c r="AD867" s="31">
        <f>141/2373</f>
        <v>5.9418457648546141E-2</v>
      </c>
      <c r="AE867" s="31">
        <f>6/469</f>
        <v>1.279317697228145E-2</v>
      </c>
      <c r="AF867" s="22">
        <f t="shared" si="1853"/>
        <v>0</v>
      </c>
      <c r="AG867" s="12">
        <v>7245519</v>
      </c>
      <c r="AH867" s="12">
        <v>6007724</v>
      </c>
      <c r="AI867" s="12">
        <v>2397534</v>
      </c>
      <c r="AJ867" s="23">
        <f t="shared" si="1854"/>
        <v>2798</v>
      </c>
      <c r="AK867" s="23">
        <f t="shared" si="1855"/>
        <v>15650777</v>
      </c>
      <c r="AL867" s="28">
        <f>AK867/detalle!$D$2</f>
        <v>1427922.9843039368</v>
      </c>
    </row>
    <row r="868" spans="1:38">
      <c r="A868" s="12">
        <v>867</v>
      </c>
      <c r="B868" s="19">
        <v>44757</v>
      </c>
      <c r="C868" s="12">
        <v>849</v>
      </c>
      <c r="D868" s="23">
        <f t="shared" si="1840"/>
        <v>393</v>
      </c>
      <c r="E868" s="12">
        <v>621936</v>
      </c>
      <c r="F868" s="12">
        <v>4383</v>
      </c>
      <c r="G868" s="12">
        <v>612679</v>
      </c>
      <c r="H868" s="23">
        <f t="shared" si="1841"/>
        <v>4874</v>
      </c>
      <c r="I868" s="23">
        <f t="shared" si="1842"/>
        <v>1722</v>
      </c>
      <c r="J868" s="12">
        <v>3556143</v>
      </c>
      <c r="K868" s="23">
        <f t="shared" si="1843"/>
        <v>2934207</v>
      </c>
      <c r="L868" s="23">
        <f t="shared" si="1844"/>
        <v>333</v>
      </c>
      <c r="M868" s="14">
        <f t="shared" si="1845"/>
        <v>7.0473489233618897E-3</v>
      </c>
      <c r="N868" s="14">
        <f t="shared" si="1846"/>
        <v>0.22822299651567945</v>
      </c>
      <c r="O868" s="24"/>
      <c r="P868" s="12"/>
      <c r="Q868" s="12"/>
      <c r="R868" s="23">
        <f t="shared" si="1847"/>
        <v>617062</v>
      </c>
      <c r="S868" s="25">
        <f>(((H868+R868)/(H867+R867))-1)+detalle!$D$1</f>
        <v>7.2060868791746585E-2</v>
      </c>
      <c r="T868" s="25">
        <f t="shared" si="1848"/>
        <v>1.0088521630844522</v>
      </c>
      <c r="U868" s="10">
        <f t="shared" si="1849"/>
        <v>0.98511583185408147</v>
      </c>
      <c r="V868" s="21">
        <f t="shared" si="1850"/>
        <v>139.78530686744239</v>
      </c>
      <c r="W868" s="15">
        <f>J868/detalle!$D$2</f>
        <v>324450.23816846631</v>
      </c>
      <c r="X868" s="15">
        <f>E868/detalle!$D$2</f>
        <v>56743.298378480074</v>
      </c>
      <c r="Y868" s="15">
        <f>F868/detalle!$D$2</f>
        <v>399.88982273558395</v>
      </c>
      <c r="AA868" s="14">
        <f>E868/(detalle!$D$2*1000000)</f>
        <v>5.6743298378480071E-2</v>
      </c>
      <c r="AB868" s="14">
        <f>F868/(detalle!$D$2*1000000)</f>
        <v>3.9988982273558399E-4</v>
      </c>
      <c r="AC868" s="31">
        <f>23/585</f>
        <v>3.9316239316239315E-2</v>
      </c>
      <c r="AD868" s="31">
        <f>162/2373</f>
        <v>6.8268015170670035E-2</v>
      </c>
      <c r="AE868" s="31">
        <f>5/469</f>
        <v>1.0660980810234541E-2</v>
      </c>
      <c r="AF868" s="22">
        <f t="shared" si="1853"/>
        <v>0</v>
      </c>
      <c r="AG868" s="12">
        <v>7246208</v>
      </c>
      <c r="AH868" s="12">
        <v>6008370</v>
      </c>
      <c r="AI868" s="12">
        <v>2398800</v>
      </c>
      <c r="AJ868" s="23">
        <f t="shared" si="1854"/>
        <v>2601</v>
      </c>
      <c r="AK868" s="23">
        <f t="shared" si="1855"/>
        <v>15653378</v>
      </c>
      <c r="AL868" s="28">
        <f>AK868/detalle!$D$2</f>
        <v>1428160.2905847798</v>
      </c>
    </row>
    <row r="869" spans="1:38">
      <c r="A869" s="12">
        <v>868</v>
      </c>
      <c r="B869" s="19">
        <v>44758</v>
      </c>
      <c r="C869" s="12">
        <v>850</v>
      </c>
      <c r="D869" s="23">
        <f t="shared" si="1840"/>
        <v>496</v>
      </c>
      <c r="E869" s="12">
        <v>622432</v>
      </c>
      <c r="F869" s="12">
        <v>4383</v>
      </c>
      <c r="G869" s="12">
        <v>613029</v>
      </c>
      <c r="H869" s="23">
        <f t="shared" si="1841"/>
        <v>5020</v>
      </c>
      <c r="I869" s="23">
        <f t="shared" si="1842"/>
        <v>2213</v>
      </c>
      <c r="J869" s="12">
        <v>3558356</v>
      </c>
      <c r="K869" s="23">
        <f t="shared" si="1843"/>
        <v>2935924</v>
      </c>
      <c r="L869" s="23">
        <f t="shared" si="1844"/>
        <v>350</v>
      </c>
      <c r="M869" s="14">
        <f t="shared" si="1845"/>
        <v>7.0417330728497251E-3</v>
      </c>
      <c r="N869" s="14">
        <f t="shared" si="1846"/>
        <v>0.22413014008133755</v>
      </c>
      <c r="O869" s="24"/>
      <c r="P869" s="12"/>
      <c r="Q869" s="12"/>
      <c r="R869" s="23">
        <f t="shared" si="1847"/>
        <v>617412</v>
      </c>
      <c r="S869" s="25">
        <f>(((H869+R869)/(H868+R868))-1)+detalle!$D$1</f>
        <v>7.2226081140181614E-2</v>
      </c>
      <c r="T869" s="25">
        <f t="shared" si="1848"/>
        <v>1.0111651359625426</v>
      </c>
      <c r="U869" s="10">
        <f t="shared" si="1849"/>
        <v>0.98489312888797487</v>
      </c>
      <c r="V869" s="21">
        <f t="shared" si="1850"/>
        <v>139.86516084873375</v>
      </c>
      <c r="W869" s="15">
        <f>J869/detalle!$D$2</f>
        <v>324652.14466577722</v>
      </c>
      <c r="X869" s="15">
        <f>E869/detalle!$D$2</f>
        <v>56788.551710005704</v>
      </c>
      <c r="Y869" s="15">
        <f>F869/detalle!$D$2</f>
        <v>399.88982273558395</v>
      </c>
      <c r="AA869" s="14">
        <f>E869/(detalle!$D$2*1000000)</f>
        <v>5.6788551710005707E-2</v>
      </c>
      <c r="AB869" s="14">
        <f>F869/(detalle!$D$2*1000000)</f>
        <v>3.9988982273558399E-4</v>
      </c>
      <c r="AC869" s="31">
        <f>23/585</f>
        <v>3.9316239316239315E-2</v>
      </c>
      <c r="AD869" s="31">
        <f>162/2373</f>
        <v>6.8268015170670035E-2</v>
      </c>
      <c r="AE869" s="31">
        <f>5/469</f>
        <v>1.0660980810234541E-2</v>
      </c>
      <c r="AF869" s="22">
        <f t="shared" si="1853"/>
        <v>0</v>
      </c>
      <c r="AG869" s="12">
        <v>7246541</v>
      </c>
      <c r="AH869" s="12">
        <v>6008762</v>
      </c>
      <c r="AI869" s="12">
        <v>2399436</v>
      </c>
      <c r="AJ869" s="23">
        <f t="shared" si="1854"/>
        <v>1361</v>
      </c>
      <c r="AK869" s="23">
        <f t="shared" si="1855"/>
        <v>15654739</v>
      </c>
      <c r="AL869" s="28">
        <f>AK869/detalle!$D$2</f>
        <v>1428284.4635368087</v>
      </c>
    </row>
    <row r="870" spans="1:38">
      <c r="A870" s="12">
        <v>869</v>
      </c>
      <c r="B870" s="19">
        <v>44759</v>
      </c>
      <c r="C870" s="12">
        <v>851</v>
      </c>
      <c r="D870" s="23">
        <f t="shared" ref="D870" si="1856">E870-E869</f>
        <v>673</v>
      </c>
      <c r="E870" s="12">
        <v>623105</v>
      </c>
      <c r="F870" s="12">
        <v>4383</v>
      </c>
      <c r="G870" s="12">
        <v>614517</v>
      </c>
      <c r="H870" s="23">
        <f t="shared" ref="H870" si="1857">E870-F870-G870</f>
        <v>4205</v>
      </c>
      <c r="I870" s="23">
        <f t="shared" ref="I870" si="1858">J870-J869</f>
        <v>3024</v>
      </c>
      <c r="J870" s="12">
        <v>3561380</v>
      </c>
      <c r="K870" s="23">
        <f t="shared" ref="K870" si="1859">J870-E870</f>
        <v>2938275</v>
      </c>
      <c r="L870" s="23">
        <f t="shared" ref="L870" si="1860">G870-G869</f>
        <v>1488</v>
      </c>
      <c r="M870" s="14">
        <f t="shared" ref="M870" si="1861">F870/E870</f>
        <v>7.0341274745026917E-3</v>
      </c>
      <c r="N870" s="14">
        <f t="shared" ref="N870" si="1862">D870/I870</f>
        <v>0.22255291005291006</v>
      </c>
      <c r="O870" s="24"/>
      <c r="P870" s="12"/>
      <c r="Q870" s="12"/>
      <c r="R870" s="23">
        <f t="shared" ref="R870" si="1863">F870+G870</f>
        <v>618900</v>
      </c>
      <c r="S870" s="25">
        <f>(((H870+R870)/(H869+R869))-1)+detalle!$D$1</f>
        <v>7.2509814038205916E-2</v>
      </c>
      <c r="T870" s="25">
        <f t="shared" ref="T870" si="1864">S870*14</f>
        <v>1.0151373965348829</v>
      </c>
      <c r="U870" s="10">
        <f t="shared" ref="U870" si="1865">G870/E870</f>
        <v>0.98621741119073025</v>
      </c>
      <c r="V870" s="21">
        <f t="shared" ref="V870" si="1866">G870/F870</f>
        <v>140.20465434633812</v>
      </c>
      <c r="W870" s="15">
        <f>J870/detalle!$D$2</f>
        <v>324928.04400959483</v>
      </c>
      <c r="X870" s="15">
        <f>E870/detalle!$D$2</f>
        <v>56849.953911853991</v>
      </c>
      <c r="Y870" s="15">
        <f>F870/detalle!$D$2</f>
        <v>399.88982273558395</v>
      </c>
      <c r="AA870" s="14">
        <f>E870/(detalle!$D$2*1000000)</f>
        <v>5.684995391185399E-2</v>
      </c>
      <c r="AB870" s="14">
        <f>F870/(detalle!$D$2*1000000)</f>
        <v>3.9988982273558399E-4</v>
      </c>
      <c r="AC870" s="31">
        <f>23/585</f>
        <v>3.9316239316239315E-2</v>
      </c>
      <c r="AD870" s="31">
        <f>162/2373</f>
        <v>6.8268015170670035E-2</v>
      </c>
      <c r="AE870" s="31">
        <f>5/469</f>
        <v>1.0660980810234541E-2</v>
      </c>
      <c r="AF870" s="22">
        <f t="shared" ref="AF870" si="1867">F870-F869</f>
        <v>0</v>
      </c>
      <c r="AG870" s="12">
        <v>7246667</v>
      </c>
      <c r="AH870" s="12">
        <v>6008910</v>
      </c>
      <c r="AI870" s="12">
        <v>2399765</v>
      </c>
      <c r="AJ870" s="23">
        <f t="shared" ref="AJ870" si="1868">AK870-AK869</f>
        <v>603</v>
      </c>
      <c r="AK870" s="23">
        <f t="shared" ref="AK870" si="1869">AG870+AH870+AI870</f>
        <v>15655342</v>
      </c>
      <c r="AL870" s="28">
        <f>AK870/detalle!$D$2</f>
        <v>1428339.4791797725</v>
      </c>
    </row>
    <row r="871" spans="1:38">
      <c r="A871" s="12">
        <v>870</v>
      </c>
      <c r="B871" s="19">
        <v>44760</v>
      </c>
      <c r="C871" s="12">
        <v>852</v>
      </c>
      <c r="D871" s="23">
        <f t="shared" ref="D871:D874" si="1870">E871-E870</f>
        <v>601</v>
      </c>
      <c r="E871" s="12">
        <v>623706</v>
      </c>
      <c r="F871" s="12">
        <v>4383</v>
      </c>
      <c r="G871" s="12">
        <v>616150</v>
      </c>
      <c r="H871" s="23">
        <f t="shared" ref="H871:H874" si="1871">E871-F871-G871</f>
        <v>3173</v>
      </c>
      <c r="I871" s="23">
        <f t="shared" ref="I871:I874" si="1872">J871-J870</f>
        <v>3084</v>
      </c>
      <c r="J871" s="12">
        <v>3564464</v>
      </c>
      <c r="K871" s="23">
        <f t="shared" ref="K871:K874" si="1873">J871-E871</f>
        <v>2940758</v>
      </c>
      <c r="L871" s="23">
        <f t="shared" ref="L871:L874" si="1874">G871-G870</f>
        <v>1633</v>
      </c>
      <c r="M871" s="14">
        <f t="shared" ref="M871:M874" si="1875">F871/E871</f>
        <v>7.0273494242479627E-3</v>
      </c>
      <c r="N871" s="14">
        <f t="shared" ref="N871:N874" si="1876">D871/I871</f>
        <v>0.19487678339818418</v>
      </c>
      <c r="O871" s="24"/>
      <c r="P871" s="12"/>
      <c r="Q871" s="12"/>
      <c r="R871" s="23">
        <f t="shared" ref="R871:R874" si="1877">F871+G871</f>
        <v>620533</v>
      </c>
      <c r="S871" s="25">
        <f>(((H871+R871)/(H870+R870))-1)+detalle!$D$1</f>
        <v>7.2393095866667673E-2</v>
      </c>
      <c r="T871" s="25">
        <f t="shared" ref="T871:T874" si="1878">S871*14</f>
        <v>1.0135033421333475</v>
      </c>
      <c r="U871" s="10">
        <f t="shared" ref="U871:U874" si="1879">G871/E871</f>
        <v>0.98788531776189425</v>
      </c>
      <c r="V871" s="21">
        <f t="shared" ref="V871:V874" si="1880">G871/F871</f>
        <v>140.57723020762035</v>
      </c>
      <c r="W871" s="15">
        <f>J871/detalle!$D$2</f>
        <v>325209.41754674207</v>
      </c>
      <c r="X871" s="15">
        <f>E871/detalle!$D$2</f>
        <v>56904.787081706629</v>
      </c>
      <c r="Y871" s="15">
        <f>F871/detalle!$D$2</f>
        <v>399.88982273558395</v>
      </c>
      <c r="AA871" s="14">
        <f>E871/(detalle!$D$2*1000000)</f>
        <v>5.6904787081706626E-2</v>
      </c>
      <c r="AB871" s="14">
        <f>F871/(detalle!$D$2*1000000)</f>
        <v>3.9988982273558399E-4</v>
      </c>
      <c r="AC871" s="31">
        <f>20/585</f>
        <v>3.4188034188034191E-2</v>
      </c>
      <c r="AD871" s="31">
        <f>133/2373</f>
        <v>5.6047197640117993E-2</v>
      </c>
      <c r="AE871" s="31">
        <f>6/469</f>
        <v>1.279317697228145E-2</v>
      </c>
      <c r="AF871" s="22">
        <f t="shared" ref="AF871:AF874" si="1881">F871-F870</f>
        <v>0</v>
      </c>
      <c r="AG871" s="12">
        <v>7247288</v>
      </c>
      <c r="AH871" s="12">
        <v>6009544</v>
      </c>
      <c r="AI871" s="12">
        <v>2401050</v>
      </c>
      <c r="AJ871" s="23">
        <f t="shared" ref="AJ871:AJ874" si="1882">AK871-AK870</f>
        <v>2540</v>
      </c>
      <c r="AK871" s="23">
        <f t="shared" ref="AK871:AK874" si="1883">AG871+AH871+AI871</f>
        <v>15657882</v>
      </c>
      <c r="AL871" s="28">
        <f>AK871/detalle!$D$2</f>
        <v>1428571.2200307304</v>
      </c>
    </row>
    <row r="872" spans="1:38">
      <c r="A872" s="12">
        <v>871</v>
      </c>
      <c r="B872" s="19">
        <v>44761</v>
      </c>
      <c r="C872" s="12">
        <v>853</v>
      </c>
      <c r="D872" s="23">
        <f t="shared" si="1870"/>
        <v>461</v>
      </c>
      <c r="E872" s="12">
        <v>624167</v>
      </c>
      <c r="F872" s="12">
        <v>4383</v>
      </c>
      <c r="G872" s="12">
        <v>616402</v>
      </c>
      <c r="H872" s="23">
        <f t="shared" si="1871"/>
        <v>3382</v>
      </c>
      <c r="I872" s="23">
        <f t="shared" si="1872"/>
        <v>1887</v>
      </c>
      <c r="J872" s="12">
        <v>3566351</v>
      </c>
      <c r="K872" s="23">
        <f t="shared" si="1873"/>
        <v>2942184</v>
      </c>
      <c r="L872" s="23">
        <f t="shared" si="1874"/>
        <v>252</v>
      </c>
      <c r="M872" s="14">
        <f t="shared" si="1875"/>
        <v>7.0221591336933863E-3</v>
      </c>
      <c r="N872" s="14">
        <f t="shared" si="1876"/>
        <v>0.24430312665606782</v>
      </c>
      <c r="O872" s="24"/>
      <c r="P872" s="12"/>
      <c r="Q872" s="12"/>
      <c r="R872" s="23">
        <f t="shared" si="1877"/>
        <v>620785</v>
      </c>
      <c r="S872" s="25">
        <f>(((H872+R872)/(H871+R871))-1)+detalle!$D$1</f>
        <v>7.2167701723934857E-2</v>
      </c>
      <c r="T872" s="25">
        <f t="shared" si="1878"/>
        <v>1.0103478241350881</v>
      </c>
      <c r="U872" s="10">
        <f t="shared" si="1879"/>
        <v>0.98755941919390167</v>
      </c>
      <c r="V872" s="21">
        <f t="shared" si="1880"/>
        <v>140.63472507415011</v>
      </c>
      <c r="W872" s="15">
        <f>J872/detalle!$D$2</f>
        <v>325381.58092696161</v>
      </c>
      <c r="X872" s="15">
        <f>E872/detalle!$D$2</f>
        <v>56946.847133789925</v>
      </c>
      <c r="Y872" s="15">
        <f>F872/detalle!$D$2</f>
        <v>399.88982273558395</v>
      </c>
      <c r="AA872" s="14">
        <f>E872/(detalle!$D$2*1000000)</f>
        <v>5.6946847133789925E-2</v>
      </c>
      <c r="AB872" s="14">
        <f>F872/(detalle!$D$2*1000000)</f>
        <v>3.9988982273558399E-4</v>
      </c>
      <c r="AC872" s="31">
        <f>20/585</f>
        <v>3.4188034188034191E-2</v>
      </c>
      <c r="AD872" s="31">
        <f>133/2373</f>
        <v>5.6047197640117993E-2</v>
      </c>
      <c r="AE872" s="31">
        <f t="shared" ref="AE872:AE877" si="1884">5/469</f>
        <v>1.0660980810234541E-2</v>
      </c>
      <c r="AF872" s="22">
        <f t="shared" si="1881"/>
        <v>0</v>
      </c>
      <c r="AG872" s="12">
        <v>7247978</v>
      </c>
      <c r="AH872" s="12">
        <v>6010308</v>
      </c>
      <c r="AI872" s="12">
        <v>2402383</v>
      </c>
      <c r="AJ872" s="23">
        <f t="shared" si="1882"/>
        <v>2787</v>
      </c>
      <c r="AK872" s="23">
        <f t="shared" si="1883"/>
        <v>15660669</v>
      </c>
      <c r="AL872" s="28">
        <f>AK872/detalle!$D$2</f>
        <v>1428825.4963108955</v>
      </c>
    </row>
    <row r="873" spans="1:38">
      <c r="A873" s="12">
        <v>872</v>
      </c>
      <c r="B873" s="19">
        <v>44762</v>
      </c>
      <c r="C873" s="12">
        <v>854</v>
      </c>
      <c r="D873" s="23">
        <f t="shared" si="1870"/>
        <v>457</v>
      </c>
      <c r="E873" s="12">
        <v>624624</v>
      </c>
      <c r="F873" s="12">
        <v>4383</v>
      </c>
      <c r="G873" s="12">
        <v>617647</v>
      </c>
      <c r="H873" s="23">
        <f t="shared" si="1871"/>
        <v>2594</v>
      </c>
      <c r="I873" s="23">
        <f t="shared" si="1872"/>
        <v>2083</v>
      </c>
      <c r="J873" s="12">
        <v>3568434</v>
      </c>
      <c r="K873" s="23">
        <f t="shared" si="1873"/>
        <v>2943810</v>
      </c>
      <c r="L873" s="23">
        <f t="shared" si="1874"/>
        <v>1245</v>
      </c>
      <c r="M873" s="14">
        <f t="shared" si="1875"/>
        <v>7.0170214400983632E-3</v>
      </c>
      <c r="N873" s="14">
        <f t="shared" si="1876"/>
        <v>0.21939510321651465</v>
      </c>
      <c r="O873" s="24"/>
      <c r="P873" s="12"/>
      <c r="Q873" s="12"/>
      <c r="R873" s="23">
        <f t="shared" si="1877"/>
        <v>622030</v>
      </c>
      <c r="S873" s="25">
        <f>(((H873+R873)/(H872+R872))-1)+detalle!$D$1</f>
        <v>7.2160747272536324E-2</v>
      </c>
      <c r="T873" s="25">
        <f t="shared" si="1878"/>
        <v>1.0102504618155086</v>
      </c>
      <c r="U873" s="10">
        <f t="shared" si="1879"/>
        <v>0.98883008017623397</v>
      </c>
      <c r="V873" s="21">
        <f t="shared" si="1880"/>
        <v>140.91877709331507</v>
      </c>
      <c r="W873" s="15">
        <f>J873/detalle!$D$2</f>
        <v>325571.62667205813</v>
      </c>
      <c r="X873" s="15">
        <f>E873/detalle!$D$2</f>
        <v>56988.542239651244</v>
      </c>
      <c r="Y873" s="15">
        <f>F873/detalle!$D$2</f>
        <v>399.88982273558395</v>
      </c>
      <c r="AA873" s="14">
        <f>E873/(detalle!$D$2*1000000)</f>
        <v>5.6988542239651239E-2</v>
      </c>
      <c r="AB873" s="14">
        <f>F873/(detalle!$D$2*1000000)</f>
        <v>3.9988982273558399E-4</v>
      </c>
      <c r="AC873" s="31">
        <f>17/585</f>
        <v>2.9059829059829061E-2</v>
      </c>
      <c r="AD873" s="31">
        <f>128/2373</f>
        <v>5.3940160134850403E-2</v>
      </c>
      <c r="AE873" s="31">
        <f>6/469</f>
        <v>1.279317697228145E-2</v>
      </c>
      <c r="AF873" s="22">
        <f t="shared" si="1881"/>
        <v>0</v>
      </c>
      <c r="AG873" s="12">
        <v>7248643</v>
      </c>
      <c r="AH873" s="12">
        <v>6010990</v>
      </c>
      <c r="AI873" s="12">
        <v>2403754</v>
      </c>
      <c r="AJ873" s="23">
        <f t="shared" si="1882"/>
        <v>2718</v>
      </c>
      <c r="AK873" s="23">
        <f t="shared" si="1883"/>
        <v>15663387</v>
      </c>
      <c r="AL873" s="28">
        <f>AK873/detalle!$D$2</f>
        <v>1429073.4772687315</v>
      </c>
    </row>
    <row r="874" spans="1:38">
      <c r="A874" s="12">
        <v>873</v>
      </c>
      <c r="B874" s="19">
        <v>44763</v>
      </c>
      <c r="C874" s="12">
        <v>855</v>
      </c>
      <c r="D874" s="23">
        <f t="shared" si="1870"/>
        <v>532</v>
      </c>
      <c r="E874" s="12">
        <v>625156</v>
      </c>
      <c r="F874" s="12">
        <v>4383</v>
      </c>
      <c r="G874" s="12">
        <v>618610</v>
      </c>
      <c r="H874" s="23">
        <f t="shared" si="1871"/>
        <v>2163</v>
      </c>
      <c r="I874" s="23">
        <f t="shared" si="1872"/>
        <v>2321</v>
      </c>
      <c r="J874" s="12">
        <v>3570755</v>
      </c>
      <c r="K874" s="23">
        <f t="shared" si="1873"/>
        <v>2945599</v>
      </c>
      <c r="L874" s="23">
        <f t="shared" si="1874"/>
        <v>963</v>
      </c>
      <c r="M874" s="14">
        <f t="shared" si="1875"/>
        <v>7.0110500419095396E-3</v>
      </c>
      <c r="N874" s="14">
        <f t="shared" si="1876"/>
        <v>0.22921154674709177</v>
      </c>
      <c r="O874" s="24"/>
      <c r="P874" s="12"/>
      <c r="Q874" s="12"/>
      <c r="R874" s="23">
        <f t="shared" si="1877"/>
        <v>622993</v>
      </c>
      <c r="S874" s="25">
        <f>(((H874+R874)/(H873+R873))-1)+detalle!$D$1</f>
        <v>7.2280283818745322E-2</v>
      </c>
      <c r="T874" s="25">
        <f t="shared" si="1878"/>
        <v>1.0119239734624346</v>
      </c>
      <c r="U874" s="10">
        <f t="shared" si="1879"/>
        <v>0.98952901355821588</v>
      </c>
      <c r="V874" s="21">
        <f t="shared" si="1880"/>
        <v>141.13848961898242</v>
      </c>
      <c r="W874" s="15">
        <f>J874/detalle!$D$2</f>
        <v>325783.38671736256</v>
      </c>
      <c r="X874" s="15">
        <f>E874/detalle!$D$2</f>
        <v>57037.080087174705</v>
      </c>
      <c r="Y874" s="15">
        <f>F874/detalle!$D$2</f>
        <v>399.88982273558395</v>
      </c>
      <c r="AA874" s="14">
        <f>E874/(detalle!$D$2*1000000)</f>
        <v>5.7037080087174702E-2</v>
      </c>
      <c r="AB874" s="14">
        <f>F874/(detalle!$D$2*1000000)</f>
        <v>3.9988982273558399E-4</v>
      </c>
      <c r="AC874" s="31">
        <f>15/585</f>
        <v>2.564102564102564E-2</v>
      </c>
      <c r="AD874" s="31">
        <f>119/2373</f>
        <v>5.0147492625368731E-2</v>
      </c>
      <c r="AE874" s="31">
        <f t="shared" si="1884"/>
        <v>1.0660980810234541E-2</v>
      </c>
      <c r="AF874" s="22">
        <f t="shared" si="1881"/>
        <v>0</v>
      </c>
      <c r="AG874" s="12">
        <v>7249286</v>
      </c>
      <c r="AH874" s="12">
        <v>6011634</v>
      </c>
      <c r="AI874" s="12">
        <v>2405042</v>
      </c>
      <c r="AJ874" s="23">
        <f t="shared" si="1882"/>
        <v>2575</v>
      </c>
      <c r="AK874" s="23">
        <f t="shared" si="1883"/>
        <v>15665962</v>
      </c>
      <c r="AL874" s="28">
        <f>AK874/detalle!$D$2</f>
        <v>1429308.4113991319</v>
      </c>
    </row>
    <row r="875" spans="1:38">
      <c r="A875" s="12">
        <v>874</v>
      </c>
      <c r="B875" s="19">
        <v>44764</v>
      </c>
      <c r="C875" s="12">
        <v>856</v>
      </c>
      <c r="D875" s="23">
        <f t="shared" ref="D875:D881" si="1885">E875-E874</f>
        <v>874</v>
      </c>
      <c r="E875" s="12">
        <v>626030</v>
      </c>
      <c r="F875" s="12">
        <v>4383</v>
      </c>
      <c r="G875" s="12">
        <v>619268</v>
      </c>
      <c r="H875" s="23">
        <f t="shared" ref="H875:H881" si="1886">E875-F875-G875</f>
        <v>2379</v>
      </c>
      <c r="I875" s="23">
        <f t="shared" ref="I875:I881" si="1887">J875-J874</f>
        <v>3910</v>
      </c>
      <c r="J875" s="12">
        <v>3574665</v>
      </c>
      <c r="K875" s="23">
        <f t="shared" ref="K875:K881" si="1888">J875-E875</f>
        <v>2948635</v>
      </c>
      <c r="L875" s="23">
        <f t="shared" ref="L875:L881" si="1889">G875-G874</f>
        <v>658</v>
      </c>
      <c r="M875" s="14">
        <f t="shared" ref="M875:M881" si="1890">F875/E875</f>
        <v>7.0012619203552546E-3</v>
      </c>
      <c r="N875" s="14">
        <f t="shared" ref="N875:N881" si="1891">D875/I875</f>
        <v>0.22352941176470589</v>
      </c>
      <c r="O875" s="24"/>
      <c r="P875" s="12"/>
      <c r="Q875" s="12"/>
      <c r="R875" s="23">
        <f t="shared" ref="R875:R881" si="1892">F875+G875</f>
        <v>623651</v>
      </c>
      <c r="S875" s="25">
        <f>(((H875+R875)/(H874+R874))-1)+detalle!$D$1</f>
        <v>7.2826622475030273E-2</v>
      </c>
      <c r="T875" s="25">
        <f t="shared" ref="T875:T881" si="1893">S875*14</f>
        <v>1.0195727146504239</v>
      </c>
      <c r="U875" s="10">
        <f t="shared" ref="U875:U881" si="1894">G875/E875</f>
        <v>0.98919860070603649</v>
      </c>
      <c r="V875" s="21">
        <f t="shared" ref="V875:V881" si="1895">G875/F875</f>
        <v>141.28861510381017</v>
      </c>
      <c r="W875" s="15">
        <f>J875/detalle!$D$2</f>
        <v>326140.12164934893</v>
      </c>
      <c r="X875" s="15">
        <f>E875/detalle!$D$2</f>
        <v>57116.820836677536</v>
      </c>
      <c r="Y875" s="15">
        <f>F875/detalle!$D$2</f>
        <v>399.88982273558395</v>
      </c>
      <c r="AA875" s="14">
        <f>E875/(detalle!$D$2*1000000)</f>
        <v>5.7116820836677532E-2</v>
      </c>
      <c r="AB875" s="14">
        <f>F875/(detalle!$D$2*1000000)</f>
        <v>3.9988982273558399E-4</v>
      </c>
      <c r="AC875" s="31">
        <f>17/585</f>
        <v>2.9059829059829061E-2</v>
      </c>
      <c r="AD875" s="31">
        <f>120/2373</f>
        <v>5.0568900126422248E-2</v>
      </c>
      <c r="AE875" s="31">
        <f t="shared" si="1884"/>
        <v>1.0660980810234541E-2</v>
      </c>
      <c r="AF875" s="22">
        <f t="shared" ref="AF875:AF881" si="1896">F875-F874</f>
        <v>0</v>
      </c>
      <c r="AG875" s="12">
        <v>7249286</v>
      </c>
      <c r="AH875" s="12">
        <v>6011634</v>
      </c>
      <c r="AI875" s="12">
        <v>2405042</v>
      </c>
      <c r="AJ875" s="23">
        <f t="shared" ref="AJ875:AJ881" si="1897">AK875-AK874</f>
        <v>0</v>
      </c>
      <c r="AK875" s="23">
        <f t="shared" ref="AK875:AK881" si="1898">AG875+AH875+AI875</f>
        <v>15665962</v>
      </c>
      <c r="AL875" s="28">
        <f>AK875/detalle!$D$2</f>
        <v>1429308.4113991319</v>
      </c>
    </row>
    <row r="876" spans="1:38">
      <c r="A876" s="12">
        <v>875</v>
      </c>
      <c r="B876" s="19">
        <v>44765</v>
      </c>
      <c r="C876" s="12">
        <v>857</v>
      </c>
      <c r="D876" s="23">
        <f t="shared" si="1885"/>
        <v>354</v>
      </c>
      <c r="E876" s="12">
        <v>626384</v>
      </c>
      <c r="F876" s="12">
        <v>4383</v>
      </c>
      <c r="G876" s="12">
        <v>619863</v>
      </c>
      <c r="H876" s="23">
        <f t="shared" si="1886"/>
        <v>2138</v>
      </c>
      <c r="I876" s="23">
        <f t="shared" si="1887"/>
        <v>1803</v>
      </c>
      <c r="J876" s="12">
        <v>3576468</v>
      </c>
      <c r="K876" s="23">
        <f t="shared" si="1888"/>
        <v>2950084</v>
      </c>
      <c r="L876" s="23">
        <f t="shared" si="1889"/>
        <v>595</v>
      </c>
      <c r="M876" s="14">
        <f t="shared" si="1890"/>
        <v>6.9973051674372269E-3</v>
      </c>
      <c r="N876" s="14">
        <f t="shared" si="1891"/>
        <v>0.19633943427620631</v>
      </c>
      <c r="O876" s="24"/>
      <c r="P876" s="12"/>
      <c r="Q876" s="12"/>
      <c r="R876" s="23">
        <f t="shared" si="1892"/>
        <v>624246</v>
      </c>
      <c r="S876" s="25">
        <f>(((H876+R876)/(H875+R875))-1)+detalle!$D$1</f>
        <v>7.1994039537128601E-2</v>
      </c>
      <c r="T876" s="25">
        <f t="shared" si="1893"/>
        <v>1.0079165535198005</v>
      </c>
      <c r="U876" s="10">
        <f t="shared" si="1894"/>
        <v>0.98958945311502211</v>
      </c>
      <c r="V876" s="21">
        <f t="shared" si="1895"/>
        <v>141.42436687200546</v>
      </c>
      <c r="W876" s="15">
        <f>J876/detalle!$D$2</f>
        <v>326304.62115890678</v>
      </c>
      <c r="X876" s="15">
        <f>E876/detalle!$D$2</f>
        <v>57149.118577322843</v>
      </c>
      <c r="Y876" s="15">
        <f>F876/detalle!$D$2</f>
        <v>399.88982273558395</v>
      </c>
      <c r="AA876" s="14">
        <f>E876/(detalle!$D$2*1000000)</f>
        <v>5.7149118577322841E-2</v>
      </c>
      <c r="AB876" s="14">
        <f>F876/(detalle!$D$2*1000000)</f>
        <v>3.9988982273558399E-4</v>
      </c>
      <c r="AC876" s="31">
        <f>20/585</f>
        <v>3.4188034188034191E-2</v>
      </c>
      <c r="AD876" s="31">
        <f>111/2373</f>
        <v>4.6776232616940583E-2</v>
      </c>
      <c r="AE876" s="31">
        <f t="shared" si="1884"/>
        <v>1.0660980810234541E-2</v>
      </c>
      <c r="AF876" s="22">
        <f t="shared" si="1896"/>
        <v>0</v>
      </c>
      <c r="AG876" s="12">
        <v>7250557</v>
      </c>
      <c r="AH876" s="12">
        <v>6012626</v>
      </c>
      <c r="AI876" s="12">
        <v>2406767</v>
      </c>
      <c r="AJ876" s="23">
        <f t="shared" si="1897"/>
        <v>3988</v>
      </c>
      <c r="AK876" s="23">
        <f t="shared" si="1898"/>
        <v>15669950</v>
      </c>
      <c r="AL876" s="28">
        <f>AK876/detalle!$D$2</f>
        <v>1429672.2627824468</v>
      </c>
    </row>
    <row r="877" spans="1:38">
      <c r="A877" s="12">
        <v>876</v>
      </c>
      <c r="B877" s="19">
        <v>44766</v>
      </c>
      <c r="C877" s="12">
        <v>858</v>
      </c>
      <c r="D877" s="23">
        <f t="shared" si="1885"/>
        <v>227</v>
      </c>
      <c r="E877" s="12">
        <v>626611</v>
      </c>
      <c r="F877" s="12">
        <v>4383</v>
      </c>
      <c r="G877" s="12">
        <v>619988</v>
      </c>
      <c r="H877" s="23">
        <f t="shared" si="1886"/>
        <v>2240</v>
      </c>
      <c r="I877" s="23">
        <f t="shared" si="1887"/>
        <v>979</v>
      </c>
      <c r="J877" s="12">
        <v>3577447</v>
      </c>
      <c r="K877" s="23">
        <f t="shared" si="1888"/>
        <v>2950836</v>
      </c>
      <c r="L877" s="23">
        <f t="shared" si="1889"/>
        <v>125</v>
      </c>
      <c r="M877" s="14">
        <f t="shared" si="1890"/>
        <v>6.9947702801259476E-3</v>
      </c>
      <c r="N877" s="14">
        <f t="shared" si="1891"/>
        <v>0.23186925434116445</v>
      </c>
      <c r="O877" s="24"/>
      <c r="P877" s="12"/>
      <c r="Q877" s="12"/>
      <c r="R877" s="23">
        <f t="shared" si="1892"/>
        <v>624371</v>
      </c>
      <c r="S877" s="25">
        <f>(((H877+R877)/(H876+R876))-1)+detalle!$D$1</f>
        <v>7.1790968935532079E-2</v>
      </c>
      <c r="T877" s="25">
        <f t="shared" si="1893"/>
        <v>1.0050735650974492</v>
      </c>
      <c r="U877" s="10">
        <f t="shared" si="1894"/>
        <v>0.9894304440873205</v>
      </c>
      <c r="V877" s="21">
        <f t="shared" si="1895"/>
        <v>141.45288615103811</v>
      </c>
      <c r="W877" s="15">
        <f>J877/detalle!$D$2</f>
        <v>326393.94174673664</v>
      </c>
      <c r="X877" s="15">
        <f>E877/detalle!$D$2</f>
        <v>57169.829275420263</v>
      </c>
      <c r="Y877" s="15">
        <f>F877/detalle!$D$2</f>
        <v>399.88982273558395</v>
      </c>
      <c r="AA877" s="14">
        <f>E877/(detalle!$D$2*1000000)</f>
        <v>5.7169829275420261E-2</v>
      </c>
      <c r="AB877" s="14">
        <f>F877/(detalle!$D$2*1000000)</f>
        <v>3.9988982273558399E-4</v>
      </c>
      <c r="AC877" s="31">
        <f>20/585</f>
        <v>3.4188034188034191E-2</v>
      </c>
      <c r="AD877" s="31">
        <f>111/2373</f>
        <v>4.6776232616940583E-2</v>
      </c>
      <c r="AE877" s="31">
        <f t="shared" si="1884"/>
        <v>1.0660980810234541E-2</v>
      </c>
      <c r="AF877" s="22">
        <f t="shared" si="1896"/>
        <v>0</v>
      </c>
      <c r="AG877" s="12">
        <v>7250557</v>
      </c>
      <c r="AH877" s="12">
        <v>6012759</v>
      </c>
      <c r="AI877" s="12">
        <v>2407049</v>
      </c>
      <c r="AJ877" s="23">
        <f t="shared" si="1897"/>
        <v>415</v>
      </c>
      <c r="AK877" s="23">
        <f t="shared" si="1898"/>
        <v>15670365</v>
      </c>
      <c r="AL877" s="28">
        <f>AK877/detalle!$D$2</f>
        <v>1429710.1259529772</v>
      </c>
    </row>
    <row r="878" spans="1:38">
      <c r="A878" s="12">
        <v>877</v>
      </c>
      <c r="B878" s="19">
        <v>44767</v>
      </c>
      <c r="C878" s="12">
        <v>859</v>
      </c>
      <c r="D878" s="23">
        <f t="shared" si="1885"/>
        <v>414</v>
      </c>
      <c r="E878" s="12">
        <v>627025</v>
      </c>
      <c r="F878" s="12">
        <v>4383</v>
      </c>
      <c r="G878" s="12">
        <v>619937</v>
      </c>
      <c r="H878" s="23">
        <f t="shared" si="1886"/>
        <v>2705</v>
      </c>
      <c r="I878" s="23">
        <f t="shared" si="1887"/>
        <v>1844</v>
      </c>
      <c r="J878" s="12">
        <v>3579291</v>
      </c>
      <c r="K878" s="23">
        <f t="shared" si="1888"/>
        <v>2952266</v>
      </c>
      <c r="L878" s="23">
        <f t="shared" si="1889"/>
        <v>-51</v>
      </c>
      <c r="M878" s="14">
        <f t="shared" si="1890"/>
        <v>6.9901519078186675E-3</v>
      </c>
      <c r="N878" s="14">
        <f t="shared" si="1891"/>
        <v>0.22451193058568331</v>
      </c>
      <c r="O878" s="24"/>
      <c r="P878" s="12"/>
      <c r="Q878" s="12"/>
      <c r="R878" s="23">
        <f t="shared" si="1892"/>
        <v>624320</v>
      </c>
      <c r="S878" s="25">
        <f>(((H878+R878)/(H877+R877))-1)+detalle!$D$1</f>
        <v>7.2089268416016622E-2</v>
      </c>
      <c r="T878" s="25">
        <f t="shared" si="1893"/>
        <v>1.0092497578242328</v>
      </c>
      <c r="U878" s="10">
        <f t="shared" si="1894"/>
        <v>0.988695825525298</v>
      </c>
      <c r="V878" s="21">
        <f t="shared" si="1895"/>
        <v>141.44125028519278</v>
      </c>
      <c r="W878" s="15">
        <f>J878/detalle!$D$2</f>
        <v>326562.18195506983</v>
      </c>
      <c r="X878" s="15">
        <f>E878/detalle!$D$2</f>
        <v>57207.601209395289</v>
      </c>
      <c r="Y878" s="15">
        <f>F878/detalle!$D$2</f>
        <v>399.88982273558395</v>
      </c>
      <c r="AA878" s="14">
        <f>E878/(detalle!$D$2*1000000)</f>
        <v>5.7207601209395283E-2</v>
      </c>
      <c r="AB878" s="14">
        <f>F878/(detalle!$D$2*1000000)</f>
        <v>3.9988982273558399E-4</v>
      </c>
      <c r="AC878" s="31">
        <f>25/585</f>
        <v>4.2735042735042736E-2</v>
      </c>
      <c r="AD878" s="31">
        <f>93/2373</f>
        <v>3.9190897597977246E-2</v>
      </c>
      <c r="AE878" s="31">
        <f>2/469</f>
        <v>4.2643923240938165E-3</v>
      </c>
      <c r="AF878" s="22">
        <f t="shared" si="1896"/>
        <v>0</v>
      </c>
      <c r="AG878" s="12">
        <v>7250557</v>
      </c>
      <c r="AH878" s="12">
        <v>6012759</v>
      </c>
      <c r="AI878" s="12">
        <v>2407049</v>
      </c>
      <c r="AJ878" s="23">
        <f t="shared" si="1897"/>
        <v>0</v>
      </c>
      <c r="AK878" s="23">
        <f t="shared" si="1898"/>
        <v>15670365</v>
      </c>
      <c r="AL878" s="28">
        <f>AK878/detalle!$D$2</f>
        <v>1429710.1259529772</v>
      </c>
    </row>
    <row r="879" spans="1:38">
      <c r="A879" s="12">
        <v>878</v>
      </c>
      <c r="B879" s="19">
        <v>44768</v>
      </c>
      <c r="C879" s="12">
        <v>860</v>
      </c>
      <c r="D879" s="23">
        <f t="shared" si="1885"/>
        <v>435</v>
      </c>
      <c r="E879" s="12">
        <v>627460</v>
      </c>
      <c r="F879" s="12">
        <v>4383</v>
      </c>
      <c r="G879" s="12">
        <v>620439</v>
      </c>
      <c r="H879" s="23">
        <f t="shared" si="1886"/>
        <v>2638</v>
      </c>
      <c r="I879" s="23">
        <f t="shared" si="1887"/>
        <v>1981</v>
      </c>
      <c r="J879" s="12">
        <v>3581272</v>
      </c>
      <c r="K879" s="23">
        <f t="shared" si="1888"/>
        <v>2953812</v>
      </c>
      <c r="L879" s="23">
        <f t="shared" si="1889"/>
        <v>502</v>
      </c>
      <c r="M879" s="14">
        <f t="shared" si="1890"/>
        <v>6.9853058362286044E-3</v>
      </c>
      <c r="N879" s="14">
        <f t="shared" si="1891"/>
        <v>0.21958606764260474</v>
      </c>
      <c r="O879" s="24"/>
      <c r="P879" s="12"/>
      <c r="Q879" s="12"/>
      <c r="R879" s="23">
        <f t="shared" si="1892"/>
        <v>624822</v>
      </c>
      <c r="S879" s="25">
        <f>(((H879+R879)/(H878+R878))-1)+detalle!$D$1</f>
        <v>7.2122323671304917E-2</v>
      </c>
      <c r="T879" s="25">
        <f t="shared" si="1893"/>
        <v>1.0097125313982689</v>
      </c>
      <c r="U879" s="10">
        <f t="shared" si="1894"/>
        <v>0.98881044209989477</v>
      </c>
      <c r="V879" s="21">
        <f t="shared" si="1895"/>
        <v>141.55578370978782</v>
      </c>
      <c r="W879" s="15">
        <f>J879/detalle!$D$2</f>
        <v>326742.9215715059</v>
      </c>
      <c r="X879" s="15">
        <f>E879/detalle!$D$2</f>
        <v>57247.289111035709</v>
      </c>
      <c r="Y879" s="15">
        <f>F879/detalle!$D$2</f>
        <v>399.88982273558395</v>
      </c>
      <c r="AA879" s="14">
        <f>E879/(detalle!$D$2*1000000)</f>
        <v>5.7247289111035708E-2</v>
      </c>
      <c r="AB879" s="14">
        <f>F879/(detalle!$D$2*1000000)</f>
        <v>3.9988982273558399E-4</v>
      </c>
      <c r="AC879" s="31">
        <f>22/585</f>
        <v>3.7606837606837605E-2</v>
      </c>
      <c r="AD879" s="31">
        <f>86/2373</f>
        <v>3.6241045090602615E-2</v>
      </c>
      <c r="AE879" s="31">
        <f>1/469</f>
        <v>2.1321961620469083E-3</v>
      </c>
      <c r="AF879" s="22">
        <f t="shared" si="1896"/>
        <v>0</v>
      </c>
      <c r="AG879" s="12">
        <v>7252040</v>
      </c>
      <c r="AH879" s="12">
        <v>6014146</v>
      </c>
      <c r="AI879" s="12">
        <v>2409481</v>
      </c>
      <c r="AJ879" s="23">
        <f t="shared" si="1897"/>
        <v>5302</v>
      </c>
      <c r="AK879" s="23">
        <f t="shared" si="1898"/>
        <v>15675667</v>
      </c>
      <c r="AL879" s="28">
        <f>AK879/detalle!$D$2</f>
        <v>1430193.8621702129</v>
      </c>
    </row>
    <row r="880" spans="1:38">
      <c r="A880" s="12">
        <v>879</v>
      </c>
      <c r="B880" s="19">
        <v>44769</v>
      </c>
      <c r="C880" s="12">
        <v>861</v>
      </c>
      <c r="D880" s="23">
        <f t="shared" si="1885"/>
        <v>286</v>
      </c>
      <c r="E880" s="12">
        <v>627746</v>
      </c>
      <c r="F880" s="12">
        <v>4383</v>
      </c>
      <c r="G880" s="12">
        <v>620592</v>
      </c>
      <c r="H880" s="23">
        <f t="shared" si="1886"/>
        <v>2771</v>
      </c>
      <c r="I880" s="23">
        <f t="shared" si="1887"/>
        <v>1307</v>
      </c>
      <c r="J880" s="12">
        <v>3582579</v>
      </c>
      <c r="K880" s="23">
        <f t="shared" si="1888"/>
        <v>2954833</v>
      </c>
      <c r="L880" s="23">
        <f t="shared" si="1889"/>
        <v>153</v>
      </c>
      <c r="M880" s="14">
        <f t="shared" si="1890"/>
        <v>6.9821233428807193E-3</v>
      </c>
      <c r="N880" s="14">
        <f t="shared" si="1891"/>
        <v>0.21882172915072687</v>
      </c>
      <c r="O880" s="24"/>
      <c r="P880" s="12"/>
      <c r="Q880" s="12"/>
      <c r="R880" s="23">
        <f t="shared" si="1892"/>
        <v>624975</v>
      </c>
      <c r="S880" s="25">
        <f>(((H880+R880)/(H879+R879))-1)+detalle!$D$1</f>
        <v>7.1884377376360914E-2</v>
      </c>
      <c r="T880" s="25">
        <f t="shared" si="1893"/>
        <v>1.0063812832690529</v>
      </c>
      <c r="U880" s="10">
        <f t="shared" si="1894"/>
        <v>0.98860367091148327</v>
      </c>
      <c r="V880" s="21">
        <f t="shared" si="1895"/>
        <v>141.59069130732374</v>
      </c>
      <c r="W880" s="15">
        <f>J880/detalle!$D$2</f>
        <v>326862.16774953814</v>
      </c>
      <c r="X880" s="15">
        <f>E880/detalle!$D$2</f>
        <v>57273.382765907343</v>
      </c>
      <c r="Y880" s="15">
        <f>F880/detalle!$D$2</f>
        <v>399.88982273558395</v>
      </c>
      <c r="AA880" s="14">
        <f>E880/(detalle!$D$2*1000000)</f>
        <v>5.7273382765907342E-2</v>
      </c>
      <c r="AB880" s="14">
        <f>F880/(detalle!$D$2*1000000)</f>
        <v>3.9988982273558399E-4</v>
      </c>
      <c r="AC880" s="31">
        <f>19/585</f>
        <v>3.2478632478632481E-2</v>
      </c>
      <c r="AD880" s="31">
        <f>81/2373</f>
        <v>3.4134007585335017E-2</v>
      </c>
      <c r="AE880" s="31">
        <f>1/469</f>
        <v>2.1321961620469083E-3</v>
      </c>
      <c r="AF880" s="22">
        <f t="shared" si="1896"/>
        <v>0</v>
      </c>
      <c r="AG880" s="12">
        <v>7252822</v>
      </c>
      <c r="AH880" s="12">
        <v>6014865</v>
      </c>
      <c r="AI880" s="12">
        <v>2410849</v>
      </c>
      <c r="AJ880" s="23">
        <f t="shared" si="1897"/>
        <v>2869</v>
      </c>
      <c r="AK880" s="23">
        <f t="shared" si="1898"/>
        <v>15678536</v>
      </c>
      <c r="AL880" s="28">
        <f>AK880/detalle!$D$2</f>
        <v>1430455.6198479289</v>
      </c>
    </row>
    <row r="881" spans="1:38">
      <c r="A881" s="12">
        <v>880</v>
      </c>
      <c r="B881" s="19">
        <v>44770</v>
      </c>
      <c r="C881" s="12">
        <v>862</v>
      </c>
      <c r="D881" s="23">
        <f t="shared" si="1885"/>
        <v>467</v>
      </c>
      <c r="E881" s="12">
        <v>628213</v>
      </c>
      <c r="F881" s="12">
        <v>4383</v>
      </c>
      <c r="G881" s="12">
        <v>620901</v>
      </c>
      <c r="H881" s="23">
        <f t="shared" si="1886"/>
        <v>2929</v>
      </c>
      <c r="I881" s="23">
        <f t="shared" si="1887"/>
        <v>2040</v>
      </c>
      <c r="J881" s="12">
        <v>3584619</v>
      </c>
      <c r="K881" s="23">
        <f t="shared" si="1888"/>
        <v>2956406</v>
      </c>
      <c r="L881" s="23">
        <f t="shared" si="1889"/>
        <v>309</v>
      </c>
      <c r="M881" s="14">
        <f t="shared" si="1890"/>
        <v>6.9769329829213978E-3</v>
      </c>
      <c r="N881" s="14">
        <f t="shared" si="1891"/>
        <v>0.22892156862745097</v>
      </c>
      <c r="O881" s="24"/>
      <c r="P881" s="12"/>
      <c r="Q881" s="12"/>
      <c r="R881" s="23">
        <f t="shared" si="1892"/>
        <v>625284</v>
      </c>
      <c r="S881" s="25">
        <f>(((H881+R881)/(H880+R880))-1)+detalle!$D$1</f>
        <v>7.2172502891296758E-2</v>
      </c>
      <c r="T881" s="25">
        <f t="shared" si="1893"/>
        <v>1.0104150404781547</v>
      </c>
      <c r="U881" s="10">
        <f t="shared" si="1894"/>
        <v>0.98836063564427989</v>
      </c>
      <c r="V881" s="21">
        <f t="shared" si="1895"/>
        <v>141.6611909650924</v>
      </c>
      <c r="W881" s="15">
        <f>J881/detalle!$D$2</f>
        <v>327048.29032274842</v>
      </c>
      <c r="X881" s="15">
        <f>E881/detalle!$D$2</f>
        <v>57315.990237323618</v>
      </c>
      <c r="Y881" s="15">
        <f>F881/detalle!$D$2</f>
        <v>399.88982273558395</v>
      </c>
      <c r="AA881" s="14">
        <f>E881/(detalle!$D$2*1000000)</f>
        <v>5.7315990237323616E-2</v>
      </c>
      <c r="AB881" s="14">
        <f>F881/(detalle!$D$2*1000000)</f>
        <v>3.9988982273558399E-4</v>
      </c>
      <c r="AC881" s="31">
        <f t="shared" ref="AC881" si="1899">15/585</f>
        <v>2.564102564102564E-2</v>
      </c>
      <c r="AD881" s="31">
        <f>85/2373</f>
        <v>3.5819637589549091E-2</v>
      </c>
      <c r="AE881" s="31">
        <f>1/469</f>
        <v>2.1321961620469083E-3</v>
      </c>
      <c r="AF881" s="22">
        <f t="shared" si="1896"/>
        <v>0</v>
      </c>
      <c r="AG881" s="12">
        <v>7252822</v>
      </c>
      <c r="AH881" s="12">
        <v>6014865</v>
      </c>
      <c r="AI881" s="12">
        <v>2410849</v>
      </c>
      <c r="AJ881" s="23">
        <f t="shared" si="1897"/>
        <v>0</v>
      </c>
      <c r="AK881" s="23">
        <f t="shared" si="1898"/>
        <v>15678536</v>
      </c>
      <c r="AL881" s="28">
        <f>AK881/detalle!$D$2</f>
        <v>1430455.6198479289</v>
      </c>
    </row>
    <row r="882" spans="1:38">
      <c r="A882" s="12">
        <v>881</v>
      </c>
      <c r="B882" s="19">
        <v>44771</v>
      </c>
      <c r="C882" s="12">
        <v>863</v>
      </c>
      <c r="D882" s="23">
        <f t="shared" ref="D882:D884" si="1900">E882-E881</f>
        <v>512</v>
      </c>
      <c r="E882" s="12">
        <v>628725</v>
      </c>
      <c r="F882" s="12">
        <v>4383</v>
      </c>
      <c r="G882" s="12">
        <v>621231</v>
      </c>
      <c r="H882" s="23">
        <f t="shared" ref="H882:H884" si="1901">E882-F882-G882</f>
        <v>3111</v>
      </c>
      <c r="I882" s="23">
        <f t="shared" ref="I882:I884" si="1902">J882-J881</f>
        <v>2342</v>
      </c>
      <c r="J882" s="12">
        <v>3586961</v>
      </c>
      <c r="K882" s="23">
        <f t="shared" ref="K882:K884" si="1903">J882-E882</f>
        <v>2958236</v>
      </c>
      <c r="L882" s="23">
        <f t="shared" ref="L882:L884" si="1904">G882-G881</f>
        <v>330</v>
      </c>
      <c r="M882" s="14">
        <f t="shared" ref="M882:M884" si="1905">F882/E882</f>
        <v>6.9712513420016704E-3</v>
      </c>
      <c r="N882" s="14">
        <f t="shared" ref="N882:N884" si="1906">D882/I882</f>
        <v>0.21861656703672075</v>
      </c>
      <c r="O882" s="24"/>
      <c r="P882" s="12"/>
      <c r="Q882" s="12"/>
      <c r="R882" s="23">
        <f t="shared" ref="R882:R884" si="1907">F882+G882</f>
        <v>625614</v>
      </c>
      <c r="S882" s="25">
        <f>(((H882+R882)/(H881+R881))-1)+detalle!$D$1</f>
        <v>7.2243581624158032E-2</v>
      </c>
      <c r="T882" s="25">
        <f t="shared" ref="T882:T884" si="1908">S882*14</f>
        <v>1.0114101427382125</v>
      </c>
      <c r="U882" s="10">
        <f t="shared" ref="U882:U884" si="1909">G882/E882</f>
        <v>0.98808063938924018</v>
      </c>
      <c r="V882" s="21">
        <f t="shared" ref="V882:V884" si="1910">G882/F882</f>
        <v>141.73648186173853</v>
      </c>
      <c r="W882" s="15">
        <f>J882/detalle!$D$2</f>
        <v>327261.96633571823</v>
      </c>
      <c r="X882" s="15">
        <f>E882/detalle!$D$2</f>
        <v>57362.703353737175</v>
      </c>
      <c r="Y882" s="15">
        <f>F882/detalle!$D$2</f>
        <v>399.88982273558395</v>
      </c>
      <c r="AA882" s="14">
        <f>E882/(detalle!$D$2*1000000)</f>
        <v>5.7362703353737172E-2</v>
      </c>
      <c r="AB882" s="14">
        <f>F882/(detalle!$D$2*1000000)</f>
        <v>3.9988982273558399E-4</v>
      </c>
      <c r="AC882" s="31">
        <f>17/585</f>
        <v>2.9059829059829061E-2</v>
      </c>
      <c r="AD882" s="31">
        <f>99/2373</f>
        <v>4.1719342604298354E-2</v>
      </c>
      <c r="AE882" s="31">
        <f t="shared" ref="AE882" si="1911">1/469</f>
        <v>2.1321961620469083E-3</v>
      </c>
      <c r="AF882" s="22">
        <f t="shared" ref="AF882:AF884" si="1912">F882-F881</f>
        <v>0</v>
      </c>
      <c r="AG882" s="12">
        <v>7252822</v>
      </c>
      <c r="AH882" s="12">
        <v>6014865</v>
      </c>
      <c r="AI882" s="12">
        <v>2410849</v>
      </c>
      <c r="AJ882" s="23">
        <f t="shared" ref="AJ882:AJ884" si="1913">AK882-AK881</f>
        <v>0</v>
      </c>
      <c r="AK882" s="23">
        <f t="shared" ref="AK882:AK884" si="1914">AG882+AH882+AI882</f>
        <v>15678536</v>
      </c>
      <c r="AL882" s="28">
        <f>AK882/detalle!$D$2</f>
        <v>1430455.6198479289</v>
      </c>
    </row>
    <row r="883" spans="1:38" ht="17" customHeight="1">
      <c r="A883" s="12">
        <v>882</v>
      </c>
      <c r="B883" s="19">
        <v>44772</v>
      </c>
      <c r="C883" s="12">
        <v>864</v>
      </c>
      <c r="D883" s="23">
        <f t="shared" si="1900"/>
        <v>566</v>
      </c>
      <c r="E883" s="12">
        <v>629291</v>
      </c>
      <c r="F883" s="12">
        <v>4383</v>
      </c>
      <c r="G883" s="12">
        <v>623059</v>
      </c>
      <c r="H883" s="23">
        <f t="shared" si="1901"/>
        <v>1849</v>
      </c>
      <c r="I883" s="23">
        <f t="shared" si="1902"/>
        <v>2380</v>
      </c>
      <c r="J883" s="12">
        <v>3589341</v>
      </c>
      <c r="K883" s="23">
        <f t="shared" si="1903"/>
        <v>2960050</v>
      </c>
      <c r="L883" s="23">
        <f t="shared" si="1904"/>
        <v>1828</v>
      </c>
      <c r="M883" s="14">
        <f t="shared" si="1905"/>
        <v>6.9649812249023106E-3</v>
      </c>
      <c r="N883" s="14">
        <f t="shared" si="1906"/>
        <v>0.23781512605042016</v>
      </c>
      <c r="O883" s="24"/>
      <c r="P883" s="12"/>
      <c r="Q883" s="12"/>
      <c r="R883" s="23">
        <f t="shared" si="1907"/>
        <v>627442</v>
      </c>
      <c r="S883" s="25">
        <f>(((H883+R883)/(H882+R882))-1)+detalle!$D$1</f>
        <v>7.2328806030344889E-2</v>
      </c>
      <c r="T883" s="25">
        <f t="shared" si="1908"/>
        <v>1.0126032844248285</v>
      </c>
      <c r="U883" s="10">
        <f t="shared" si="1909"/>
        <v>0.99009679146849394</v>
      </c>
      <c r="V883" s="21">
        <f t="shared" si="1910"/>
        <v>142.15354779831165</v>
      </c>
      <c r="W883" s="15">
        <f>J883/detalle!$D$2</f>
        <v>327479.10933779686</v>
      </c>
      <c r="X883" s="15">
        <f>E883/detalle!$D$2</f>
        <v>57414.343244147472</v>
      </c>
      <c r="Y883" s="15">
        <f>F883/detalle!$D$2</f>
        <v>399.88982273558395</v>
      </c>
      <c r="AA883" s="14">
        <f>E883/(detalle!$D$2*1000000)</f>
        <v>5.7414343244147473E-2</v>
      </c>
      <c r="AB883" s="14">
        <f>F883/(detalle!$D$2*1000000)</f>
        <v>3.9988982273558399E-4</v>
      </c>
      <c r="AC883" s="31">
        <f>17/585</f>
        <v>2.9059829059829061E-2</v>
      </c>
      <c r="AD883" s="31">
        <f>98/2373</f>
        <v>4.1297935103244837E-2</v>
      </c>
      <c r="AE883" s="31">
        <f>2/469</f>
        <v>4.2643923240938165E-3</v>
      </c>
      <c r="AF883" s="22">
        <f t="shared" si="1912"/>
        <v>0</v>
      </c>
      <c r="AG883" s="12">
        <v>7252822</v>
      </c>
      <c r="AH883" s="12">
        <v>6014865</v>
      </c>
      <c r="AI883" s="12">
        <v>2410849</v>
      </c>
      <c r="AJ883" s="23">
        <f t="shared" si="1913"/>
        <v>0</v>
      </c>
      <c r="AK883" s="23">
        <f t="shared" si="1914"/>
        <v>15678536</v>
      </c>
      <c r="AL883" s="28">
        <f>AK883/detalle!$D$2</f>
        <v>1430455.6198479289</v>
      </c>
    </row>
    <row r="884" spans="1:38">
      <c r="A884" s="12">
        <v>883</v>
      </c>
      <c r="B884" s="19">
        <v>44773</v>
      </c>
      <c r="C884" s="12">
        <v>865</v>
      </c>
      <c r="D884" s="23">
        <f t="shared" si="1900"/>
        <v>352</v>
      </c>
      <c r="E884" s="12">
        <v>629643</v>
      </c>
      <c r="F884" s="12">
        <v>4383</v>
      </c>
      <c r="G884" s="12">
        <v>623715</v>
      </c>
      <c r="H884" s="23">
        <f t="shared" si="1901"/>
        <v>1545</v>
      </c>
      <c r="I884" s="23">
        <f t="shared" si="1902"/>
        <v>1588</v>
      </c>
      <c r="J884" s="12">
        <v>3590929</v>
      </c>
      <c r="K884" s="23">
        <f t="shared" si="1903"/>
        <v>2961286</v>
      </c>
      <c r="L884" s="23">
        <f t="shared" si="1904"/>
        <v>656</v>
      </c>
      <c r="M884" s="14">
        <f t="shared" si="1905"/>
        <v>6.9610874733777714E-3</v>
      </c>
      <c r="N884" s="14">
        <f t="shared" si="1906"/>
        <v>0.22166246851385391</v>
      </c>
      <c r="O884" s="24"/>
      <c r="P884" s="12"/>
      <c r="Q884" s="12"/>
      <c r="R884" s="23">
        <f t="shared" si="1907"/>
        <v>628098</v>
      </c>
      <c r="S884" s="25">
        <f>(((H884+R884)/(H883+R883))-1)+detalle!$D$1</f>
        <v>7.1987931088887597E-2</v>
      </c>
      <c r="T884" s="25">
        <f t="shared" si="1908"/>
        <v>1.0078310352444264</v>
      </c>
      <c r="U884" s="10">
        <f t="shared" si="1909"/>
        <v>0.99058514110376827</v>
      </c>
      <c r="V884" s="21">
        <f t="shared" si="1910"/>
        <v>142.30321697467488</v>
      </c>
      <c r="W884" s="15">
        <f>J884/detalle!$D$2</f>
        <v>327623.99298792332</v>
      </c>
      <c r="X884" s="15">
        <f>E884/detalle!$D$2</f>
        <v>57446.458511681791</v>
      </c>
      <c r="Y884" s="15">
        <f>F884/detalle!$D$2</f>
        <v>399.88982273558395</v>
      </c>
      <c r="AA884" s="14">
        <f>E884/(detalle!$D$2*1000000)</f>
        <v>5.7446458511681793E-2</v>
      </c>
      <c r="AB884" s="14">
        <f>F884/(detalle!$D$2*1000000)</f>
        <v>3.9988982273558399E-4</v>
      </c>
      <c r="AC884" s="31">
        <f>17/585</f>
        <v>2.9059829059829061E-2</v>
      </c>
      <c r="AD884" s="31">
        <f>98/2373</f>
        <v>4.1297935103244837E-2</v>
      </c>
      <c r="AE884" s="31">
        <f>2/469</f>
        <v>4.2643923240938165E-3</v>
      </c>
      <c r="AF884" s="22">
        <f t="shared" si="1912"/>
        <v>0</v>
      </c>
      <c r="AG884" s="12">
        <v>7254718</v>
      </c>
      <c r="AH884" s="12">
        <v>6016739</v>
      </c>
      <c r="AI884" s="12">
        <v>2414351</v>
      </c>
      <c r="AJ884" s="23">
        <f t="shared" si="1913"/>
        <v>7272</v>
      </c>
      <c r="AK884" s="23">
        <f t="shared" si="1914"/>
        <v>15685808</v>
      </c>
      <c r="AL884" s="28">
        <f>AK884/detalle!$D$2</f>
        <v>1431119.09207949</v>
      </c>
    </row>
    <row r="885" spans="1:38">
      <c r="A885" s="12">
        <v>884</v>
      </c>
      <c r="B885" s="19">
        <v>44774</v>
      </c>
      <c r="C885" s="12">
        <v>866</v>
      </c>
      <c r="D885" s="23">
        <f t="shared" ref="D885:D889" si="1915">E885-E884</f>
        <v>776</v>
      </c>
      <c r="E885" s="12">
        <v>630419</v>
      </c>
      <c r="F885" s="12">
        <v>4383</v>
      </c>
      <c r="G885" s="12">
        <v>623806</v>
      </c>
      <c r="H885" s="23">
        <f t="shared" ref="H885:H889" si="1916">E885-F885-G885</f>
        <v>2230</v>
      </c>
      <c r="I885" s="23">
        <f t="shared" ref="I885:I889" si="1917">J885-J884</f>
        <v>3399</v>
      </c>
      <c r="J885" s="12">
        <v>3594328</v>
      </c>
      <c r="K885" s="23">
        <f t="shared" ref="K885:K889" si="1918">J885-E885</f>
        <v>2963909</v>
      </c>
      <c r="L885" s="23">
        <f t="shared" ref="L885:L889" si="1919">G885-G884</f>
        <v>91</v>
      </c>
      <c r="M885" s="14">
        <f t="shared" ref="M885:M889" si="1920">F885/E885</f>
        <v>6.9525188803002446E-3</v>
      </c>
      <c r="N885" s="14">
        <f t="shared" ref="N885:N889" si="1921">D885/I885</f>
        <v>0.22830244189467491</v>
      </c>
      <c r="O885" s="24"/>
      <c r="P885" s="12"/>
      <c r="Q885" s="12"/>
      <c r="R885" s="23">
        <f t="shared" ref="R885:R889" si="1922">F885+G885</f>
        <v>628189</v>
      </c>
      <c r="S885" s="25">
        <f>(((H885+R885)/(H884+R884))-1)+detalle!$D$1</f>
        <v>7.2661015845487037E-2</v>
      </c>
      <c r="T885" s="25">
        <f t="shared" ref="T885:T889" si="1923">S885*14</f>
        <v>1.0172542218368186</v>
      </c>
      <c r="U885" s="10">
        <f t="shared" ref="U885:U889" si="1924">G885/E885</f>
        <v>0.98951015118516417</v>
      </c>
      <c r="V885" s="21">
        <f t="shared" ref="V885:V889" si="1925">G885/F885</f>
        <v>142.32397900981064</v>
      </c>
      <c r="W885" s="15">
        <f>J885/detalle!$D$2</f>
        <v>327934.10604005156</v>
      </c>
      <c r="X885" s="15">
        <f>E885/detalle!$D$2</f>
        <v>57517.25807874609</v>
      </c>
      <c r="Y885" s="15">
        <f>F885/detalle!$D$2</f>
        <v>399.88982273558395</v>
      </c>
      <c r="Z885" s="15">
        <f>G885/detalle!$D$2</f>
        <v>56913.910737256148</v>
      </c>
      <c r="AA885" s="14">
        <f>E885/(detalle!$D$2*1000000)</f>
        <v>5.7517258078746088E-2</v>
      </c>
      <c r="AB885" s="14">
        <f>F885/(detalle!$D$2*1000000)</f>
        <v>3.9988982273558399E-4</v>
      </c>
      <c r="AC885" s="31">
        <f t="shared" ref="AC885" si="1926">17/585</f>
        <v>2.9059829059829061E-2</v>
      </c>
      <c r="AD885" s="31">
        <f>100/2373</f>
        <v>4.2140750105351878E-2</v>
      </c>
      <c r="AE885" s="31">
        <f>1/469</f>
        <v>2.1321961620469083E-3</v>
      </c>
      <c r="AF885" s="22">
        <f t="shared" ref="AF885:AF889" si="1927">F885-F884</f>
        <v>0</v>
      </c>
      <c r="AG885" s="12">
        <v>7255385</v>
      </c>
      <c r="AH885" s="12">
        <v>6017331</v>
      </c>
      <c r="AI885" s="12">
        <v>2415431</v>
      </c>
      <c r="AJ885" s="23">
        <f t="shared" ref="AJ885:AJ889" si="1928">AK885-AK884</f>
        <v>2339</v>
      </c>
      <c r="AK885" s="23">
        <f t="shared" ref="AK885:AK889" si="1929">AG885+AH885+AI885</f>
        <v>15688147</v>
      </c>
      <c r="AL885" s="28">
        <f>AK885/detalle!$D$2</f>
        <v>1431332.4943827933</v>
      </c>
    </row>
    <row r="886" spans="1:38">
      <c r="A886" s="12">
        <v>885</v>
      </c>
      <c r="B886" s="19">
        <v>44775</v>
      </c>
      <c r="C886" s="12">
        <v>867</v>
      </c>
      <c r="D886" s="23">
        <f t="shared" si="1915"/>
        <v>621</v>
      </c>
      <c r="E886" s="12">
        <v>631040</v>
      </c>
      <c r="F886" s="12">
        <v>4383</v>
      </c>
      <c r="G886" s="12">
        <v>625024</v>
      </c>
      <c r="H886" s="23">
        <f t="shared" si="1916"/>
        <v>1633</v>
      </c>
      <c r="I886" s="23">
        <f t="shared" si="1917"/>
        <v>2964</v>
      </c>
      <c r="J886" s="12">
        <v>3597292</v>
      </c>
      <c r="K886" s="23">
        <f t="shared" si="1918"/>
        <v>2966252</v>
      </c>
      <c r="L886" s="23">
        <f t="shared" si="1919"/>
        <v>1218</v>
      </c>
      <c r="M886" s="14">
        <f t="shared" si="1920"/>
        <v>6.9456769776876266E-3</v>
      </c>
      <c r="N886" s="14">
        <f t="shared" si="1921"/>
        <v>0.20951417004048584</v>
      </c>
      <c r="O886" s="24"/>
      <c r="P886" s="12"/>
      <c r="Q886" s="12"/>
      <c r="R886" s="23">
        <f t="shared" si="1922"/>
        <v>629407</v>
      </c>
      <c r="S886" s="25">
        <f>(((H886+R886)/(H885+R885))-1)+detalle!$D$1</f>
        <v>7.2413630571776216E-2</v>
      </c>
      <c r="T886" s="25">
        <f t="shared" si="1923"/>
        <v>1.0137908280048671</v>
      </c>
      <c r="U886" s="10">
        <f t="shared" si="1924"/>
        <v>0.99046653144016228</v>
      </c>
      <c r="V886" s="21">
        <f t="shared" si="1925"/>
        <v>142.60187086470455</v>
      </c>
      <c r="W886" s="15">
        <f>J886/detalle!$D$2</f>
        <v>328204.53119053942</v>
      </c>
      <c r="X886" s="15">
        <f>E886/detalle!$D$2</f>
        <v>57573.915979708625</v>
      </c>
      <c r="Y886" s="15">
        <f>F886/detalle!$D$2</f>
        <v>399.88982273558395</v>
      </c>
      <c r="AA886" s="14">
        <f>E886/(detalle!$D$2*1000000)</f>
        <v>5.7573915979708623E-2</v>
      </c>
      <c r="AB886" s="14">
        <f>F886/(detalle!$D$2*1000000)</f>
        <v>3.9988982273558399E-4</v>
      </c>
      <c r="AC886" s="31">
        <f>19/585</f>
        <v>3.2478632478632481E-2</v>
      </c>
      <c r="AD886" s="31">
        <f>94/2373</f>
        <v>3.9612305099030763E-2</v>
      </c>
      <c r="AE886" s="31">
        <f t="shared" ref="AE886:AE887" si="1930">2/469</f>
        <v>4.2643923240938165E-3</v>
      </c>
      <c r="AF886" s="22">
        <f t="shared" si="1927"/>
        <v>0</v>
      </c>
      <c r="AG886" s="12">
        <v>7256093</v>
      </c>
      <c r="AH886" s="12">
        <v>6017964</v>
      </c>
      <c r="AI886" s="12">
        <v>2416675</v>
      </c>
      <c r="AJ886" s="23">
        <f t="shared" si="1928"/>
        <v>2585</v>
      </c>
      <c r="AK886" s="23">
        <f t="shared" si="1929"/>
        <v>15690732</v>
      </c>
      <c r="AL886" s="28">
        <f>AK886/detalle!$D$2</f>
        <v>1431568.3408787486</v>
      </c>
    </row>
    <row r="887" spans="1:38">
      <c r="A887" s="12">
        <v>886</v>
      </c>
      <c r="B887" s="19">
        <v>44776</v>
      </c>
      <c r="C887" s="12">
        <v>868</v>
      </c>
      <c r="D887" s="23">
        <f t="shared" si="1915"/>
        <v>563</v>
      </c>
      <c r="E887" s="12">
        <v>631603</v>
      </c>
      <c r="F887" s="12">
        <v>4384</v>
      </c>
      <c r="G887" s="12">
        <v>625551</v>
      </c>
      <c r="H887" s="23">
        <f t="shared" si="1916"/>
        <v>1668</v>
      </c>
      <c r="I887" s="23">
        <f t="shared" si="1917"/>
        <v>2699</v>
      </c>
      <c r="J887" s="12">
        <v>3599991</v>
      </c>
      <c r="K887" s="23">
        <f t="shared" si="1918"/>
        <v>2968388</v>
      </c>
      <c r="L887" s="23">
        <f t="shared" si="1919"/>
        <v>527</v>
      </c>
      <c r="M887" s="14">
        <f t="shared" si="1920"/>
        <v>6.9410689942891344E-3</v>
      </c>
      <c r="N887" s="14">
        <f t="shared" si="1921"/>
        <v>0.20859577621341238</v>
      </c>
      <c r="O887" s="24"/>
      <c r="P887" s="12"/>
      <c r="Q887" s="12"/>
      <c r="R887" s="23">
        <f t="shared" si="1922"/>
        <v>629935</v>
      </c>
      <c r="S887" s="25">
        <f>(((H887+R887)/(H886+R886))-1)+detalle!$D$1</f>
        <v>7.232074942045788E-2</v>
      </c>
      <c r="T887" s="25">
        <f t="shared" si="1923"/>
        <v>1.0124904918864104</v>
      </c>
      <c r="U887" s="10">
        <f t="shared" si="1924"/>
        <v>0.990418031579964</v>
      </c>
      <c r="V887" s="21">
        <f t="shared" si="1925"/>
        <v>142.68955291970804</v>
      </c>
      <c r="W887" s="15">
        <f>J887/detalle!$D$2</f>
        <v>328450.77865382103</v>
      </c>
      <c r="X887" s="15">
        <f>E887/detalle!$D$2</f>
        <v>57625.282160452443</v>
      </c>
      <c r="Y887" s="15">
        <f>F887/detalle!$D$2</f>
        <v>399.98105929107919</v>
      </c>
      <c r="AA887" s="14">
        <f>E887/(detalle!$D$2*1000000)</f>
        <v>5.7625282160452436E-2</v>
      </c>
      <c r="AB887" s="14">
        <f>F887/(detalle!$D$2*1000000)</f>
        <v>3.999810592910792E-4</v>
      </c>
      <c r="AC887" s="31">
        <f>17/585</f>
        <v>2.9059829059829061E-2</v>
      </c>
      <c r="AD887" s="31">
        <f>92/2373</f>
        <v>3.8769490096923723E-2</v>
      </c>
      <c r="AE887" s="31">
        <f t="shared" si="1930"/>
        <v>4.2643923240938165E-3</v>
      </c>
      <c r="AF887" s="22">
        <f t="shared" si="1927"/>
        <v>1</v>
      </c>
      <c r="AG887" s="12">
        <v>7256863</v>
      </c>
      <c r="AH887" s="12">
        <v>6018632</v>
      </c>
      <c r="AI887" s="12">
        <v>2417885</v>
      </c>
      <c r="AJ887" s="23">
        <f t="shared" si="1928"/>
        <v>2648</v>
      </c>
      <c r="AK887" s="23">
        <f t="shared" si="1929"/>
        <v>15693380</v>
      </c>
      <c r="AL887" s="28">
        <f>AK887/detalle!$D$2</f>
        <v>1431809.9352777</v>
      </c>
    </row>
    <row r="888" spans="1:38">
      <c r="A888" s="12">
        <v>887</v>
      </c>
      <c r="B888" s="19">
        <v>44777</v>
      </c>
      <c r="C888" s="12">
        <v>869</v>
      </c>
      <c r="D888" s="23">
        <f t="shared" si="1915"/>
        <v>481</v>
      </c>
      <c r="E888" s="12">
        <v>632084</v>
      </c>
      <c r="F888" s="12">
        <v>4384</v>
      </c>
      <c r="G888" s="12">
        <v>626037</v>
      </c>
      <c r="H888" s="23">
        <f t="shared" si="1916"/>
        <v>1663</v>
      </c>
      <c r="I888" s="23">
        <f t="shared" si="1917"/>
        <v>2186</v>
      </c>
      <c r="J888" s="12">
        <v>3602177</v>
      </c>
      <c r="K888" s="23">
        <f t="shared" si="1918"/>
        <v>2970093</v>
      </c>
      <c r="L888" s="23">
        <f t="shared" si="1919"/>
        <v>486</v>
      </c>
      <c r="M888" s="14">
        <f t="shared" si="1920"/>
        <v>6.9357870156498188E-3</v>
      </c>
      <c r="N888" s="14">
        <f t="shared" si="1921"/>
        <v>0.2200365965233303</v>
      </c>
      <c r="O888" s="24"/>
      <c r="P888" s="12"/>
      <c r="Q888" s="12"/>
      <c r="R888" s="23">
        <f t="shared" si="1922"/>
        <v>630421</v>
      </c>
      <c r="S888" s="25">
        <f>(((H888+R888)/(H887+R887))-1)+detalle!$D$1</f>
        <v>7.219012575937736E-2</v>
      </c>
      <c r="T888" s="25">
        <f t="shared" si="1923"/>
        <v>1.0106617606312831</v>
      </c>
      <c r="U888" s="10">
        <f t="shared" si="1924"/>
        <v>0.99043323355756518</v>
      </c>
      <c r="V888" s="21">
        <f t="shared" si="1925"/>
        <v>142.80041058394161</v>
      </c>
      <c r="W888" s="15">
        <f>J888/detalle!$D$2</f>
        <v>328650.2217641336</v>
      </c>
      <c r="X888" s="15">
        <f>E888/detalle!$D$2</f>
        <v>57669.166943645643</v>
      </c>
      <c r="Y888" s="15">
        <f>F888/detalle!$D$2</f>
        <v>399.98105929107919</v>
      </c>
      <c r="AA888" s="14">
        <f>E888/(detalle!$D$2*1000000)</f>
        <v>5.7669166943645642E-2</v>
      </c>
      <c r="AB888" s="14">
        <f>F888/(detalle!$D$2*1000000)</f>
        <v>3.999810592910792E-4</v>
      </c>
      <c r="AC888" s="31">
        <f>18/585</f>
        <v>3.0769230769230771E-2</v>
      </c>
      <c r="AD888" s="31">
        <f>85/2373</f>
        <v>3.5819637589549091E-2</v>
      </c>
      <c r="AE888" s="31">
        <f>3/469</f>
        <v>6.3965884861407248E-3</v>
      </c>
      <c r="AF888" s="22">
        <f t="shared" si="1927"/>
        <v>0</v>
      </c>
      <c r="AG888" s="12">
        <v>7257562</v>
      </c>
      <c r="AH888" s="12">
        <v>6019232</v>
      </c>
      <c r="AI888" s="12">
        <v>2419089</v>
      </c>
      <c r="AJ888" s="23">
        <f t="shared" si="1928"/>
        <v>2503</v>
      </c>
      <c r="AK888" s="23">
        <f t="shared" si="1929"/>
        <v>15695883</v>
      </c>
      <c r="AL888" s="28">
        <f>AK888/detalle!$D$2</f>
        <v>1432038.3003761044</v>
      </c>
    </row>
    <row r="889" spans="1:38">
      <c r="A889" s="12">
        <v>888</v>
      </c>
      <c r="B889" s="19">
        <v>44778</v>
      </c>
      <c r="C889" s="12">
        <v>870</v>
      </c>
      <c r="D889" s="23">
        <f t="shared" si="1915"/>
        <v>571</v>
      </c>
      <c r="E889" s="12">
        <v>632655</v>
      </c>
      <c r="F889" s="12">
        <v>4384</v>
      </c>
      <c r="G889" s="12">
        <v>626602</v>
      </c>
      <c r="H889" s="23">
        <f t="shared" si="1916"/>
        <v>1669</v>
      </c>
      <c r="I889" s="23">
        <f t="shared" si="1917"/>
        <v>2476</v>
      </c>
      <c r="J889" s="12">
        <v>3604653</v>
      </c>
      <c r="K889" s="23">
        <f t="shared" si="1918"/>
        <v>2971998</v>
      </c>
      <c r="L889" s="23">
        <f t="shared" si="1919"/>
        <v>565</v>
      </c>
      <c r="M889" s="14">
        <f t="shared" si="1920"/>
        <v>6.9295271514490516E-3</v>
      </c>
      <c r="N889" s="14">
        <f t="shared" si="1921"/>
        <v>0.23061389337641358</v>
      </c>
      <c r="O889" s="24"/>
      <c r="P889" s="12"/>
      <c r="Q889" s="12"/>
      <c r="R889" s="23">
        <f t="shared" si="1922"/>
        <v>630986</v>
      </c>
      <c r="S889" s="25">
        <f>(((H889+R889)/(H888+R888))-1)+detalle!$D$1</f>
        <v>7.2331932374268409E-2</v>
      </c>
      <c r="T889" s="25">
        <f t="shared" si="1923"/>
        <v>1.0126470532397578</v>
      </c>
      <c r="U889" s="10">
        <f t="shared" si="1924"/>
        <v>0.99043238415882273</v>
      </c>
      <c r="V889" s="21">
        <f t="shared" si="1925"/>
        <v>142.92928832116789</v>
      </c>
      <c r="W889" s="15">
        <f>J889/detalle!$D$2</f>
        <v>328876.12347553979</v>
      </c>
      <c r="X889" s="15">
        <f>E889/detalle!$D$2</f>
        <v>57721.263016833422</v>
      </c>
      <c r="Y889" s="15">
        <f>F889/detalle!$D$2</f>
        <v>399.98105929107919</v>
      </c>
      <c r="AA889" s="14">
        <f>E889/(detalle!$D$2*1000000)</f>
        <v>5.7721263016833418E-2</v>
      </c>
      <c r="AB889" s="14">
        <f>F889/(detalle!$D$2*1000000)</f>
        <v>3.999810592910792E-4</v>
      </c>
      <c r="AC889" s="31">
        <f>19/585</f>
        <v>3.2478632478632481E-2</v>
      </c>
      <c r="AD889" s="31">
        <f>107/2373</f>
        <v>4.5090602612726509E-2</v>
      </c>
      <c r="AE889" s="31">
        <f>3/469</f>
        <v>6.3965884861407248E-3</v>
      </c>
      <c r="AF889" s="22">
        <f t="shared" si="1927"/>
        <v>0</v>
      </c>
      <c r="AG889" s="12">
        <v>7258247</v>
      </c>
      <c r="AH889" s="12">
        <v>6019826</v>
      </c>
      <c r="AI889" s="12">
        <v>2420273</v>
      </c>
      <c r="AJ889" s="23">
        <f t="shared" si="1928"/>
        <v>2463</v>
      </c>
      <c r="AK889" s="23">
        <f t="shared" si="1929"/>
        <v>15698346</v>
      </c>
      <c r="AL889" s="28">
        <f>AK889/detalle!$D$2</f>
        <v>1432263.0160122893</v>
      </c>
    </row>
    <row r="890" spans="1:38">
      <c r="A890" s="12">
        <v>889</v>
      </c>
      <c r="B890" s="19">
        <v>44779</v>
      </c>
      <c r="C890" s="12">
        <v>871</v>
      </c>
      <c r="D890" s="23">
        <f t="shared" ref="D890" si="1931">E890-E889</f>
        <v>126</v>
      </c>
      <c r="E890" s="12">
        <v>632781</v>
      </c>
      <c r="F890" s="12">
        <v>4384</v>
      </c>
      <c r="G890" s="12">
        <v>626979</v>
      </c>
      <c r="H890" s="23">
        <f t="shared" ref="H890" si="1932">E890-F890-G890</f>
        <v>1418</v>
      </c>
      <c r="I890" s="23">
        <f t="shared" ref="I890" si="1933">J890-J889</f>
        <v>675</v>
      </c>
      <c r="J890" s="12">
        <v>3605328</v>
      </c>
      <c r="K890" s="23">
        <f t="shared" ref="K890" si="1934">J890-E890</f>
        <v>2972547</v>
      </c>
      <c r="L890" s="23">
        <f t="shared" ref="L890" si="1935">G890-G889</f>
        <v>377</v>
      </c>
      <c r="M890" s="14">
        <f t="shared" ref="M890" si="1936">F890/E890</f>
        <v>6.9281473369143514E-3</v>
      </c>
      <c r="N890" s="14">
        <f t="shared" ref="N890" si="1937">D890/I890</f>
        <v>0.18666666666666668</v>
      </c>
      <c r="O890" s="24"/>
      <c r="P890" s="12"/>
      <c r="Q890" s="12"/>
      <c r="R890" s="23">
        <f t="shared" ref="R890" si="1938">F890+G890</f>
        <v>631363</v>
      </c>
      <c r="S890" s="25">
        <f>(((H890+R890)/(H889+R889))-1)+detalle!$D$1</f>
        <v>7.1627732108562797E-2</v>
      </c>
      <c r="T890" s="25">
        <f t="shared" ref="T890" si="1939">S890*14</f>
        <v>1.0027882495198792</v>
      </c>
      <c r="U890" s="10">
        <f t="shared" ref="U890" si="1940">G890/E890</f>
        <v>0.9908309509925235</v>
      </c>
      <c r="V890" s="21">
        <f t="shared" ref="V890" si="1941">G890/F890</f>
        <v>143.01528284671534</v>
      </c>
      <c r="W890" s="15">
        <f>J890/detalle!$D$2</f>
        <v>328937.70815049909</v>
      </c>
      <c r="X890" s="15">
        <f>E890/detalle!$D$2</f>
        <v>57732.758822825817</v>
      </c>
      <c r="Y890" s="15">
        <f>F890/detalle!$D$2</f>
        <v>399.98105929107919</v>
      </c>
      <c r="AA890" s="14">
        <f>E890/(detalle!$D$2*1000000)</f>
        <v>5.7732758822825817E-2</v>
      </c>
      <c r="AB890" s="14">
        <f>F890/(detalle!$D$2*1000000)</f>
        <v>3.999810592910792E-4</v>
      </c>
      <c r="AC890" s="31">
        <f>17/585</f>
        <v>2.9059829059829061E-2</v>
      </c>
      <c r="AD890" s="31">
        <f>96/2373</f>
        <v>4.0455120101137804E-2</v>
      </c>
      <c r="AE890" s="31">
        <f t="shared" ref="AE890" si="1942">3/469</f>
        <v>6.3965884861407248E-3</v>
      </c>
      <c r="AF890" s="22">
        <f t="shared" ref="AF890" si="1943">F890-F889</f>
        <v>0</v>
      </c>
      <c r="AG890" s="12">
        <v>7258552</v>
      </c>
      <c r="AH890" s="12">
        <v>6020135</v>
      </c>
      <c r="AI890" s="12">
        <v>2420781</v>
      </c>
      <c r="AJ890" s="23">
        <f t="shared" ref="AJ890" si="1944">AK890-AK889</f>
        <v>1122</v>
      </c>
      <c r="AK890" s="23">
        <f t="shared" ref="AK890" si="1945">AG890+AH890+AI890</f>
        <v>15699468</v>
      </c>
      <c r="AL890" s="28">
        <f>AK890/detalle!$D$2</f>
        <v>1432365.383427555</v>
      </c>
    </row>
    <row r="891" spans="1:38">
      <c r="A891" s="12">
        <v>890</v>
      </c>
      <c r="B891" s="19">
        <v>44780</v>
      </c>
      <c r="C891" s="12">
        <v>872</v>
      </c>
      <c r="D891" s="23">
        <f>E891-E890</f>
        <v>153</v>
      </c>
      <c r="E891" s="12">
        <v>632934</v>
      </c>
      <c r="F891" s="12">
        <v>4384</v>
      </c>
      <c r="G891" s="12">
        <v>627062</v>
      </c>
      <c r="H891" s="23">
        <f>E891-F891-G891</f>
        <v>1488</v>
      </c>
      <c r="I891" s="23">
        <f>J891-J890</f>
        <v>725</v>
      </c>
      <c r="J891" s="12">
        <v>3606053</v>
      </c>
      <c r="K891" s="23">
        <f>J891-E891</f>
        <v>2973119</v>
      </c>
      <c r="L891" s="23">
        <f>G891-G890</f>
        <v>83</v>
      </c>
      <c r="M891" s="14">
        <f>F891/E891</f>
        <v>6.9264725863992134E-3</v>
      </c>
      <c r="N891" s="14">
        <f>D891/I891</f>
        <v>0.21103448275862069</v>
      </c>
      <c r="O891" s="24"/>
      <c r="P891" s="12"/>
      <c r="Q891" s="12"/>
      <c r="R891" s="23">
        <f>F891+G891</f>
        <v>631446</v>
      </c>
      <c r="S891" s="25">
        <f>(((H891+R891)/(H890+R890))-1)+detalle!$D$1</f>
        <v>7.1670361242108821E-2</v>
      </c>
      <c r="T891" s="25">
        <f>S891*14</f>
        <v>1.0033850573895235</v>
      </c>
      <c r="U891" s="10">
        <f>G891/E891</f>
        <v>0.99072257138974995</v>
      </c>
      <c r="V891" s="21">
        <f>G891/F891</f>
        <v>143.03421532846716</v>
      </c>
      <c r="W891" s="15">
        <f>J891/detalle!$D$2</f>
        <v>329003.85465323314</v>
      </c>
      <c r="X891" s="15">
        <f>E891/detalle!$D$2</f>
        <v>57746.718015816587</v>
      </c>
      <c r="Y891" s="15">
        <f>F891/detalle!$D$2</f>
        <v>399.98105929107919</v>
      </c>
      <c r="AA891" s="14">
        <f>E891/(detalle!$D$2*1000000)</f>
        <v>5.7746718015816587E-2</v>
      </c>
      <c r="AB891" s="14">
        <f>F891/(detalle!$D$2*1000000)</f>
        <v>3.999810592910792E-4</v>
      </c>
      <c r="AC891" s="31">
        <f>18/585</f>
        <v>3.0769230769230771E-2</v>
      </c>
      <c r="AD891" s="31">
        <f>93/2373</f>
        <v>3.9190897597977246E-2</v>
      </c>
      <c r="AE891" s="31">
        <f>1/469</f>
        <v>2.1321961620469083E-3</v>
      </c>
      <c r="AF891" s="22">
        <f>F891-F890</f>
        <v>0</v>
      </c>
      <c r="AG891" s="12">
        <v>7258690</v>
      </c>
      <c r="AH891" s="12">
        <v>6020272</v>
      </c>
      <c r="AI891" s="12">
        <v>2420978</v>
      </c>
      <c r="AJ891" s="23">
        <f>AK891-AK890</f>
        <v>472</v>
      </c>
      <c r="AK891" s="23">
        <f>AG891+AH891+AI891</f>
        <v>15699940</v>
      </c>
      <c r="AL891" s="28">
        <f>AK891/detalle!$D$2</f>
        <v>1432408.4470817486</v>
      </c>
    </row>
    <row r="892" spans="1:38">
      <c r="A892" s="12">
        <v>891</v>
      </c>
      <c r="B892" s="19">
        <v>44781</v>
      </c>
      <c r="C892" s="12">
        <v>873</v>
      </c>
      <c r="D892" s="23">
        <f t="shared" ref="D892:D893" si="1946">E892-E891</f>
        <v>338</v>
      </c>
      <c r="E892" s="12">
        <v>633272</v>
      </c>
      <c r="F892" s="12">
        <v>4384</v>
      </c>
      <c r="G892" s="12">
        <v>628258</v>
      </c>
      <c r="H892" s="23">
        <f t="shared" ref="H892:H893" si="1947">E892-F892-G892</f>
        <v>630</v>
      </c>
      <c r="I892" s="23">
        <f t="shared" ref="I892:I893" si="1948">J892-J891</f>
        <v>1489</v>
      </c>
      <c r="J892" s="12">
        <v>3607542</v>
      </c>
      <c r="K892" s="23">
        <f t="shared" ref="K892:K893" si="1949">J892-E892</f>
        <v>2974270</v>
      </c>
      <c r="L892" s="23">
        <f t="shared" ref="L892:L893" si="1950">G892-G891</f>
        <v>1196</v>
      </c>
      <c r="M892" s="14">
        <f t="shared" ref="M892:M893" si="1951">F892/E892</f>
        <v>6.9227756793289455E-3</v>
      </c>
      <c r="N892" s="14">
        <f t="shared" ref="N892:N893" si="1952">D892/I892</f>
        <v>0.22699798522498321</v>
      </c>
      <c r="O892" s="24"/>
      <c r="P892" s="12"/>
      <c r="Q892" s="12"/>
      <c r="R892" s="23">
        <f t="shared" ref="R892:R893" si="1953">F892+G892</f>
        <v>632642</v>
      </c>
      <c r="S892" s="25">
        <f>(((H892+R892)/(H891+R891))-1)+detalle!$D$1</f>
        <v>7.196259235334404E-2</v>
      </c>
      <c r="T892" s="25">
        <f t="shared" ref="T892:T893" si="1954">S892*14</f>
        <v>1.0074762929468166</v>
      </c>
      <c r="U892" s="10">
        <f t="shared" ref="U892:U893" si="1955">G892/E892</f>
        <v>0.99208239113682584</v>
      </c>
      <c r="V892" s="21">
        <f t="shared" ref="V892:V893" si="1956">G892/F892</f>
        <v>143.30702554744525</v>
      </c>
      <c r="W892" s="15">
        <f>J892/detalle!$D$2</f>
        <v>329139.70588436554</v>
      </c>
      <c r="X892" s="15">
        <f>E892/detalle!$D$2</f>
        <v>57777.555971573973</v>
      </c>
      <c r="Y892" s="15">
        <f>F892/detalle!$D$2</f>
        <v>399.98105929107919</v>
      </c>
      <c r="AA892" s="14">
        <f>E892/(detalle!$D$2*1000000)</f>
        <v>5.7777555971573975E-2</v>
      </c>
      <c r="AB892" s="14">
        <f>F892/(detalle!$D$2*1000000)</f>
        <v>3.999810592910792E-4</v>
      </c>
      <c r="AC892" s="31">
        <f>21/585</f>
        <v>3.5897435897435895E-2</v>
      </c>
      <c r="AD892" s="31">
        <f>101/2373</f>
        <v>4.2562157606405394E-2</v>
      </c>
      <c r="AE892" s="31">
        <f t="shared" ref="AE892" si="1957">1/469</f>
        <v>2.1321961620469083E-3</v>
      </c>
      <c r="AF892" s="22">
        <f t="shared" ref="AF892:AF893" si="1958">F892-F891</f>
        <v>0</v>
      </c>
      <c r="AG892" s="12">
        <v>7259362</v>
      </c>
      <c r="AH892" s="12">
        <v>6020860</v>
      </c>
      <c r="AI892" s="12">
        <v>2422245</v>
      </c>
      <c r="AJ892" s="23">
        <f t="shared" ref="AJ892:AJ893" si="1959">AK892-AK891</f>
        <v>2527</v>
      </c>
      <c r="AK892" s="23">
        <f t="shared" ref="AK892:AK893" si="1960">AG892+AH892+AI892</f>
        <v>15702467</v>
      </c>
      <c r="AL892" s="28">
        <f>AK892/detalle!$D$2</f>
        <v>1432639.0018574852</v>
      </c>
    </row>
    <row r="893" spans="1:38">
      <c r="A893" s="12">
        <v>892</v>
      </c>
      <c r="B893" s="19">
        <v>44782</v>
      </c>
      <c r="C893" s="12">
        <v>874</v>
      </c>
      <c r="D893" s="23">
        <f t="shared" si="1946"/>
        <v>417</v>
      </c>
      <c r="E893" s="12">
        <v>633689</v>
      </c>
      <c r="F893" s="12">
        <v>4384</v>
      </c>
      <c r="G893" s="12">
        <v>628291</v>
      </c>
      <c r="H893" s="23">
        <f t="shared" si="1947"/>
        <v>1014</v>
      </c>
      <c r="I893" s="23">
        <f t="shared" si="1948"/>
        <v>1903</v>
      </c>
      <c r="J893" s="12">
        <v>3609445</v>
      </c>
      <c r="K893" s="23">
        <f t="shared" si="1949"/>
        <v>2975756</v>
      </c>
      <c r="L893" s="23">
        <f t="shared" si="1950"/>
        <v>33</v>
      </c>
      <c r="M893" s="14">
        <f t="shared" si="1951"/>
        <v>6.918220136376046E-3</v>
      </c>
      <c r="N893" s="14">
        <f t="shared" si="1952"/>
        <v>0.21912769311613242</v>
      </c>
      <c r="O893" s="24"/>
      <c r="P893" s="12"/>
      <c r="Q893" s="12"/>
      <c r="R893" s="23">
        <f t="shared" si="1953"/>
        <v>632675</v>
      </c>
      <c r="S893" s="25">
        <f>(((H893+R893)/(H892+R892))-1)+detalle!$D$1</f>
        <v>7.2087056250259379E-2</v>
      </c>
      <c r="T893" s="25">
        <f t="shared" si="1954"/>
        <v>1.0092187875036314</v>
      </c>
      <c r="U893" s="10">
        <f t="shared" si="1955"/>
        <v>0.99148162584485444</v>
      </c>
      <c r="V893" s="21">
        <f t="shared" si="1956"/>
        <v>143.31455291970804</v>
      </c>
      <c r="W893" s="15">
        <f>J893/detalle!$D$2</f>
        <v>329313.32904947293</v>
      </c>
      <c r="X893" s="15">
        <f>E893/detalle!$D$2</f>
        <v>57815.601615215484</v>
      </c>
      <c r="Y893" s="15">
        <f>F893/detalle!$D$2</f>
        <v>399.98105929107919</v>
      </c>
      <c r="AA893" s="14">
        <f>E893/(detalle!$D$2*1000000)</f>
        <v>5.7815601615215484E-2</v>
      </c>
      <c r="AB893" s="14">
        <f>F893/(detalle!$D$2*1000000)</f>
        <v>3.999810592910792E-4</v>
      </c>
      <c r="AC893" s="31">
        <f>23/585</f>
        <v>3.9316239316239315E-2</v>
      </c>
      <c r="AD893" s="31">
        <f>89/2373</f>
        <v>3.7505267593763172E-2</v>
      </c>
      <c r="AE893" s="31">
        <f>0/469</f>
        <v>0</v>
      </c>
      <c r="AF893" s="22">
        <f t="shared" si="1958"/>
        <v>0</v>
      </c>
      <c r="AG893" s="12">
        <v>7260034</v>
      </c>
      <c r="AH893" s="12">
        <v>6021536</v>
      </c>
      <c r="AI893" s="12">
        <v>2423376</v>
      </c>
      <c r="AJ893" s="23">
        <f t="shared" si="1959"/>
        <v>2479</v>
      </c>
      <c r="AK893" s="23">
        <f t="shared" si="1960"/>
        <v>15704946</v>
      </c>
      <c r="AL893" s="28">
        <f>AK893/detalle!$D$2</f>
        <v>1432865.1772785578</v>
      </c>
    </row>
    <row r="894" spans="1:38">
      <c r="A894" s="12">
        <v>893</v>
      </c>
      <c r="B894" s="19">
        <v>44783</v>
      </c>
      <c r="C894" s="12">
        <v>875</v>
      </c>
      <c r="D894" s="23">
        <f t="shared" ref="D894:D896" si="1961">E894-E893</f>
        <v>465</v>
      </c>
      <c r="E894" s="12">
        <v>634154</v>
      </c>
      <c r="F894" s="12">
        <v>4384</v>
      </c>
      <c r="G894" s="12">
        <v>628702</v>
      </c>
      <c r="H894" s="23">
        <f t="shared" ref="H894:H896" si="1962">E894-F894-G894</f>
        <v>1068</v>
      </c>
      <c r="I894" s="23">
        <f t="shared" ref="I894:I896" si="1963">J894-J893</f>
        <v>2488</v>
      </c>
      <c r="J894" s="12">
        <v>3611933</v>
      </c>
      <c r="K894" s="23">
        <f t="shared" ref="K894:K896" si="1964">J894-E894</f>
        <v>2977779</v>
      </c>
      <c r="L894" s="23">
        <f t="shared" ref="L894:L896" si="1965">G894-G893</f>
        <v>411</v>
      </c>
      <c r="M894" s="14">
        <f t="shared" ref="M894:M896" si="1966">F894/E894</f>
        <v>6.913147279682853E-3</v>
      </c>
      <c r="N894" s="14">
        <f t="shared" ref="N894:N896" si="1967">D894/I894</f>
        <v>0.18689710610932475</v>
      </c>
      <c r="O894" s="24"/>
      <c r="P894" s="12"/>
      <c r="Q894" s="12"/>
      <c r="R894" s="23">
        <f t="shared" ref="R894:R896" si="1968">F894+G894</f>
        <v>633086</v>
      </c>
      <c r="S894" s="25">
        <f>(((H894+R894)/(H893+R893))-1)+detalle!$D$1</f>
        <v>7.216236986913141E-2</v>
      </c>
      <c r="T894" s="25">
        <f t="shared" ref="T894:T896" si="1969">S894*14</f>
        <v>1.0102731781678398</v>
      </c>
      <c r="U894" s="10">
        <f t="shared" ref="U894:U896" si="1970">G894/E894</f>
        <v>0.99140271921331413</v>
      </c>
      <c r="V894" s="21">
        <f t="shared" ref="V894:V896" si="1971">G894/F894</f>
        <v>143.40830291970804</v>
      </c>
      <c r="W894" s="15">
        <f>J894/detalle!$D$2</f>
        <v>329540.32559954509</v>
      </c>
      <c r="X894" s="15">
        <f>E894/detalle!$D$2</f>
        <v>57858.026613520764</v>
      </c>
      <c r="Y894" s="15">
        <f>F894/detalle!$D$2</f>
        <v>399.98105929107919</v>
      </c>
      <c r="AA894" s="14">
        <f>E894/(detalle!$D$2*1000000)</f>
        <v>5.7858026613520762E-2</v>
      </c>
      <c r="AB894" s="14">
        <f>F894/(detalle!$D$2*1000000)</f>
        <v>3.999810592910792E-4</v>
      </c>
      <c r="AC894" s="31">
        <f>24/585</f>
        <v>4.1025641025641026E-2</v>
      </c>
      <c r="AD894" s="31">
        <f>83/2373</f>
        <v>3.4976822587442058E-2</v>
      </c>
      <c r="AE894" s="31">
        <f>1/469</f>
        <v>2.1321961620469083E-3</v>
      </c>
      <c r="AF894" s="22">
        <f t="shared" ref="AF894:AF896" si="1972">F894-F893</f>
        <v>0</v>
      </c>
      <c r="AG894" s="12">
        <v>7260683</v>
      </c>
      <c r="AH894" s="12">
        <v>6022276</v>
      </c>
      <c r="AI894" s="12">
        <v>2424639</v>
      </c>
      <c r="AJ894" s="23">
        <f t="shared" ref="AJ894:AJ896" si="1973">AK894-AK893</f>
        <v>2652</v>
      </c>
      <c r="AK894" s="23">
        <f t="shared" ref="AK894:AK896" si="1974">AG894+AH894+AI894</f>
        <v>15707598</v>
      </c>
      <c r="AL894" s="28">
        <f>AK894/detalle!$D$2</f>
        <v>1433107.1366237311</v>
      </c>
    </row>
    <row r="895" spans="1:38">
      <c r="A895" s="12">
        <v>894</v>
      </c>
      <c r="B895" s="19">
        <v>44784</v>
      </c>
      <c r="C895" s="12">
        <v>876</v>
      </c>
      <c r="D895" s="23">
        <f t="shared" si="1961"/>
        <v>424</v>
      </c>
      <c r="E895" s="12">
        <v>634578</v>
      </c>
      <c r="F895" s="12">
        <v>4384</v>
      </c>
      <c r="G895" s="12">
        <v>628913</v>
      </c>
      <c r="H895" s="23">
        <f t="shared" si="1962"/>
        <v>1281</v>
      </c>
      <c r="I895" s="23">
        <f t="shared" si="1963"/>
        <v>2047</v>
      </c>
      <c r="J895" s="12">
        <v>3613980</v>
      </c>
      <c r="K895" s="23">
        <f t="shared" si="1964"/>
        <v>2979402</v>
      </c>
      <c r="L895" s="23">
        <f t="shared" si="1965"/>
        <v>211</v>
      </c>
      <c r="M895" s="14">
        <f t="shared" si="1966"/>
        <v>6.9085281872362419E-3</v>
      </c>
      <c r="N895" s="14">
        <f t="shared" si="1967"/>
        <v>0.2071323888617489</v>
      </c>
      <c r="O895" s="24"/>
      <c r="P895" s="12"/>
      <c r="Q895" s="12"/>
      <c r="R895" s="23">
        <f t="shared" si="1968"/>
        <v>633297</v>
      </c>
      <c r="S895" s="25">
        <f>(((H895+R895)/(H894+R894))-1)+detalle!$D$1</f>
        <v>7.2097178738467688E-2</v>
      </c>
      <c r="T895" s="25">
        <f t="shared" si="1969"/>
        <v>1.0093605023385477</v>
      </c>
      <c r="U895" s="10">
        <f t="shared" si="1970"/>
        <v>0.99107280744053527</v>
      </c>
      <c r="V895" s="21">
        <f t="shared" si="1971"/>
        <v>143.45643248175182</v>
      </c>
      <c r="W895" s="15">
        <f>J895/detalle!$D$2</f>
        <v>329727.08682864381</v>
      </c>
      <c r="X895" s="15">
        <f>E895/detalle!$D$2</f>
        <v>57896.710913050745</v>
      </c>
      <c r="Y895" s="15">
        <f>F895/detalle!$D$2</f>
        <v>399.98105929107919</v>
      </c>
      <c r="AA895" s="14">
        <f>E895/(detalle!$D$2*1000000)</f>
        <v>5.7896710913050743E-2</v>
      </c>
      <c r="AB895" s="14">
        <f>F895/(detalle!$D$2*1000000)</f>
        <v>3.999810592910792E-4</v>
      </c>
      <c r="AC895" s="31">
        <f>21/585</f>
        <v>3.5897435897435895E-2</v>
      </c>
      <c r="AD895" s="31">
        <f>73/2373</f>
        <v>3.076274757690687E-2</v>
      </c>
      <c r="AE895" s="31">
        <f>1/469</f>
        <v>2.1321961620469083E-3</v>
      </c>
      <c r="AF895" s="22">
        <f t="shared" si="1972"/>
        <v>0</v>
      </c>
      <c r="AG895" s="12">
        <v>7261370</v>
      </c>
      <c r="AH895" s="12">
        <v>6023111</v>
      </c>
      <c r="AI895" s="12">
        <v>2425964</v>
      </c>
      <c r="AJ895" s="23">
        <f t="shared" si="1973"/>
        <v>2847</v>
      </c>
      <c r="AK895" s="23">
        <f t="shared" si="1974"/>
        <v>15710445</v>
      </c>
      <c r="AL895" s="28">
        <f>AK895/detalle!$D$2</f>
        <v>1433366.887097226</v>
      </c>
    </row>
    <row r="896" spans="1:38">
      <c r="A896" s="12">
        <v>895</v>
      </c>
      <c r="B896" s="19">
        <v>44785</v>
      </c>
      <c r="C896" s="12">
        <v>877</v>
      </c>
      <c r="D896" s="23">
        <f t="shared" si="1961"/>
        <v>288</v>
      </c>
      <c r="E896" s="12">
        <v>634866</v>
      </c>
      <c r="F896" s="12">
        <v>4384</v>
      </c>
      <c r="G896" s="12">
        <v>629114</v>
      </c>
      <c r="H896" s="23">
        <f t="shared" si="1962"/>
        <v>1368</v>
      </c>
      <c r="I896" s="23">
        <f t="shared" si="1963"/>
        <v>1262</v>
      </c>
      <c r="J896" s="12">
        <v>3615242</v>
      </c>
      <c r="K896" s="23">
        <f t="shared" si="1964"/>
        <v>2980376</v>
      </c>
      <c r="L896" s="23">
        <f t="shared" si="1965"/>
        <v>201</v>
      </c>
      <c r="M896" s="14">
        <f t="shared" si="1966"/>
        <v>6.9053942091716995E-3</v>
      </c>
      <c r="N896" s="14">
        <f t="shared" si="1967"/>
        <v>0.22820919175911253</v>
      </c>
      <c r="O896" s="24"/>
      <c r="P896" s="12"/>
      <c r="Q896" s="12"/>
      <c r="R896" s="23">
        <f t="shared" si="1968"/>
        <v>633498</v>
      </c>
      <c r="S896" s="25">
        <f>(((H896+R896)/(H895+R895))-1)+detalle!$D$1</f>
        <v>7.1882416345981054E-2</v>
      </c>
      <c r="T896" s="25">
        <f t="shared" si="1969"/>
        <v>1.0063538288437348</v>
      </c>
      <c r="U896" s="10">
        <f t="shared" si="1970"/>
        <v>0.99093982037154293</v>
      </c>
      <c r="V896" s="21">
        <f t="shared" si="1971"/>
        <v>143.5022810218978</v>
      </c>
      <c r="W896" s="15">
        <f>J896/detalle!$D$2</f>
        <v>329842.22736167879</v>
      </c>
      <c r="X896" s="15">
        <f>E896/detalle!$D$2</f>
        <v>57922.987041033368</v>
      </c>
      <c r="Y896" s="15">
        <f>F896/detalle!$D$2</f>
        <v>399.98105929107919</v>
      </c>
      <c r="AA896" s="14">
        <f>E896/(detalle!$D$2*1000000)</f>
        <v>5.7922987041033366E-2</v>
      </c>
      <c r="AB896" s="14">
        <f>F896/(detalle!$D$2*1000000)</f>
        <v>3.999810592910792E-4</v>
      </c>
      <c r="AC896" s="31">
        <f>19/585</f>
        <v>3.2478632478632481E-2</v>
      </c>
      <c r="AD896" s="31">
        <f>76/2373</f>
        <v>3.2026970080067427E-2</v>
      </c>
      <c r="AE896" s="31">
        <f>1/469</f>
        <v>2.1321961620469083E-3</v>
      </c>
      <c r="AF896" s="22">
        <f t="shared" si="1972"/>
        <v>0</v>
      </c>
      <c r="AG896" s="12">
        <v>7262058</v>
      </c>
      <c r="AH896" s="12">
        <v>6024023</v>
      </c>
      <c r="AI896" s="12">
        <v>2427469</v>
      </c>
      <c r="AJ896" s="23">
        <f t="shared" si="1973"/>
        <v>3105</v>
      </c>
      <c r="AK896" s="23">
        <f t="shared" si="1974"/>
        <v>15713550</v>
      </c>
      <c r="AL896" s="28">
        <f>AK896/detalle!$D$2</f>
        <v>1433650.1766020388</v>
      </c>
    </row>
    <row r="897" spans="1:38">
      <c r="A897" s="12">
        <v>896</v>
      </c>
      <c r="B897" s="19">
        <v>44786</v>
      </c>
      <c r="C897" s="12">
        <v>878</v>
      </c>
      <c r="D897" s="23">
        <f t="shared" ref="D897:D899" si="1975">E897-E896</f>
        <v>233</v>
      </c>
      <c r="E897" s="12">
        <v>635099</v>
      </c>
      <c r="F897" s="12">
        <v>4384</v>
      </c>
      <c r="G897" s="12">
        <v>629264</v>
      </c>
      <c r="H897" s="23">
        <f t="shared" ref="H897:H899" si="1976">E897-F897-G897</f>
        <v>1451</v>
      </c>
      <c r="I897" s="23">
        <f t="shared" ref="I897:I899" si="1977">J897-J896</f>
        <v>1099</v>
      </c>
      <c r="J897" s="12">
        <v>3616341</v>
      </c>
      <c r="K897" s="23">
        <f t="shared" ref="K897:K899" si="1978">J897-E897</f>
        <v>2981242</v>
      </c>
      <c r="L897" s="23">
        <f t="shared" ref="L897:L899" si="1979">G897-G896</f>
        <v>150</v>
      </c>
      <c r="M897" s="14">
        <f t="shared" ref="M897:M899" si="1980">F897/E897</f>
        <v>6.9028608138258759E-3</v>
      </c>
      <c r="N897" s="14">
        <f t="shared" ref="N897:N899" si="1981">D897/I897</f>
        <v>0.21201091901728844</v>
      </c>
      <c r="O897" s="24"/>
      <c r="P897" s="12"/>
      <c r="Q897" s="12"/>
      <c r="R897" s="23">
        <f t="shared" ref="R897:R899" si="1982">F897+G897</f>
        <v>633648</v>
      </c>
      <c r="S897" s="25">
        <f>(((H897+R897)/(H896+R896))-1)+detalle!$D$1</f>
        <v>7.1795578009487687E-2</v>
      </c>
      <c r="T897" s="25">
        <f t="shared" ref="T897:T899" si="1983">S897*14</f>
        <v>1.0051380921328277</v>
      </c>
      <c r="U897" s="10">
        <f t="shared" ref="U897:U899" si="1984">G897/E897</f>
        <v>0.99081245601079515</v>
      </c>
      <c r="V897" s="21">
        <f t="shared" ref="V897:V899" si="1985">G897/F897</f>
        <v>143.53649635036496</v>
      </c>
      <c r="W897" s="15">
        <f>J897/detalle!$D$2</f>
        <v>329942.49633616803</v>
      </c>
      <c r="X897" s="15">
        <f>E897/detalle!$D$2</f>
        <v>57944.24515846376</v>
      </c>
      <c r="Y897" s="15">
        <f>F897/detalle!$D$2</f>
        <v>399.98105929107919</v>
      </c>
      <c r="AA897" s="14">
        <f>E897/(detalle!$D$2*1000000)</f>
        <v>5.7944245158463754E-2</v>
      </c>
      <c r="AB897" s="14">
        <f>F897/(detalle!$D$2*1000000)</f>
        <v>3.999810592910792E-4</v>
      </c>
      <c r="AC897" s="31">
        <f>20/585</f>
        <v>3.4188034188034191E-2</v>
      </c>
      <c r="AD897" s="31">
        <f>74/2373</f>
        <v>3.1184155077960386E-2</v>
      </c>
      <c r="AE897" s="31">
        <f t="shared" ref="AE897:AE898" si="1986">1/469</f>
        <v>2.1321961620469083E-3</v>
      </c>
      <c r="AF897" s="22">
        <f t="shared" ref="AF897:AF899" si="1987">F897-F896</f>
        <v>0</v>
      </c>
      <c r="AG897" s="12">
        <v>7262367</v>
      </c>
      <c r="AH897" s="12">
        <v>6024311</v>
      </c>
      <c r="AI897" s="12">
        <v>2428032</v>
      </c>
      <c r="AJ897" s="23">
        <f t="shared" ref="AJ897:AJ899" si="1988">AK897-AK896</f>
        <v>1160</v>
      </c>
      <c r="AK897" s="23">
        <f t="shared" ref="AK897:AK899" si="1989">AG897+AH897+AI897</f>
        <v>15714710</v>
      </c>
      <c r="AL897" s="28">
        <f>AK897/detalle!$D$2</f>
        <v>1433756.0110064133</v>
      </c>
    </row>
    <row r="898" spans="1:38">
      <c r="A898" s="12">
        <v>897</v>
      </c>
      <c r="B898" s="19">
        <v>44787</v>
      </c>
      <c r="C898" s="12">
        <v>879</v>
      </c>
      <c r="D898" s="23">
        <f t="shared" si="1975"/>
        <v>190</v>
      </c>
      <c r="E898" s="12">
        <v>635289</v>
      </c>
      <c r="F898" s="12">
        <v>4384</v>
      </c>
      <c r="G898" s="12">
        <v>629389</v>
      </c>
      <c r="H898" s="23">
        <f t="shared" si="1976"/>
        <v>1516</v>
      </c>
      <c r="I898" s="23">
        <f t="shared" si="1977"/>
        <v>892</v>
      </c>
      <c r="J898" s="12">
        <v>3617233</v>
      </c>
      <c r="K898" s="23">
        <f t="shared" si="1978"/>
        <v>2981944</v>
      </c>
      <c r="L898" s="23">
        <f t="shared" si="1979"/>
        <v>125</v>
      </c>
      <c r="M898" s="14">
        <f t="shared" si="1980"/>
        <v>6.900796330488959E-3</v>
      </c>
      <c r="N898" s="14">
        <f t="shared" si="1981"/>
        <v>0.21300448430493274</v>
      </c>
      <c r="O898" s="24"/>
      <c r="P898" s="12"/>
      <c r="Q898" s="12"/>
      <c r="R898" s="23">
        <f t="shared" si="1982"/>
        <v>633773</v>
      </c>
      <c r="S898" s="25">
        <f>(((H898+R898)/(H897+R897))-1)+detalle!$D$1</f>
        <v>7.1727737385375107E-2</v>
      </c>
      <c r="T898" s="25">
        <f t="shared" si="1983"/>
        <v>1.0041883233952515</v>
      </c>
      <c r="U898" s="10">
        <f t="shared" si="1984"/>
        <v>0.99071288815011749</v>
      </c>
      <c r="V898" s="21">
        <f t="shared" si="1985"/>
        <v>143.5650091240876</v>
      </c>
      <c r="W898" s="15">
        <f>J898/detalle!$D$2</f>
        <v>330023.8793436698</v>
      </c>
      <c r="X898" s="15">
        <f>E898/detalle!$D$2</f>
        <v>57961.580104007851</v>
      </c>
      <c r="Y898" s="15">
        <f>F898/detalle!$D$2</f>
        <v>399.98105929107919</v>
      </c>
      <c r="AA898" s="14">
        <f>E898/(detalle!$D$2*1000000)</f>
        <v>5.796158010400785E-2</v>
      </c>
      <c r="AB898" s="14">
        <f>F898/(detalle!$D$2*1000000)</f>
        <v>3.999810592910792E-4</v>
      </c>
      <c r="AC898" s="31">
        <f>17/585</f>
        <v>2.9059829059829061E-2</v>
      </c>
      <c r="AD898" s="31">
        <f>81/2373</f>
        <v>3.4134007585335017E-2</v>
      </c>
      <c r="AE898" s="31">
        <f t="shared" si="1986"/>
        <v>2.1321961620469083E-3</v>
      </c>
      <c r="AF898" s="22">
        <f t="shared" si="1987"/>
        <v>0</v>
      </c>
      <c r="AG898" s="12">
        <v>7262493</v>
      </c>
      <c r="AH898" s="12">
        <v>6024452</v>
      </c>
      <c r="AI898" s="12">
        <v>2428299</v>
      </c>
      <c r="AJ898" s="23">
        <f t="shared" si="1988"/>
        <v>534</v>
      </c>
      <c r="AK898" s="23">
        <f t="shared" si="1989"/>
        <v>15715244</v>
      </c>
      <c r="AL898" s="28">
        <f>AK898/detalle!$D$2</f>
        <v>1433804.7313270476</v>
      </c>
    </row>
    <row r="899" spans="1:38">
      <c r="A899" s="12">
        <v>898</v>
      </c>
      <c r="B899" s="19">
        <v>44788</v>
      </c>
      <c r="C899" s="12">
        <v>880</v>
      </c>
      <c r="D899" s="23">
        <f t="shared" si="1975"/>
        <v>172</v>
      </c>
      <c r="E899" s="12">
        <v>635461</v>
      </c>
      <c r="F899" s="12">
        <v>4384</v>
      </c>
      <c r="G899" s="12">
        <v>629525</v>
      </c>
      <c r="H899" s="23">
        <f t="shared" si="1976"/>
        <v>1552</v>
      </c>
      <c r="I899" s="23">
        <f t="shared" si="1977"/>
        <v>832</v>
      </c>
      <c r="J899" s="12">
        <v>3618065</v>
      </c>
      <c r="K899" s="23">
        <f t="shared" si="1978"/>
        <v>2982604</v>
      </c>
      <c r="L899" s="23">
        <f t="shared" si="1979"/>
        <v>136</v>
      </c>
      <c r="M899" s="14">
        <f t="shared" si="1980"/>
        <v>6.8989284944316019E-3</v>
      </c>
      <c r="N899" s="14">
        <f t="shared" si="1981"/>
        <v>0.20673076923076922</v>
      </c>
      <c r="O899" s="24"/>
      <c r="P899" s="12"/>
      <c r="Q899" s="12"/>
      <c r="R899" s="23">
        <f t="shared" si="1982"/>
        <v>633909</v>
      </c>
      <c r="S899" s="25">
        <f>(((H899+R899)/(H898+R898))-1)+detalle!$D$1</f>
        <v>7.1699314350296889E-2</v>
      </c>
      <c r="T899" s="25">
        <f t="shared" si="1983"/>
        <v>1.0037904009041565</v>
      </c>
      <c r="U899" s="10">
        <f t="shared" si="1984"/>
        <v>0.99065875010425497</v>
      </c>
      <c r="V899" s="21">
        <f t="shared" si="1985"/>
        <v>143.5960310218978</v>
      </c>
      <c r="W899" s="15">
        <f>J899/detalle!$D$2</f>
        <v>330099.78815784183</v>
      </c>
      <c r="X899" s="15">
        <f>E899/detalle!$D$2</f>
        <v>57977.272791553027</v>
      </c>
      <c r="Y899" s="15">
        <f>F899/detalle!$D$2</f>
        <v>399.98105929107919</v>
      </c>
      <c r="AA899" s="14">
        <f>E899/(detalle!$D$2*1000000)</f>
        <v>5.7977272791553028E-2</v>
      </c>
      <c r="AB899" s="14">
        <f>F899/(detalle!$D$2*1000000)</f>
        <v>3.999810592910792E-4</v>
      </c>
      <c r="AC899" s="31">
        <f>20/585</f>
        <v>3.4188034188034191E-2</v>
      </c>
      <c r="AD899" s="31">
        <f>97/2373</f>
        <v>4.087652760219132E-2</v>
      </c>
      <c r="AE899" s="31">
        <f>2/469</f>
        <v>4.2643923240938165E-3</v>
      </c>
      <c r="AF899" s="22">
        <f t="shared" si="1987"/>
        <v>0</v>
      </c>
      <c r="AG899" s="12">
        <v>7263123</v>
      </c>
      <c r="AH899" s="12">
        <v>6025123</v>
      </c>
      <c r="AI899" s="12">
        <v>2429442</v>
      </c>
      <c r="AJ899" s="23">
        <f t="shared" si="1988"/>
        <v>2444</v>
      </c>
      <c r="AK899" s="23">
        <f t="shared" si="1989"/>
        <v>15717688</v>
      </c>
      <c r="AL899" s="28">
        <f>AK899/detalle!$D$2</f>
        <v>1434027.7134686778</v>
      </c>
    </row>
    <row r="900" spans="1:38">
      <c r="A900" s="12">
        <v>899</v>
      </c>
      <c r="B900" s="19">
        <v>44789</v>
      </c>
      <c r="C900" s="12">
        <v>881</v>
      </c>
      <c r="D900" s="23">
        <f>E900-E899</f>
        <v>148</v>
      </c>
      <c r="E900" s="12">
        <v>635609</v>
      </c>
      <c r="F900" s="12">
        <v>4384</v>
      </c>
      <c r="G900" s="12">
        <v>629657</v>
      </c>
      <c r="H900" s="23">
        <f t="shared" ref="H900:H903" si="1990">E900-F900-G900</f>
        <v>1568</v>
      </c>
      <c r="I900" s="23">
        <f t="shared" ref="I900:I903" si="1991">J900-J899</f>
        <v>679</v>
      </c>
      <c r="J900" s="12">
        <v>3618744</v>
      </c>
      <c r="K900" s="23">
        <f t="shared" ref="K900:K903" si="1992">J900-E900</f>
        <v>2983135</v>
      </c>
      <c r="L900" s="23">
        <f t="shared" ref="L900:L903" si="1993">G900-G899</f>
        <v>132</v>
      </c>
      <c r="M900" s="14">
        <f t="shared" ref="M900:M903" si="1994">F900/E900</f>
        <v>6.8973220958167677E-3</v>
      </c>
      <c r="N900" s="14">
        <f t="shared" ref="N900:N903" si="1995">D900/I900</f>
        <v>0.21796759941089838</v>
      </c>
      <c r="O900" s="24"/>
      <c r="P900" s="12"/>
      <c r="Q900" s="12"/>
      <c r="R900" s="23">
        <f t="shared" ref="R900:R903" si="1996">F900+G900</f>
        <v>634041</v>
      </c>
      <c r="S900" s="25">
        <f>(((H900+R900)/(H899+R899))-1)+detalle!$D$1</f>
        <v>7.1661473211686283E-2</v>
      </c>
      <c r="T900" s="25">
        <f t="shared" ref="T900:T903" si="1997">S900*14</f>
        <v>1.003260624963608</v>
      </c>
      <c r="U900" s="10">
        <f t="shared" ref="U900:U903" si="1998">G900/E900</f>
        <v>0.99063575248305169</v>
      </c>
      <c r="V900" s="21">
        <f t="shared" ref="V900:V903" si="1999">G900/F900</f>
        <v>143.62614051094891</v>
      </c>
      <c r="W900" s="15">
        <f>J900/detalle!$D$2</f>
        <v>330161.73777902307</v>
      </c>
      <c r="X900" s="15">
        <f>E900/detalle!$D$2</f>
        <v>57990.775801766322</v>
      </c>
      <c r="Y900" s="15">
        <f>F900/detalle!$D$2</f>
        <v>399.98105929107919</v>
      </c>
      <c r="AA900" s="14">
        <f>E900/(detalle!$D$2*1000000)</f>
        <v>5.7990775801766321E-2</v>
      </c>
      <c r="AB900" s="14">
        <f>F900/(detalle!$D$2*1000000)</f>
        <v>3.999810592910792E-4</v>
      </c>
      <c r="AC900" s="31">
        <f>19/585</f>
        <v>3.2478632478632481E-2</v>
      </c>
      <c r="AD900" s="31">
        <f t="shared" ref="AD900" si="2000">97/2373</f>
        <v>4.087652760219132E-2</v>
      </c>
      <c r="AE900" s="31">
        <f>1/469</f>
        <v>2.1321961620469083E-3</v>
      </c>
      <c r="AF900" s="22">
        <f t="shared" ref="AF900:AF903" si="2001">F900-F899</f>
        <v>0</v>
      </c>
      <c r="AG900" s="12">
        <v>7263303</v>
      </c>
      <c r="AH900" s="12">
        <v>6025393</v>
      </c>
      <c r="AI900" s="12">
        <v>2429865</v>
      </c>
      <c r="AJ900" s="23">
        <f t="shared" ref="AJ900:AJ903" si="2002">AK900-AK899</f>
        <v>873</v>
      </c>
      <c r="AK900" s="23">
        <f t="shared" ref="AK900:AK903" si="2003">AG900+AH900+AI900</f>
        <v>15718561</v>
      </c>
      <c r="AL900" s="28">
        <f>AK900/detalle!$D$2</f>
        <v>1434107.3629816254</v>
      </c>
    </row>
    <row r="901" spans="1:38">
      <c r="A901" s="12">
        <v>900</v>
      </c>
      <c r="B901" s="19">
        <v>44790</v>
      </c>
      <c r="C901" s="12">
        <v>882</v>
      </c>
      <c r="D901" s="23">
        <f>E901-E900</f>
        <v>250</v>
      </c>
      <c r="E901" s="12">
        <v>635859</v>
      </c>
      <c r="F901" s="12">
        <v>4384</v>
      </c>
      <c r="G901" s="12">
        <v>630418</v>
      </c>
      <c r="H901" s="23">
        <f t="shared" si="1990"/>
        <v>1057</v>
      </c>
      <c r="I901" s="23">
        <f t="shared" si="1991"/>
        <v>1096</v>
      </c>
      <c r="J901" s="12">
        <v>3619840</v>
      </c>
      <c r="K901" s="23">
        <f t="shared" si="1992"/>
        <v>2983981</v>
      </c>
      <c r="L901" s="23">
        <f t="shared" si="1993"/>
        <v>761</v>
      </c>
      <c r="M901" s="14">
        <f t="shared" si="1994"/>
        <v>6.8946102830973535E-3</v>
      </c>
      <c r="N901" s="14">
        <f t="shared" si="1995"/>
        <v>0.2281021897810219</v>
      </c>
      <c r="O901" s="24"/>
      <c r="P901" s="12"/>
      <c r="Q901" s="12"/>
      <c r="R901" s="23">
        <f t="shared" si="1996"/>
        <v>634802</v>
      </c>
      <c r="S901" s="25">
        <f>(((H901+R901)/(H900+R900))-1)+detalle!$D$1</f>
        <v>7.182189499699157E-2</v>
      </c>
      <c r="T901" s="25">
        <f t="shared" si="1997"/>
        <v>1.005506529957882</v>
      </c>
      <c r="U901" s="10">
        <f t="shared" si="1998"/>
        <v>0.99144307149855548</v>
      </c>
      <c r="V901" s="21">
        <f t="shared" si="1999"/>
        <v>143.79972627737226</v>
      </c>
      <c r="W901" s="15">
        <f>J901/detalle!$D$2</f>
        <v>330261.73304384586</v>
      </c>
      <c r="X901" s="15">
        <f>E901/detalle!$D$2</f>
        <v>58013.584940640132</v>
      </c>
      <c r="Y901" s="15">
        <f>F901/detalle!$D$2</f>
        <v>399.98105929107919</v>
      </c>
      <c r="AA901" s="14">
        <f>E901/(detalle!$D$2*1000000)</f>
        <v>5.8013584940640128E-2</v>
      </c>
      <c r="AB901" s="14">
        <f>F901/(detalle!$D$2*1000000)</f>
        <v>3.999810592910792E-4</v>
      </c>
      <c r="AC901" s="31">
        <f>14/585</f>
        <v>2.3931623931623933E-2</v>
      </c>
      <c r="AD901" s="31">
        <f>77/2373</f>
        <v>3.2448377581120944E-2</v>
      </c>
      <c r="AE901" s="31">
        <f>1/469</f>
        <v>2.1321961620469083E-3</v>
      </c>
      <c r="AF901" s="22">
        <f t="shared" si="2001"/>
        <v>0</v>
      </c>
      <c r="AG901" s="12">
        <v>7263927</v>
      </c>
      <c r="AH901" s="12">
        <v>6026042</v>
      </c>
      <c r="AI901" s="12">
        <v>2430927</v>
      </c>
      <c r="AJ901" s="23">
        <f t="shared" si="2002"/>
        <v>2335</v>
      </c>
      <c r="AK901" s="23">
        <f t="shared" si="2003"/>
        <v>15720896</v>
      </c>
      <c r="AL901" s="28">
        <f>AK901/detalle!$D$2</f>
        <v>1434320.4003387066</v>
      </c>
    </row>
    <row r="902" spans="1:38">
      <c r="A902" s="12">
        <v>901</v>
      </c>
      <c r="B902" s="19">
        <v>44791</v>
      </c>
      <c r="C902" s="12">
        <v>883</v>
      </c>
      <c r="D902" s="23">
        <f>E902-E901</f>
        <v>279</v>
      </c>
      <c r="E902" s="12">
        <v>636138</v>
      </c>
      <c r="F902" s="12">
        <v>4384</v>
      </c>
      <c r="G902" s="12">
        <v>630734</v>
      </c>
      <c r="H902" s="23">
        <f t="shared" si="1990"/>
        <v>1020</v>
      </c>
      <c r="I902" s="23">
        <f t="shared" si="1991"/>
        <v>1270</v>
      </c>
      <c r="J902" s="12">
        <v>3621110</v>
      </c>
      <c r="K902" s="23">
        <f t="shared" si="1992"/>
        <v>2984972</v>
      </c>
      <c r="L902" s="23">
        <f t="shared" si="1993"/>
        <v>316</v>
      </c>
      <c r="M902" s="14">
        <f t="shared" si="1994"/>
        <v>6.8915864167837793E-3</v>
      </c>
      <c r="N902" s="14">
        <f t="shared" si="1995"/>
        <v>0.21968503937007874</v>
      </c>
      <c r="O902" s="24"/>
      <c r="P902" s="12"/>
      <c r="Q902" s="12"/>
      <c r="R902" s="23">
        <f t="shared" si="1996"/>
        <v>635118</v>
      </c>
      <c r="S902" s="25">
        <f>(((H902+R902)/(H901+R901))-1)+detalle!$D$1</f>
        <v>7.1867347949781363E-2</v>
      </c>
      <c r="T902" s="25">
        <f t="shared" si="1997"/>
        <v>1.0061428712969391</v>
      </c>
      <c r="U902" s="10">
        <f t="shared" si="1998"/>
        <v>0.99150498791142805</v>
      </c>
      <c r="V902" s="21">
        <f t="shared" si="1999"/>
        <v>143.87180656934308</v>
      </c>
      <c r="W902" s="15">
        <f>J902/detalle!$D$2</f>
        <v>330377.60346932476</v>
      </c>
      <c r="X902" s="15">
        <f>E902/detalle!$D$2</f>
        <v>58039.039939623297</v>
      </c>
      <c r="Y902" s="15">
        <f>F902/detalle!$D$2</f>
        <v>399.98105929107919</v>
      </c>
      <c r="AA902" s="14">
        <f>E902/(detalle!$D$2*1000000)</f>
        <v>5.8039039939623296E-2</v>
      </c>
      <c r="AB902" s="14">
        <f>F902/(detalle!$D$2*1000000)</f>
        <v>3.999810592910792E-4</v>
      </c>
      <c r="AC902" s="31">
        <f>14/585</f>
        <v>2.3931623931623933E-2</v>
      </c>
      <c r="AD902" s="31">
        <f>74/2373</f>
        <v>3.1184155077960386E-2</v>
      </c>
      <c r="AE902" s="31">
        <f>1/469</f>
        <v>2.1321961620469083E-3</v>
      </c>
      <c r="AF902" s="22">
        <f t="shared" si="2001"/>
        <v>0</v>
      </c>
      <c r="AG902" s="12">
        <v>7264462</v>
      </c>
      <c r="AH902" s="12">
        <v>6026631</v>
      </c>
      <c r="AI902" s="12">
        <v>2431986</v>
      </c>
      <c r="AJ902" s="23">
        <f t="shared" si="2002"/>
        <v>2183</v>
      </c>
      <c r="AK902" s="23">
        <f t="shared" si="2003"/>
        <v>15723079</v>
      </c>
      <c r="AL902" s="28">
        <f>AK902/detalle!$D$2</f>
        <v>1434519.5697393527</v>
      </c>
    </row>
    <row r="903" spans="1:38">
      <c r="A903" s="12">
        <v>902</v>
      </c>
      <c r="B903" s="19">
        <v>44792</v>
      </c>
      <c r="C903" s="12">
        <v>884</v>
      </c>
      <c r="D903" s="23">
        <f t="shared" ref="D903" si="2004">E903-E902</f>
        <v>278</v>
      </c>
      <c r="E903" s="12">
        <v>636416</v>
      </c>
      <c r="F903" s="12">
        <v>4384</v>
      </c>
      <c r="G903" s="12">
        <v>631028</v>
      </c>
      <c r="H903" s="23">
        <f t="shared" si="1990"/>
        <v>1004</v>
      </c>
      <c r="I903" s="23">
        <f t="shared" si="1991"/>
        <v>1216</v>
      </c>
      <c r="J903" s="12">
        <v>3622326</v>
      </c>
      <c r="K903" s="23">
        <f t="shared" si="1992"/>
        <v>2985910</v>
      </c>
      <c r="L903" s="23">
        <f t="shared" si="1993"/>
        <v>294</v>
      </c>
      <c r="M903" s="14">
        <f t="shared" si="1994"/>
        <v>6.8885760257441676E-3</v>
      </c>
      <c r="N903" s="14">
        <f t="shared" si="1995"/>
        <v>0.22861842105263158</v>
      </c>
      <c r="O903" s="24"/>
      <c r="P903" s="12"/>
      <c r="Q903" s="12"/>
      <c r="R903" s="23">
        <f t="shared" si="1996"/>
        <v>635412</v>
      </c>
      <c r="S903" s="25">
        <f>(((H903+R903)/(H902+R902))-1)+detalle!$D$1</f>
        <v>7.1865583523431448E-2</v>
      </c>
      <c r="T903" s="25">
        <f t="shared" si="1997"/>
        <v>1.0061181693280403</v>
      </c>
      <c r="U903" s="10">
        <f t="shared" si="1998"/>
        <v>0.99153383950120677</v>
      </c>
      <c r="V903" s="21">
        <f t="shared" si="1999"/>
        <v>143.93886861313868</v>
      </c>
      <c r="W903" s="15">
        <f>J903/detalle!$D$2</f>
        <v>330488.54712080699</v>
      </c>
      <c r="X903" s="15">
        <f>E903/detalle!$D$2</f>
        <v>58064.403702050971</v>
      </c>
      <c r="Y903" s="15">
        <f>F903/detalle!$D$2</f>
        <v>399.98105929107919</v>
      </c>
      <c r="AA903" s="14">
        <f>E903/(detalle!$D$2*1000000)</f>
        <v>5.8064403702050973E-2</v>
      </c>
      <c r="AB903" s="14">
        <f>F903/(detalle!$D$2*1000000)</f>
        <v>3.999810592910792E-4</v>
      </c>
      <c r="AC903" s="31">
        <f>13/585</f>
        <v>2.2222222222222223E-2</v>
      </c>
      <c r="AD903" s="31">
        <f>70/2373</f>
        <v>2.9498525073746312E-2</v>
      </c>
      <c r="AE903" s="31">
        <f t="shared" ref="AE903:AE906" si="2005">2/469</f>
        <v>4.2643923240938165E-3</v>
      </c>
      <c r="AF903" s="22">
        <f t="shared" si="2001"/>
        <v>0</v>
      </c>
      <c r="AG903" s="12">
        <v>7264983</v>
      </c>
      <c r="AH903" s="12">
        <v>6027243</v>
      </c>
      <c r="AI903" s="12">
        <v>2433070</v>
      </c>
      <c r="AJ903" s="23">
        <f t="shared" si="2002"/>
        <v>2217</v>
      </c>
      <c r="AK903" s="23">
        <f t="shared" si="2003"/>
        <v>15725296</v>
      </c>
      <c r="AL903" s="28">
        <f>AK903/detalle!$D$2</f>
        <v>1434721.8411828857</v>
      </c>
    </row>
    <row r="904" spans="1:38">
      <c r="A904" s="12">
        <v>903</v>
      </c>
      <c r="B904" s="19">
        <v>44793</v>
      </c>
      <c r="C904" s="12">
        <v>885</v>
      </c>
      <c r="D904" s="23">
        <f t="shared" ref="D904:D908" si="2006">E904-E903</f>
        <v>220</v>
      </c>
      <c r="E904" s="12">
        <v>636636</v>
      </c>
      <c r="F904" s="12">
        <v>4384</v>
      </c>
      <c r="G904" s="12">
        <v>631261</v>
      </c>
      <c r="H904" s="23">
        <f t="shared" ref="H904:H908" si="2007">E904-F904-G904</f>
        <v>991</v>
      </c>
      <c r="I904" s="23">
        <f t="shared" ref="I904:I908" si="2008">J904-J903</f>
        <v>984</v>
      </c>
      <c r="J904" s="12">
        <v>3623310</v>
      </c>
      <c r="K904" s="23">
        <f t="shared" ref="K904:K908" si="2009">J904-E904</f>
        <v>2986674</v>
      </c>
      <c r="L904" s="23">
        <f t="shared" ref="L904:L908" si="2010">G904-G903</f>
        <v>233</v>
      </c>
      <c r="M904" s="14">
        <f t="shared" ref="M904:M908" si="2011">F904/E904</f>
        <v>6.8861955654408481E-3</v>
      </c>
      <c r="N904" s="14">
        <f t="shared" ref="N904:N908" si="2012">D904/I904</f>
        <v>0.22357723577235772</v>
      </c>
      <c r="O904" s="24"/>
      <c r="P904" s="12"/>
      <c r="Q904" s="12"/>
      <c r="R904" s="23">
        <f t="shared" ref="R904:R908" si="2013">F904+G904</f>
        <v>635645</v>
      </c>
      <c r="S904" s="25">
        <f>(((H904+R904)/(H903+R903))-1)+detalle!$D$1</f>
        <v>7.1774257269279468E-2</v>
      </c>
      <c r="T904" s="25">
        <f t="shared" ref="T904:T908" si="2014">S904*14</f>
        <v>1.0048396017699126</v>
      </c>
      <c r="U904" s="10">
        <f t="shared" ref="U904:U908" si="2015">G904/E904</f>
        <v>0.99155718495341139</v>
      </c>
      <c r="V904" s="21">
        <f t="shared" ref="V904:V908" si="2016">G904/F904</f>
        <v>143.99201642335765</v>
      </c>
      <c r="W904" s="15">
        <f>J904/detalle!$D$2</f>
        <v>330578.32389141427</v>
      </c>
      <c r="X904" s="15">
        <f>E904/detalle!$D$2</f>
        <v>58084.475744259922</v>
      </c>
      <c r="Y904" s="15">
        <f>F904/detalle!$D$2</f>
        <v>399.98105929107919</v>
      </c>
      <c r="Z904" s="1"/>
      <c r="AA904" s="14">
        <f>E904/(detalle!$D$2*1000000)</f>
        <v>5.8084475744259921E-2</v>
      </c>
      <c r="AB904" s="14">
        <f>F904/(detalle!$D$2*1000000)</f>
        <v>3.999810592910792E-4</v>
      </c>
      <c r="AC904" s="31">
        <f>14/585</f>
        <v>2.3931623931623933E-2</v>
      </c>
      <c r="AD904" s="31">
        <f>69/2373</f>
        <v>2.9077117572692796E-2</v>
      </c>
      <c r="AE904" s="31">
        <f t="shared" si="2005"/>
        <v>4.2643923240938165E-3</v>
      </c>
      <c r="AF904" s="22">
        <f t="shared" ref="AF904:AF908" si="2017">F904-F903</f>
        <v>0</v>
      </c>
      <c r="AG904" s="12">
        <v>7265237</v>
      </c>
      <c r="AH904" s="12">
        <v>6027526</v>
      </c>
      <c r="AI904" s="12">
        <v>2433529</v>
      </c>
      <c r="AJ904" s="23">
        <f t="shared" ref="AJ904:AJ908" si="2018">AK904-AK903</f>
        <v>996</v>
      </c>
      <c r="AK904" s="23">
        <f t="shared" ref="AK904:AK908" si="2019">AG904+AH904+AI904</f>
        <v>15726292</v>
      </c>
      <c r="AL904" s="28">
        <f>AK904/detalle!$D$2</f>
        <v>1434812.7127921588</v>
      </c>
    </row>
    <row r="905" spans="1:38">
      <c r="A905" s="12">
        <v>904</v>
      </c>
      <c r="B905" s="19">
        <v>44794</v>
      </c>
      <c r="C905" s="12">
        <v>886</v>
      </c>
      <c r="D905" s="23">
        <f t="shared" si="2006"/>
        <v>166</v>
      </c>
      <c r="E905" s="12">
        <v>636802</v>
      </c>
      <c r="F905" s="12">
        <v>4384</v>
      </c>
      <c r="G905" s="12">
        <v>631374</v>
      </c>
      <c r="H905" s="23">
        <f t="shared" si="2007"/>
        <v>1044</v>
      </c>
      <c r="I905" s="23">
        <f t="shared" si="2008"/>
        <v>737</v>
      </c>
      <c r="J905" s="12">
        <v>3624047</v>
      </c>
      <c r="K905" s="23">
        <f t="shared" si="2009"/>
        <v>2987245</v>
      </c>
      <c r="L905" s="23">
        <f t="shared" si="2010"/>
        <v>113</v>
      </c>
      <c r="M905" s="14">
        <f t="shared" si="2011"/>
        <v>6.8844004886919321E-3</v>
      </c>
      <c r="N905" s="14">
        <f t="shared" si="2012"/>
        <v>0.22523744911804613</v>
      </c>
      <c r="O905" s="17"/>
      <c r="P905" s="16"/>
      <c r="Q905" s="16"/>
      <c r="R905" s="23">
        <f t="shared" si="2013"/>
        <v>635758</v>
      </c>
      <c r="S905" s="25">
        <f>(((H905+R905)/(H904+R904))-1)+detalle!$D$1</f>
        <v>7.1689316972335854E-2</v>
      </c>
      <c r="T905" s="25">
        <f t="shared" si="2014"/>
        <v>1.003650437612702</v>
      </c>
      <c r="U905" s="10">
        <f t="shared" si="2015"/>
        <v>0.99147615742412865</v>
      </c>
      <c r="V905" s="21">
        <f t="shared" si="2016"/>
        <v>144.01779197080293</v>
      </c>
      <c r="W905" s="15">
        <f>J905/detalle!$D$2</f>
        <v>330645.56523281423</v>
      </c>
      <c r="X905" s="15">
        <f>E905/detalle!$D$2</f>
        <v>58099.621012472133</v>
      </c>
      <c r="Y905" s="15">
        <f>F905/detalle!$D$2</f>
        <v>399.98105929107919</v>
      </c>
      <c r="Z905" s="1"/>
      <c r="AA905" s="14">
        <f>E905/(detalle!$D$2*1000000)</f>
        <v>5.8099621012472132E-2</v>
      </c>
      <c r="AB905" s="14">
        <f>F905/(detalle!$D$2*1000000)</f>
        <v>3.999810592910792E-4</v>
      </c>
      <c r="AC905" s="31">
        <f>14/585</f>
        <v>2.3931623931623933E-2</v>
      </c>
      <c r="AD905" s="31">
        <f>69/2373</f>
        <v>2.9077117572692796E-2</v>
      </c>
      <c r="AE905" s="31">
        <f t="shared" si="2005"/>
        <v>4.2643923240938165E-3</v>
      </c>
      <c r="AF905" s="22">
        <f t="shared" si="2017"/>
        <v>0</v>
      </c>
      <c r="AG905" s="12">
        <v>7265339</v>
      </c>
      <c r="AH905" s="12">
        <v>6027660</v>
      </c>
      <c r="AI905" s="12">
        <v>2433787</v>
      </c>
      <c r="AJ905" s="23">
        <f t="shared" si="2018"/>
        <v>494</v>
      </c>
      <c r="AK905" s="23">
        <f t="shared" si="2019"/>
        <v>15726786</v>
      </c>
      <c r="AL905" s="28">
        <f>AK905/detalle!$D$2</f>
        <v>1434857.7836505736</v>
      </c>
    </row>
    <row r="906" spans="1:38">
      <c r="A906" s="12">
        <v>905</v>
      </c>
      <c r="B906" s="19">
        <v>44795</v>
      </c>
      <c r="C906" s="12">
        <v>887</v>
      </c>
      <c r="D906" s="23">
        <f>E906-E905</f>
        <v>206</v>
      </c>
      <c r="E906" s="12">
        <v>637008</v>
      </c>
      <c r="F906" s="12">
        <v>4384</v>
      </c>
      <c r="G906" s="12">
        <v>631445</v>
      </c>
      <c r="H906" s="23">
        <f t="shared" si="2007"/>
        <v>1179</v>
      </c>
      <c r="I906" s="23">
        <f t="shared" si="2008"/>
        <v>891</v>
      </c>
      <c r="J906" s="12">
        <v>3624938</v>
      </c>
      <c r="K906" s="23">
        <f t="shared" si="2009"/>
        <v>2987930</v>
      </c>
      <c r="L906" s="23">
        <f t="shared" si="2010"/>
        <v>71</v>
      </c>
      <c r="M906" s="14">
        <f t="shared" si="2011"/>
        <v>6.882174164217718E-3</v>
      </c>
      <c r="N906" s="14">
        <f t="shared" si="2012"/>
        <v>0.23120089786756454</v>
      </c>
      <c r="O906" s="17"/>
      <c r="P906" s="16"/>
      <c r="Q906" s="16"/>
      <c r="R906" s="23">
        <f t="shared" si="2013"/>
        <v>635829</v>
      </c>
      <c r="S906" s="25">
        <f>(((H906+R906)/(H905+R905))-1)+detalle!$D$1</f>
        <v>7.1752062874892247E-2</v>
      </c>
      <c r="T906" s="25">
        <f t="shared" si="2014"/>
        <v>1.0045288802484915</v>
      </c>
      <c r="U906" s="10">
        <f t="shared" si="2015"/>
        <v>0.99126698565795091</v>
      </c>
      <c r="V906" s="21">
        <f t="shared" si="2016"/>
        <v>144.03398722627736</v>
      </c>
      <c r="W906" s="15">
        <f>J906/detalle!$D$2</f>
        <v>330726.85700376052</v>
      </c>
      <c r="X906" s="15">
        <f>E906/detalle!$D$2</f>
        <v>58118.415742904144</v>
      </c>
      <c r="Y906" s="15">
        <f>F906/detalle!$D$2</f>
        <v>399.98105929107919</v>
      </c>
      <c r="Z906" s="18"/>
      <c r="AA906" s="14">
        <f>E906/(detalle!$D$2*1000000)</f>
        <v>5.8118415742904148E-2</v>
      </c>
      <c r="AB906" s="14">
        <f>F906/(detalle!$D$2*1000000)</f>
        <v>3.999810592910792E-4</v>
      </c>
      <c r="AC906" s="31">
        <f>14/585</f>
        <v>2.3931623931623933E-2</v>
      </c>
      <c r="AD906" s="31">
        <f>61/2373</f>
        <v>2.5705857564264644E-2</v>
      </c>
      <c r="AE906" s="31">
        <f t="shared" si="2005"/>
        <v>4.2643923240938165E-3</v>
      </c>
      <c r="AF906" s="22">
        <f t="shared" si="2017"/>
        <v>0</v>
      </c>
      <c r="AG906" s="12">
        <v>7265952</v>
      </c>
      <c r="AH906" s="12">
        <v>6028316</v>
      </c>
      <c r="AI906" s="12">
        <v>2434974</v>
      </c>
      <c r="AJ906" s="23">
        <f t="shared" si="2018"/>
        <v>2456</v>
      </c>
      <c r="AK906" s="23">
        <f t="shared" si="2019"/>
        <v>15729242</v>
      </c>
      <c r="AL906" s="28">
        <f>AK906/detalle!$D$2</f>
        <v>1435081.8606308699</v>
      </c>
    </row>
    <row r="907" spans="1:38">
      <c r="A907" s="12">
        <v>906</v>
      </c>
      <c r="B907" s="19">
        <v>44796</v>
      </c>
      <c r="C907" s="12">
        <v>888</v>
      </c>
      <c r="D907" s="23">
        <f t="shared" si="2006"/>
        <v>293</v>
      </c>
      <c r="E907" s="12">
        <v>637301</v>
      </c>
      <c r="F907" s="12">
        <v>4384</v>
      </c>
      <c r="G907" s="12">
        <v>631923</v>
      </c>
      <c r="H907" s="23">
        <f t="shared" si="2007"/>
        <v>994</v>
      </c>
      <c r="I907" s="23">
        <f t="shared" si="2008"/>
        <v>1295</v>
      </c>
      <c r="J907" s="12">
        <v>3626233</v>
      </c>
      <c r="K907" s="23">
        <f t="shared" si="2009"/>
        <v>2988932</v>
      </c>
      <c r="L907" s="23">
        <f t="shared" si="2010"/>
        <v>478</v>
      </c>
      <c r="M907" s="14">
        <f t="shared" si="2011"/>
        <v>6.8790100753019371E-3</v>
      </c>
      <c r="N907" s="14">
        <f t="shared" si="2012"/>
        <v>0.22625482625482626</v>
      </c>
      <c r="O907" s="17"/>
      <c r="P907" s="16"/>
      <c r="Q907" s="16"/>
      <c r="R907" s="23">
        <f t="shared" si="2013"/>
        <v>636307</v>
      </c>
      <c r="S907" s="25">
        <f>(((H907+R907)/(H906+R906))-1)+detalle!$D$1</f>
        <v>7.1888534254783948E-2</v>
      </c>
      <c r="T907" s="25">
        <f t="shared" si="2014"/>
        <v>1.0064394795669753</v>
      </c>
      <c r="U907" s="10">
        <f t="shared" si="2015"/>
        <v>0.99156128736656624</v>
      </c>
      <c r="V907" s="21">
        <f t="shared" si="2016"/>
        <v>144.1430200729927</v>
      </c>
      <c r="W907" s="15">
        <f>J907/detalle!$D$2</f>
        <v>330845.0083431268</v>
      </c>
      <c r="X907" s="15">
        <f>E907/detalle!$D$2</f>
        <v>58145.148053664248</v>
      </c>
      <c r="Y907" s="15">
        <f>F907/detalle!$D$2</f>
        <v>399.98105929107919</v>
      </c>
      <c r="Z907" s="1"/>
      <c r="AA907" s="14">
        <f>E907/(detalle!$D$2*1000000)</f>
        <v>5.8145148053664247E-2</v>
      </c>
      <c r="AB907" s="14">
        <f>F907/(detalle!$D$2*1000000)</f>
        <v>3.999810592910792E-4</v>
      </c>
      <c r="AC907" s="31">
        <f t="shared" ref="AC907" si="2020">13/585</f>
        <v>2.2222222222222223E-2</v>
      </c>
      <c r="AD907" s="31">
        <f>48/2373</f>
        <v>2.0227560050568902E-2</v>
      </c>
      <c r="AE907" s="31">
        <f>1/469</f>
        <v>2.1321961620469083E-3</v>
      </c>
      <c r="AF907" s="22">
        <f t="shared" si="2017"/>
        <v>0</v>
      </c>
      <c r="AG907" s="12">
        <v>7266586</v>
      </c>
      <c r="AH907" s="12">
        <v>6029044</v>
      </c>
      <c r="AI907" s="12">
        <v>2436087</v>
      </c>
      <c r="AJ907" s="23">
        <f t="shared" si="2018"/>
        <v>2475</v>
      </c>
      <c r="AK907" s="23">
        <f t="shared" si="2019"/>
        <v>15731717</v>
      </c>
      <c r="AL907" s="28">
        <f>AK907/detalle!$D$2</f>
        <v>1435307.6711057206</v>
      </c>
    </row>
    <row r="908" spans="1:38">
      <c r="A908" s="12">
        <v>907</v>
      </c>
      <c r="B908" s="19">
        <v>44797</v>
      </c>
      <c r="C908" s="12">
        <v>889</v>
      </c>
      <c r="D908" s="23">
        <f t="shared" si="2006"/>
        <v>272</v>
      </c>
      <c r="E908" s="12">
        <v>637573</v>
      </c>
      <c r="F908" s="12">
        <v>4384</v>
      </c>
      <c r="G908" s="12">
        <v>632073</v>
      </c>
      <c r="H908" s="23">
        <f t="shared" si="2007"/>
        <v>1116</v>
      </c>
      <c r="I908" s="23">
        <f t="shared" si="2008"/>
        <v>1379</v>
      </c>
      <c r="J908" s="12">
        <v>3627612</v>
      </c>
      <c r="K908" s="23">
        <f t="shared" si="2009"/>
        <v>2990039</v>
      </c>
      <c r="L908" s="23">
        <f t="shared" si="2010"/>
        <v>150</v>
      </c>
      <c r="M908" s="14">
        <f t="shared" si="2011"/>
        <v>6.8760753670560077E-3</v>
      </c>
      <c r="N908" s="14">
        <f t="shared" si="2012"/>
        <v>0.19724437998549674</v>
      </c>
      <c r="O908" s="17"/>
      <c r="P908" s="16"/>
      <c r="Q908" s="16"/>
      <c r="R908" s="23">
        <f t="shared" si="2013"/>
        <v>636457</v>
      </c>
      <c r="S908" s="25">
        <f>(((H908+R908)/(H907+R907))-1)+detalle!$D$1</f>
        <v>7.1855371323754441E-2</v>
      </c>
      <c r="T908" s="25">
        <f t="shared" si="2014"/>
        <v>1.0059751985325622</v>
      </c>
      <c r="U908" s="10">
        <f t="shared" si="2015"/>
        <v>0.99137353683421348</v>
      </c>
      <c r="V908" s="21">
        <f t="shared" si="2016"/>
        <v>144.17723540145985</v>
      </c>
      <c r="W908" s="15">
        <f>J908/detalle!$D$2</f>
        <v>330970.82355315477</v>
      </c>
      <c r="X908" s="15">
        <f>E908/detalle!$D$2</f>
        <v>58169.964396758951</v>
      </c>
      <c r="Y908" s="15">
        <f>F908/detalle!$D$2</f>
        <v>399.98105929107919</v>
      </c>
      <c r="Z908" s="1"/>
      <c r="AA908" s="14">
        <f>E908/(detalle!$D$2*1000000)</f>
        <v>5.816996439675895E-2</v>
      </c>
      <c r="AB908" s="14">
        <f>F908/(detalle!$D$2*1000000)</f>
        <v>3.999810592910792E-4</v>
      </c>
      <c r="AC908" s="31">
        <f>15/585</f>
        <v>2.564102564102564E-2</v>
      </c>
      <c r="AD908" s="31">
        <f>49/2373</f>
        <v>2.0648967551622419E-2</v>
      </c>
      <c r="AE908" s="31">
        <f>0/469</f>
        <v>0</v>
      </c>
      <c r="AF908" s="22">
        <f t="shared" si="2017"/>
        <v>0</v>
      </c>
      <c r="AG908" s="12">
        <v>7266586</v>
      </c>
      <c r="AH908" s="12">
        <v>6029044</v>
      </c>
      <c r="AI908" s="12">
        <v>2436087</v>
      </c>
      <c r="AJ908" s="23">
        <f t="shared" si="2018"/>
        <v>0</v>
      </c>
      <c r="AK908" s="23">
        <f t="shared" si="2019"/>
        <v>15731717</v>
      </c>
      <c r="AL908" s="28">
        <f>AK908/detalle!$D$2</f>
        <v>1435307.6711057206</v>
      </c>
    </row>
    <row r="909" spans="1:38">
      <c r="A909" s="12">
        <v>908</v>
      </c>
      <c r="B909" s="19">
        <v>44798</v>
      </c>
      <c r="C909" s="12">
        <v>890</v>
      </c>
      <c r="D909" s="23">
        <f t="shared" ref="D909:D912" si="2021">E909-E908</f>
        <v>284</v>
      </c>
      <c r="E909" s="12">
        <v>637857</v>
      </c>
      <c r="F909" s="12">
        <v>4384</v>
      </c>
      <c r="G909" s="12">
        <v>632384</v>
      </c>
      <c r="H909" s="23">
        <f t="shared" ref="H909:H912" si="2022">E909-F909-G909</f>
        <v>1089</v>
      </c>
      <c r="I909" s="23">
        <f t="shared" ref="I909:I912" si="2023">J909-J908</f>
        <v>1420</v>
      </c>
      <c r="J909" s="12">
        <v>3629032</v>
      </c>
      <c r="K909" s="23">
        <f t="shared" ref="K909:K912" si="2024">J909-E909</f>
        <v>2991175</v>
      </c>
      <c r="L909" s="23">
        <f t="shared" ref="L909:L912" si="2025">G909-G908</f>
        <v>311</v>
      </c>
      <c r="M909" s="14">
        <f t="shared" ref="M909:M912" si="2026">F909/E909</f>
        <v>6.8730138573379297E-3</v>
      </c>
      <c r="N909" s="14">
        <f t="shared" ref="N909:N912" si="2027">D909/I909</f>
        <v>0.2</v>
      </c>
      <c r="O909" s="17"/>
      <c r="P909" s="16"/>
      <c r="Q909" s="16"/>
      <c r="R909" s="23">
        <f t="shared" ref="R909:R912" si="2028">F909+G909</f>
        <v>636768</v>
      </c>
      <c r="S909" s="25">
        <f>(((H909+R909)/(H908+R908))-1)+detalle!$D$1</f>
        <v>7.1874010617495571E-2</v>
      </c>
      <c r="T909" s="25">
        <f t="shared" ref="T909:T912" si="2029">S909*14</f>
        <v>1.006236148644938</v>
      </c>
      <c r="U909" s="10">
        <f t="shared" ref="U909:U912" si="2030">G909/E909</f>
        <v>0.99141970692490633</v>
      </c>
      <c r="V909" s="21">
        <f t="shared" ref="V909:V912" si="2031">G909/F909</f>
        <v>144.24817518248176</v>
      </c>
      <c r="W909" s="15">
        <f>J909/detalle!$D$2</f>
        <v>331100.37946195796</v>
      </c>
      <c r="X909" s="15">
        <f>E909/detalle!$D$2</f>
        <v>58195.875578519597</v>
      </c>
      <c r="Y909" s="15">
        <f>F909/detalle!$D$2</f>
        <v>399.98105929107919</v>
      </c>
      <c r="Z909" s="1"/>
      <c r="AA909" s="14">
        <f>E909/(detalle!$D$2*1000000)</f>
        <v>5.8195875578519594E-2</v>
      </c>
      <c r="AB909" s="14">
        <f>F909/(detalle!$D$2*1000000)</f>
        <v>3.999810592910792E-4</v>
      </c>
      <c r="AC909" s="31">
        <f>17/585</f>
        <v>2.9059829059829061E-2</v>
      </c>
      <c r="AD909" s="31">
        <f>35/2373</f>
        <v>1.4749262536873156E-2</v>
      </c>
      <c r="AE909" s="31">
        <f t="shared" ref="AE909" si="2032">0/469</f>
        <v>0</v>
      </c>
      <c r="AF909" s="22">
        <f t="shared" ref="AF909:AF912" si="2033">F909-F908</f>
        <v>0</v>
      </c>
      <c r="AG909" s="12">
        <v>7267749</v>
      </c>
      <c r="AH909" s="12">
        <v>6030450</v>
      </c>
      <c r="AI909" s="12">
        <v>2438334</v>
      </c>
      <c r="AJ909" s="23">
        <f t="shared" ref="AJ909:AJ912" si="2034">AK909-AK908</f>
        <v>4816</v>
      </c>
      <c r="AK909" s="23">
        <f t="shared" ref="AK909:AK912" si="2035">AG909+AH909+AI909</f>
        <v>15736533</v>
      </c>
      <c r="AL909" s="28">
        <f>AK909/detalle!$D$2</f>
        <v>1435747.0663569856</v>
      </c>
    </row>
    <row r="910" spans="1:38">
      <c r="A910" s="12">
        <v>909</v>
      </c>
      <c r="B910" s="19">
        <v>44799</v>
      </c>
      <c r="C910" s="12">
        <v>891</v>
      </c>
      <c r="D910" s="23">
        <f t="shared" si="2021"/>
        <v>229</v>
      </c>
      <c r="E910" s="12">
        <v>638086</v>
      </c>
      <c r="F910" s="12">
        <v>4384</v>
      </c>
      <c r="G910" s="12">
        <v>632630</v>
      </c>
      <c r="H910" s="23">
        <f t="shared" si="2022"/>
        <v>1072</v>
      </c>
      <c r="I910" s="23">
        <f t="shared" si="2023"/>
        <v>1036</v>
      </c>
      <c r="J910" s="12">
        <v>3630068</v>
      </c>
      <c r="K910" s="23">
        <f t="shared" si="2024"/>
        <v>2991982</v>
      </c>
      <c r="L910" s="23">
        <f t="shared" si="2025"/>
        <v>246</v>
      </c>
      <c r="M910" s="14">
        <f t="shared" si="2026"/>
        <v>6.8705472303106476E-3</v>
      </c>
      <c r="N910" s="14">
        <f t="shared" si="2027"/>
        <v>0.22104247104247104</v>
      </c>
      <c r="O910" s="27"/>
      <c r="P910" s="26"/>
      <c r="Q910" s="26"/>
      <c r="R910" s="23">
        <f t="shared" si="2028"/>
        <v>637014</v>
      </c>
      <c r="S910" s="25">
        <f>(((H910+R910)/(H909+R909))-1)+detalle!$D$1</f>
        <v>7.1787586066648618E-2</v>
      </c>
      <c r="T910" s="25">
        <f t="shared" si="2029"/>
        <v>1.0050262049330807</v>
      </c>
      <c r="U910" s="10">
        <f t="shared" si="2030"/>
        <v>0.99144942844694917</v>
      </c>
      <c r="V910" s="21">
        <f t="shared" si="2031"/>
        <v>144.30428832116789</v>
      </c>
      <c r="W910" s="15">
        <f>J910/detalle!$D$2</f>
        <v>331194.900533451</v>
      </c>
      <c r="X910" s="15">
        <f>E910/detalle!$D$2</f>
        <v>58216.768749728006</v>
      </c>
      <c r="Y910" s="15">
        <f>F910/detalle!$D$2</f>
        <v>399.98105929107919</v>
      </c>
      <c r="AA910" s="14">
        <f>E910/(detalle!$D$2*1000000)</f>
        <v>5.8216768749728004E-2</v>
      </c>
      <c r="AB910" s="14">
        <f>F910/(detalle!$D$2*1000000)</f>
        <v>3.999810592910792E-4</v>
      </c>
      <c r="AC910" s="31">
        <f>17/585</f>
        <v>2.9059829059829061E-2</v>
      </c>
      <c r="AD910" s="31">
        <f>43/2373</f>
        <v>1.8120522545301308E-2</v>
      </c>
      <c r="AE910" s="31">
        <f>2/469</f>
        <v>4.2643923240938165E-3</v>
      </c>
      <c r="AF910" s="22">
        <f t="shared" si="2033"/>
        <v>0</v>
      </c>
      <c r="AG910" s="12">
        <v>7268353</v>
      </c>
      <c r="AH910" s="12">
        <v>6030962</v>
      </c>
      <c r="AI910" s="12">
        <v>2439333</v>
      </c>
      <c r="AJ910" s="23">
        <f t="shared" si="2034"/>
        <v>2115</v>
      </c>
      <c r="AK910" s="23">
        <f t="shared" si="2035"/>
        <v>15738648</v>
      </c>
      <c r="AL910" s="28">
        <f>AK910/detalle!$D$2</f>
        <v>1435940.0316718579</v>
      </c>
    </row>
    <row r="911" spans="1:38">
      <c r="A911" s="12">
        <v>910</v>
      </c>
      <c r="B911" s="19">
        <v>44800</v>
      </c>
      <c r="C911" s="12">
        <v>892</v>
      </c>
      <c r="D911" s="23">
        <f t="shared" si="2021"/>
        <v>244</v>
      </c>
      <c r="E911" s="12">
        <v>638330</v>
      </c>
      <c r="F911" s="12">
        <v>4384</v>
      </c>
      <c r="G911" s="12">
        <v>632828</v>
      </c>
      <c r="H911" s="23">
        <f t="shared" si="2022"/>
        <v>1118</v>
      </c>
      <c r="I911" s="23">
        <f t="shared" si="2023"/>
        <v>1113</v>
      </c>
      <c r="J911" s="12">
        <v>3631181</v>
      </c>
      <c r="K911" s="23">
        <f t="shared" si="2024"/>
        <v>2992851</v>
      </c>
      <c r="L911" s="23">
        <f t="shared" si="2025"/>
        <v>198</v>
      </c>
      <c r="M911" s="14">
        <f t="shared" si="2026"/>
        <v>6.867920981310607E-3</v>
      </c>
      <c r="N911" s="14">
        <f t="shared" si="2027"/>
        <v>0.2192273135669362</v>
      </c>
      <c r="O911" s="17"/>
      <c r="P911" s="16"/>
      <c r="Q911" s="16"/>
      <c r="R911" s="23">
        <f t="shared" si="2028"/>
        <v>637212</v>
      </c>
      <c r="S911" s="25">
        <f>(((H911+R911)/(H910+R910))-1)+detalle!$D$1</f>
        <v>7.1810965024418999E-2</v>
      </c>
      <c r="T911" s="25">
        <f t="shared" si="2029"/>
        <v>1.005353510341866</v>
      </c>
      <c r="U911" s="10">
        <f t="shared" si="2030"/>
        <v>0.99138063384142994</v>
      </c>
      <c r="V911" s="21">
        <f t="shared" si="2031"/>
        <v>144.34945255474452</v>
      </c>
      <c r="W911" s="15">
        <f>J911/detalle!$D$2</f>
        <v>331296.44681971724</v>
      </c>
      <c r="X911" s="15">
        <f>E911/detalle!$D$2</f>
        <v>58239.030469268837</v>
      </c>
      <c r="Y911" s="15">
        <f>F911/detalle!$D$2</f>
        <v>399.98105929107919</v>
      </c>
      <c r="Z911" s="1"/>
      <c r="AA911" s="14">
        <f>E911/(detalle!$D$2*1000000)</f>
        <v>5.8239030469268836E-2</v>
      </c>
      <c r="AB911" s="14">
        <f>F911/(detalle!$D$2*1000000)</f>
        <v>3.999810592910792E-4</v>
      </c>
      <c r="AC911" s="31">
        <f t="shared" ref="AC911:AC912" si="2036">15/585</f>
        <v>2.564102564102564E-2</v>
      </c>
      <c r="AD911" s="31">
        <f>28/2373</f>
        <v>1.1799410029498525E-2</v>
      </c>
      <c r="AE911" s="31">
        <f>1/469</f>
        <v>2.1321961620469083E-3</v>
      </c>
      <c r="AF911" s="22">
        <f t="shared" si="2033"/>
        <v>0</v>
      </c>
      <c r="AG911" s="12">
        <v>7268611</v>
      </c>
      <c r="AH911" s="12">
        <v>6031180</v>
      </c>
      <c r="AI911" s="12">
        <v>2439727</v>
      </c>
      <c r="AJ911" s="23">
        <f t="shared" si="2034"/>
        <v>870</v>
      </c>
      <c r="AK911" s="23">
        <f t="shared" si="2035"/>
        <v>15739518</v>
      </c>
      <c r="AL911" s="28">
        <f>AK911/detalle!$D$2</f>
        <v>1436019.4074751388</v>
      </c>
    </row>
    <row r="912" spans="1:38" ht="14" customHeight="1">
      <c r="A912" s="12">
        <v>911</v>
      </c>
      <c r="B912" s="19">
        <v>44801</v>
      </c>
      <c r="C912" s="12">
        <v>893</v>
      </c>
      <c r="D912" s="23">
        <f t="shared" si="2021"/>
        <v>170</v>
      </c>
      <c r="E912" s="12">
        <v>638500</v>
      </c>
      <c r="F912" s="12">
        <v>4384</v>
      </c>
      <c r="G912" s="12">
        <v>632911</v>
      </c>
      <c r="H912" s="23">
        <f t="shared" si="2022"/>
        <v>1205</v>
      </c>
      <c r="I912" s="23">
        <f t="shared" si="2023"/>
        <v>736</v>
      </c>
      <c r="J912" s="12">
        <v>3631917</v>
      </c>
      <c r="K912" s="23">
        <f t="shared" si="2024"/>
        <v>2993417</v>
      </c>
      <c r="L912" s="23">
        <f t="shared" si="2025"/>
        <v>83</v>
      </c>
      <c r="M912" s="14">
        <f t="shared" si="2026"/>
        <v>6.8660924040720439E-3</v>
      </c>
      <c r="N912" s="14">
        <f t="shared" si="2027"/>
        <v>0.23097826086956522</v>
      </c>
      <c r="O912" s="17"/>
      <c r="P912" s="16"/>
      <c r="Q912" s="16"/>
      <c r="R912" s="23">
        <f t="shared" si="2028"/>
        <v>637295</v>
      </c>
      <c r="S912" s="25">
        <f>(((H912+R912)/(H911+R911))-1)+detalle!$D$1</f>
        <v>7.1694891357134943E-2</v>
      </c>
      <c r="T912" s="25">
        <f t="shared" si="2029"/>
        <v>1.0037284789998893</v>
      </c>
      <c r="U912" s="10">
        <f t="shared" si="2030"/>
        <v>0.9912466718872357</v>
      </c>
      <c r="V912" s="21">
        <f t="shared" si="2031"/>
        <v>144.36838503649636</v>
      </c>
      <c r="W912" s="15">
        <f>J912/detalle!$D$2</f>
        <v>331363.59692456172</v>
      </c>
      <c r="X912" s="15">
        <f>E912/detalle!$D$2</f>
        <v>58254.540683703024</v>
      </c>
      <c r="Y912" s="15">
        <f>F912/detalle!$D$2</f>
        <v>399.98105929107919</v>
      </c>
      <c r="Z912" s="1"/>
      <c r="AA912" s="14">
        <f>E912/(detalle!$D$2*1000000)</f>
        <v>5.8254540683703025E-2</v>
      </c>
      <c r="AB912" s="14">
        <f>F912/(detalle!$D$2*1000000)</f>
        <v>3.999810592910792E-4</v>
      </c>
      <c r="AC912" s="31">
        <f t="shared" si="2036"/>
        <v>2.564102564102564E-2</v>
      </c>
      <c r="AD912" s="31">
        <f>28/2373</f>
        <v>1.1799410029498525E-2</v>
      </c>
      <c r="AE912" s="31">
        <f>1/469</f>
        <v>2.1321961620469083E-3</v>
      </c>
      <c r="AF912" s="22">
        <f t="shared" si="2033"/>
        <v>0</v>
      </c>
      <c r="AG912" s="12">
        <v>7268724</v>
      </c>
      <c r="AH912" s="12">
        <v>6031321</v>
      </c>
      <c r="AI912" s="12">
        <v>2439993</v>
      </c>
      <c r="AJ912" s="23">
        <f t="shared" si="2034"/>
        <v>520</v>
      </c>
      <c r="AK912" s="23">
        <f t="shared" si="2035"/>
        <v>15740038</v>
      </c>
      <c r="AL912" s="28">
        <f>AK912/detalle!$D$2</f>
        <v>1436066.8504839963</v>
      </c>
    </row>
    <row r="913" spans="1:38">
      <c r="A913" s="12">
        <v>912</v>
      </c>
      <c r="B913" s="19">
        <v>44802</v>
      </c>
      <c r="C913" s="12">
        <v>894</v>
      </c>
      <c r="D913" s="23">
        <f t="shared" ref="D913:D917" si="2037">E913-E912</f>
        <v>216</v>
      </c>
      <c r="E913" s="12">
        <v>638716</v>
      </c>
      <c r="F913" s="12">
        <v>4384</v>
      </c>
      <c r="G913" s="12">
        <v>633040</v>
      </c>
      <c r="H913" s="23">
        <f t="shared" ref="H913:H917" si="2038">E913-F913-G913</f>
        <v>1292</v>
      </c>
      <c r="I913" s="23">
        <f t="shared" ref="I913:I917" si="2039">J913-J912</f>
        <v>965</v>
      </c>
      <c r="J913" s="12">
        <v>3632882</v>
      </c>
      <c r="K913" s="23">
        <f t="shared" ref="K913:K917" si="2040">J913-E913</f>
        <v>2994166</v>
      </c>
      <c r="L913" s="23">
        <f t="shared" ref="L913:L917" si="2041">G913-G912</f>
        <v>129</v>
      </c>
      <c r="M913" s="14">
        <f t="shared" ref="M913:M917" si="2042">F913/E913</f>
        <v>6.8637704394441347E-3</v>
      </c>
      <c r="N913" s="14">
        <f t="shared" ref="N913:N917" si="2043">D913/I913</f>
        <v>0.22383419689119172</v>
      </c>
      <c r="O913" s="24"/>
      <c r="P913" s="12"/>
      <c r="Q913" s="12"/>
      <c r="R913" s="23">
        <f t="shared" ref="R913:R917" si="2044">F913+G913</f>
        <v>637424</v>
      </c>
      <c r="S913" s="25">
        <f>(((H913+R913)/(H912+R912))-1)+detalle!$D$1</f>
        <v>7.1766864302494709E-2</v>
      </c>
      <c r="T913" s="25">
        <f t="shared" ref="T913:T917" si="2045">S913*14</f>
        <v>1.004736100234926</v>
      </c>
      <c r="U913" s="10">
        <f t="shared" ref="U913:U917" si="2046">G913/E913</f>
        <v>0.99111342130148605</v>
      </c>
      <c r="V913" s="21">
        <f t="shared" ref="V913:V917" si="2047">G913/F913</f>
        <v>144.39781021897809</v>
      </c>
      <c r="W913" s="15">
        <f>J913/detalle!$D$2</f>
        <v>331451.64020061458</v>
      </c>
      <c r="X913" s="15">
        <f>E913/detalle!$D$2</f>
        <v>58274.247779689998</v>
      </c>
      <c r="Y913" s="15">
        <f>F913/detalle!$D$2</f>
        <v>399.98105929107919</v>
      </c>
      <c r="AA913" s="14">
        <f>E913/(detalle!$D$2*1000000)</f>
        <v>5.8274247779689994E-2</v>
      </c>
      <c r="AB913" s="14">
        <f>F913/(detalle!$D$2*1000000)</f>
        <v>3.999810592910792E-4</v>
      </c>
      <c r="AC913" s="31">
        <f>13/585</f>
        <v>2.2222222222222223E-2</v>
      </c>
      <c r="AD913" s="31">
        <f>32/2373</f>
        <v>1.3485040033712601E-2</v>
      </c>
      <c r="AE913" s="31">
        <f t="shared" ref="AE913:AE918" si="2048">1/469</f>
        <v>2.1321961620469083E-3</v>
      </c>
      <c r="AF913" s="22">
        <f t="shared" ref="AF913:AF917" si="2049">F913-F912</f>
        <v>0</v>
      </c>
      <c r="AG913" s="12">
        <v>7269260</v>
      </c>
      <c r="AH913" s="12">
        <v>6031986</v>
      </c>
      <c r="AI913" s="12">
        <v>2440985</v>
      </c>
      <c r="AJ913" s="23">
        <f t="shared" ref="AJ913:AJ917" si="2050">AK913-AK912</f>
        <v>2193</v>
      </c>
      <c r="AK913" s="23">
        <f t="shared" ref="AK913:AK917" si="2051">AG913+AH913+AI913</f>
        <v>15742231</v>
      </c>
      <c r="AL913" s="28">
        <f>AK913/detalle!$D$2</f>
        <v>1436266.9322501973</v>
      </c>
    </row>
    <row r="914" spans="1:38">
      <c r="A914" s="12">
        <v>913</v>
      </c>
      <c r="B914" s="19">
        <v>44803</v>
      </c>
      <c r="C914" s="12">
        <v>895</v>
      </c>
      <c r="D914" s="23">
        <f t="shared" si="2037"/>
        <v>411</v>
      </c>
      <c r="E914" s="12">
        <v>639127</v>
      </c>
      <c r="F914" s="12">
        <v>4384</v>
      </c>
      <c r="G914" s="12">
        <v>633183</v>
      </c>
      <c r="H914" s="23">
        <f t="shared" si="2038"/>
        <v>1560</v>
      </c>
      <c r="I914" s="23">
        <f t="shared" si="2039"/>
        <v>1826</v>
      </c>
      <c r="J914" s="12">
        <v>3634708</v>
      </c>
      <c r="K914" s="23">
        <f t="shared" si="2040"/>
        <v>2995581</v>
      </c>
      <c r="L914" s="23">
        <f t="shared" si="2041"/>
        <v>143</v>
      </c>
      <c r="M914" s="14">
        <f t="shared" si="2042"/>
        <v>6.859356591100047E-3</v>
      </c>
      <c r="N914" s="14">
        <f t="shared" si="2043"/>
        <v>0.22508214676889376</v>
      </c>
      <c r="O914" s="24"/>
      <c r="P914" s="12"/>
      <c r="Q914" s="12"/>
      <c r="R914" s="23">
        <f t="shared" si="2044"/>
        <v>637567</v>
      </c>
      <c r="S914" s="25">
        <f>(((H914+R914)/(H913+R913))-1)+detalle!$D$1</f>
        <v>7.207204990726937E-2</v>
      </c>
      <c r="T914" s="25">
        <f t="shared" si="2045"/>
        <v>1.0090086987017712</v>
      </c>
      <c r="U914" s="10">
        <f t="shared" si="2046"/>
        <v>0.99069981396498663</v>
      </c>
      <c r="V914" s="21">
        <f t="shared" si="2047"/>
        <v>144.43042883211677</v>
      </c>
      <c r="W914" s="15">
        <f>J914/detalle!$D$2</f>
        <v>331618.23815094889</v>
      </c>
      <c r="X914" s="15">
        <f>E914/detalle!$D$2</f>
        <v>58311.746003998538</v>
      </c>
      <c r="Y914" s="15">
        <f>F914/detalle!$D$2</f>
        <v>399.98105929107919</v>
      </c>
      <c r="Z914" s="1"/>
      <c r="AA914" s="14">
        <f>E914/(detalle!$D$2*1000000)</f>
        <v>5.8311746003998535E-2</v>
      </c>
      <c r="AB914" s="14">
        <f>F914/(detalle!$D$2*1000000)</f>
        <v>3.999810592910792E-4</v>
      </c>
      <c r="AC914" s="31">
        <f>13/585</f>
        <v>2.2222222222222223E-2</v>
      </c>
      <c r="AD914" s="31">
        <f>38/2373</f>
        <v>1.6013485040033713E-2</v>
      </c>
      <c r="AE914" s="31">
        <f t="shared" si="2048"/>
        <v>2.1321961620469083E-3</v>
      </c>
      <c r="AF914" s="22">
        <f t="shared" si="2049"/>
        <v>0</v>
      </c>
      <c r="AG914" s="12">
        <v>7269832</v>
      </c>
      <c r="AH914" s="12">
        <v>6032574</v>
      </c>
      <c r="AI914" s="12">
        <v>2442117</v>
      </c>
      <c r="AJ914" s="23">
        <f t="shared" si="2050"/>
        <v>2292</v>
      </c>
      <c r="AK914" s="23">
        <f t="shared" si="2051"/>
        <v>15744523</v>
      </c>
      <c r="AL914" s="28">
        <f>AK914/detalle!$D$2</f>
        <v>1436476.0464353925</v>
      </c>
    </row>
    <row r="915" spans="1:38">
      <c r="A915" s="12">
        <v>914</v>
      </c>
      <c r="B915" s="19">
        <v>44804</v>
      </c>
      <c r="C915" s="12">
        <v>896</v>
      </c>
      <c r="D915" s="23">
        <f t="shared" si="2037"/>
        <v>349</v>
      </c>
      <c r="E915" s="12">
        <v>639476</v>
      </c>
      <c r="F915" s="12">
        <v>4384</v>
      </c>
      <c r="G915" s="12">
        <v>633496</v>
      </c>
      <c r="H915" s="23">
        <f t="shared" si="2038"/>
        <v>1596</v>
      </c>
      <c r="I915" s="23">
        <f t="shared" si="2039"/>
        <v>1617</v>
      </c>
      <c r="J915" s="12">
        <v>3636325</v>
      </c>
      <c r="K915" s="23">
        <f t="shared" si="2040"/>
        <v>2996849</v>
      </c>
      <c r="L915" s="23">
        <f t="shared" si="2041"/>
        <v>313</v>
      </c>
      <c r="M915" s="14">
        <f t="shared" si="2042"/>
        <v>6.8556130331709087E-3</v>
      </c>
      <c r="N915" s="14">
        <f t="shared" si="2043"/>
        <v>0.21583178726035868</v>
      </c>
      <c r="O915" s="24"/>
      <c r="P915" s="12"/>
      <c r="Q915" s="12"/>
      <c r="R915" s="23">
        <f t="shared" si="2044"/>
        <v>637880</v>
      </c>
      <c r="S915" s="25">
        <f>(((H915+R915)/(H914+R914))-1)+detalle!$D$1</f>
        <v>7.197462878493413E-2</v>
      </c>
      <c r="T915" s="25">
        <f t="shared" si="2045"/>
        <v>1.0076448029890779</v>
      </c>
      <c r="U915" s="10">
        <f t="shared" si="2046"/>
        <v>0.99064859353595758</v>
      </c>
      <c r="V915" s="21">
        <f t="shared" si="2047"/>
        <v>144.50182481751824</v>
      </c>
      <c r="W915" s="15">
        <f>J915/detalle!$D$2</f>
        <v>331765.76766118465</v>
      </c>
      <c r="X915" s="15">
        <f>E915/detalle!$D$2</f>
        <v>58343.58756186637</v>
      </c>
      <c r="Y915" s="15">
        <f>F915/detalle!$D$2</f>
        <v>399.98105929107919</v>
      </c>
      <c r="Z915" s="1"/>
      <c r="AA915" s="14">
        <f>E915/(detalle!$D$2*1000000)</f>
        <v>5.8343587561866368E-2</v>
      </c>
      <c r="AB915" s="14">
        <f>F915/(detalle!$D$2*1000000)</f>
        <v>3.999810592910792E-4</v>
      </c>
      <c r="AC915" s="31">
        <f>13/585</f>
        <v>2.2222222222222223E-2</v>
      </c>
      <c r="AD915" s="31">
        <f>45/2373</f>
        <v>1.8963337547408345E-2</v>
      </c>
      <c r="AE915" s="31">
        <f>3/469</f>
        <v>6.3965884861407248E-3</v>
      </c>
      <c r="AF915" s="22">
        <f t="shared" si="2049"/>
        <v>0</v>
      </c>
      <c r="AG915" s="12">
        <v>7270441</v>
      </c>
      <c r="AH915" s="12">
        <v>6033290</v>
      </c>
      <c r="AI915" s="12">
        <v>2443229</v>
      </c>
      <c r="AJ915" s="23">
        <f t="shared" si="2050"/>
        <v>2437</v>
      </c>
      <c r="AK915" s="23">
        <f t="shared" si="2051"/>
        <v>15746960</v>
      </c>
      <c r="AL915" s="28">
        <f>AK915/detalle!$D$2</f>
        <v>1436698.3899211343</v>
      </c>
    </row>
    <row r="916" spans="1:38">
      <c r="A916" s="12">
        <v>915</v>
      </c>
      <c r="B916" s="19">
        <v>44805</v>
      </c>
      <c r="C916" s="12">
        <v>897</v>
      </c>
      <c r="D916" s="23">
        <f t="shared" si="2037"/>
        <v>262</v>
      </c>
      <c r="E916" s="12">
        <v>639738</v>
      </c>
      <c r="F916" s="12">
        <v>4384</v>
      </c>
      <c r="G916" s="12">
        <v>634375</v>
      </c>
      <c r="H916" s="23">
        <f t="shared" si="2038"/>
        <v>979</v>
      </c>
      <c r="I916" s="23">
        <f t="shared" si="2039"/>
        <v>1267</v>
      </c>
      <c r="J916" s="12">
        <v>3637592</v>
      </c>
      <c r="K916" s="23">
        <f t="shared" si="2040"/>
        <v>2997854</v>
      </c>
      <c r="L916" s="23">
        <f t="shared" si="2041"/>
        <v>879</v>
      </c>
      <c r="M916" s="14">
        <f t="shared" si="2042"/>
        <v>6.8528053671971963E-3</v>
      </c>
      <c r="N916" s="14">
        <f t="shared" si="2043"/>
        <v>0.20678768745067089</v>
      </c>
      <c r="O916" s="24"/>
      <c r="P916" s="12"/>
      <c r="Q916" s="12"/>
      <c r="R916" s="23">
        <f t="shared" si="2044"/>
        <v>638759</v>
      </c>
      <c r="S916" s="25">
        <f>(((H916+R916)/(H915+R915))-1)+detalle!$D$1</f>
        <v>7.183828187900268E-2</v>
      </c>
      <c r="T916" s="25">
        <f t="shared" si="2045"/>
        <v>1.0057359463060376</v>
      </c>
      <c r="U916" s="10">
        <f t="shared" si="2046"/>
        <v>0.99161688066052045</v>
      </c>
      <c r="V916" s="21">
        <f t="shared" si="2047"/>
        <v>144.70232664233578</v>
      </c>
      <c r="W916" s="15">
        <f>J916/detalle!$D$2</f>
        <v>331881.36437699711</v>
      </c>
      <c r="X916" s="15">
        <f>E916/detalle!$D$2</f>
        <v>58367.491539406117</v>
      </c>
      <c r="Y916" s="15">
        <f>F916/detalle!$D$2</f>
        <v>399.98105929107919</v>
      </c>
      <c r="Z916" s="1"/>
      <c r="AA916" s="14">
        <f>E916/(detalle!$D$2*1000000)</f>
        <v>5.8367491539406118E-2</v>
      </c>
      <c r="AB916" s="14">
        <f>F916/(detalle!$D$2*1000000)</f>
        <v>3.999810592910792E-4</v>
      </c>
      <c r="AC916" s="31">
        <f>12/585</f>
        <v>2.0512820512820513E-2</v>
      </c>
      <c r="AD916" s="31">
        <f>46/2373</f>
        <v>1.9384745048461861E-2</v>
      </c>
      <c r="AE916" s="31">
        <f>2/469</f>
        <v>4.2643923240938165E-3</v>
      </c>
      <c r="AF916" s="22">
        <f t="shared" si="2049"/>
        <v>0</v>
      </c>
      <c r="AG916" s="12">
        <v>7271058</v>
      </c>
      <c r="AH916" s="12">
        <v>6033880</v>
      </c>
      <c r="AI916" s="12">
        <v>2444228</v>
      </c>
      <c r="AJ916" s="23">
        <f t="shared" si="2050"/>
        <v>2206</v>
      </c>
      <c r="AK916" s="23">
        <f t="shared" si="2051"/>
        <v>15749166</v>
      </c>
      <c r="AL916" s="28">
        <f>AK916/detalle!$D$2</f>
        <v>1436899.6577625568</v>
      </c>
    </row>
    <row r="917" spans="1:38">
      <c r="A917" s="12">
        <v>916</v>
      </c>
      <c r="B917" s="19">
        <v>44806</v>
      </c>
      <c r="C917" s="12">
        <v>898</v>
      </c>
      <c r="D917" s="23">
        <f t="shared" si="2037"/>
        <v>326</v>
      </c>
      <c r="E917" s="12">
        <v>640064</v>
      </c>
      <c r="F917" s="12">
        <v>4384</v>
      </c>
      <c r="G917" s="12">
        <v>634640</v>
      </c>
      <c r="H917" s="23">
        <f t="shared" si="2038"/>
        <v>1040</v>
      </c>
      <c r="I917" s="23">
        <f t="shared" si="2039"/>
        <v>1436</v>
      </c>
      <c r="J917" s="12">
        <v>3639028</v>
      </c>
      <c r="K917" s="23">
        <f t="shared" si="2040"/>
        <v>2998964</v>
      </c>
      <c r="L917" s="23">
        <f t="shared" si="2041"/>
        <v>265</v>
      </c>
      <c r="M917" s="14">
        <f t="shared" si="2042"/>
        <v>6.8493150684931503E-3</v>
      </c>
      <c r="N917" s="14">
        <f t="shared" si="2043"/>
        <v>0.22701949860724233</v>
      </c>
      <c r="O917" s="24"/>
      <c r="P917" s="12"/>
      <c r="Q917" s="12"/>
      <c r="R917" s="23">
        <f t="shared" si="2044"/>
        <v>639024</v>
      </c>
      <c r="S917" s="25">
        <f>(((H917+R917)/(H916+R916))-1)+detalle!$D$1</f>
        <v>7.1938155039362101E-2</v>
      </c>
      <c r="T917" s="25">
        <f t="shared" si="2045"/>
        <v>1.0071341705510695</v>
      </c>
      <c r="U917" s="10">
        <f t="shared" si="2046"/>
        <v>0.99152584741525851</v>
      </c>
      <c r="V917" s="21">
        <f t="shared" si="2047"/>
        <v>144.76277372262774</v>
      </c>
      <c r="W917" s="15">
        <f>J917/detalle!$D$2</f>
        <v>332012.38007068826</v>
      </c>
      <c r="X917" s="15">
        <f>E917/detalle!$D$2</f>
        <v>58397.234656497567</v>
      </c>
      <c r="Y917" s="15">
        <f>F917/detalle!$D$2</f>
        <v>399.98105929107919</v>
      </c>
      <c r="Z917" s="1"/>
      <c r="AA917" s="14">
        <f>E917/(detalle!$D$2*1000000)</f>
        <v>5.8397234656497564E-2</v>
      </c>
      <c r="AB917" s="14">
        <f>F917/(detalle!$D$2*1000000)</f>
        <v>3.999810592910792E-4</v>
      </c>
      <c r="AC917" s="31">
        <f>9/585</f>
        <v>1.5384615384615385E-2</v>
      </c>
      <c r="AD917" s="31">
        <f>50/2373</f>
        <v>2.1070375052675939E-2</v>
      </c>
      <c r="AE917" s="31">
        <f t="shared" si="2048"/>
        <v>2.1321961620469083E-3</v>
      </c>
      <c r="AF917" s="22">
        <f t="shared" si="2049"/>
        <v>0</v>
      </c>
      <c r="AG917" s="12">
        <v>7271630</v>
      </c>
      <c r="AH917" s="12">
        <v>6034470</v>
      </c>
      <c r="AI917" s="12">
        <v>2445257</v>
      </c>
      <c r="AJ917" s="23">
        <f t="shared" si="2050"/>
        <v>2191</v>
      </c>
      <c r="AK917" s="23">
        <f t="shared" si="2051"/>
        <v>15751357</v>
      </c>
      <c r="AL917" s="28">
        <f>AK917/detalle!$D$2</f>
        <v>1437099.5570556468</v>
      </c>
    </row>
    <row r="918" spans="1:38">
      <c r="A918" s="12">
        <v>917</v>
      </c>
      <c r="B918" s="19">
        <v>44807</v>
      </c>
      <c r="C918" s="12">
        <v>899</v>
      </c>
      <c r="D918" s="23">
        <f t="shared" ref="D918" si="2052">E918-E917</f>
        <v>235</v>
      </c>
      <c r="E918" s="12">
        <v>640299</v>
      </c>
      <c r="F918" s="12">
        <v>4384</v>
      </c>
      <c r="G918" s="12">
        <v>634931</v>
      </c>
      <c r="H918" s="23">
        <f t="shared" ref="H918" si="2053">E918-F918-G918</f>
        <v>984</v>
      </c>
      <c r="I918" s="23">
        <f t="shared" ref="I918" si="2054">J918-J917</f>
        <v>1057</v>
      </c>
      <c r="J918" s="12">
        <v>3640085</v>
      </c>
      <c r="K918" s="23">
        <f t="shared" ref="K918" si="2055">J918-E918</f>
        <v>2999786</v>
      </c>
      <c r="L918" s="23">
        <f t="shared" ref="L918" si="2056">G918-G917</f>
        <v>291</v>
      </c>
      <c r="M918" s="14">
        <f t="shared" ref="M918" si="2057">F918/E918</f>
        <v>6.8468012600363271E-3</v>
      </c>
      <c r="N918" s="14">
        <f t="shared" ref="N918" si="2058">D918/I918</f>
        <v>0.22232734153263956</v>
      </c>
      <c r="O918" s="24"/>
      <c r="P918" s="12"/>
      <c r="Q918" s="12"/>
      <c r="R918" s="23">
        <f t="shared" ref="R918" si="2059">F918+G918</f>
        <v>639315</v>
      </c>
      <c r="S918" s="25">
        <f>(((H918+R918)/(H917+R917))-1)+detalle!$D$1</f>
        <v>7.1795722213492869E-2</v>
      </c>
      <c r="T918" s="25">
        <f t="shared" ref="T918" si="2060">S918*14</f>
        <v>1.0051401109889002</v>
      </c>
      <c r="U918" s="10">
        <f t="shared" ref="U918" si="2061">G918/E918</f>
        <v>0.99161641670532052</v>
      </c>
      <c r="V918" s="21">
        <f t="shared" ref="V918" si="2062">G918/F918</f>
        <v>144.82915145985402</v>
      </c>
      <c r="W918" s="15">
        <f>J918/detalle!$D$2</f>
        <v>332108.81710984674</v>
      </c>
      <c r="X918" s="15">
        <f>E918/detalle!$D$2</f>
        <v>58418.67524703894</v>
      </c>
      <c r="Y918" s="15">
        <f>F918/detalle!$D$2</f>
        <v>399.98105929107919</v>
      </c>
      <c r="Z918" s="1"/>
      <c r="AA918" s="14">
        <f>E918/(detalle!$D$2*1000000)</f>
        <v>5.8418675247038941E-2</v>
      </c>
      <c r="AB918" s="14">
        <f>F918/(detalle!$D$2*1000000)</f>
        <v>3.999810592910792E-4</v>
      </c>
      <c r="AC918" s="31">
        <f>13/585</f>
        <v>2.2222222222222223E-2</v>
      </c>
      <c r="AD918" s="31">
        <f>40/2373</f>
        <v>1.685630004214075E-2</v>
      </c>
      <c r="AE918" s="31">
        <f t="shared" si="2048"/>
        <v>2.1321961620469083E-3</v>
      </c>
      <c r="AF918" s="22">
        <f t="shared" ref="AF918" si="2063">F918-F917</f>
        <v>0</v>
      </c>
      <c r="AG918" s="12">
        <v>7271886</v>
      </c>
      <c r="AH918" s="12">
        <v>6034749</v>
      </c>
      <c r="AI918" s="12">
        <v>2445731</v>
      </c>
      <c r="AJ918" s="23">
        <f t="shared" ref="AJ918" si="2064">AK918-AK917</f>
        <v>1009</v>
      </c>
      <c r="AK918" s="23">
        <f t="shared" ref="AK918" si="2065">AG918+AH918+AI918</f>
        <v>15752366</v>
      </c>
      <c r="AL918" s="28">
        <f>AK918/detalle!$D$2</f>
        <v>1437191.6147401414</v>
      </c>
    </row>
    <row r="919" spans="1:38">
      <c r="A919" s="12">
        <v>918</v>
      </c>
      <c r="B919" s="19">
        <v>44808</v>
      </c>
      <c r="C919" s="12">
        <v>900</v>
      </c>
      <c r="D919" s="23">
        <f t="shared" ref="D919" si="2066">E919-E918</f>
        <v>268</v>
      </c>
      <c r="E919" s="12">
        <v>640567</v>
      </c>
      <c r="F919" s="12">
        <v>4384</v>
      </c>
      <c r="G919" s="12">
        <v>635067</v>
      </c>
      <c r="H919" s="23">
        <f t="shared" ref="H919" si="2067">E919-F919-G919</f>
        <v>1116</v>
      </c>
      <c r="I919" s="23">
        <f t="shared" ref="I919" si="2068">J919-J918</f>
        <v>1241</v>
      </c>
      <c r="J919" s="12">
        <v>3641326</v>
      </c>
      <c r="K919" s="23">
        <f t="shared" ref="K919" si="2069">J919-E919</f>
        <v>3000759</v>
      </c>
      <c r="L919" s="23">
        <f t="shared" ref="L919" si="2070">G919-G918</f>
        <v>136</v>
      </c>
      <c r="M919" s="14">
        <f t="shared" ref="M919" si="2071">F919/E919</f>
        <v>6.8439366998299944E-3</v>
      </c>
      <c r="N919" s="14">
        <f t="shared" ref="N919" si="2072">D919/I919</f>
        <v>0.21595487510072522</v>
      </c>
      <c r="O919" s="24"/>
      <c r="P919" s="12"/>
      <c r="Q919" s="12"/>
      <c r="R919" s="23">
        <f t="shared" ref="R919" si="2073">F919+G919</f>
        <v>639451</v>
      </c>
      <c r="S919" s="25">
        <f>(((H919+R919)/(H918+R918))-1)+detalle!$D$1</f>
        <v>7.1847125885161206E-2</v>
      </c>
      <c r="T919" s="25">
        <f t="shared" ref="T919" si="2074">S919*14</f>
        <v>1.0058597623922569</v>
      </c>
      <c r="U919" s="10">
        <f t="shared" ref="U919" si="2075">G919/E919</f>
        <v>0.99141385678625338</v>
      </c>
      <c r="V919" s="21">
        <f t="shared" ref="V919" si="2076">G919/F919</f>
        <v>144.86017335766422</v>
      </c>
      <c r="W919" s="15">
        <f>J919/detalle!$D$2</f>
        <v>332222.04167521629</v>
      </c>
      <c r="X919" s="15">
        <f>E919/detalle!$D$2</f>
        <v>58443.126643911666</v>
      </c>
      <c r="Y919" s="15">
        <f>F919/detalle!$D$2</f>
        <v>399.98105929107919</v>
      </c>
      <c r="Z919" s="1"/>
      <c r="AA919" s="14">
        <f>E919/(detalle!$D$2*1000000)</f>
        <v>5.8443126643911658E-2</v>
      </c>
      <c r="AB919" s="14">
        <f>F919/(detalle!$D$2*1000000)</f>
        <v>3.999810592910792E-4</v>
      </c>
      <c r="AC919" s="31">
        <f>14/585</f>
        <v>2.3931623931623933E-2</v>
      </c>
      <c r="AD919" s="31">
        <f>41/2373</f>
        <v>1.7277707543194267E-2</v>
      </c>
      <c r="AE919" s="31">
        <f>2/469</f>
        <v>4.2643923240938165E-3</v>
      </c>
      <c r="AF919" s="22">
        <f t="shared" ref="AF919" si="2077">F919-F918</f>
        <v>0</v>
      </c>
      <c r="AG919" s="12">
        <v>7271996</v>
      </c>
      <c r="AH919" s="12">
        <v>6034872</v>
      </c>
      <c r="AI919" s="12">
        <v>2445967</v>
      </c>
      <c r="AJ919" s="23">
        <f t="shared" ref="AJ919" si="2078">AK919-AK918</f>
        <v>469</v>
      </c>
      <c r="AK919" s="23">
        <f t="shared" ref="AK919" si="2079">AG919+AH919+AI919</f>
        <v>15752835</v>
      </c>
      <c r="AL919" s="28">
        <f>AK919/detalle!$D$2</f>
        <v>1437234.4046846686</v>
      </c>
    </row>
    <row r="920" spans="1:38">
      <c r="A920" s="12">
        <v>919</v>
      </c>
      <c r="B920" s="19">
        <v>44809</v>
      </c>
      <c r="C920" s="12">
        <v>901</v>
      </c>
      <c r="D920" s="23">
        <f t="shared" ref="D920" si="2080">E920-E919</f>
        <v>217</v>
      </c>
      <c r="E920" s="12">
        <v>640784</v>
      </c>
      <c r="F920" s="12">
        <v>4384</v>
      </c>
      <c r="G920" s="12">
        <v>635335</v>
      </c>
      <c r="H920" s="23">
        <f t="shared" ref="H920" si="2081">E920-F920-G920</f>
        <v>1065</v>
      </c>
      <c r="I920" s="23">
        <f t="shared" ref="I920" si="2082">J920-J919</f>
        <v>976</v>
      </c>
      <c r="J920" s="12">
        <v>3642302</v>
      </c>
      <c r="K920" s="23">
        <f t="shared" ref="K920" si="2083">J920-E920</f>
        <v>3001518</v>
      </c>
      <c r="L920" s="23">
        <f t="shared" ref="L920" si="2084">G920-G919</f>
        <v>268</v>
      </c>
      <c r="M920" s="14">
        <f t="shared" ref="M920" si="2085">F920/E920</f>
        <v>6.8416190167045372E-3</v>
      </c>
      <c r="N920" s="14">
        <f t="shared" ref="N920" si="2086">D920/I920</f>
        <v>0.2223360655737705</v>
      </c>
      <c r="O920" s="24"/>
      <c r="P920" s="12"/>
      <c r="Q920" s="12"/>
      <c r="R920" s="23">
        <f t="shared" ref="R920" si="2087">F920+G920</f>
        <v>639719</v>
      </c>
      <c r="S920" s="25">
        <f>(((H920+R920)/(H919+R919))-1)+detalle!$D$1</f>
        <v>7.176733380627745E-2</v>
      </c>
      <c r="T920" s="25">
        <f t="shared" ref="T920" si="2088">S920*14</f>
        <v>1.0047426732878844</v>
      </c>
      <c r="U920" s="10">
        <f t="shared" ref="U920" si="2089">G920/E920</f>
        <v>0.99149635446577944</v>
      </c>
      <c r="V920" s="21">
        <f t="shared" ref="V920" si="2090">G920/F920</f>
        <v>144.92130474452554</v>
      </c>
      <c r="W920" s="15">
        <f>J920/detalle!$D$2</f>
        <v>332311.08855337964</v>
      </c>
      <c r="X920" s="15">
        <f>E920/detalle!$D$2</f>
        <v>58462.924976454131</v>
      </c>
      <c r="Y920" s="15">
        <f>F920/detalle!$D$2</f>
        <v>399.98105929107919</v>
      </c>
      <c r="Z920" s="1"/>
      <c r="AA920" s="14">
        <f>E920/(detalle!$D$2*1000000)</f>
        <v>5.8462924976454125E-2</v>
      </c>
      <c r="AB920" s="14">
        <f>F920/(detalle!$D$2*1000000)</f>
        <v>3.999810592910792E-4</v>
      </c>
      <c r="AC920" s="31">
        <f>13/585</f>
        <v>2.2222222222222223E-2</v>
      </c>
      <c r="AD920" s="31">
        <f>38/2373</f>
        <v>1.6013485040033713E-2</v>
      </c>
      <c r="AE920" s="31">
        <f>3/469</f>
        <v>6.3965884861407248E-3</v>
      </c>
      <c r="AF920" s="22">
        <f t="shared" ref="AF920" si="2091">F920-F919</f>
        <v>0</v>
      </c>
      <c r="AG920" s="12">
        <v>7272526</v>
      </c>
      <c r="AH920" s="12">
        <v>6035508</v>
      </c>
      <c r="AI920" s="12">
        <v>2446911</v>
      </c>
      <c r="AJ920" s="23">
        <f t="shared" ref="AJ920" si="2092">AK920-AK919</f>
        <v>2110</v>
      </c>
      <c r="AK920" s="23">
        <f t="shared" ref="AK920" si="2093">AG920+AH920+AI920</f>
        <v>15754945</v>
      </c>
      <c r="AL920" s="28">
        <f>AK920/detalle!$D$2</f>
        <v>1437426.9138167636</v>
      </c>
    </row>
    <row r="921" spans="1:38">
      <c r="A921" s="12">
        <v>920</v>
      </c>
      <c r="B921" s="19">
        <v>44810</v>
      </c>
      <c r="C921" s="12">
        <v>902</v>
      </c>
      <c r="D921" s="23">
        <f t="shared" ref="D921" si="2094">E921-E920</f>
        <v>358</v>
      </c>
      <c r="E921" s="12">
        <v>641142</v>
      </c>
      <c r="F921" s="12">
        <v>4384</v>
      </c>
      <c r="G921" s="12">
        <v>635860</v>
      </c>
      <c r="H921" s="23">
        <f t="shared" ref="H921" si="2095">E921-F921-G921</f>
        <v>898</v>
      </c>
      <c r="I921" s="23">
        <f t="shared" ref="I921" si="2096">J921-J920</f>
        <v>1713</v>
      </c>
      <c r="J921" s="12">
        <v>3644015</v>
      </c>
      <c r="K921" s="23">
        <f t="shared" ref="K921" si="2097">J921-E921</f>
        <v>3002873</v>
      </c>
      <c r="L921" s="23">
        <f t="shared" ref="L921" si="2098">G921-G920</f>
        <v>525</v>
      </c>
      <c r="M921" s="14">
        <f t="shared" ref="M921" si="2099">F921/E921</f>
        <v>6.8377988027613227E-3</v>
      </c>
      <c r="N921" s="14">
        <f t="shared" ref="N921" si="2100">D921/I921</f>
        <v>0.20899007589025101</v>
      </c>
      <c r="O921" s="24"/>
      <c r="P921" s="12"/>
      <c r="Q921" s="12"/>
      <c r="R921" s="23">
        <f t="shared" ref="R921" si="2101">F921+G921</f>
        <v>640244</v>
      </c>
      <c r="S921" s="25">
        <f>(((H921+R921)/(H920+R920))-1)+detalle!$D$1</f>
        <v>7.1987262032581462E-2</v>
      </c>
      <c r="T921" s="25">
        <f t="shared" ref="T921" si="2102">S921*14</f>
        <v>1.0078216684561405</v>
      </c>
      <c r="U921" s="10">
        <f t="shared" ref="U921" si="2103">G921/E921</f>
        <v>0.99176157543882637</v>
      </c>
      <c r="V921" s="21">
        <f t="shared" ref="V921" si="2104">G921/F921</f>
        <v>145.04105839416059</v>
      </c>
      <c r="W921" s="15">
        <f>J921/detalle!$D$2</f>
        <v>332467.37677294295</v>
      </c>
      <c r="X921" s="15">
        <f>E921/detalle!$D$2</f>
        <v>58495.587663321421</v>
      </c>
      <c r="Y921" s="15">
        <f>F921/detalle!$D$2</f>
        <v>399.98105929107919</v>
      </c>
      <c r="Z921" s="1"/>
      <c r="AA921" s="14">
        <f>E921/(detalle!$D$2*1000000)</f>
        <v>5.849558766332142E-2</v>
      </c>
      <c r="AB921" s="14">
        <f>F921/(detalle!$D$2*1000000)</f>
        <v>3.999810592910792E-4</v>
      </c>
      <c r="AC921" s="31">
        <f>10/585</f>
        <v>1.7094017094017096E-2</v>
      </c>
      <c r="AD921" s="31">
        <f>40/2373</f>
        <v>1.685630004214075E-2</v>
      </c>
      <c r="AE921" s="31">
        <f>1/469</f>
        <v>2.1321961620469083E-3</v>
      </c>
      <c r="AF921" s="22">
        <f t="shared" ref="AF921" si="2105">F921-F920</f>
        <v>0</v>
      </c>
      <c r="AG921" s="12">
        <v>7273118</v>
      </c>
      <c r="AH921" s="12">
        <v>6036155</v>
      </c>
      <c r="AI921" s="12">
        <v>2448008</v>
      </c>
      <c r="AJ921" s="23">
        <f t="shared" ref="AJ921" si="2106">AK921-AK920</f>
        <v>2336</v>
      </c>
      <c r="AK921" s="23">
        <f t="shared" ref="AK921" si="2107">AG921+AH921+AI921</f>
        <v>15757281</v>
      </c>
      <c r="AL921" s="28">
        <f>AK921/detalle!$D$2</f>
        <v>1437640.0424104005</v>
      </c>
    </row>
    <row r="922" spans="1:38">
      <c r="A922" s="12">
        <v>921</v>
      </c>
      <c r="B922" s="19">
        <v>44811</v>
      </c>
      <c r="C922" s="12">
        <v>903</v>
      </c>
      <c r="D922" s="23">
        <f t="shared" ref="D922" si="2108">E922-E921</f>
        <v>228</v>
      </c>
      <c r="E922" s="12">
        <v>641370</v>
      </c>
      <c r="F922" s="12">
        <v>4384</v>
      </c>
      <c r="G922" s="12">
        <v>636130</v>
      </c>
      <c r="H922" s="23">
        <f t="shared" ref="H922" si="2109">E922-F922-G922</f>
        <v>856</v>
      </c>
      <c r="I922" s="23">
        <f t="shared" ref="I922" si="2110">J922-J921</f>
        <v>1032</v>
      </c>
      <c r="J922" s="12">
        <v>3645047</v>
      </c>
      <c r="K922" s="23">
        <f t="shared" ref="K922" si="2111">J922-E922</f>
        <v>3003677</v>
      </c>
      <c r="L922" s="23">
        <f t="shared" ref="L922" si="2112">G922-G921</f>
        <v>270</v>
      </c>
      <c r="M922" s="14">
        <f t="shared" ref="M922" si="2113">F922/E922</f>
        <v>6.8353680402887572E-3</v>
      </c>
      <c r="N922" s="14">
        <f t="shared" ref="N922" si="2114">D922/I922</f>
        <v>0.22093023255813954</v>
      </c>
      <c r="O922" s="24"/>
      <c r="P922" s="12"/>
      <c r="Q922" s="12"/>
      <c r="R922" s="23">
        <f t="shared" ref="R922" si="2115">F922+G922</f>
        <v>640514</v>
      </c>
      <c r="S922" s="25">
        <f>(((H922+R922)/(H921+R921))-1)+detalle!$D$1</f>
        <v>7.1784186877255102E-2</v>
      </c>
      <c r="T922" s="25">
        <f t="shared" ref="T922" si="2116">S922*14</f>
        <v>1.0049786162815715</v>
      </c>
      <c r="U922" s="10">
        <f t="shared" ref="U922" si="2117">G922/E922</f>
        <v>0.99182998892994678</v>
      </c>
      <c r="V922" s="21">
        <f t="shared" ref="V922" si="2118">G922/F922</f>
        <v>145.10264598540147</v>
      </c>
      <c r="W922" s="15">
        <f>J922/detalle!$D$2</f>
        <v>332561.53289821406</v>
      </c>
      <c r="X922" s="15">
        <f>E922/detalle!$D$2</f>
        <v>58516.389597974332</v>
      </c>
      <c r="Y922" s="15">
        <f>F922/detalle!$D$2</f>
        <v>399.98105929107919</v>
      </c>
      <c r="Z922" s="1"/>
      <c r="AA922" s="14">
        <f>E922/(detalle!$D$2*1000000)</f>
        <v>5.8516389597974332E-2</v>
      </c>
      <c r="AB922" s="14">
        <f>F922/(detalle!$D$2*1000000)</f>
        <v>3.999810592910792E-4</v>
      </c>
      <c r="AC922" s="31">
        <f>9/585</f>
        <v>1.5384615384615385E-2</v>
      </c>
      <c r="AD922" s="31">
        <f>38/2373</f>
        <v>1.6013485040033713E-2</v>
      </c>
      <c r="AE922" s="31">
        <f>0/469</f>
        <v>0</v>
      </c>
      <c r="AF922" s="22">
        <f t="shared" ref="AF922" si="2119">F922-F921</f>
        <v>0</v>
      </c>
      <c r="AG922" s="12">
        <v>7273765</v>
      </c>
      <c r="AH922" s="12">
        <v>6036827</v>
      </c>
      <c r="AI922" s="12">
        <v>2449126</v>
      </c>
      <c r="AJ922" s="23">
        <f t="shared" ref="AJ922" si="2120">AK922-AK921</f>
        <v>2437</v>
      </c>
      <c r="AK922" s="23">
        <f>AG922+AH922+AI922</f>
        <v>15759718</v>
      </c>
      <c r="AL922" s="28">
        <f>AK922/detalle!$D$2</f>
        <v>1437862.3858961423</v>
      </c>
    </row>
    <row r="923" spans="1:38">
      <c r="A923" s="12">
        <v>922</v>
      </c>
      <c r="B923" s="19">
        <v>44812</v>
      </c>
      <c r="C923" s="12">
        <v>904</v>
      </c>
      <c r="D923" s="23">
        <f t="shared" ref="D923" si="2121">E923-E922</f>
        <v>307</v>
      </c>
      <c r="E923" s="12">
        <v>641677</v>
      </c>
      <c r="F923" s="12">
        <v>4384</v>
      </c>
      <c r="G923" s="12">
        <v>636343</v>
      </c>
      <c r="H923" s="23">
        <f t="shared" ref="H923" si="2122">E923-F923-G923</f>
        <v>950</v>
      </c>
      <c r="I923" s="23">
        <f t="shared" ref="I923" si="2123">J923-J922</f>
        <v>1341</v>
      </c>
      <c r="J923" s="12">
        <v>3646388</v>
      </c>
      <c r="K923" s="23">
        <f t="shared" ref="K923" si="2124">J923-E923</f>
        <v>3004711</v>
      </c>
      <c r="L923" s="23">
        <f t="shared" ref="L923" si="2125">G923-G922</f>
        <v>213</v>
      </c>
      <c r="M923" s="14">
        <f t="shared" ref="M923" si="2126">F923/E923</f>
        <v>6.8320977688151518E-3</v>
      </c>
      <c r="N923" s="14">
        <f t="shared" ref="N923" si="2127">D923/I923</f>
        <v>0.22893363161819538</v>
      </c>
      <c r="O923" s="24"/>
      <c r="P923" s="12"/>
      <c r="Q923" s="12"/>
      <c r="R923" s="23">
        <f t="shared" ref="R923" si="2128">F923+G923</f>
        <v>640727</v>
      </c>
      <c r="S923" s="25">
        <f>(((H923+R923)/(H922+R922))-1)+detalle!$D$1</f>
        <v>7.1907234290881777E-2</v>
      </c>
      <c r="T923" s="25">
        <f t="shared" ref="T923" si="2129">S923*14</f>
        <v>1.0067012800723449</v>
      </c>
      <c r="U923" s="10">
        <f t="shared" ref="U923" si="2130">G923/E923</f>
        <v>0.99168740659241328</v>
      </c>
      <c r="V923" s="21">
        <f t="shared" ref="V923" si="2131">G923/F923</f>
        <v>145.15123175182481</v>
      </c>
      <c r="W923" s="15">
        <f>J923/detalle!$D$2</f>
        <v>332683.88111913315</v>
      </c>
      <c r="X923" s="15">
        <f>E923/detalle!$D$2</f>
        <v>58544.399220511368</v>
      </c>
      <c r="Y923" s="15">
        <f>F923/detalle!$D$2</f>
        <v>399.98105929107919</v>
      </c>
      <c r="AA923" s="14">
        <f>E923/(detalle!$D$2*1000000)</f>
        <v>5.8544399220511363E-2</v>
      </c>
      <c r="AB923" s="14">
        <f>F923/(detalle!$D$2*1000000)</f>
        <v>3.999810592910792E-4</v>
      </c>
      <c r="AC923" s="31">
        <f>9/585</f>
        <v>1.5384615384615385E-2</v>
      </c>
      <c r="AD923" s="31">
        <f>31/2373</f>
        <v>1.3063632532659082E-2</v>
      </c>
      <c r="AE923" s="31">
        <f>0/469</f>
        <v>0</v>
      </c>
      <c r="AF923" s="22">
        <f t="shared" ref="AF923" si="2132">F923-F922</f>
        <v>0</v>
      </c>
      <c r="AG923" s="12">
        <v>7274373</v>
      </c>
      <c r="AH923" s="12">
        <v>6037384</v>
      </c>
      <c r="AI923" s="12">
        <v>2450197</v>
      </c>
      <c r="AJ923" s="23">
        <f>AK923-AK922</f>
        <v>2236</v>
      </c>
      <c r="AK923" s="23">
        <f t="shared" ref="AK923" si="2133">AG923+AH923+AI923</f>
        <v>15761954</v>
      </c>
      <c r="AL923" s="28">
        <f>AK923/detalle!$D$2</f>
        <v>1438066.3908342298</v>
      </c>
    </row>
    <row r="924" spans="1:38">
      <c r="A924" s="12">
        <v>923</v>
      </c>
      <c r="B924" s="19">
        <v>44813</v>
      </c>
      <c r="C924" s="12">
        <v>905</v>
      </c>
      <c r="D924" s="23">
        <f t="shared" ref="D924:D926" si="2134">E924-E923</f>
        <v>286</v>
      </c>
      <c r="E924" s="12">
        <v>641963</v>
      </c>
      <c r="F924" s="12">
        <v>4384</v>
      </c>
      <c r="G924" s="12">
        <v>636549</v>
      </c>
      <c r="H924" s="23">
        <f t="shared" ref="H924:H926" si="2135">E924-F924-G924</f>
        <v>1030</v>
      </c>
      <c r="I924" s="23">
        <f t="shared" ref="I924:I926" si="2136">J924-J923</f>
        <v>1287</v>
      </c>
      <c r="J924" s="12">
        <v>3647675</v>
      </c>
      <c r="K924" s="23">
        <f t="shared" ref="K924:K926" si="2137">J924-E924</f>
        <v>3005712</v>
      </c>
      <c r="L924" s="23">
        <f t="shared" ref="L924:L926" si="2138">G924-G923</f>
        <v>206</v>
      </c>
      <c r="M924" s="14">
        <f t="shared" ref="M924:M987" si="2139">F924/E924</f>
        <v>6.8290540109009401E-3</v>
      </c>
      <c r="N924" s="14">
        <f t="shared" ref="N924:N926" si="2140">D924/I924</f>
        <v>0.22222222222222221</v>
      </c>
      <c r="O924" s="24"/>
      <c r="P924" s="12"/>
      <c r="Q924" s="12"/>
      <c r="R924" s="23">
        <f t="shared" ref="R924:R926" si="2141">F924+G924</f>
        <v>640933</v>
      </c>
      <c r="S924" s="25">
        <f>(((H924+R924)/(H923+R923))-1)+detalle!$D$1</f>
        <v>7.1874278536664643E-2</v>
      </c>
      <c r="T924" s="25">
        <f t="shared" ref="T924:T926" si="2142">S924*14</f>
        <v>1.0062398995133051</v>
      </c>
      <c r="U924" s="10">
        <f t="shared" ref="U924:U926" si="2143">G924/E924</f>
        <v>0.99156649214985915</v>
      </c>
      <c r="V924" s="21">
        <f t="shared" ref="V924:V926" si="2144">G924/F924</f>
        <v>145.19822080291971</v>
      </c>
      <c r="W924" s="15">
        <f>J924/detalle!$D$2</f>
        <v>332801.3025660555</v>
      </c>
      <c r="X924" s="15">
        <f>E924/detalle!$D$2</f>
        <v>58570.492875383003</v>
      </c>
      <c r="Y924" s="15">
        <f>F924/detalle!$D$2</f>
        <v>399.98105929107919</v>
      </c>
      <c r="AA924" s="14">
        <f>E924/(detalle!$D$2*1000000)</f>
        <v>5.8570492875382997E-2</v>
      </c>
      <c r="AB924" s="14">
        <f>F924/(detalle!$D$2*1000000)</f>
        <v>3.999810592910792E-4</v>
      </c>
      <c r="AC924" s="31">
        <f>7/585</f>
        <v>1.1965811965811967E-2</v>
      </c>
      <c r="AD924" s="31">
        <f>38/2373</f>
        <v>1.6013485040033713E-2</v>
      </c>
      <c r="AE924" s="31">
        <f t="shared" ref="AE924:AE927" si="2145">0/469</f>
        <v>0</v>
      </c>
      <c r="AF924" s="22">
        <f t="shared" ref="AF924:AF926" si="2146">F924-F923</f>
        <v>0</v>
      </c>
      <c r="AG924" s="12">
        <v>7274898</v>
      </c>
      <c r="AH924" s="12">
        <v>6037999</v>
      </c>
      <c r="AI924" s="12">
        <v>2451331</v>
      </c>
      <c r="AJ924" s="23">
        <f t="shared" ref="AJ924:AJ926" si="2147">AK924-AK923</f>
        <v>2274</v>
      </c>
      <c r="AK924" s="23">
        <f t="shared" ref="AK924:AK926" si="2148">AG924+AH924+AI924</f>
        <v>15764228</v>
      </c>
      <c r="AL924" s="28">
        <f>AK924/detalle!$D$2</f>
        <v>1438273.8627614258</v>
      </c>
    </row>
    <row r="925" spans="1:38">
      <c r="A925" s="12">
        <v>924</v>
      </c>
      <c r="B925" s="19">
        <v>44814</v>
      </c>
      <c r="C925" s="12">
        <v>906</v>
      </c>
      <c r="D925" s="23">
        <f t="shared" si="2134"/>
        <v>208</v>
      </c>
      <c r="E925" s="12">
        <v>642171</v>
      </c>
      <c r="F925" s="12">
        <v>4384</v>
      </c>
      <c r="G925" s="12">
        <v>636896</v>
      </c>
      <c r="H925" s="23">
        <f t="shared" si="2135"/>
        <v>891</v>
      </c>
      <c r="I925" s="23">
        <f t="shared" si="2136"/>
        <v>958</v>
      </c>
      <c r="J925" s="12">
        <v>3648633</v>
      </c>
      <c r="K925" s="23">
        <f t="shared" si="2137"/>
        <v>3006462</v>
      </c>
      <c r="L925" s="23">
        <f t="shared" si="2138"/>
        <v>347</v>
      </c>
      <c r="M925" s="14">
        <f t="shared" si="2139"/>
        <v>6.8268420716600404E-3</v>
      </c>
      <c r="N925" s="14">
        <f t="shared" si="2140"/>
        <v>0.21711899791231734</v>
      </c>
      <c r="O925" s="24"/>
      <c r="P925" s="12"/>
      <c r="Q925" s="12"/>
      <c r="R925" s="23">
        <f t="shared" si="2141"/>
        <v>641280</v>
      </c>
      <c r="S925" s="25">
        <f>(((H925+R925)/(H924+R924))-1)+detalle!$D$1</f>
        <v>7.1752577640767506E-2</v>
      </c>
      <c r="T925" s="25">
        <f t="shared" si="2142"/>
        <v>1.0045360869707451</v>
      </c>
      <c r="U925" s="10">
        <f t="shared" si="2143"/>
        <v>0.99178567702372111</v>
      </c>
      <c r="V925" s="21">
        <f t="shared" si="2144"/>
        <v>145.27737226277372</v>
      </c>
      <c r="W925" s="15">
        <f>J925/detalle!$D$2</f>
        <v>332888.70718621992</v>
      </c>
      <c r="X925" s="15">
        <f>E925/detalle!$D$2</f>
        <v>58589.47007892601</v>
      </c>
      <c r="Y925" s="15">
        <f>F925/detalle!$D$2</f>
        <v>399.98105929107919</v>
      </c>
      <c r="AA925" s="14">
        <f>E925/(detalle!$D$2*1000000)</f>
        <v>5.8589470078926009E-2</v>
      </c>
      <c r="AB925" s="14">
        <f>F925/(detalle!$D$2*1000000)</f>
        <v>3.999810592910792E-4</v>
      </c>
      <c r="AC925" s="31">
        <f>7/585</f>
        <v>1.1965811965811967E-2</v>
      </c>
      <c r="AD925" s="31">
        <f>39/2373</f>
        <v>1.643489254108723E-2</v>
      </c>
      <c r="AE925" s="31">
        <f t="shared" si="2145"/>
        <v>0</v>
      </c>
      <c r="AF925" s="22">
        <f t="shared" si="2146"/>
        <v>0</v>
      </c>
      <c r="AG925" s="12">
        <v>7275133</v>
      </c>
      <c r="AH925" s="12">
        <v>6038274</v>
      </c>
      <c r="AI925" s="12">
        <v>2451719</v>
      </c>
      <c r="AJ925" s="23">
        <f t="shared" si="2147"/>
        <v>898</v>
      </c>
      <c r="AK925" s="23">
        <f t="shared" si="2148"/>
        <v>15765126</v>
      </c>
      <c r="AL925" s="28">
        <f>AK925/detalle!$D$2</f>
        <v>1438355.7931882606</v>
      </c>
    </row>
    <row r="926" spans="1:38">
      <c r="A926" s="12">
        <v>925</v>
      </c>
      <c r="B926" s="19">
        <v>44815</v>
      </c>
      <c r="C926" s="12">
        <v>907</v>
      </c>
      <c r="D926" s="23">
        <f t="shared" si="2134"/>
        <v>242</v>
      </c>
      <c r="E926" s="12">
        <v>642413</v>
      </c>
      <c r="F926" s="12">
        <v>4384</v>
      </c>
      <c r="G926" s="12">
        <v>637008</v>
      </c>
      <c r="H926" s="23">
        <f t="shared" si="2135"/>
        <v>1021</v>
      </c>
      <c r="I926" s="23">
        <f t="shared" si="2136"/>
        <v>1072</v>
      </c>
      <c r="J926" s="12">
        <v>3649705</v>
      </c>
      <c r="K926" s="23">
        <f t="shared" si="2137"/>
        <v>3007292</v>
      </c>
      <c r="L926" s="23">
        <f t="shared" si="2138"/>
        <v>112</v>
      </c>
      <c r="M926" s="14">
        <f t="shared" si="2139"/>
        <v>6.8242703681276684E-3</v>
      </c>
      <c r="N926" s="14">
        <f t="shared" si="2140"/>
        <v>0.22574626865671643</v>
      </c>
      <c r="O926" s="24"/>
      <c r="P926" s="12"/>
      <c r="Q926" s="12"/>
      <c r="R926" s="23">
        <f t="shared" si="2141"/>
        <v>641392</v>
      </c>
      <c r="S926" s="25">
        <f>(((H926+R926)/(H925+R925))-1)+detalle!$D$1</f>
        <v>7.1805418094023549E-2</v>
      </c>
      <c r="T926" s="25">
        <f t="shared" si="2142"/>
        <v>1.0052758533163297</v>
      </c>
      <c r="U926" s="10">
        <f t="shared" si="2143"/>
        <v>0.99158640936593745</v>
      </c>
      <c r="V926" s="21">
        <f t="shared" si="2144"/>
        <v>145.30291970802921</v>
      </c>
      <c r="W926" s="15">
        <f>J926/detalle!$D$2</f>
        <v>332986.51277371083</v>
      </c>
      <c r="X926" s="15">
        <f>E926/detalle!$D$2</f>
        <v>58611.549325355852</v>
      </c>
      <c r="Y926" s="15">
        <f>F926/detalle!$D$2</f>
        <v>399.98105929107919</v>
      </c>
      <c r="AA926" s="14">
        <f>E926/(detalle!$D$2*1000000)</f>
        <v>5.8611549325355852E-2</v>
      </c>
      <c r="AB926" s="14">
        <f>F926/(detalle!$D$2*1000000)</f>
        <v>3.999810592910792E-4</v>
      </c>
      <c r="AC926" s="31">
        <f>6/585</f>
        <v>1.0256410256410256E-2</v>
      </c>
      <c r="AD926" s="31">
        <f>37/2373</f>
        <v>1.5592077538980193E-2</v>
      </c>
      <c r="AE926" s="31">
        <f t="shared" si="2145"/>
        <v>0</v>
      </c>
      <c r="AF926" s="22">
        <f t="shared" si="2146"/>
        <v>0</v>
      </c>
      <c r="AG926" s="12">
        <v>7275238</v>
      </c>
      <c r="AH926" s="12">
        <v>6038397</v>
      </c>
      <c r="AI926" s="12">
        <v>2451924</v>
      </c>
      <c r="AJ926" s="23">
        <f t="shared" si="2147"/>
        <v>433</v>
      </c>
      <c r="AK926" s="23">
        <f t="shared" si="2148"/>
        <v>15765559</v>
      </c>
      <c r="AL926" s="28">
        <f>AK926/detalle!$D$2</f>
        <v>1438395.29861679</v>
      </c>
    </row>
    <row r="927" spans="1:38">
      <c r="A927" s="12">
        <v>926</v>
      </c>
      <c r="B927" s="19">
        <v>44816</v>
      </c>
      <c r="C927" s="12">
        <v>908</v>
      </c>
      <c r="D927" s="23">
        <f t="shared" ref="D927:D928" si="2149">E927-E926</f>
        <v>412</v>
      </c>
      <c r="E927" s="12">
        <v>642825</v>
      </c>
      <c r="F927" s="12">
        <v>4384</v>
      </c>
      <c r="G927" s="12">
        <v>637196</v>
      </c>
      <c r="H927" s="23">
        <f t="shared" ref="H927:H928" si="2150">E927-F927-G927</f>
        <v>1245</v>
      </c>
      <c r="I927" s="23">
        <f t="shared" ref="I927:I928" si="2151">J927-J926</f>
        <v>1940</v>
      </c>
      <c r="J927" s="12">
        <v>3651645</v>
      </c>
      <c r="K927" s="23">
        <f t="shared" ref="K927:K928" si="2152">J927-E927</f>
        <v>3008820</v>
      </c>
      <c r="L927" s="23">
        <f t="shared" ref="L927:L928" si="2153">G927-G926</f>
        <v>188</v>
      </c>
      <c r="M927" s="14">
        <f t="shared" si="2139"/>
        <v>6.8198965503830748E-3</v>
      </c>
      <c r="N927" s="14">
        <f t="shared" ref="N927:N928" si="2154">D927/I927</f>
        <v>0.21237113402061855</v>
      </c>
      <c r="O927" s="24"/>
      <c r="P927" s="12"/>
      <c r="Q927" s="12"/>
      <c r="R927" s="23">
        <f t="shared" ref="R927:R928" si="2155">F927+G927</f>
        <v>641580</v>
      </c>
      <c r="S927" s="25">
        <f>(((H927+R927)/(H926+R926))-1)+detalle!$D$1</f>
        <v>7.206990340659794E-2</v>
      </c>
      <c r="T927" s="25">
        <f t="shared" ref="T927:T928" si="2156">S927*14</f>
        <v>1.0089786476923712</v>
      </c>
      <c r="U927" s="10">
        <f t="shared" ref="U927:U928" si="2157">G927/E927</f>
        <v>0.99124333994477498</v>
      </c>
      <c r="V927" s="21">
        <f t="shared" ref="V927:V928" si="2158">G927/F927</f>
        <v>145.34580291970804</v>
      </c>
      <c r="W927" s="15">
        <f>J927/detalle!$D$2</f>
        <v>333163.51169137156</v>
      </c>
      <c r="X927" s="15">
        <f>E927/detalle!$D$2</f>
        <v>58649.13878621989</v>
      </c>
      <c r="Y927" s="15">
        <f>F927/detalle!$D$2</f>
        <v>399.98105929107919</v>
      </c>
      <c r="AA927" s="14">
        <f>E927/(detalle!$D$2*1000000)</f>
        <v>5.8649138786219884E-2</v>
      </c>
      <c r="AB927" s="14">
        <f>F927/(detalle!$D$2*1000000)</f>
        <v>3.999810592910792E-4</v>
      </c>
      <c r="AC927" s="31">
        <f t="shared" ref="AC927:AC928" si="2159">6/585</f>
        <v>1.0256410256410256E-2</v>
      </c>
      <c r="AD927" s="31">
        <f t="shared" ref="AD927" si="2160">37/2373</f>
        <v>1.5592077538980193E-2</v>
      </c>
      <c r="AE927" s="31">
        <f t="shared" si="2145"/>
        <v>0</v>
      </c>
      <c r="AF927" s="22">
        <f t="shared" ref="AF927" si="2161">F927-F926</f>
        <v>0</v>
      </c>
      <c r="AG927" s="12">
        <v>7275861</v>
      </c>
      <c r="AH927" s="12">
        <v>6039020</v>
      </c>
      <c r="AI927" s="12">
        <v>2453059</v>
      </c>
      <c r="AJ927" s="23">
        <f t="shared" ref="AJ927:AJ928" si="2162">AK927-AK926</f>
        <v>2381</v>
      </c>
      <c r="AK927" s="23">
        <f t="shared" ref="AK927:AK928" si="2163">AG927+AH927+AI927</f>
        <v>15767940</v>
      </c>
      <c r="AL927" s="28">
        <f>AK927/detalle!$D$2</f>
        <v>1438612.5328554241</v>
      </c>
    </row>
    <row r="928" spans="1:38">
      <c r="A928" s="12">
        <v>927</v>
      </c>
      <c r="B928" s="19">
        <v>44817</v>
      </c>
      <c r="C928" s="12">
        <v>909</v>
      </c>
      <c r="D928" s="23">
        <f t="shared" si="2149"/>
        <v>320</v>
      </c>
      <c r="E928" s="12">
        <v>643145</v>
      </c>
      <c r="F928" s="12">
        <v>4384</v>
      </c>
      <c r="G928" s="12">
        <v>637372</v>
      </c>
      <c r="H928" s="23">
        <f t="shared" si="2150"/>
        <v>1389</v>
      </c>
      <c r="I928" s="23">
        <f t="shared" si="2151"/>
        <v>1454</v>
      </c>
      <c r="J928" s="12">
        <v>3653099</v>
      </c>
      <c r="K928" s="23">
        <f t="shared" si="2152"/>
        <v>3009954</v>
      </c>
      <c r="L928" s="23">
        <f t="shared" si="2153"/>
        <v>176</v>
      </c>
      <c r="M928" s="14">
        <f t="shared" si="2139"/>
        <v>6.8165032768660256E-3</v>
      </c>
      <c r="N928" s="14">
        <f t="shared" si="2154"/>
        <v>0.2200825309491059</v>
      </c>
      <c r="O928" s="24"/>
      <c r="P928" s="12"/>
      <c r="Q928" s="12"/>
      <c r="R928" s="23">
        <f t="shared" si="2155"/>
        <v>641756</v>
      </c>
      <c r="S928" s="25">
        <f>(((H928+R928)/(H927+R927))-1)+detalle!$D$1</f>
        <v>7.1926374096482643E-2</v>
      </c>
      <c r="T928" s="25">
        <f t="shared" si="2156"/>
        <v>1.0069692373507571</v>
      </c>
      <c r="U928" s="10">
        <f t="shared" si="2157"/>
        <v>0.99102379712195543</v>
      </c>
      <c r="V928" s="21">
        <f t="shared" si="2158"/>
        <v>145.3859489051095</v>
      </c>
      <c r="W928" s="15">
        <f>J928/detalle!$D$2</f>
        <v>333296.16964306164</v>
      </c>
      <c r="X928" s="15">
        <f>E928/detalle!$D$2</f>
        <v>58678.33448397836</v>
      </c>
      <c r="Y928" s="15">
        <f>F928/detalle!$D$2</f>
        <v>399.98105929107919</v>
      </c>
      <c r="Z928" s="1"/>
      <c r="AA928" s="14">
        <f>E928/(detalle!$D$2*1000000)</f>
        <v>5.8678334483978356E-2</v>
      </c>
      <c r="AB928" s="14">
        <f>F928/(detalle!$D$2*1000000)</f>
        <v>3.999810592910792E-4</v>
      </c>
      <c r="AC928" s="31">
        <f t="shared" si="2159"/>
        <v>1.0256410256410256E-2</v>
      </c>
      <c r="AD928" s="31">
        <f>34/2373</f>
        <v>1.4327855035819638E-2</v>
      </c>
      <c r="AE928" s="31">
        <f>8/469</f>
        <v>1.7057569296375266E-2</v>
      </c>
      <c r="AF928" s="22">
        <f>F928-F927</f>
        <v>0</v>
      </c>
      <c r="AG928" s="12">
        <v>7276353</v>
      </c>
      <c r="AH928" s="12">
        <v>6039603</v>
      </c>
      <c r="AI928" s="12">
        <v>2453987</v>
      </c>
      <c r="AJ928" s="23">
        <f t="shared" si="2162"/>
        <v>2003</v>
      </c>
      <c r="AK928" s="23">
        <f t="shared" si="2163"/>
        <v>15769943</v>
      </c>
      <c r="AL928" s="28">
        <f>AK928/detalle!$D$2</f>
        <v>1438795.2796760811</v>
      </c>
    </row>
    <row r="929" spans="1:38">
      <c r="A929" s="12">
        <v>928</v>
      </c>
      <c r="B929" s="19">
        <v>44818</v>
      </c>
      <c r="C929" s="12">
        <v>910</v>
      </c>
      <c r="D929" s="23">
        <f t="shared" ref="D929:D930" si="2164">E929-E928</f>
        <v>305</v>
      </c>
      <c r="E929" s="12">
        <v>643450</v>
      </c>
      <c r="F929" s="12">
        <v>4384</v>
      </c>
      <c r="G929" s="12">
        <v>638335</v>
      </c>
      <c r="H929" s="23">
        <f t="shared" ref="H929:H930" si="2165">E929-F929-G929</f>
        <v>731</v>
      </c>
      <c r="I929" s="23">
        <f t="shared" ref="I929:I930" si="2166">J929-J928</f>
        <v>1411</v>
      </c>
      <c r="J929" s="12">
        <v>3654510</v>
      </c>
      <c r="K929" s="23">
        <f t="shared" ref="K929:K930" si="2167">J929-E929</f>
        <v>3011060</v>
      </c>
      <c r="L929" s="23">
        <f t="shared" ref="L929:L930" si="2168">G929-G928</f>
        <v>963</v>
      </c>
      <c r="M929" s="14">
        <f t="shared" si="2139"/>
        <v>6.8132722045224957E-3</v>
      </c>
      <c r="N929" s="14">
        <f t="shared" ref="N929:N930" si="2169">D929/I929</f>
        <v>0.21615875265768958</v>
      </c>
      <c r="O929" s="24"/>
      <c r="P929" s="12"/>
      <c r="Q929" s="12"/>
      <c r="R929" s="23">
        <f t="shared" ref="R929:R930" si="2170">F929+G929</f>
        <v>642719</v>
      </c>
      <c r="S929" s="25">
        <f>(((H929+R929)/(H928+R928))-1)+detalle!$D$1</f>
        <v>7.1902803522422759E-2</v>
      </c>
      <c r="T929" s="25">
        <f t="shared" ref="T929:T930" si="2171">S929*14</f>
        <v>1.0066392493139187</v>
      </c>
      <c r="U929" s="10">
        <f t="shared" ref="U929:U930" si="2172">G929/E929</f>
        <v>0.99205066438728728</v>
      </c>
      <c r="V929" s="21">
        <f t="shared" ref="V929:V930" si="2173">G929/F929</f>
        <v>145.60561131386862</v>
      </c>
      <c r="W929" s="15">
        <f>J929/detalle!$D$2</f>
        <v>333424.90442286537</v>
      </c>
      <c r="X929" s="15">
        <f>E929/detalle!$D$2</f>
        <v>58706.161633404408</v>
      </c>
      <c r="Y929" s="15">
        <f>F929/detalle!$D$2</f>
        <v>399.98105929107919</v>
      </c>
      <c r="AA929" s="14">
        <f>E929/(detalle!$D$2*1000000)</f>
        <v>5.8706161633404405E-2</v>
      </c>
      <c r="AB929" s="14">
        <f>F929/(detalle!$D$2*1000000)</f>
        <v>3.999810592910792E-4</v>
      </c>
      <c r="AC929" s="31">
        <f>7/585</f>
        <v>1.1965811965811967E-2</v>
      </c>
      <c r="AD929" s="31">
        <f>28/2373</f>
        <v>1.1799410029498525E-2</v>
      </c>
      <c r="AE929" s="31">
        <f>0/469</f>
        <v>0</v>
      </c>
      <c r="AF929" s="22">
        <f t="shared" ref="AF929:AF930" si="2174">F929-F928</f>
        <v>0</v>
      </c>
      <c r="AG929" s="12">
        <v>7277061</v>
      </c>
      <c r="AH929" s="12">
        <v>6040187</v>
      </c>
      <c r="AI929" s="12">
        <v>2455123</v>
      </c>
      <c r="AJ929" s="23">
        <f t="shared" ref="AJ929" si="2175">AK929-AK928</f>
        <v>2428</v>
      </c>
      <c r="AK929" s="23">
        <f t="shared" ref="AK929:AK930" si="2176">AG929+AH929+AI929</f>
        <v>15772371</v>
      </c>
      <c r="AL929" s="28">
        <f>AK929/detalle!$D$2</f>
        <v>1439016.8020328234</v>
      </c>
    </row>
    <row r="930" spans="1:38">
      <c r="A930" s="12">
        <v>929</v>
      </c>
      <c r="B930" s="19">
        <v>44819</v>
      </c>
      <c r="C930" s="12">
        <v>911</v>
      </c>
      <c r="D930" s="23">
        <f t="shared" si="2164"/>
        <v>224</v>
      </c>
      <c r="E930" s="12">
        <v>643674</v>
      </c>
      <c r="F930" s="12">
        <v>4384</v>
      </c>
      <c r="G930" s="12">
        <v>638538</v>
      </c>
      <c r="H930" s="23">
        <f t="shared" si="2165"/>
        <v>752</v>
      </c>
      <c r="I930" s="23">
        <f t="shared" si="2166"/>
        <v>1053</v>
      </c>
      <c r="J930" s="12">
        <v>3655563</v>
      </c>
      <c r="K930" s="23">
        <f t="shared" si="2167"/>
        <v>3011889</v>
      </c>
      <c r="L930" s="23">
        <f t="shared" si="2168"/>
        <v>203</v>
      </c>
      <c r="M930" s="14">
        <f t="shared" si="2139"/>
        <v>6.8109011704682804E-3</v>
      </c>
      <c r="N930" s="14">
        <f t="shared" si="2169"/>
        <v>0.21272554605887939</v>
      </c>
      <c r="O930" s="24"/>
      <c r="P930" s="12"/>
      <c r="Q930" s="12"/>
      <c r="R930" s="23">
        <f t="shared" si="2170"/>
        <v>642922</v>
      </c>
      <c r="S930" s="25">
        <f>(((H930+R930)/(H929+R929))-1)+detalle!$D$1</f>
        <v>7.1776694825882698E-2</v>
      </c>
      <c r="T930" s="25">
        <f t="shared" si="2171"/>
        <v>1.0048737275623578</v>
      </c>
      <c r="U930" s="10">
        <f t="shared" si="2172"/>
        <v>0.99202080556306449</v>
      </c>
      <c r="V930" s="21">
        <f t="shared" si="2173"/>
        <v>145.65191605839416</v>
      </c>
      <c r="W930" s="15">
        <f>J930/detalle!$D$2</f>
        <v>333520.97651580186</v>
      </c>
      <c r="X930" s="15">
        <f>E930/detalle!$D$2</f>
        <v>58726.598621835336</v>
      </c>
      <c r="Y930" s="15">
        <f>F930/detalle!$D$2</f>
        <v>399.98105929107919</v>
      </c>
      <c r="AA930" s="14">
        <f>E930/(detalle!$D$2*1000000)</f>
        <v>5.8726598621835338E-2</v>
      </c>
      <c r="AB930" s="14">
        <f>F930/(detalle!$D$2*1000000)</f>
        <v>3.999810592910792E-4</v>
      </c>
      <c r="AC930" s="31">
        <f>6/585</f>
        <v>1.0256410256410256E-2</v>
      </c>
      <c r="AD930" s="31">
        <f>25/2373</f>
        <v>1.0535187526337969E-2</v>
      </c>
      <c r="AE930" s="31">
        <f>0/469</f>
        <v>0</v>
      </c>
      <c r="AF930" s="22">
        <f t="shared" si="2174"/>
        <v>0</v>
      </c>
      <c r="AG930" s="12">
        <v>7277061</v>
      </c>
      <c r="AH930" s="12">
        <v>6040187</v>
      </c>
      <c r="AI930" s="12">
        <v>2455123</v>
      </c>
      <c r="AJ930" s="23">
        <f>AK930-AK929</f>
        <v>0</v>
      </c>
      <c r="AK930" s="23">
        <f t="shared" si="2176"/>
        <v>15772371</v>
      </c>
      <c r="AL930" s="28">
        <f>AK930/detalle!$D$2</f>
        <v>1439016.8020328234</v>
      </c>
    </row>
    <row r="931" spans="1:38">
      <c r="A931" s="12">
        <v>930</v>
      </c>
      <c r="B931" s="19">
        <v>44820</v>
      </c>
      <c r="C931" s="12">
        <v>912</v>
      </c>
      <c r="D931" s="23">
        <f t="shared" ref="D931" si="2177">E931-E930</f>
        <v>342</v>
      </c>
      <c r="E931" s="12">
        <v>644016</v>
      </c>
      <c r="F931" s="12">
        <v>4384</v>
      </c>
      <c r="G931" s="12">
        <v>638911</v>
      </c>
      <c r="H931" s="23">
        <f t="shared" ref="H931:H974" si="2178">E931-F931-G931</f>
        <v>721</v>
      </c>
      <c r="I931" s="23">
        <f t="shared" ref="I931" si="2179">J931-J930</f>
        <v>1494</v>
      </c>
      <c r="J931" s="12">
        <v>3657057</v>
      </c>
      <c r="K931" s="23">
        <f t="shared" ref="K931:K1003" si="2180">J931-E931</f>
        <v>3013041</v>
      </c>
      <c r="L931" s="23">
        <f t="shared" ref="L931" si="2181">G931-G930</f>
        <v>373</v>
      </c>
      <c r="M931" s="14">
        <f t="shared" si="2139"/>
        <v>6.8072842910735136E-3</v>
      </c>
      <c r="N931" s="14">
        <f t="shared" ref="N931" si="2182">D931/I931</f>
        <v>0.2289156626506024</v>
      </c>
      <c r="O931" s="24"/>
      <c r="P931" s="12"/>
      <c r="Q931" s="12"/>
      <c r="R931" s="23">
        <f t="shared" ref="R931:R932" si="2183">F931+G931</f>
        <v>643295</v>
      </c>
      <c r="S931" s="25">
        <f>(((H931+R931)/(H930+R930))-1)+detalle!$D$1</f>
        <v>7.1959896291778486E-2</v>
      </c>
      <c r="T931" s="25">
        <f t="shared" ref="T931:T994" si="2184">S931*14</f>
        <v>1.0074385480848989</v>
      </c>
      <c r="U931" s="10">
        <f>G931/E931</f>
        <v>0.99207317830612907</v>
      </c>
      <c r="V931" s="21">
        <f t="shared" ref="V931:V994" si="2185">G931/F931</f>
        <v>145.73699817518249</v>
      </c>
      <c r="W931" s="15">
        <f>J931/detalle!$D$2</f>
        <v>333657.28392971173</v>
      </c>
      <c r="X931" s="15">
        <f>E931/detalle!$D$2</f>
        <v>58757.801523814705</v>
      </c>
      <c r="Y931" s="15">
        <f>F931/detalle!$D$2</f>
        <v>399.98105929107919</v>
      </c>
      <c r="AA931" s="14">
        <f>E931/(detalle!$D$2*1000000)</f>
        <v>5.8757801523814705E-2</v>
      </c>
      <c r="AB931" s="14">
        <f>F931/(detalle!$D$2*1000000)</f>
        <v>3.999810592910792E-4</v>
      </c>
      <c r="AC931" s="31">
        <f>4/585</f>
        <v>6.8376068376068376E-3</v>
      </c>
      <c r="AD931" s="31">
        <f>24/2373</f>
        <v>1.0113780025284451E-2</v>
      </c>
      <c r="AE931" s="31">
        <f t="shared" ref="AE931" si="2186">0/469</f>
        <v>0</v>
      </c>
      <c r="AF931" s="22">
        <f t="shared" ref="AF931:AF994" si="2187">F931-F930</f>
        <v>0</v>
      </c>
      <c r="AG931" s="12">
        <v>7277061</v>
      </c>
      <c r="AH931" s="12">
        <v>6040187</v>
      </c>
      <c r="AI931" s="12">
        <v>2455123</v>
      </c>
      <c r="AJ931" s="23">
        <f t="shared" ref="AJ931:AJ994" si="2188">AK931-AK930</f>
        <v>0</v>
      </c>
      <c r="AK931" s="23">
        <f t="shared" ref="AK931:AK943" si="2189">AG931+AH931+AI931</f>
        <v>15772371</v>
      </c>
      <c r="AL931" s="28">
        <f>AK931/detalle!$D$2</f>
        <v>1439016.8020328234</v>
      </c>
    </row>
    <row r="932" spans="1:38">
      <c r="A932" s="12">
        <v>931</v>
      </c>
      <c r="B932" s="19">
        <v>44821</v>
      </c>
      <c r="C932" s="12">
        <v>913</v>
      </c>
      <c r="D932" s="23">
        <f>E932-E931</f>
        <v>340</v>
      </c>
      <c r="E932" s="12">
        <v>644356</v>
      </c>
      <c r="F932" s="12">
        <v>4384</v>
      </c>
      <c r="G932" s="12">
        <v>639057</v>
      </c>
      <c r="H932" s="23">
        <f t="shared" si="2178"/>
        <v>915</v>
      </c>
      <c r="I932" s="23">
        <f>J932-J931</f>
        <v>1525</v>
      </c>
      <c r="J932" s="12">
        <v>3658582</v>
      </c>
      <c r="K932" s="23">
        <f t="shared" si="2180"/>
        <v>3014226</v>
      </c>
      <c r="L932" s="23">
        <f>G932-G931</f>
        <v>146</v>
      </c>
      <c r="M932" s="14">
        <f t="shared" si="2139"/>
        <v>6.8036923688147549E-3</v>
      </c>
      <c r="N932" s="14">
        <f>D932/I932</f>
        <v>0.22295081967213115</v>
      </c>
      <c r="O932" s="24"/>
      <c r="P932" s="12"/>
      <c r="Q932" s="12"/>
      <c r="R932" s="23">
        <f t="shared" si="2183"/>
        <v>643441</v>
      </c>
      <c r="S932" s="25">
        <f>(((H932+R932)/(H931+R931))-1)+detalle!$D$1</f>
        <v>7.1956508622678356E-2</v>
      </c>
      <c r="T932" s="25">
        <f t="shared" si="2184"/>
        <v>1.007391120717497</v>
      </c>
      <c r="U932" s="10">
        <f t="shared" ref="U932:U994" si="2190">G932/E932</f>
        <v>0.99177628515913563</v>
      </c>
      <c r="V932" s="21">
        <f t="shared" si="2185"/>
        <v>145.7703010948905</v>
      </c>
      <c r="W932" s="15">
        <f>J932/detalle!$D$2</f>
        <v>333796.41967684194</v>
      </c>
      <c r="X932" s="15">
        <f>E932/detalle!$D$2</f>
        <v>58788.82195268308</v>
      </c>
      <c r="Y932" s="15">
        <f>F932/detalle!$D$2</f>
        <v>399.98105929107919</v>
      </c>
      <c r="AA932" s="14">
        <f>E932/(detalle!$D$2*1000000)</f>
        <v>5.8788821952683083E-2</v>
      </c>
      <c r="AB932" s="14">
        <f>F932/(detalle!$D$2*1000000)</f>
        <v>3.999810592910792E-4</v>
      </c>
      <c r="AC932" s="31">
        <f>2/585</f>
        <v>3.4188034188034188E-3</v>
      </c>
      <c r="AD932" s="31">
        <f>27/2373</f>
        <v>1.1378002528445006E-2</v>
      </c>
      <c r="AE932" s="31">
        <f>0/469</f>
        <v>0</v>
      </c>
      <c r="AF932" s="22">
        <f t="shared" si="2187"/>
        <v>0</v>
      </c>
      <c r="AG932" s="12">
        <v>7278378</v>
      </c>
      <c r="AH932" s="12">
        <v>6041507</v>
      </c>
      <c r="AI932" s="12">
        <v>2457452</v>
      </c>
      <c r="AJ932" s="23">
        <f t="shared" si="2188"/>
        <v>4966</v>
      </c>
      <c r="AK932" s="23">
        <f t="shared" si="2189"/>
        <v>15777337</v>
      </c>
      <c r="AL932" s="28">
        <f>AK932/detalle!$D$2</f>
        <v>1439469.8827674128</v>
      </c>
    </row>
    <row r="933" spans="1:38">
      <c r="A933" s="12">
        <v>932</v>
      </c>
      <c r="B933" s="19">
        <v>44822</v>
      </c>
      <c r="C933" s="12">
        <v>914</v>
      </c>
      <c r="D933" s="23">
        <f>E933-E932</f>
        <v>90</v>
      </c>
      <c r="E933" s="12">
        <v>644446</v>
      </c>
      <c r="F933" s="12">
        <v>4384</v>
      </c>
      <c r="G933" s="12">
        <v>639180</v>
      </c>
      <c r="H933" s="23">
        <f t="shared" si="2178"/>
        <v>882</v>
      </c>
      <c r="I933" s="23">
        <f>J933-J932</f>
        <v>341</v>
      </c>
      <c r="J933" s="12">
        <v>3658923</v>
      </c>
      <c r="K933" s="23">
        <f t="shared" si="2180"/>
        <v>3014477</v>
      </c>
      <c r="L933" s="23">
        <f>G933-G932</f>
        <v>123</v>
      </c>
      <c r="M933" s="14">
        <f t="shared" si="2139"/>
        <v>6.8027422002774479E-3</v>
      </c>
      <c r="N933" s="14">
        <f>D933/I933</f>
        <v>0.26392961876832843</v>
      </c>
      <c r="O933" s="24"/>
      <c r="P933" s="12"/>
      <c r="Q933" s="12"/>
      <c r="R933" s="23">
        <f t="shared" ref="R933:R994" si="2191">F933+G933</f>
        <v>643564</v>
      </c>
      <c r="S933" s="25">
        <f>(((H933+R933)/(H932+R932))-1)+detalle!$D$1</f>
        <v>7.156824577008461E-2</v>
      </c>
      <c r="T933" s="25">
        <f t="shared" si="2184"/>
        <v>1.0019554407811846</v>
      </c>
      <c r="U933" s="10">
        <f t="shared" si="2190"/>
        <v>0.99182864041362662</v>
      </c>
      <c r="V933" s="21">
        <f t="shared" si="2185"/>
        <v>145.79835766423358</v>
      </c>
      <c r="W933" s="15">
        <f>J933/detalle!$D$2</f>
        <v>333827.53134226584</v>
      </c>
      <c r="X933" s="15">
        <f>E933/detalle!$D$2</f>
        <v>58797.033242677651</v>
      </c>
      <c r="Y933" s="15">
        <f>F933/detalle!$D$2</f>
        <v>399.98105929107919</v>
      </c>
      <c r="AA933" s="14">
        <f>E933/(detalle!$D$2*1000000)</f>
        <v>5.8797033242677647E-2</v>
      </c>
      <c r="AB933" s="14">
        <f>F933/(detalle!$D$2*1000000)</f>
        <v>3.999810592910792E-4</v>
      </c>
      <c r="AC933" s="31">
        <f>2/585</f>
        <v>3.4188034188034188E-3</v>
      </c>
      <c r="AD933" s="31">
        <f>27/2373</f>
        <v>1.1378002528445006E-2</v>
      </c>
      <c r="AE933" s="31">
        <f>0/469</f>
        <v>0</v>
      </c>
      <c r="AF933" s="22">
        <f t="shared" si="2187"/>
        <v>0</v>
      </c>
      <c r="AG933" s="12">
        <v>7278438</v>
      </c>
      <c r="AH933" s="12">
        <v>6041572</v>
      </c>
      <c r="AI933" s="12">
        <v>2457614</v>
      </c>
      <c r="AJ933" s="23">
        <f t="shared" si="2188"/>
        <v>287</v>
      </c>
      <c r="AK933" s="23">
        <f t="shared" si="2189"/>
        <v>15777624</v>
      </c>
      <c r="AL933" s="28">
        <f>AK933/detalle!$D$2</f>
        <v>1439496.06765884</v>
      </c>
    </row>
    <row r="934" spans="1:38">
      <c r="A934" s="12">
        <v>933</v>
      </c>
      <c r="B934" s="19">
        <v>44823</v>
      </c>
      <c r="C934" s="12">
        <v>915</v>
      </c>
      <c r="D934" s="23">
        <f t="shared" ref="D934:D942" si="2192">E934-E933</f>
        <v>215</v>
      </c>
      <c r="E934" s="12">
        <v>644661</v>
      </c>
      <c r="F934" s="12">
        <v>4384</v>
      </c>
      <c r="G934" s="12">
        <v>639245</v>
      </c>
      <c r="H934" s="23">
        <f t="shared" si="2178"/>
        <v>1032</v>
      </c>
      <c r="I934" s="23">
        <f t="shared" ref="I934:I997" si="2193">J934-J933</f>
        <v>964</v>
      </c>
      <c r="J934" s="12">
        <v>3659887</v>
      </c>
      <c r="K934" s="23">
        <f t="shared" si="2180"/>
        <v>3015226</v>
      </c>
      <c r="L934" s="23">
        <f t="shared" ref="L934:L994" si="2194">G934-G933</f>
        <v>65</v>
      </c>
      <c r="M934" s="14">
        <f t="shared" si="2139"/>
        <v>6.8004734271190593E-3</v>
      </c>
      <c r="N934" s="14">
        <f t="shared" ref="N934:N997" si="2195">D934/I934</f>
        <v>0.22302904564315354</v>
      </c>
      <c r="O934" s="24"/>
      <c r="P934" s="12"/>
      <c r="Q934" s="12"/>
      <c r="R934" s="23">
        <f t="shared" si="2191"/>
        <v>643629</v>
      </c>
      <c r="S934" s="25">
        <f>(((H934+R934)/(H933+R933))-1)+detalle!$D$1</f>
        <v>7.1762191312937179E-2</v>
      </c>
      <c r="T934" s="25">
        <f t="shared" si="2184"/>
        <v>1.0046706783811206</v>
      </c>
      <c r="U934" s="10">
        <f t="shared" si="2190"/>
        <v>0.9915986852004387</v>
      </c>
      <c r="V934" s="21">
        <f t="shared" si="2185"/>
        <v>145.81318430656935</v>
      </c>
      <c r="W934" s="15">
        <f>J934/detalle!$D$2</f>
        <v>333915.48338176322</v>
      </c>
      <c r="X934" s="15">
        <f>E934/detalle!$D$2</f>
        <v>58816.649102109128</v>
      </c>
      <c r="Y934" s="15">
        <f>F934/detalle!$D$2</f>
        <v>399.98105929107919</v>
      </c>
      <c r="AA934" s="14">
        <f>E934/(detalle!$D$2*1000000)</f>
        <v>5.8816649102109125E-2</v>
      </c>
      <c r="AB934" s="14">
        <f>F934/(detalle!$D$2*1000000)</f>
        <v>3.999810592910792E-4</v>
      </c>
      <c r="AC934" s="31">
        <f>3/585</f>
        <v>5.1282051282051282E-3</v>
      </c>
      <c r="AD934" s="31">
        <f>31/2373</f>
        <v>1.3063632532659082E-2</v>
      </c>
      <c r="AE934" s="31">
        <f t="shared" ref="AE934:AE941" si="2196">1/469</f>
        <v>2.1321961620469083E-3</v>
      </c>
      <c r="AF934" s="22">
        <f t="shared" si="2187"/>
        <v>0</v>
      </c>
      <c r="AG934" s="12">
        <v>7278438</v>
      </c>
      <c r="AH934" s="12">
        <v>6041572</v>
      </c>
      <c r="AI934" s="12">
        <v>2457614</v>
      </c>
      <c r="AJ934" s="23">
        <f t="shared" si="2188"/>
        <v>0</v>
      </c>
      <c r="AK934" s="23">
        <f t="shared" si="2189"/>
        <v>15777624</v>
      </c>
      <c r="AL934" s="28">
        <f>AK934/detalle!$D$2</f>
        <v>1439496.06765884</v>
      </c>
    </row>
    <row r="935" spans="1:38">
      <c r="A935" s="12">
        <v>934</v>
      </c>
      <c r="B935" s="19">
        <v>44824</v>
      </c>
      <c r="C935" s="12">
        <v>916</v>
      </c>
      <c r="D935" s="23">
        <f t="shared" si="2192"/>
        <v>250</v>
      </c>
      <c r="E935" s="12">
        <v>644911</v>
      </c>
      <c r="F935" s="12">
        <v>4384</v>
      </c>
      <c r="G935" s="12">
        <v>639378</v>
      </c>
      <c r="H935" s="23">
        <f t="shared" si="2178"/>
        <v>1149</v>
      </c>
      <c r="I935" s="23">
        <f t="shared" si="2193"/>
        <v>1325</v>
      </c>
      <c r="J935" s="12">
        <v>3661212</v>
      </c>
      <c r="K935" s="23">
        <f t="shared" si="2180"/>
        <v>3016301</v>
      </c>
      <c r="L935" s="23">
        <f t="shared" si="2194"/>
        <v>133</v>
      </c>
      <c r="M935" s="14">
        <f t="shared" si="2139"/>
        <v>6.7978372209498679E-3</v>
      </c>
      <c r="N935" s="14">
        <f t="shared" si="2195"/>
        <v>0.18867924528301888</v>
      </c>
      <c r="O935" s="24"/>
      <c r="P935" s="12"/>
      <c r="Q935" s="12"/>
      <c r="R935" s="23">
        <f t="shared" si="2191"/>
        <v>643762</v>
      </c>
      <c r="S935" s="25">
        <f>(((H935+R935)/(H934+R934))-1)+detalle!$D$1</f>
        <v>7.1816372148639812E-2</v>
      </c>
      <c r="T935" s="25">
        <f t="shared" si="2184"/>
        <v>1.0054292100809574</v>
      </c>
      <c r="U935" s="10">
        <f t="shared" si="2190"/>
        <v>0.99142052159135141</v>
      </c>
      <c r="V935" s="21">
        <f t="shared" si="2185"/>
        <v>145.84352189781021</v>
      </c>
      <c r="W935" s="15">
        <f>J935/detalle!$D$2</f>
        <v>334036.3718177944</v>
      </c>
      <c r="X935" s="15">
        <f>E935/detalle!$D$2</f>
        <v>58839.458240982931</v>
      </c>
      <c r="Y935" s="15">
        <f>F935/detalle!$D$2</f>
        <v>399.98105929107919</v>
      </c>
      <c r="AA935" s="14">
        <f>E935/(detalle!$D$2*1000000)</f>
        <v>5.8839458240982932E-2</v>
      </c>
      <c r="AB935" s="14">
        <f>F935/(detalle!$D$2*1000000)</f>
        <v>3.999810592910792E-4</v>
      </c>
      <c r="AC935" s="31">
        <f>3/585</f>
        <v>5.1282051282051282E-3</v>
      </c>
      <c r="AD935" s="31">
        <f>26/2373</f>
        <v>1.0956595027391488E-2</v>
      </c>
      <c r="AE935" s="31">
        <f t="shared" si="2196"/>
        <v>2.1321961620469083E-3</v>
      </c>
      <c r="AF935" s="22">
        <f t="shared" si="2187"/>
        <v>0</v>
      </c>
      <c r="AG935" s="12">
        <v>7278814</v>
      </c>
      <c r="AH935" s="12">
        <v>6042005</v>
      </c>
      <c r="AI935" s="12">
        <v>2458237</v>
      </c>
      <c r="AJ935" s="23">
        <f t="shared" si="2188"/>
        <v>1432</v>
      </c>
      <c r="AK935" s="23">
        <f t="shared" si="2189"/>
        <v>15779056</v>
      </c>
      <c r="AL935" s="28">
        <f>AK935/detalle!$D$2</f>
        <v>1439626.7184063091</v>
      </c>
    </row>
    <row r="936" spans="1:38">
      <c r="A936" s="12">
        <v>935</v>
      </c>
      <c r="B936" s="19">
        <v>44825</v>
      </c>
      <c r="C936" s="12">
        <v>917</v>
      </c>
      <c r="D936" s="23">
        <f t="shared" si="2192"/>
        <v>115</v>
      </c>
      <c r="E936" s="12">
        <v>645026</v>
      </c>
      <c r="F936" s="12">
        <v>4384</v>
      </c>
      <c r="G936" s="12">
        <v>640026</v>
      </c>
      <c r="H936" s="23">
        <f t="shared" si="2178"/>
        <v>616</v>
      </c>
      <c r="I936" s="23">
        <f t="shared" si="2193"/>
        <v>552</v>
      </c>
      <c r="J936" s="12">
        <v>3661764</v>
      </c>
      <c r="K936" s="23">
        <f t="shared" si="2180"/>
        <v>3016738</v>
      </c>
      <c r="L936" s="23">
        <f t="shared" si="2194"/>
        <v>648</v>
      </c>
      <c r="M936" s="14">
        <f t="shared" si="2139"/>
        <v>6.7966252523154105E-3</v>
      </c>
      <c r="N936" s="14">
        <f t="shared" si="2195"/>
        <v>0.20833333333333334</v>
      </c>
      <c r="O936" s="24"/>
      <c r="P936" s="12"/>
      <c r="Q936" s="12"/>
      <c r="R936" s="23">
        <f t="shared" si="2191"/>
        <v>644410</v>
      </c>
      <c r="S936" s="25">
        <f>(((H936+R936)/(H935+R935))-1)+detalle!$D$1</f>
        <v>7.1606890607496948E-2</v>
      </c>
      <c r="T936" s="25">
        <f t="shared" si="2184"/>
        <v>1.0024964685049573</v>
      </c>
      <c r="U936" s="10">
        <f t="shared" si="2190"/>
        <v>0.99224837448412928</v>
      </c>
      <c r="V936" s="21">
        <f t="shared" si="2185"/>
        <v>145.99133211678833</v>
      </c>
      <c r="W936" s="15">
        <f>J936/detalle!$D$2</f>
        <v>334086.73439642775</v>
      </c>
      <c r="X936" s="15">
        <f>E936/detalle!$D$2</f>
        <v>58849.950444864888</v>
      </c>
      <c r="Y936" s="15">
        <f>F936/detalle!$D$2</f>
        <v>399.98105929107919</v>
      </c>
      <c r="AA936" s="14">
        <f>E936/(detalle!$D$2*1000000)</f>
        <v>5.8849950444864886E-2</v>
      </c>
      <c r="AB936" s="14">
        <f>F936/(detalle!$D$2*1000000)</f>
        <v>3.999810592910792E-4</v>
      </c>
      <c r="AC936" s="31">
        <f>5/585</f>
        <v>8.5470085470085479E-3</v>
      </c>
      <c r="AD936" s="31">
        <f>27/2373</f>
        <v>1.1378002528445006E-2</v>
      </c>
      <c r="AE936" s="31">
        <f t="shared" si="2196"/>
        <v>2.1321961620469083E-3</v>
      </c>
      <c r="AF936" s="22">
        <f t="shared" si="2187"/>
        <v>0</v>
      </c>
      <c r="AG936" s="12">
        <v>7279307</v>
      </c>
      <c r="AH936" s="12">
        <v>6042631</v>
      </c>
      <c r="AI936" s="12">
        <v>2459240</v>
      </c>
      <c r="AJ936" s="23">
        <f t="shared" si="2188"/>
        <v>2122</v>
      </c>
      <c r="AK936" s="23">
        <f t="shared" si="2189"/>
        <v>15781178</v>
      </c>
      <c r="AL936" s="28">
        <f>AK936/detalle!$D$2</f>
        <v>1439820.3223770699</v>
      </c>
    </row>
    <row r="937" spans="1:38">
      <c r="A937" s="12">
        <v>936</v>
      </c>
      <c r="B937" s="19">
        <v>44826</v>
      </c>
      <c r="C937" s="12">
        <v>918</v>
      </c>
      <c r="D937" s="23">
        <f t="shared" si="2192"/>
        <v>240</v>
      </c>
      <c r="E937" s="12">
        <v>645266</v>
      </c>
      <c r="F937" s="12">
        <v>4384</v>
      </c>
      <c r="G937" s="12">
        <v>640300</v>
      </c>
      <c r="H937" s="23">
        <f t="shared" si="2178"/>
        <v>582</v>
      </c>
      <c r="I937" s="23">
        <f t="shared" si="2193"/>
        <v>1251</v>
      </c>
      <c r="J937" s="12">
        <v>3663015</v>
      </c>
      <c r="K937" s="23">
        <f t="shared" si="2180"/>
        <v>3017749</v>
      </c>
      <c r="L937" s="23">
        <f t="shared" si="2194"/>
        <v>274</v>
      </c>
      <c r="M937" s="14">
        <f t="shared" si="2139"/>
        <v>6.7940973180052877E-3</v>
      </c>
      <c r="N937" s="14">
        <f t="shared" si="2195"/>
        <v>0.19184652278177458</v>
      </c>
      <c r="O937" s="24"/>
      <c r="P937" s="12"/>
      <c r="Q937" s="12"/>
      <c r="R937" s="23">
        <f t="shared" si="2191"/>
        <v>644684</v>
      </c>
      <c r="S937" s="25">
        <f>(((H937+R937)/(H936+R936))-1)+detalle!$D$1</f>
        <v>7.1800649453333226E-2</v>
      </c>
      <c r="T937" s="25">
        <f t="shared" si="2184"/>
        <v>1.0052090923466652</v>
      </c>
      <c r="U937" s="10">
        <f t="shared" si="2190"/>
        <v>0.99230394906906605</v>
      </c>
      <c r="V937" s="21">
        <f t="shared" si="2185"/>
        <v>146.05383211678833</v>
      </c>
      <c r="W937" s="15">
        <f>J937/detalle!$D$2</f>
        <v>334200.8713273523</v>
      </c>
      <c r="X937" s="15">
        <f>E937/detalle!$D$2</f>
        <v>58871.847218183742</v>
      </c>
      <c r="Y937" s="15">
        <f>F937/detalle!$D$2</f>
        <v>399.98105929107919</v>
      </c>
      <c r="AA937" s="14">
        <f>E937/(detalle!$D$2*1000000)</f>
        <v>5.887184721818374E-2</v>
      </c>
      <c r="AB937" s="14">
        <f>F937/(detalle!$D$2*1000000)</f>
        <v>3.999810592910792E-4</v>
      </c>
      <c r="AC937" s="31">
        <f>5/585</f>
        <v>8.5470085470085479E-3</v>
      </c>
      <c r="AD937" s="31">
        <f>27/2373</f>
        <v>1.1378002528445006E-2</v>
      </c>
      <c r="AE937" s="31">
        <f t="shared" si="2196"/>
        <v>2.1321961620469083E-3</v>
      </c>
      <c r="AF937" s="22">
        <f t="shared" si="2187"/>
        <v>0</v>
      </c>
      <c r="AG937" s="12">
        <v>7279830</v>
      </c>
      <c r="AH937" s="12">
        <v>6043174</v>
      </c>
      <c r="AI937" s="12">
        <v>2460162</v>
      </c>
      <c r="AJ937" s="23">
        <f t="shared" si="2188"/>
        <v>1988</v>
      </c>
      <c r="AK937" s="23">
        <f t="shared" si="2189"/>
        <v>15783166</v>
      </c>
      <c r="AL937" s="28">
        <f>AK937/detalle!$D$2</f>
        <v>1440001.7006493944</v>
      </c>
    </row>
    <row r="938" spans="1:38">
      <c r="A938" s="12">
        <v>937</v>
      </c>
      <c r="B938" s="19">
        <v>44827</v>
      </c>
      <c r="C938" s="12">
        <v>919</v>
      </c>
      <c r="D938" s="23">
        <f t="shared" si="2192"/>
        <v>103</v>
      </c>
      <c r="E938" s="12">
        <v>645369</v>
      </c>
      <c r="F938" s="12">
        <v>4384</v>
      </c>
      <c r="G938" s="12">
        <v>640474</v>
      </c>
      <c r="H938" s="23">
        <f t="shared" si="2178"/>
        <v>511</v>
      </c>
      <c r="I938" s="23">
        <f t="shared" si="2193"/>
        <v>1092</v>
      </c>
      <c r="J938" s="12">
        <v>3664107</v>
      </c>
      <c r="K938" s="23">
        <f t="shared" si="2180"/>
        <v>3018738</v>
      </c>
      <c r="L938" s="23">
        <f t="shared" si="2194"/>
        <v>174</v>
      </c>
      <c r="M938" s="14">
        <f t="shared" si="2139"/>
        <v>6.7930129894680407E-3</v>
      </c>
      <c r="N938" s="14">
        <f t="shared" si="2195"/>
        <v>9.432234432234432E-2</v>
      </c>
      <c r="O938" s="24"/>
      <c r="P938" s="12"/>
      <c r="Q938" s="12"/>
      <c r="R938" s="23">
        <f t="shared" si="2191"/>
        <v>644858</v>
      </c>
      <c r="S938" s="25">
        <f>(((H938+R938)/(H937+R937))-1)+detalle!$D$1</f>
        <v>7.1588195521581161E-2</v>
      </c>
      <c r="T938" s="25">
        <f t="shared" si="2184"/>
        <v>1.0022347373021363</v>
      </c>
      <c r="U938" s="10">
        <f t="shared" si="2190"/>
        <v>0.99241519192895844</v>
      </c>
      <c r="V938" s="21">
        <f t="shared" si="2185"/>
        <v>146.09352189781021</v>
      </c>
      <c r="W938" s="15">
        <f>J938/detalle!$D$2</f>
        <v>334300.5016459531</v>
      </c>
      <c r="X938" s="15">
        <f>E938/detalle!$D$2</f>
        <v>58881.244583399748</v>
      </c>
      <c r="Y938" s="15">
        <f>F938/detalle!$D$2</f>
        <v>399.98105929107919</v>
      </c>
      <c r="AA938" s="14">
        <f>E938/(detalle!$D$2*1000000)</f>
        <v>5.8881244583399744E-2</v>
      </c>
      <c r="AB938" s="14">
        <f>F938/(detalle!$D$2*1000000)</f>
        <v>3.999810592910792E-4</v>
      </c>
      <c r="AC938" s="31">
        <f>6/585</f>
        <v>1.0256410256410256E-2</v>
      </c>
      <c r="AD938" s="31">
        <f>24/2373</f>
        <v>1.0113780025284451E-2</v>
      </c>
      <c r="AE938" s="31">
        <f t="shared" si="2196"/>
        <v>2.1321961620469083E-3</v>
      </c>
      <c r="AF938" s="22">
        <f t="shared" si="2187"/>
        <v>0</v>
      </c>
      <c r="AG938" s="12">
        <v>7279830</v>
      </c>
      <c r="AH938" s="12">
        <v>6043174</v>
      </c>
      <c r="AI938" s="12">
        <v>2460162</v>
      </c>
      <c r="AJ938" s="23">
        <f t="shared" si="2188"/>
        <v>0</v>
      </c>
      <c r="AK938" s="23">
        <f t="shared" si="2189"/>
        <v>15783166</v>
      </c>
      <c r="AL938" s="28">
        <f>AK938/detalle!$D$2</f>
        <v>1440001.7006493944</v>
      </c>
    </row>
    <row r="939" spans="1:38">
      <c r="A939" s="12">
        <v>938</v>
      </c>
      <c r="B939" s="19">
        <v>44828</v>
      </c>
      <c r="C939" s="12">
        <v>920</v>
      </c>
      <c r="D939" s="23">
        <f t="shared" si="2192"/>
        <v>104</v>
      </c>
      <c r="E939" s="12">
        <v>645473</v>
      </c>
      <c r="F939" s="12">
        <v>4384</v>
      </c>
      <c r="G939" s="12">
        <v>640549</v>
      </c>
      <c r="H939" s="23">
        <f t="shared" si="2178"/>
        <v>540</v>
      </c>
      <c r="I939" s="23">
        <f t="shared" si="2193"/>
        <v>731</v>
      </c>
      <c r="J939" s="12">
        <v>3664838</v>
      </c>
      <c r="K939" s="23">
        <f t="shared" si="2180"/>
        <v>3019365</v>
      </c>
      <c r="L939" s="23">
        <f t="shared" si="2194"/>
        <v>75</v>
      </c>
      <c r="M939" s="14">
        <f t="shared" si="2139"/>
        <v>6.7919184845841732E-3</v>
      </c>
      <c r="N939" s="14">
        <f t="shared" si="2195"/>
        <v>0.14227086183310533</v>
      </c>
      <c r="O939" s="24"/>
      <c r="P939" s="12"/>
      <c r="Q939" s="12"/>
      <c r="R939" s="23">
        <f t="shared" si="2191"/>
        <v>644933</v>
      </c>
      <c r="S939" s="25">
        <f>(((H939+R939)/(H938+R938))-1)+detalle!$D$1</f>
        <v>7.1589719546934633E-2</v>
      </c>
      <c r="T939" s="25">
        <f t="shared" si="2184"/>
        <v>1.0022560736570849</v>
      </c>
      <c r="U939" s="10">
        <f t="shared" si="2190"/>
        <v>0.99237148571667599</v>
      </c>
      <c r="V939" s="21">
        <f t="shared" si="2185"/>
        <v>146.11062956204378</v>
      </c>
      <c r="W939" s="15">
        <f>J939/detalle!$D$2</f>
        <v>334367.19556802011</v>
      </c>
      <c r="X939" s="15">
        <f>E939/detalle!$D$2</f>
        <v>58890.733185171252</v>
      </c>
      <c r="Y939" s="15">
        <f>F939/detalle!$D$2</f>
        <v>399.98105929107919</v>
      </c>
      <c r="AA939" s="14">
        <f>E939/(detalle!$D$2*1000000)</f>
        <v>5.8890733185171247E-2</v>
      </c>
      <c r="AB939" s="14">
        <f>F939/(detalle!$D$2*1000000)</f>
        <v>3.999810592910792E-4</v>
      </c>
      <c r="AC939" s="31">
        <f>5/585</f>
        <v>8.5470085470085479E-3</v>
      </c>
      <c r="AD939" s="31">
        <f>20/2373</f>
        <v>8.4281500210703752E-3</v>
      </c>
      <c r="AE939" s="31">
        <f t="shared" si="2196"/>
        <v>2.1321961620469083E-3</v>
      </c>
      <c r="AF939" s="22">
        <f t="shared" si="2187"/>
        <v>0</v>
      </c>
      <c r="AG939" s="12">
        <v>7280467</v>
      </c>
      <c r="AH939" s="12">
        <v>6043903</v>
      </c>
      <c r="AI939" s="12">
        <v>2461478</v>
      </c>
      <c r="AJ939" s="23">
        <f t="shared" si="2188"/>
        <v>2682</v>
      </c>
      <c r="AK939" s="23">
        <f t="shared" si="2189"/>
        <v>15785848</v>
      </c>
      <c r="AL939" s="28">
        <f>AK939/detalle!$D$2</f>
        <v>1440246.3970912327</v>
      </c>
    </row>
    <row r="940" spans="1:38">
      <c r="A940" s="12">
        <v>939</v>
      </c>
      <c r="B940" s="19">
        <v>44829</v>
      </c>
      <c r="C940" s="12">
        <v>921</v>
      </c>
      <c r="D940" s="23">
        <f t="shared" si="2192"/>
        <v>155</v>
      </c>
      <c r="E940" s="12">
        <v>645628</v>
      </c>
      <c r="F940" s="12">
        <v>4384</v>
      </c>
      <c r="G940" s="12">
        <v>640605</v>
      </c>
      <c r="H940" s="23">
        <f t="shared" si="2178"/>
        <v>639</v>
      </c>
      <c r="I940" s="23">
        <f t="shared" si="2193"/>
        <v>922</v>
      </c>
      <c r="J940" s="12">
        <v>3665760</v>
      </c>
      <c r="K940" s="23">
        <f t="shared" si="2180"/>
        <v>3020132</v>
      </c>
      <c r="L940" s="23">
        <f t="shared" si="2194"/>
        <v>56</v>
      </c>
      <c r="M940" s="14">
        <f t="shared" si="2139"/>
        <v>6.790287905728996E-3</v>
      </c>
      <c r="N940" s="14">
        <f t="shared" si="2195"/>
        <v>0.16811279826464209</v>
      </c>
      <c r="O940" s="24"/>
      <c r="P940" s="12"/>
      <c r="Q940" s="12"/>
      <c r="R940" s="23">
        <f t="shared" si="2191"/>
        <v>644989</v>
      </c>
      <c r="S940" s="25">
        <f>(((H940+R940)/(H939+R939))-1)+detalle!$D$1</f>
        <v>7.1668705407839345E-2</v>
      </c>
      <c r="T940" s="25">
        <f t="shared" si="2184"/>
        <v>1.0033618757097509</v>
      </c>
      <c r="U940" s="10">
        <f t="shared" si="2190"/>
        <v>0.99221997806786566</v>
      </c>
      <c r="V940" s="21">
        <f t="shared" si="2185"/>
        <v>146.12340328467153</v>
      </c>
      <c r="W940" s="15">
        <f>J940/detalle!$D$2</f>
        <v>334451.31567218673</v>
      </c>
      <c r="X940" s="15">
        <f>E940/detalle!$D$2</f>
        <v>58904.874851273009</v>
      </c>
      <c r="Y940" s="15">
        <f>F940/detalle!$D$2</f>
        <v>399.98105929107919</v>
      </c>
      <c r="AA940" s="14">
        <f>E940/(detalle!$D$2*1000000)</f>
        <v>5.8904874851273013E-2</v>
      </c>
      <c r="AB940" s="14">
        <f>F940/(detalle!$D$2*1000000)</f>
        <v>3.999810592910792E-4</v>
      </c>
      <c r="AC940" s="31">
        <f>5/585</f>
        <v>8.5470085470085479E-3</v>
      </c>
      <c r="AD940" s="31">
        <f>20/2373</f>
        <v>8.4281500210703752E-3</v>
      </c>
      <c r="AE940" s="31">
        <f t="shared" si="2196"/>
        <v>2.1321961620469083E-3</v>
      </c>
      <c r="AF940" s="22">
        <f t="shared" si="2187"/>
        <v>0</v>
      </c>
      <c r="AG940" s="12">
        <v>7280556</v>
      </c>
      <c r="AH940" s="12">
        <v>6044001</v>
      </c>
      <c r="AI940" s="12">
        <v>2461675</v>
      </c>
      <c r="AJ940" s="23">
        <f t="shared" si="2188"/>
        <v>384</v>
      </c>
      <c r="AK940" s="23">
        <f t="shared" si="2189"/>
        <v>15786232</v>
      </c>
      <c r="AL940" s="28">
        <f>AK940/detalle!$D$2</f>
        <v>1440281.4319285429</v>
      </c>
    </row>
    <row r="941" spans="1:38">
      <c r="A941" s="12">
        <v>940</v>
      </c>
      <c r="B941" s="19">
        <v>44830</v>
      </c>
      <c r="C941" s="12">
        <v>922</v>
      </c>
      <c r="D941" s="23">
        <f t="shared" si="2192"/>
        <v>184</v>
      </c>
      <c r="E941" s="12">
        <v>645812</v>
      </c>
      <c r="F941" s="12">
        <v>4384</v>
      </c>
      <c r="G941" s="12">
        <v>640794</v>
      </c>
      <c r="H941" s="23">
        <f t="shared" si="2178"/>
        <v>634</v>
      </c>
      <c r="I941" s="23">
        <f t="shared" si="2193"/>
        <v>1522</v>
      </c>
      <c r="J941" s="12">
        <v>3667282</v>
      </c>
      <c r="K941" s="23">
        <f t="shared" si="2180"/>
        <v>3021470</v>
      </c>
      <c r="L941" s="23">
        <f t="shared" si="2194"/>
        <v>189</v>
      </c>
      <c r="M941" s="14">
        <f t="shared" si="2139"/>
        <v>6.78835326689501E-3</v>
      </c>
      <c r="N941" s="14">
        <f t="shared" si="2195"/>
        <v>0.12089356110381078</v>
      </c>
      <c r="O941" s="24"/>
      <c r="P941" s="12"/>
      <c r="Q941" s="12"/>
      <c r="R941" s="23">
        <f t="shared" si="2191"/>
        <v>645178</v>
      </c>
      <c r="S941" s="25">
        <f>(((H941+R941)/(H940+R940))-1)+detalle!$D$1</f>
        <v>7.171356526403086E-2</v>
      </c>
      <c r="T941" s="25">
        <f t="shared" si="2184"/>
        <v>1.0039899136964321</v>
      </c>
      <c r="U941" s="10">
        <f t="shared" si="2190"/>
        <v>0.99222993688565708</v>
      </c>
      <c r="V941" s="21">
        <f t="shared" si="2185"/>
        <v>146.16651459854015</v>
      </c>
      <c r="W941" s="15">
        <f>J941/detalle!$D$2</f>
        <v>334590.17770965042</v>
      </c>
      <c r="X941" s="15">
        <f>E941/detalle!$D$2</f>
        <v>58921.662377484136</v>
      </c>
      <c r="Y941" s="15">
        <f>F941/detalle!$D$2</f>
        <v>399.98105929107919</v>
      </c>
      <c r="AA941" s="14">
        <f>E941/(detalle!$D$2*1000000)</f>
        <v>5.8921662377484134E-2</v>
      </c>
      <c r="AB941" s="14">
        <f>F941/(detalle!$D$2*1000000)</f>
        <v>3.999810592910792E-4</v>
      </c>
      <c r="AC941" s="31">
        <f>5/585</f>
        <v>8.5470085470085479E-3</v>
      </c>
      <c r="AD941" s="31">
        <f>20/2373</f>
        <v>8.4281500210703752E-3</v>
      </c>
      <c r="AE941" s="31">
        <f t="shared" si="2196"/>
        <v>2.1321961620469083E-3</v>
      </c>
      <c r="AF941" s="22">
        <f t="shared" si="2187"/>
        <v>0</v>
      </c>
      <c r="AG941" s="12">
        <v>7280556</v>
      </c>
      <c r="AH941" s="12">
        <v>6044001</v>
      </c>
      <c r="AI941" s="12">
        <v>2461675</v>
      </c>
      <c r="AJ941" s="23">
        <f t="shared" si="2188"/>
        <v>0</v>
      </c>
      <c r="AK941" s="23">
        <f t="shared" si="2189"/>
        <v>15786232</v>
      </c>
      <c r="AL941" s="28">
        <f>AK941/detalle!$D$2</f>
        <v>1440281.4319285429</v>
      </c>
    </row>
    <row r="942" spans="1:38">
      <c r="A942" s="12">
        <v>941</v>
      </c>
      <c r="B942" s="19">
        <v>44831</v>
      </c>
      <c r="C942" s="12">
        <v>923</v>
      </c>
      <c r="D942" s="23">
        <f t="shared" si="2192"/>
        <v>140</v>
      </c>
      <c r="E942" s="12">
        <v>645952</v>
      </c>
      <c r="F942" s="12">
        <v>4384</v>
      </c>
      <c r="G942" s="12">
        <v>641157</v>
      </c>
      <c r="H942" s="23">
        <f t="shared" si="2178"/>
        <v>411</v>
      </c>
      <c r="I942" s="23">
        <f>J942-J941</f>
        <v>1055</v>
      </c>
      <c r="J942" s="12">
        <v>3668337</v>
      </c>
      <c r="K942" s="23">
        <f t="shared" si="2180"/>
        <v>3022385</v>
      </c>
      <c r="L942" s="23">
        <f t="shared" si="2194"/>
        <v>363</v>
      </c>
      <c r="M942" s="14">
        <f t="shared" si="2139"/>
        <v>6.7868819974239575E-3</v>
      </c>
      <c r="N942" s="14">
        <f t="shared" si="2195"/>
        <v>0.13270142180094788</v>
      </c>
      <c r="O942" s="24"/>
      <c r="P942" s="12"/>
      <c r="Q942" s="12"/>
      <c r="R942" s="23">
        <f t="shared" si="2191"/>
        <v>645541</v>
      </c>
      <c r="S942" s="25">
        <f>(((H942+R942)/(H941+R941))-1)+detalle!$D$1</f>
        <v>7.1645352782897548E-2</v>
      </c>
      <c r="T942" s="25">
        <f t="shared" si="2184"/>
        <v>1.0030349389605657</v>
      </c>
      <c r="U942" s="10">
        <f t="shared" si="2190"/>
        <v>0.99257684781531752</v>
      </c>
      <c r="V942" s="21">
        <f t="shared" si="2185"/>
        <v>146.24931569343065</v>
      </c>
      <c r="W942" s="15">
        <f>J942/detalle!$D$2</f>
        <v>334686.43227569788</v>
      </c>
      <c r="X942" s="15">
        <f>E942/detalle!$D$2</f>
        <v>58934.435495253463</v>
      </c>
      <c r="Y942" s="15">
        <f>F942/detalle!$D$2</f>
        <v>399.98105929107919</v>
      </c>
      <c r="AA942" s="14">
        <f>E942/(detalle!$D$2*1000000)</f>
        <v>5.8934435495253464E-2</v>
      </c>
      <c r="AB942" s="14">
        <f>F942/(detalle!$D$2*1000000)</f>
        <v>3.999810592910792E-4</v>
      </c>
      <c r="AC942" s="31">
        <f>4/585</f>
        <v>6.8376068376068376E-3</v>
      </c>
      <c r="AD942" s="31">
        <f>26/2373</f>
        <v>1.0956595027391488E-2</v>
      </c>
      <c r="AE942" s="31">
        <f>0/469</f>
        <v>0</v>
      </c>
      <c r="AF942" s="22">
        <f t="shared" si="2187"/>
        <v>0</v>
      </c>
      <c r="AG942" s="12">
        <v>7281279</v>
      </c>
      <c r="AH942" s="12">
        <v>6044999</v>
      </c>
      <c r="AI942" s="12">
        <v>2463533</v>
      </c>
      <c r="AJ942" s="23">
        <f t="shared" si="2188"/>
        <v>3579</v>
      </c>
      <c r="AK942" s="23">
        <f t="shared" si="2189"/>
        <v>15789811</v>
      </c>
      <c r="AL942" s="28">
        <f>AK942/detalle!$D$2</f>
        <v>1440607.9675606603</v>
      </c>
    </row>
    <row r="943" spans="1:38">
      <c r="A943" s="12">
        <v>942</v>
      </c>
      <c r="B943" s="19">
        <v>44832</v>
      </c>
      <c r="C943" s="12">
        <v>924</v>
      </c>
      <c r="D943" s="23">
        <f>E943-E942</f>
        <v>130</v>
      </c>
      <c r="E943" s="12">
        <v>646082</v>
      </c>
      <c r="F943" s="12">
        <v>4384</v>
      </c>
      <c r="G943" s="12">
        <v>641304</v>
      </c>
      <c r="H943" s="23">
        <f t="shared" si="2178"/>
        <v>394</v>
      </c>
      <c r="I943" s="23">
        <f t="shared" si="2193"/>
        <v>993</v>
      </c>
      <c r="J943" s="12">
        <v>3669330</v>
      </c>
      <c r="K943" s="23">
        <f t="shared" si="2180"/>
        <v>3023248</v>
      </c>
      <c r="L943" s="23">
        <f t="shared" si="2194"/>
        <v>147</v>
      </c>
      <c r="M943" s="14">
        <f t="shared" si="2139"/>
        <v>6.7855163895604587E-3</v>
      </c>
      <c r="N943" s="14">
        <f t="shared" si="2195"/>
        <v>0.13091641490433031</v>
      </c>
      <c r="O943" s="24"/>
      <c r="P943" s="12"/>
      <c r="Q943" s="12"/>
      <c r="R943" s="23">
        <f t="shared" si="2191"/>
        <v>645688</v>
      </c>
      <c r="S943" s="25">
        <f>(((H943+R943)/(H942+R942))-1)+detalle!$D$1</f>
        <v>7.1629824772473177E-2</v>
      </c>
      <c r="T943" s="25">
        <f t="shared" si="2184"/>
        <v>1.0028175468146245</v>
      </c>
      <c r="U943" s="10">
        <f t="shared" si="2190"/>
        <v>0.99260465389842156</v>
      </c>
      <c r="V943" s="21">
        <f t="shared" si="2185"/>
        <v>146.28284671532847</v>
      </c>
      <c r="W943" s="15">
        <f>J943/detalle!$D$2</f>
        <v>334777.03017530468</v>
      </c>
      <c r="X943" s="15">
        <f>E943/detalle!$D$2</f>
        <v>58946.296247467842</v>
      </c>
      <c r="Y943" s="15">
        <f>F943/detalle!$D$2</f>
        <v>399.98105929107919</v>
      </c>
      <c r="AA943" s="14">
        <f>E943/(detalle!$D$2*1000000)</f>
        <v>5.894629624746784E-2</v>
      </c>
      <c r="AB943" s="14">
        <f>F943/(detalle!$D$2*1000000)</f>
        <v>3.999810592910792E-4</v>
      </c>
      <c r="AC943" s="31">
        <f>6/585</f>
        <v>1.0256410256410256E-2</v>
      </c>
      <c r="AD943" s="31">
        <f>21/2373</f>
        <v>8.8495575221238937E-3</v>
      </c>
      <c r="AE943" s="31">
        <f>0/469</f>
        <v>0</v>
      </c>
      <c r="AF943" s="22">
        <f t="shared" si="2187"/>
        <v>0</v>
      </c>
      <c r="AG943" s="12">
        <v>7281696</v>
      </c>
      <c r="AH943" s="12">
        <v>6045612</v>
      </c>
      <c r="AI943" s="12">
        <v>2464531</v>
      </c>
      <c r="AJ943" s="23">
        <f t="shared" si="2188"/>
        <v>2028</v>
      </c>
      <c r="AK943" s="23">
        <f t="shared" si="2189"/>
        <v>15791839</v>
      </c>
      <c r="AL943" s="28">
        <f>AK943/detalle!$D$2</f>
        <v>1440792.9952952047</v>
      </c>
    </row>
    <row r="944" spans="1:38">
      <c r="A944" s="12">
        <v>943</v>
      </c>
      <c r="B944" s="19">
        <v>44833</v>
      </c>
      <c r="C944" s="12">
        <v>925</v>
      </c>
      <c r="D944" s="23">
        <f t="shared" ref="D944:D959" si="2197">E944-E943</f>
        <v>127</v>
      </c>
      <c r="E944" s="12">
        <v>646209</v>
      </c>
      <c r="F944" s="12">
        <v>4384</v>
      </c>
      <c r="G944" s="12">
        <v>641402</v>
      </c>
      <c r="H944" s="23">
        <f t="shared" si="2178"/>
        <v>423</v>
      </c>
      <c r="I944" s="23">
        <f t="shared" si="2193"/>
        <v>1283</v>
      </c>
      <c r="J944" s="12">
        <v>3670613</v>
      </c>
      <c r="K944" s="23">
        <f t="shared" si="2180"/>
        <v>3024404</v>
      </c>
      <c r="L944" s="23">
        <f t="shared" si="2194"/>
        <v>98</v>
      </c>
      <c r="M944" s="14">
        <f t="shared" si="2139"/>
        <v>6.784182826299231E-3</v>
      </c>
      <c r="N944" s="14">
        <f t="shared" si="2195"/>
        <v>9.89867498051442E-2</v>
      </c>
      <c r="O944" s="24"/>
      <c r="P944" s="12"/>
      <c r="Q944" s="12"/>
      <c r="R944" s="23">
        <f t="shared" si="2191"/>
        <v>645786</v>
      </c>
      <c r="S944" s="25">
        <f>(((H944+R944)/(H943+R943))-1)+detalle!$D$1</f>
        <v>7.162514090427255E-2</v>
      </c>
      <c r="T944" s="25">
        <f t="shared" si="2184"/>
        <v>1.0027519726598157</v>
      </c>
      <c r="U944" s="10">
        <f t="shared" si="2190"/>
        <v>0.99256123019023257</v>
      </c>
      <c r="V944" s="21">
        <f t="shared" si="2185"/>
        <v>146.30520072992701</v>
      </c>
      <c r="W944" s="15">
        <f>J944/detalle!$D$2</f>
        <v>334894.08667600504</v>
      </c>
      <c r="X944" s="15">
        <f>E944/detalle!$D$2</f>
        <v>58957.883290015736</v>
      </c>
      <c r="Y944" s="15">
        <f>F944/detalle!$D$2</f>
        <v>399.98105929107919</v>
      </c>
      <c r="AA944" s="14">
        <f>E944/(detalle!$D$2*1000000)</f>
        <v>5.8957883290015736E-2</v>
      </c>
      <c r="AB944" s="14">
        <f>F944/(detalle!$D$2*1000000)</f>
        <v>3.999810592910792E-4</v>
      </c>
      <c r="AC944" s="31">
        <f>7/585</f>
        <v>1.1965811965811967E-2</v>
      </c>
      <c r="AD944" s="31">
        <f>17/2373</f>
        <v>7.1639275179098188E-3</v>
      </c>
      <c r="AE944" s="31">
        <f>0/469</f>
        <v>0</v>
      </c>
      <c r="AF944" s="22">
        <f t="shared" si="2187"/>
        <v>0</v>
      </c>
      <c r="AG944" s="12">
        <v>7282116</v>
      </c>
      <c r="AH944" s="12">
        <v>6046147</v>
      </c>
      <c r="AI944" s="12">
        <v>2465398</v>
      </c>
      <c r="AJ944" s="23">
        <f t="shared" si="2188"/>
        <v>1822</v>
      </c>
      <c r="AK944" s="23">
        <f>AG944+AH944+AI944</f>
        <v>15793661</v>
      </c>
      <c r="AL944" s="28">
        <f>AK944/detalle!$D$2</f>
        <v>1440959.228299317</v>
      </c>
    </row>
    <row r="945" spans="1:38">
      <c r="A945" s="12">
        <v>944</v>
      </c>
      <c r="B945" s="19">
        <v>44834</v>
      </c>
      <c r="C945" s="12">
        <v>926</v>
      </c>
      <c r="D945" s="23">
        <f t="shared" si="2197"/>
        <v>134</v>
      </c>
      <c r="E945" s="12">
        <v>646343</v>
      </c>
      <c r="F945" s="12">
        <v>4384</v>
      </c>
      <c r="G945" s="12">
        <v>641521</v>
      </c>
      <c r="H945" s="23">
        <f t="shared" si="2178"/>
        <v>438</v>
      </c>
      <c r="I945" s="23">
        <f t="shared" si="2193"/>
        <v>1547</v>
      </c>
      <c r="J945" s="12">
        <v>3672160</v>
      </c>
      <c r="K945" s="23">
        <f t="shared" si="2180"/>
        <v>3025817</v>
      </c>
      <c r="L945" s="23">
        <f t="shared" si="2194"/>
        <v>119</v>
      </c>
      <c r="M945" s="14">
        <f t="shared" si="2139"/>
        <v>6.7827763277392965E-3</v>
      </c>
      <c r="N945" s="14">
        <f t="shared" si="2195"/>
        <v>8.6619263089851323E-2</v>
      </c>
      <c r="O945" s="24"/>
      <c r="P945" s="12"/>
      <c r="Q945" s="12"/>
      <c r="R945" s="23">
        <f t="shared" si="2191"/>
        <v>645905</v>
      </c>
      <c r="S945" s="25">
        <f>(((H945+R945)/(H944+R944))-1)+detalle!$D$1</f>
        <v>7.1635934681017616E-2</v>
      </c>
      <c r="T945" s="25">
        <f t="shared" si="2184"/>
        <v>1.0029030855342467</v>
      </c>
      <c r="U945" s="10">
        <f t="shared" si="2190"/>
        <v>0.99253956490594009</v>
      </c>
      <c r="V945" s="21">
        <f t="shared" si="2185"/>
        <v>146.33234489051094</v>
      </c>
      <c r="W945" s="15">
        <f>J945/detalle!$D$2</f>
        <v>335035.22962735617</v>
      </c>
      <c r="X945" s="15">
        <f>E945/detalle!$D$2</f>
        <v>58970.108988452099</v>
      </c>
      <c r="Y945" s="15">
        <f>F945/detalle!$D$2</f>
        <v>399.98105929107919</v>
      </c>
      <c r="AA945" s="14">
        <f>E945/(detalle!$D$2*1000000)</f>
        <v>5.8970108988452098E-2</v>
      </c>
      <c r="AB945" s="14">
        <f>F945/(detalle!$D$2*1000000)</f>
        <v>3.999810592910792E-4</v>
      </c>
      <c r="AC945" s="31">
        <f>5/585</f>
        <v>8.5470085470085479E-3</v>
      </c>
      <c r="AD945" s="31">
        <f>20/2373</f>
        <v>8.4281500210703752E-3</v>
      </c>
      <c r="AE945" s="31">
        <f t="shared" ref="AE945:AE1007" si="2198">0/469</f>
        <v>0</v>
      </c>
      <c r="AF945" s="22">
        <f t="shared" si="2187"/>
        <v>0</v>
      </c>
      <c r="AG945" s="12">
        <v>7282511</v>
      </c>
      <c r="AH945" s="12">
        <v>6046737</v>
      </c>
      <c r="AI945" s="12">
        <v>2466463</v>
      </c>
      <c r="AJ945" s="23">
        <f t="shared" si="2188"/>
        <v>2050</v>
      </c>
      <c r="AK945" s="23">
        <f t="shared" ref="AK945:AK1007" si="2199">AG945+AH945+AI945</f>
        <v>15795711</v>
      </c>
      <c r="AL945" s="28">
        <f>AK945/detalle!$D$2</f>
        <v>1441146.2632380822</v>
      </c>
    </row>
    <row r="946" spans="1:38">
      <c r="A946" s="12">
        <v>945</v>
      </c>
      <c r="B946" s="19">
        <v>44835</v>
      </c>
      <c r="C946" s="12">
        <v>927</v>
      </c>
      <c r="D946" s="23">
        <f t="shared" si="2197"/>
        <v>99</v>
      </c>
      <c r="E946" s="12">
        <v>646442</v>
      </c>
      <c r="F946" s="12">
        <v>4384</v>
      </c>
      <c r="G946" s="12">
        <v>641571</v>
      </c>
      <c r="H946" s="23">
        <f t="shared" si="2178"/>
        <v>487</v>
      </c>
      <c r="I946" s="23">
        <f t="shared" si="2193"/>
        <v>1058</v>
      </c>
      <c r="J946" s="12">
        <v>3673218</v>
      </c>
      <c r="K946" s="23">
        <f t="shared" si="2180"/>
        <v>3026776</v>
      </c>
      <c r="L946" s="23">
        <f t="shared" si="2194"/>
        <v>50</v>
      </c>
      <c r="M946" s="14">
        <f t="shared" si="2139"/>
        <v>6.7817375727443454E-3</v>
      </c>
      <c r="N946" s="14">
        <f t="shared" si="2195"/>
        <v>9.3572778827977321E-2</v>
      </c>
      <c r="O946" s="24"/>
      <c r="P946" s="12"/>
      <c r="Q946" s="12"/>
      <c r="R946" s="23">
        <f t="shared" si="2191"/>
        <v>645955</v>
      </c>
      <c r="S946" s="25">
        <f>(((H946+R946)/(H945+R945))-1)+detalle!$D$1</f>
        <v>7.1581740875753558E-2</v>
      </c>
      <c r="T946" s="25">
        <f t="shared" si="2184"/>
        <v>1.0021443722605499</v>
      </c>
      <c r="U946" s="10">
        <f t="shared" si="2190"/>
        <v>0.99246490791130526</v>
      </c>
      <c r="V946" s="21">
        <f t="shared" si="2185"/>
        <v>146.34375</v>
      </c>
      <c r="W946" s="15">
        <f>J946/detalle!$D$2</f>
        <v>335131.75790307013</v>
      </c>
      <c r="X946" s="15">
        <f>E946/detalle!$D$2</f>
        <v>58979.141407446128</v>
      </c>
      <c r="Y946" s="15">
        <f>F946/detalle!$D$2</f>
        <v>399.98105929107919</v>
      </c>
      <c r="AA946" s="14">
        <f>E946/(detalle!$D$2*1000000)</f>
        <v>5.8979141407446124E-2</v>
      </c>
      <c r="AB946" s="14">
        <f>F946/(detalle!$D$2*1000000)</f>
        <v>3.999810592910792E-4</v>
      </c>
      <c r="AC946" s="31">
        <f>4/585</f>
        <v>6.8376068376068376E-3</v>
      </c>
      <c r="AD946" s="31">
        <f>28/2373</f>
        <v>1.1799410029498525E-2</v>
      </c>
      <c r="AE946" s="31">
        <f t="shared" si="2198"/>
        <v>0</v>
      </c>
      <c r="AF946" s="22">
        <f t="shared" si="2187"/>
        <v>0</v>
      </c>
      <c r="AG946" s="12">
        <v>7282727</v>
      </c>
      <c r="AH946" s="12">
        <v>6047031</v>
      </c>
      <c r="AI946" s="12">
        <v>2466865</v>
      </c>
      <c r="AJ946" s="23">
        <f t="shared" si="2188"/>
        <v>912</v>
      </c>
      <c r="AK946" s="23">
        <f t="shared" si="2199"/>
        <v>15796623</v>
      </c>
      <c r="AL946" s="28">
        <f>AK946/detalle!$D$2</f>
        <v>1441229.4709766938</v>
      </c>
    </row>
    <row r="947" spans="1:38">
      <c r="A947" s="12">
        <v>946</v>
      </c>
      <c r="B947" s="19">
        <v>44836</v>
      </c>
      <c r="C947" s="12">
        <v>928</v>
      </c>
      <c r="D947" s="23">
        <f t="shared" si="2197"/>
        <v>80</v>
      </c>
      <c r="E947" s="12">
        <v>646522</v>
      </c>
      <c r="F947" s="12">
        <v>4384</v>
      </c>
      <c r="G947" s="12">
        <v>641652</v>
      </c>
      <c r="H947" s="23">
        <f t="shared" si="2178"/>
        <v>486</v>
      </c>
      <c r="I947" s="23">
        <f t="shared" si="2193"/>
        <v>578</v>
      </c>
      <c r="J947" s="12">
        <v>3673796</v>
      </c>
      <c r="K947" s="23">
        <f t="shared" si="2180"/>
        <v>3027274</v>
      </c>
      <c r="L947" s="23">
        <f t="shared" si="2194"/>
        <v>81</v>
      </c>
      <c r="M947" s="14">
        <f t="shared" si="2139"/>
        <v>6.7808984071694393E-3</v>
      </c>
      <c r="N947" s="14">
        <f t="shared" si="2195"/>
        <v>0.13840830449826991</v>
      </c>
      <c r="O947" s="24"/>
      <c r="P947" s="12"/>
      <c r="Q947" s="12"/>
      <c r="R947" s="23">
        <f t="shared" si="2191"/>
        <v>646036</v>
      </c>
      <c r="S947" s="25">
        <f>(((H947+R947)/(H946+R946))-1)+detalle!$D$1</f>
        <v>7.1552325763840435E-2</v>
      </c>
      <c r="T947" s="25">
        <f t="shared" si="2184"/>
        <v>1.0017325606937661</v>
      </c>
      <c r="U947" s="10">
        <f t="shared" si="2190"/>
        <v>0.99246738703400661</v>
      </c>
      <c r="V947" s="21">
        <f t="shared" si="2185"/>
        <v>146.36222627737226</v>
      </c>
      <c r="W947" s="15">
        <f>J947/detalle!$D$2</f>
        <v>335184.49263214634</v>
      </c>
      <c r="X947" s="15">
        <f>E947/detalle!$D$2</f>
        <v>58986.440331885744</v>
      </c>
      <c r="Y947" s="15">
        <f>F947/detalle!$D$2</f>
        <v>399.98105929107919</v>
      </c>
      <c r="AA947" s="14">
        <f>E947/(detalle!$D$2*1000000)</f>
        <v>5.8986440331885742E-2</v>
      </c>
      <c r="AB947" s="14">
        <f>F947/(detalle!$D$2*1000000)</f>
        <v>3.999810592910792E-4</v>
      </c>
      <c r="AC947" s="31">
        <f>4/585</f>
        <v>6.8376068376068376E-3</v>
      </c>
      <c r="AD947" s="31">
        <f>32/2373</f>
        <v>1.3485040033712601E-2</v>
      </c>
      <c r="AE947" s="31">
        <f t="shared" si="2198"/>
        <v>0</v>
      </c>
      <c r="AF947" s="22">
        <f t="shared" si="2187"/>
        <v>0</v>
      </c>
      <c r="AG947" s="12">
        <v>7282727</v>
      </c>
      <c r="AH947" s="12">
        <v>6047031</v>
      </c>
      <c r="AI947" s="12">
        <v>2466865</v>
      </c>
      <c r="AJ947" s="23">
        <f t="shared" si="2188"/>
        <v>0</v>
      </c>
      <c r="AK947" s="23">
        <f t="shared" si="2199"/>
        <v>15796623</v>
      </c>
      <c r="AL947" s="28">
        <f>AK947/detalle!$D$2</f>
        <v>1441229.4709766938</v>
      </c>
    </row>
    <row r="948" spans="1:38">
      <c r="A948" s="12">
        <v>947</v>
      </c>
      <c r="B948" s="19">
        <v>44837</v>
      </c>
      <c r="C948" s="12">
        <v>929</v>
      </c>
      <c r="D948" s="23">
        <f t="shared" si="2197"/>
        <v>100</v>
      </c>
      <c r="E948" s="12">
        <v>646622</v>
      </c>
      <c r="F948" s="12">
        <v>4384</v>
      </c>
      <c r="G948" s="12">
        <v>641727</v>
      </c>
      <c r="H948" s="23">
        <f t="shared" si="2178"/>
        <v>511</v>
      </c>
      <c r="I948" s="23">
        <f t="shared" si="2193"/>
        <v>927</v>
      </c>
      <c r="J948" s="12">
        <v>3674723</v>
      </c>
      <c r="K948" s="23">
        <f t="shared" si="2180"/>
        <v>3028101</v>
      </c>
      <c r="L948" s="23">
        <f t="shared" si="2194"/>
        <v>75</v>
      </c>
      <c r="M948" s="14">
        <f t="shared" si="2139"/>
        <v>6.779849742198688E-3</v>
      </c>
      <c r="N948" s="14">
        <f t="shared" si="2195"/>
        <v>0.10787486515641856</v>
      </c>
      <c r="O948" s="24"/>
      <c r="P948" s="12"/>
      <c r="Q948" s="12"/>
      <c r="R948" s="23">
        <f t="shared" si="2191"/>
        <v>646111</v>
      </c>
      <c r="S948" s="25">
        <f>(((H948+R948)/(H947+R947))-1)+detalle!$D$1</f>
        <v>7.1583245206107177E-2</v>
      </c>
      <c r="T948" s="25">
        <f t="shared" si="2184"/>
        <v>1.0021654328855005</v>
      </c>
      <c r="U948" s="10">
        <f t="shared" si="2190"/>
        <v>0.992429889487212</v>
      </c>
      <c r="V948" s="21">
        <f t="shared" si="2185"/>
        <v>146.37933394160584</v>
      </c>
      <c r="W948" s="15">
        <f>J948/detalle!$D$2</f>
        <v>335269.06891909044</v>
      </c>
      <c r="X948" s="15">
        <f>E948/detalle!$D$2</f>
        <v>58995.563987435271</v>
      </c>
      <c r="Y948" s="15">
        <f>F948/detalle!$D$2</f>
        <v>399.98105929107919</v>
      </c>
      <c r="AA948" s="14">
        <f>E948/(detalle!$D$2*1000000)</f>
        <v>5.8995563987435266E-2</v>
      </c>
      <c r="AB948" s="14">
        <f>F948/(detalle!$D$2*1000000)</f>
        <v>3.999810592910792E-4</v>
      </c>
      <c r="AC948" s="31">
        <f>5/585</f>
        <v>8.5470085470085479E-3</v>
      </c>
      <c r="AD948" s="31">
        <f>20/2373</f>
        <v>8.4281500210703752E-3</v>
      </c>
      <c r="AE948" s="31">
        <f t="shared" si="2198"/>
        <v>0</v>
      </c>
      <c r="AF948" s="22">
        <f t="shared" si="2187"/>
        <v>0</v>
      </c>
      <c r="AG948" s="12">
        <v>7283196</v>
      </c>
      <c r="AH948" s="12">
        <v>6047681</v>
      </c>
      <c r="AI948" s="12">
        <v>2468035</v>
      </c>
      <c r="AJ948" s="23">
        <f t="shared" si="2188"/>
        <v>2289</v>
      </c>
      <c r="AK948" s="23">
        <f t="shared" si="2199"/>
        <v>15798912</v>
      </c>
      <c r="AL948" s="28">
        <f>AK948/detalle!$D$2</f>
        <v>1441438.3114522223</v>
      </c>
    </row>
    <row r="949" spans="1:38">
      <c r="A949" s="12">
        <v>948</v>
      </c>
      <c r="B949" s="19">
        <v>44838</v>
      </c>
      <c r="C949" s="12">
        <v>930</v>
      </c>
      <c r="D949" s="23">
        <f t="shared" si="2197"/>
        <v>116</v>
      </c>
      <c r="E949" s="12">
        <v>646738</v>
      </c>
      <c r="F949" s="12">
        <v>4384</v>
      </c>
      <c r="G949" s="12">
        <v>641816</v>
      </c>
      <c r="H949" s="23">
        <f t="shared" si="2178"/>
        <v>538</v>
      </c>
      <c r="I949" s="23">
        <f t="shared" si="2193"/>
        <v>1292</v>
      </c>
      <c r="J949" s="12">
        <v>3676015</v>
      </c>
      <c r="K949" s="23">
        <f t="shared" si="2180"/>
        <v>3029277</v>
      </c>
      <c r="L949" s="23">
        <f t="shared" si="2194"/>
        <v>89</v>
      </c>
      <c r="M949" s="14">
        <f t="shared" si="2139"/>
        <v>6.778633697107639E-3</v>
      </c>
      <c r="N949" s="14">
        <f t="shared" si="2195"/>
        <v>8.9783281733746126E-2</v>
      </c>
      <c r="O949" s="24"/>
      <c r="P949" s="12"/>
      <c r="Q949" s="12"/>
      <c r="R949" s="23">
        <f t="shared" si="2191"/>
        <v>646200</v>
      </c>
      <c r="S949" s="25">
        <f>(((H949+R949)/(H948+R948))-1)+detalle!$D$1</f>
        <v>7.1607965262990875E-2</v>
      </c>
      <c r="T949" s="25">
        <f t="shared" si="2184"/>
        <v>1.0025115136818723</v>
      </c>
      <c r="U949" s="10">
        <f t="shared" si="2190"/>
        <v>0.9923894993026543</v>
      </c>
      <c r="V949" s="21">
        <f t="shared" si="2185"/>
        <v>146.39963503649636</v>
      </c>
      <c r="W949" s="15">
        <f>J949/detalle!$D$2</f>
        <v>335386.94654879026</v>
      </c>
      <c r="X949" s="15">
        <f>E949/detalle!$D$2</f>
        <v>59006.147427872718</v>
      </c>
      <c r="Y949" s="15">
        <f>F949/detalle!$D$2</f>
        <v>399.98105929107919</v>
      </c>
      <c r="AA949" s="14">
        <f>E949/(detalle!$D$2*1000000)</f>
        <v>5.9006147427872711E-2</v>
      </c>
      <c r="AB949" s="14">
        <f>F949/(detalle!$D$2*1000000)</f>
        <v>3.999810592910792E-4</v>
      </c>
      <c r="AC949" s="31">
        <f>7/585</f>
        <v>1.1965811965811967E-2</v>
      </c>
      <c r="AD949" s="31">
        <f>15/2373</f>
        <v>6.321112515802781E-3</v>
      </c>
      <c r="AE949" s="31">
        <f t="shared" si="2198"/>
        <v>0</v>
      </c>
      <c r="AF949" s="22">
        <f t="shared" si="2187"/>
        <v>0</v>
      </c>
      <c r="AG949" s="12">
        <v>7283552</v>
      </c>
      <c r="AH949" s="12">
        <v>6048155</v>
      </c>
      <c r="AI949" s="12">
        <v>2468987</v>
      </c>
      <c r="AJ949" s="23">
        <f t="shared" si="2188"/>
        <v>1782</v>
      </c>
      <c r="AK949" s="23">
        <f t="shared" si="2199"/>
        <v>15800694</v>
      </c>
      <c r="AL949" s="28">
        <f>AK949/detalle!$D$2</f>
        <v>1441600.8949941148</v>
      </c>
    </row>
    <row r="950" spans="1:38">
      <c r="A950" s="12">
        <v>949</v>
      </c>
      <c r="B950" s="19">
        <v>44839</v>
      </c>
      <c r="C950" s="12">
        <v>931</v>
      </c>
      <c r="D950" s="23">
        <f t="shared" si="2197"/>
        <v>81</v>
      </c>
      <c r="E950" s="12">
        <v>646819</v>
      </c>
      <c r="F950" s="12">
        <v>4384</v>
      </c>
      <c r="G950" s="12">
        <v>641891</v>
      </c>
      <c r="H950" s="23">
        <f t="shared" si="2178"/>
        <v>544</v>
      </c>
      <c r="I950" s="23">
        <f t="shared" si="2193"/>
        <v>1202</v>
      </c>
      <c r="J950" s="12">
        <v>3677217</v>
      </c>
      <c r="K950" s="23">
        <f t="shared" si="2180"/>
        <v>3030398</v>
      </c>
      <c r="L950" s="23">
        <f t="shared" si="2194"/>
        <v>75</v>
      </c>
      <c r="M950" s="14">
        <f t="shared" si="2139"/>
        <v>6.7777848207922157E-3</v>
      </c>
      <c r="N950" s="14">
        <f t="shared" si="2195"/>
        <v>6.7387687188019962E-2</v>
      </c>
      <c r="O950" s="24"/>
      <c r="P950" s="12"/>
      <c r="Q950" s="12"/>
      <c r="R950" s="23">
        <f t="shared" si="2191"/>
        <v>646275</v>
      </c>
      <c r="S950" s="25">
        <f>(((H950+R950)/(H949+R949))-1)+detalle!$D$1</f>
        <v>7.1553815344964217E-2</v>
      </c>
      <c r="T950" s="25">
        <f t="shared" si="2184"/>
        <v>1.0017534148294991</v>
      </c>
      <c r="U950" s="10">
        <f t="shared" si="2190"/>
        <v>0.99238117618684674</v>
      </c>
      <c r="V950" s="21">
        <f t="shared" si="2185"/>
        <v>146.41674270072994</v>
      </c>
      <c r="W950" s="15">
        <f>J950/detalle!$D$2</f>
        <v>335496.61288849555</v>
      </c>
      <c r="X950" s="15">
        <f>E950/detalle!$D$2</f>
        <v>59013.537588867825</v>
      </c>
      <c r="Y950" s="15">
        <f>F950/detalle!$D$2</f>
        <v>399.98105929107919</v>
      </c>
      <c r="AA950" s="14">
        <f>E950/(detalle!$D$2*1000000)</f>
        <v>5.9013537588867827E-2</v>
      </c>
      <c r="AB950" s="14">
        <f>F950/(detalle!$D$2*1000000)</f>
        <v>3.999810592910792E-4</v>
      </c>
      <c r="AC950" s="31">
        <f>8/585</f>
        <v>1.3675213675213675E-2</v>
      </c>
      <c r="AD950" s="31">
        <f>9/2373</f>
        <v>3.7926675094816687E-3</v>
      </c>
      <c r="AE950" s="31">
        <f t="shared" si="2198"/>
        <v>0</v>
      </c>
      <c r="AF950" s="22">
        <f t="shared" si="2187"/>
        <v>0</v>
      </c>
      <c r="AG950" s="12">
        <v>7283886</v>
      </c>
      <c r="AH950" s="12">
        <v>6048739</v>
      </c>
      <c r="AI950" s="12">
        <v>2469949</v>
      </c>
      <c r="AJ950" s="23">
        <f t="shared" si="2188"/>
        <v>1880</v>
      </c>
      <c r="AK950" s="23">
        <f t="shared" si="2199"/>
        <v>15802574</v>
      </c>
      <c r="AL950" s="28">
        <f>AK950/detalle!$D$2</f>
        <v>1441772.4197184457</v>
      </c>
    </row>
    <row r="951" spans="1:38">
      <c r="A951" s="12">
        <v>950</v>
      </c>
      <c r="B951" s="19">
        <v>44840</v>
      </c>
      <c r="C951" s="12">
        <v>932</v>
      </c>
      <c r="D951" s="23">
        <f t="shared" si="2197"/>
        <v>39</v>
      </c>
      <c r="E951" s="12">
        <v>646858</v>
      </c>
      <c r="F951" s="12">
        <v>4384</v>
      </c>
      <c r="G951" s="12">
        <v>641942</v>
      </c>
      <c r="H951" s="23">
        <f t="shared" si="2178"/>
        <v>532</v>
      </c>
      <c r="I951" s="23">
        <f t="shared" si="2193"/>
        <v>813</v>
      </c>
      <c r="J951" s="12">
        <v>3678030</v>
      </c>
      <c r="K951" s="23">
        <f t="shared" si="2180"/>
        <v>3031172</v>
      </c>
      <c r="L951" s="23">
        <f t="shared" si="2194"/>
        <v>51</v>
      </c>
      <c r="M951" s="14">
        <f t="shared" si="2139"/>
        <v>6.7773761783884558E-3</v>
      </c>
      <c r="N951" s="14">
        <f t="shared" si="2195"/>
        <v>4.797047970479705E-2</v>
      </c>
      <c r="O951" s="24"/>
      <c r="P951" s="12"/>
      <c r="Q951" s="12"/>
      <c r="R951" s="23">
        <f t="shared" si="2191"/>
        <v>646326</v>
      </c>
      <c r="S951" s="25">
        <f>(((H951+R951)/(H950+R950))-1)+detalle!$D$1</f>
        <v>7.1488866503391507E-2</v>
      </c>
      <c r="T951" s="25">
        <f t="shared" si="2184"/>
        <v>1.0008441310474812</v>
      </c>
      <c r="U951" s="10">
        <f t="shared" si="2190"/>
        <v>0.9924001867488691</v>
      </c>
      <c r="V951" s="21">
        <f t="shared" si="2185"/>
        <v>146.42837591240877</v>
      </c>
      <c r="W951" s="15">
        <f>J951/detalle!$D$2</f>
        <v>335570.78820811317</v>
      </c>
      <c r="X951" s="15">
        <f>E951/detalle!$D$2</f>
        <v>59017.095814532142</v>
      </c>
      <c r="Y951" s="15">
        <f>F951/detalle!$D$2</f>
        <v>399.98105929107919</v>
      </c>
      <c r="AA951" s="14">
        <f>E951/(detalle!$D$2*1000000)</f>
        <v>5.9017095814532142E-2</v>
      </c>
      <c r="AB951" s="14">
        <f>F951/(detalle!$D$2*1000000)</f>
        <v>3.999810592910792E-4</v>
      </c>
      <c r="AC951" s="31">
        <f>8/585</f>
        <v>1.3675213675213675E-2</v>
      </c>
      <c r="AD951" s="31">
        <f>12/2373</f>
        <v>5.0568900126422255E-3</v>
      </c>
      <c r="AE951" s="31">
        <f t="shared" si="2198"/>
        <v>0</v>
      </c>
      <c r="AF951" s="22">
        <f t="shared" si="2187"/>
        <v>0</v>
      </c>
      <c r="AG951" s="12">
        <v>7284226</v>
      </c>
      <c r="AH951" s="12">
        <v>6049192</v>
      </c>
      <c r="AI951" s="12">
        <v>2470981</v>
      </c>
      <c r="AJ951" s="23">
        <f t="shared" si="2188"/>
        <v>1825</v>
      </c>
      <c r="AK951" s="23">
        <f t="shared" si="2199"/>
        <v>15804399</v>
      </c>
      <c r="AL951" s="28">
        <f>AK951/detalle!$D$2</f>
        <v>1441938.9264322247</v>
      </c>
    </row>
    <row r="952" spans="1:38">
      <c r="A952" s="12">
        <v>951</v>
      </c>
      <c r="B952" s="19">
        <v>44841</v>
      </c>
      <c r="C952" s="12">
        <v>933</v>
      </c>
      <c r="D952" s="23">
        <f t="shared" si="2197"/>
        <v>26</v>
      </c>
      <c r="E952" s="12">
        <v>646884</v>
      </c>
      <c r="F952" s="12">
        <v>4384</v>
      </c>
      <c r="G952" s="12">
        <v>642263</v>
      </c>
      <c r="H952" s="23">
        <f t="shared" si="2178"/>
        <v>237</v>
      </c>
      <c r="I952" s="23">
        <f t="shared" si="2193"/>
        <v>1689</v>
      </c>
      <c r="J952" s="12">
        <v>3679719</v>
      </c>
      <c r="K952" s="23">
        <f t="shared" si="2180"/>
        <v>3032835</v>
      </c>
      <c r="L952" s="23">
        <f t="shared" si="2194"/>
        <v>321</v>
      </c>
      <c r="M952" s="14">
        <f t="shared" si="2139"/>
        <v>6.7771037774933375E-3</v>
      </c>
      <c r="N952" s="14">
        <f t="shared" si="2195"/>
        <v>1.5393724097098875E-2</v>
      </c>
      <c r="O952" s="24"/>
      <c r="P952" s="12"/>
      <c r="Q952" s="12"/>
      <c r="R952" s="23">
        <f t="shared" si="2191"/>
        <v>646647</v>
      </c>
      <c r="S952" s="25">
        <f>(((H952+R952)/(H951+R951))-1)+detalle!$D$1</f>
        <v>7.1468765721600241E-2</v>
      </c>
      <c r="T952" s="25">
        <f t="shared" si="2184"/>
        <v>1.0005627201024034</v>
      </c>
      <c r="U952" s="10">
        <f t="shared" si="2190"/>
        <v>0.99285652450825801</v>
      </c>
      <c r="V952" s="21">
        <f t="shared" si="2185"/>
        <v>146.50159671532847</v>
      </c>
      <c r="W952" s="15">
        <f>J952/detalle!$D$2</f>
        <v>335724.88675034459</v>
      </c>
      <c r="X952" s="15">
        <f>E952/detalle!$D$2</f>
        <v>59019.467964975018</v>
      </c>
      <c r="Y952" s="15">
        <f>F952/detalle!$D$2</f>
        <v>399.98105929107919</v>
      </c>
      <c r="AA952" s="14">
        <f>E952/(detalle!$D$2*1000000)</f>
        <v>5.9019467964975016E-2</v>
      </c>
      <c r="AB952" s="14">
        <f>F952/(detalle!$D$2*1000000)</f>
        <v>3.999810592910792E-4</v>
      </c>
      <c r="AC952" s="31">
        <f>1/585</f>
        <v>1.7094017094017094E-3</v>
      </c>
      <c r="AD952" s="31">
        <f>13/2373</f>
        <v>5.478297513695744E-3</v>
      </c>
      <c r="AE952" s="31">
        <f t="shared" si="2198"/>
        <v>0</v>
      </c>
      <c r="AF952" s="22">
        <f t="shared" si="2187"/>
        <v>0</v>
      </c>
      <c r="AG952" s="12">
        <v>7284565</v>
      </c>
      <c r="AH952" s="12">
        <v>6049665</v>
      </c>
      <c r="AI952" s="12">
        <v>2471865</v>
      </c>
      <c r="AJ952" s="23">
        <f t="shared" si="2188"/>
        <v>1696</v>
      </c>
      <c r="AK952" s="23">
        <f t="shared" si="2199"/>
        <v>15806095</v>
      </c>
      <c r="AL952" s="28">
        <f>AK952/detalle!$D$2</f>
        <v>1442093.6636303444</v>
      </c>
    </row>
    <row r="953" spans="1:38">
      <c r="A953" s="12">
        <v>952</v>
      </c>
      <c r="B953" s="19">
        <v>44842</v>
      </c>
      <c r="C953" s="12">
        <v>934</v>
      </c>
      <c r="D953" s="23">
        <f t="shared" si="2197"/>
        <v>101</v>
      </c>
      <c r="E953" s="12">
        <v>646985</v>
      </c>
      <c r="F953" s="12">
        <v>4384</v>
      </c>
      <c r="G953" s="12">
        <v>642257</v>
      </c>
      <c r="H953" s="23">
        <f t="shared" si="2178"/>
        <v>344</v>
      </c>
      <c r="I953" s="23">
        <f t="shared" si="2193"/>
        <v>1391</v>
      </c>
      <c r="J953" s="12">
        <v>3681110</v>
      </c>
      <c r="K953" s="23">
        <f t="shared" si="2180"/>
        <v>3034125</v>
      </c>
      <c r="L953" s="23">
        <f t="shared" si="2194"/>
        <v>-6</v>
      </c>
      <c r="M953" s="14">
        <f t="shared" si="2139"/>
        <v>6.776045812499517E-3</v>
      </c>
      <c r="N953" s="14">
        <f t="shared" si="2195"/>
        <v>7.2609633357296907E-2</v>
      </c>
      <c r="O953" s="24"/>
      <c r="P953" s="12"/>
      <c r="Q953" s="12"/>
      <c r="R953" s="23">
        <f t="shared" si="2191"/>
        <v>646641</v>
      </c>
      <c r="S953" s="25">
        <f>(((H953+R953)/(H952+R952))-1)+detalle!$D$1</f>
        <v>7.1584704521985315E-2</v>
      </c>
      <c r="T953" s="25">
        <f t="shared" si="2184"/>
        <v>1.0021858633077945</v>
      </c>
      <c r="U953" s="10">
        <f t="shared" si="2190"/>
        <v>0.9926922571620671</v>
      </c>
      <c r="V953" s="21">
        <f t="shared" si="2185"/>
        <v>146.50022810218979</v>
      </c>
      <c r="W953" s="15">
        <f>J953/detalle!$D$2</f>
        <v>335851.79679903842</v>
      </c>
      <c r="X953" s="15">
        <f>E953/detalle!$D$2</f>
        <v>59028.682857080035</v>
      </c>
      <c r="Y953" s="15">
        <f>F953/detalle!$D$2</f>
        <v>399.98105929107919</v>
      </c>
      <c r="AA953" s="14">
        <f>E953/(detalle!$D$2*1000000)</f>
        <v>5.9028682857080031E-2</v>
      </c>
      <c r="AB953" s="14">
        <f>F953/(detalle!$D$2*1000000)</f>
        <v>3.999810592910792E-4</v>
      </c>
      <c r="AC953" s="31">
        <f>1/585</f>
        <v>1.7094017094017094E-3</v>
      </c>
      <c r="AD953" s="31">
        <f>13/2373</f>
        <v>5.478297513695744E-3</v>
      </c>
      <c r="AE953" s="31">
        <f t="shared" si="2198"/>
        <v>0</v>
      </c>
      <c r="AF953" s="22">
        <f t="shared" si="2187"/>
        <v>0</v>
      </c>
      <c r="AG953" s="12">
        <v>7284565</v>
      </c>
      <c r="AH953" s="12">
        <v>6049665</v>
      </c>
      <c r="AI953" s="12">
        <v>2471865</v>
      </c>
      <c r="AJ953" s="23">
        <f t="shared" si="2188"/>
        <v>0</v>
      </c>
      <c r="AK953" s="23">
        <f t="shared" si="2199"/>
        <v>15806095</v>
      </c>
      <c r="AL953" s="28">
        <f>AK953/detalle!$D$2</f>
        <v>1442093.6636303444</v>
      </c>
    </row>
    <row r="954" spans="1:38">
      <c r="A954" s="12">
        <v>953</v>
      </c>
      <c r="B954" s="19">
        <v>44843</v>
      </c>
      <c r="C954" s="12">
        <v>935</v>
      </c>
      <c r="D954" s="23">
        <f t="shared" si="2197"/>
        <v>48</v>
      </c>
      <c r="E954" s="12">
        <v>647033</v>
      </c>
      <c r="F954" s="12">
        <v>4384</v>
      </c>
      <c r="G954" s="12">
        <v>642352</v>
      </c>
      <c r="H954" s="23">
        <f t="shared" si="2178"/>
        <v>297</v>
      </c>
      <c r="I954" s="23">
        <f t="shared" si="2193"/>
        <v>1435</v>
      </c>
      <c r="J954" s="12">
        <v>3682545</v>
      </c>
      <c r="K954" s="23">
        <f t="shared" si="2180"/>
        <v>3035512</v>
      </c>
      <c r="L954" s="23">
        <f t="shared" si="2194"/>
        <v>95</v>
      </c>
      <c r="M954" s="14">
        <f t="shared" si="2139"/>
        <v>6.7755431330395821E-3</v>
      </c>
      <c r="N954" s="14">
        <f t="shared" si="2195"/>
        <v>3.3449477351916376E-2</v>
      </c>
      <c r="O954" s="24"/>
      <c r="P954" s="12"/>
      <c r="Q954" s="12"/>
      <c r="R954" s="23">
        <f t="shared" si="2191"/>
        <v>646736</v>
      </c>
      <c r="S954" s="25">
        <f>(((H954+R954)/(H953+R953))-1)+detalle!$D$1</f>
        <v>7.1502761711190105E-2</v>
      </c>
      <c r="T954" s="25">
        <f t="shared" si="2184"/>
        <v>1.0010386639566615</v>
      </c>
      <c r="U954" s="10">
        <f t="shared" si="2190"/>
        <v>0.99276543854795662</v>
      </c>
      <c r="V954" s="21">
        <f t="shared" si="2185"/>
        <v>146.52189781021897</v>
      </c>
      <c r="W954" s="15">
        <f>J954/detalle!$D$2</f>
        <v>335982.72125617409</v>
      </c>
      <c r="X954" s="15">
        <f>E954/detalle!$D$2</f>
        <v>59033.062211743803</v>
      </c>
      <c r="Y954" s="15">
        <f>F954/detalle!$D$2</f>
        <v>399.98105929107919</v>
      </c>
      <c r="AA954" s="14">
        <f>E954/(detalle!$D$2*1000000)</f>
        <v>5.9033062211743807E-2</v>
      </c>
      <c r="AB954" s="14">
        <f>F954/(detalle!$D$2*1000000)</f>
        <v>3.999810592910792E-4</v>
      </c>
      <c r="AC954" s="31">
        <f>1/585</f>
        <v>1.7094017094017094E-3</v>
      </c>
      <c r="AD954" s="31">
        <f>14/2373</f>
        <v>5.8997050147492625E-3</v>
      </c>
      <c r="AE954" s="31">
        <f t="shared" si="2198"/>
        <v>0</v>
      </c>
      <c r="AF954" s="22">
        <f t="shared" si="2187"/>
        <v>0</v>
      </c>
      <c r="AG954" s="12">
        <v>7284863</v>
      </c>
      <c r="AH954" s="12">
        <v>6050117</v>
      </c>
      <c r="AI954" s="12">
        <v>2472472</v>
      </c>
      <c r="AJ954" s="23">
        <f t="shared" si="2188"/>
        <v>1357</v>
      </c>
      <c r="AK954" s="23">
        <f t="shared" si="2199"/>
        <v>15807452</v>
      </c>
      <c r="AL954" s="28">
        <f>AK954/detalle!$D$2</f>
        <v>1442217.4716361517</v>
      </c>
    </row>
    <row r="955" spans="1:38">
      <c r="A955" s="12">
        <v>954</v>
      </c>
      <c r="B955" s="19">
        <v>44844</v>
      </c>
      <c r="C955" s="12">
        <v>936</v>
      </c>
      <c r="D955" s="23">
        <f t="shared" si="2197"/>
        <v>54</v>
      </c>
      <c r="E955" s="12">
        <v>647087</v>
      </c>
      <c r="F955" s="12">
        <v>4384</v>
      </c>
      <c r="G955" s="12">
        <v>642360</v>
      </c>
      <c r="H955" s="23">
        <f t="shared" si="2178"/>
        <v>343</v>
      </c>
      <c r="I955" s="23">
        <f t="shared" si="2193"/>
        <v>895</v>
      </c>
      <c r="J955" s="12">
        <v>3683440</v>
      </c>
      <c r="K955" s="23">
        <f t="shared" si="2180"/>
        <v>3036353</v>
      </c>
      <c r="L955" s="23">
        <f t="shared" si="2194"/>
        <v>8</v>
      </c>
      <c r="M955" s="14">
        <f t="shared" si="2139"/>
        <v>6.7749777077889062E-3</v>
      </c>
      <c r="N955" s="14">
        <f t="shared" si="2195"/>
        <v>6.0335195530726256E-2</v>
      </c>
      <c r="O955" s="24"/>
      <c r="P955" s="12"/>
      <c r="Q955" s="12"/>
      <c r="R955" s="23">
        <f t="shared" si="2191"/>
        <v>646744</v>
      </c>
      <c r="S955" s="25">
        <f>(((H955+R955)/(H954+R954))-1)+detalle!$D$1</f>
        <v>7.1512029304754005E-2</v>
      </c>
      <c r="T955" s="25">
        <f t="shared" si="2184"/>
        <v>1.0011684102665561</v>
      </c>
      <c r="U955" s="10">
        <f t="shared" si="2190"/>
        <v>0.99269495446516465</v>
      </c>
      <c r="V955" s="21">
        <f t="shared" si="2185"/>
        <v>146.52372262773721</v>
      </c>
      <c r="W955" s="15">
        <f>J955/detalle!$D$2</f>
        <v>336064.37797334231</v>
      </c>
      <c r="X955" s="15">
        <f>E955/detalle!$D$2</f>
        <v>59037.988985740551</v>
      </c>
      <c r="Y955" s="15">
        <f>F955/detalle!$D$2</f>
        <v>399.98105929107919</v>
      </c>
      <c r="AA955" s="14">
        <f>E955/(detalle!$D$2*1000000)</f>
        <v>5.9037988985740544E-2</v>
      </c>
      <c r="AB955" s="14">
        <f>F955/(detalle!$D$2*1000000)</f>
        <v>3.999810592910792E-4</v>
      </c>
      <c r="AC955" s="31">
        <f>1/585</f>
        <v>1.7094017094017094E-3</v>
      </c>
      <c r="AD955" s="31">
        <f>14/2373</f>
        <v>5.8997050147492625E-3</v>
      </c>
      <c r="AE955" s="31">
        <f t="shared" si="2198"/>
        <v>0</v>
      </c>
      <c r="AF955" s="22">
        <f t="shared" si="2187"/>
        <v>0</v>
      </c>
      <c r="AG955" s="12">
        <v>7284863</v>
      </c>
      <c r="AH955" s="12">
        <v>6050117</v>
      </c>
      <c r="AI955" s="12">
        <v>2472472</v>
      </c>
      <c r="AJ955" s="23">
        <f t="shared" si="2188"/>
        <v>0</v>
      </c>
      <c r="AK955" s="23">
        <f t="shared" si="2199"/>
        <v>15807452</v>
      </c>
      <c r="AL955" s="28">
        <f>AK955/detalle!$D$2</f>
        <v>1442217.4716361517</v>
      </c>
    </row>
    <row r="956" spans="1:38">
      <c r="A956" s="12">
        <v>955</v>
      </c>
      <c r="B956" s="19">
        <v>44845</v>
      </c>
      <c r="C956" s="12">
        <v>937</v>
      </c>
      <c r="D956" s="23">
        <f t="shared" si="2197"/>
        <v>49</v>
      </c>
      <c r="E956" s="12">
        <v>647136</v>
      </c>
      <c r="F956" s="12">
        <v>4384</v>
      </c>
      <c r="G956" s="12">
        <v>642476</v>
      </c>
      <c r="H956" s="23">
        <f t="shared" si="2178"/>
        <v>276</v>
      </c>
      <c r="I956" s="23">
        <f t="shared" si="2193"/>
        <v>1164</v>
      </c>
      <c r="J956" s="12">
        <v>3684604</v>
      </c>
      <c r="K956" s="23">
        <f t="shared" si="2180"/>
        <v>3037468</v>
      </c>
      <c r="L956" s="23">
        <f t="shared" si="2194"/>
        <v>116</v>
      </c>
      <c r="M956" s="14">
        <f t="shared" si="2139"/>
        <v>6.7744647183899517E-3</v>
      </c>
      <c r="N956" s="14">
        <f t="shared" si="2195"/>
        <v>4.2096219931271481E-2</v>
      </c>
      <c r="O956" s="24"/>
      <c r="P956" s="12"/>
      <c r="Q956" s="12"/>
      <c r="R956" s="23">
        <f t="shared" si="2191"/>
        <v>646860</v>
      </c>
      <c r="S956" s="25">
        <f>(((H956+R956)/(H955+R955))-1)+detalle!$D$1</f>
        <v>7.1504295403863855E-2</v>
      </c>
      <c r="T956" s="25">
        <f t="shared" si="2184"/>
        <v>1.001060135654094</v>
      </c>
      <c r="U956" s="10">
        <f t="shared" si="2190"/>
        <v>0.99279904069623692</v>
      </c>
      <c r="V956" s="21">
        <f t="shared" si="2185"/>
        <v>146.55018248175182</v>
      </c>
      <c r="W956" s="15">
        <f>J956/detalle!$D$2</f>
        <v>336170.57732393878</v>
      </c>
      <c r="X956" s="15">
        <f>E956/detalle!$D$2</f>
        <v>59042.459576959816</v>
      </c>
      <c r="Y956" s="15">
        <f>F956/detalle!$D$2</f>
        <v>399.98105929107919</v>
      </c>
      <c r="AA956" s="14">
        <f>E956/(detalle!$D$2*1000000)</f>
        <v>5.9042459576959812E-2</v>
      </c>
      <c r="AB956" s="14">
        <f>F956/(detalle!$D$2*1000000)</f>
        <v>3.999810592910792E-4</v>
      </c>
      <c r="AC956" s="31">
        <f>4/585</f>
        <v>6.8376068376068376E-3</v>
      </c>
      <c r="AD956" s="31">
        <f>11/2373</f>
        <v>4.6354825115887061E-3</v>
      </c>
      <c r="AE956" s="31">
        <f t="shared" si="2198"/>
        <v>0</v>
      </c>
      <c r="AF956" s="22">
        <f t="shared" si="2187"/>
        <v>0</v>
      </c>
      <c r="AG956" s="12">
        <v>7285543</v>
      </c>
      <c r="AH956" s="12">
        <v>6051087</v>
      </c>
      <c r="AI956" s="12">
        <v>2474078</v>
      </c>
      <c r="AJ956" s="23">
        <f t="shared" si="2188"/>
        <v>3256</v>
      </c>
      <c r="AK956" s="23">
        <f t="shared" si="2199"/>
        <v>15810708</v>
      </c>
      <c r="AL956" s="28">
        <f>AK956/detalle!$D$2</f>
        <v>1442514.5378608441</v>
      </c>
    </row>
    <row r="957" spans="1:38">
      <c r="A957" s="12">
        <v>956</v>
      </c>
      <c r="B957" s="19">
        <v>44846</v>
      </c>
      <c r="C957" s="12">
        <v>938</v>
      </c>
      <c r="D957" s="23">
        <f t="shared" si="2197"/>
        <v>20</v>
      </c>
      <c r="E957" s="12">
        <v>647156</v>
      </c>
      <c r="F957" s="12">
        <v>4384</v>
      </c>
      <c r="G957" s="12">
        <v>642509</v>
      </c>
      <c r="H957" s="23">
        <f t="shared" si="2178"/>
        <v>263</v>
      </c>
      <c r="I957" s="23">
        <f t="shared" si="2193"/>
        <v>954</v>
      </c>
      <c r="J957" s="12">
        <v>3685558</v>
      </c>
      <c r="K957" s="23">
        <f t="shared" si="2180"/>
        <v>3038402</v>
      </c>
      <c r="L957" s="23">
        <f t="shared" si="2194"/>
        <v>33</v>
      </c>
      <c r="M957" s="14">
        <f t="shared" si="2139"/>
        <v>6.7742553572863419E-3</v>
      </c>
      <c r="N957" s="14">
        <f t="shared" si="2195"/>
        <v>2.0964360587002098E-2</v>
      </c>
      <c r="O957" s="24"/>
      <c r="P957" s="12"/>
      <c r="Q957" s="12"/>
      <c r="R957" s="23">
        <f t="shared" si="2191"/>
        <v>646893</v>
      </c>
      <c r="S957" s="25">
        <f>(((H957+R957)/(H956+R956))-1)+detalle!$D$1</f>
        <v>7.1459476833308583E-2</v>
      </c>
      <c r="T957" s="25">
        <f t="shared" si="2184"/>
        <v>1.0004326756663202</v>
      </c>
      <c r="U957" s="10">
        <f t="shared" si="2190"/>
        <v>0.99281935113017572</v>
      </c>
      <c r="V957" s="21">
        <f t="shared" si="2185"/>
        <v>146.5577098540146</v>
      </c>
      <c r="W957" s="15">
        <f>J957/detalle!$D$2</f>
        <v>336257.61699788121</v>
      </c>
      <c r="X957" s="15">
        <f>E957/detalle!$D$2</f>
        <v>59044.28430806972</v>
      </c>
      <c r="Y957" s="15">
        <f>F957/detalle!$D$2</f>
        <v>399.98105929107919</v>
      </c>
      <c r="AA957" s="14">
        <f>E957/(detalle!$D$2*1000000)</f>
        <v>5.9044284308069718E-2</v>
      </c>
      <c r="AB957" s="14">
        <f>F957/(detalle!$D$2*1000000)</f>
        <v>3.999810592910792E-4</v>
      </c>
      <c r="AC957" s="31">
        <f>4/585</f>
        <v>6.8376068376068376E-3</v>
      </c>
      <c r="AD957" s="31">
        <f>16/2373</f>
        <v>6.7425200168563003E-3</v>
      </c>
      <c r="AE957" s="31">
        <f t="shared" si="2198"/>
        <v>0</v>
      </c>
      <c r="AF957" s="22">
        <f t="shared" si="2187"/>
        <v>0</v>
      </c>
      <c r="AG957" s="12">
        <v>7285543</v>
      </c>
      <c r="AH957" s="12">
        <v>6051087</v>
      </c>
      <c r="AI957" s="12">
        <v>2474078</v>
      </c>
      <c r="AJ957" s="23">
        <f t="shared" si="2188"/>
        <v>0</v>
      </c>
      <c r="AK957" s="23">
        <f t="shared" si="2199"/>
        <v>15810708</v>
      </c>
      <c r="AL957" s="28">
        <f>AK957/detalle!$D$2</f>
        <v>1442514.5378608441</v>
      </c>
    </row>
    <row r="958" spans="1:38">
      <c r="A958" s="12">
        <v>957</v>
      </c>
      <c r="B958" s="19">
        <v>44847</v>
      </c>
      <c r="C958" s="12">
        <v>939</v>
      </c>
      <c r="D958" s="23">
        <f t="shared" si="2197"/>
        <v>29</v>
      </c>
      <c r="E958" s="12">
        <v>647185</v>
      </c>
      <c r="F958" s="12">
        <v>4384</v>
      </c>
      <c r="G958" s="12">
        <v>642553</v>
      </c>
      <c r="H958" s="23">
        <f t="shared" si="2178"/>
        <v>248</v>
      </c>
      <c r="I958" s="23">
        <f t="shared" si="2193"/>
        <v>1483</v>
      </c>
      <c r="J958" s="12">
        <v>3687041</v>
      </c>
      <c r="K958" s="23">
        <f t="shared" si="2180"/>
        <v>3039856</v>
      </c>
      <c r="L958" s="23">
        <f t="shared" si="2194"/>
        <v>44</v>
      </c>
      <c r="M958" s="14">
        <f t="shared" si="2139"/>
        <v>6.7739518066704269E-3</v>
      </c>
      <c r="N958" s="14">
        <f t="shared" si="2195"/>
        <v>1.9554956169925825E-2</v>
      </c>
      <c r="O958" s="24"/>
      <c r="P958" s="12"/>
      <c r="Q958" s="12"/>
      <c r="R958" s="23">
        <f t="shared" si="2191"/>
        <v>646937</v>
      </c>
      <c r="S958" s="25">
        <f>(((H958+R958)/(H957+R957))-1)+detalle!$D$1</f>
        <v>7.1473382880524322E-2</v>
      </c>
      <c r="T958" s="25">
        <f t="shared" si="2184"/>
        <v>1.0006273603273406</v>
      </c>
      <c r="U958" s="10">
        <f t="shared" si="2190"/>
        <v>0.99284285018966756</v>
      </c>
      <c r="V958" s="21">
        <f t="shared" si="2185"/>
        <v>146.56774635036496</v>
      </c>
      <c r="W958" s="15">
        <f>J958/detalle!$D$2</f>
        <v>336392.92080968065</v>
      </c>
      <c r="X958" s="15">
        <f>E958/detalle!$D$2</f>
        <v>59046.930168179082</v>
      </c>
      <c r="Y958" s="15">
        <f>F958/detalle!$D$2</f>
        <v>399.98105929107919</v>
      </c>
      <c r="AA958" s="14">
        <f>E958/(detalle!$D$2*1000000)</f>
        <v>5.9046930168179079E-2</v>
      </c>
      <c r="AB958" s="14">
        <f>F958/(detalle!$D$2*1000000)</f>
        <v>3.999810592910792E-4</v>
      </c>
      <c r="AC958" s="31">
        <f>3/585</f>
        <v>5.1282051282051282E-3</v>
      </c>
      <c r="AD958" s="31">
        <f>16/2373</f>
        <v>6.7425200168563003E-3</v>
      </c>
      <c r="AE958" s="31">
        <f t="shared" si="2198"/>
        <v>0</v>
      </c>
      <c r="AF958" s="22">
        <f t="shared" si="2187"/>
        <v>0</v>
      </c>
      <c r="AG958" s="12">
        <v>7286146</v>
      </c>
      <c r="AH958" s="12">
        <v>6051973</v>
      </c>
      <c r="AI958" s="12">
        <v>2475662</v>
      </c>
      <c r="AJ958" s="23">
        <f>AK958-AK957</f>
        <v>3073</v>
      </c>
      <c r="AK958" s="23">
        <f t="shared" si="2199"/>
        <v>15813781</v>
      </c>
      <c r="AL958" s="28">
        <f>AK958/detalle!$D$2</f>
        <v>1442794.9077958809</v>
      </c>
    </row>
    <row r="959" spans="1:38">
      <c r="A959" s="12">
        <v>958</v>
      </c>
      <c r="B959" s="19">
        <v>44848</v>
      </c>
      <c r="C959" s="12">
        <v>940</v>
      </c>
      <c r="D959" s="23">
        <f t="shared" si="2197"/>
        <v>20</v>
      </c>
      <c r="E959" s="12">
        <v>647205</v>
      </c>
      <c r="F959" s="12">
        <v>4384</v>
      </c>
      <c r="G959" s="12">
        <v>642571</v>
      </c>
      <c r="H959" s="23">
        <f t="shared" si="2178"/>
        <v>250</v>
      </c>
      <c r="I959" s="23">
        <f t="shared" si="2193"/>
        <v>1569</v>
      </c>
      <c r="J959" s="12">
        <v>3688610</v>
      </c>
      <c r="K959" s="23">
        <f t="shared" si="2180"/>
        <v>3041405</v>
      </c>
      <c r="L959" s="23">
        <f t="shared" si="2194"/>
        <v>18</v>
      </c>
      <c r="M959" s="14">
        <f t="shared" si="2139"/>
        <v>6.7737424772676353E-3</v>
      </c>
      <c r="N959" s="14">
        <f t="shared" si="2195"/>
        <v>1.2746972594008922E-2</v>
      </c>
      <c r="O959" s="24"/>
      <c r="P959" s="12"/>
      <c r="Q959" s="12"/>
      <c r="R959" s="23">
        <f t="shared" si="2191"/>
        <v>646955</v>
      </c>
      <c r="S959" s="25">
        <f>(((H959+R959)/(H958+R958))-1)+detalle!$D$1</f>
        <v>7.1459474493382774E-2</v>
      </c>
      <c r="T959" s="25">
        <f t="shared" si="2184"/>
        <v>1.0004326429073589</v>
      </c>
      <c r="U959" s="10">
        <f t="shared" si="2190"/>
        <v>0.99283998114971295</v>
      </c>
      <c r="V959" s="21">
        <f t="shared" si="2185"/>
        <v>146.57185218978103</v>
      </c>
      <c r="W959" s="15">
        <f>J959/detalle!$D$2</f>
        <v>336536.07096525264</v>
      </c>
      <c r="X959" s="15">
        <f>E959/detalle!$D$2</f>
        <v>59048.754899288986</v>
      </c>
      <c r="Y959" s="15">
        <f>F959/detalle!$D$2</f>
        <v>399.98105929107919</v>
      </c>
      <c r="AA959" s="14">
        <f>E959/(detalle!$D$2*1000000)</f>
        <v>5.9048754899288985E-2</v>
      </c>
      <c r="AB959" s="14">
        <f>F959/(detalle!$D$2*1000000)</f>
        <v>3.999810592910792E-4</v>
      </c>
      <c r="AC959" s="31">
        <f>2/585</f>
        <v>3.4188034188034188E-3</v>
      </c>
      <c r="AD959" s="31">
        <f t="shared" ref="AD959:AD972" si="2200">17/2373</f>
        <v>7.1639275179098188E-3</v>
      </c>
      <c r="AE959" s="31">
        <f t="shared" si="2198"/>
        <v>0</v>
      </c>
      <c r="AF959" s="22">
        <f t="shared" si="2187"/>
        <v>0</v>
      </c>
      <c r="AG959" s="12">
        <v>7286204</v>
      </c>
      <c r="AH959" s="12">
        <v>6052407</v>
      </c>
      <c r="AI959" s="12">
        <v>2476372</v>
      </c>
      <c r="AJ959" s="23">
        <f t="shared" si="2188"/>
        <v>1202</v>
      </c>
      <c r="AK959" s="23">
        <f t="shared" si="2199"/>
        <v>15814983</v>
      </c>
      <c r="AL959" s="28">
        <f>AK959/detalle!$D$2</f>
        <v>1442904.5741355862</v>
      </c>
    </row>
    <row r="960" spans="1:38">
      <c r="A960" s="12">
        <v>959</v>
      </c>
      <c r="B960" s="19">
        <v>44849</v>
      </c>
      <c r="C960" s="12">
        <v>941</v>
      </c>
      <c r="D960" s="23">
        <v>17</v>
      </c>
      <c r="E960" s="12">
        <v>647222</v>
      </c>
      <c r="F960" s="12">
        <v>4384</v>
      </c>
      <c r="G960" s="12">
        <v>642597</v>
      </c>
      <c r="H960" s="23">
        <f t="shared" si="2178"/>
        <v>241</v>
      </c>
      <c r="I960" s="23">
        <f t="shared" si="2193"/>
        <v>825</v>
      </c>
      <c r="J960" s="12">
        <v>3689435</v>
      </c>
      <c r="K960" s="23">
        <f t="shared" si="2180"/>
        <v>3042213</v>
      </c>
      <c r="L960" s="23">
        <f t="shared" si="2194"/>
        <v>26</v>
      </c>
      <c r="M960" s="14">
        <f t="shared" si="2139"/>
        <v>6.7735645574470583E-3</v>
      </c>
      <c r="N960" s="14">
        <f t="shared" si="2195"/>
        <v>2.0606060606060607E-2</v>
      </c>
      <c r="O960" s="24"/>
      <c r="P960" s="12"/>
      <c r="Q960" s="12"/>
      <c r="R960" s="23">
        <f t="shared" si="2191"/>
        <v>646981</v>
      </c>
      <c r="S960" s="25">
        <f>(((H960+R960)/(H959+R959))-1)+detalle!$D$1</f>
        <v>7.1454838221936684E-2</v>
      </c>
      <c r="T960" s="25">
        <f t="shared" si="2184"/>
        <v>1.0003677351071136</v>
      </c>
      <c r="U960" s="10">
        <f t="shared" si="2190"/>
        <v>0.99285407479968235</v>
      </c>
      <c r="V960" s="21">
        <f t="shared" si="2185"/>
        <v>146.57778284671534</v>
      </c>
      <c r="W960" s="15">
        <f>J960/detalle!$D$2</f>
        <v>336611.34112353623</v>
      </c>
      <c r="X960" s="15">
        <f>E960/detalle!$D$2</f>
        <v>59050.305920732404</v>
      </c>
      <c r="Y960" s="15">
        <f>F960/detalle!$D$2</f>
        <v>399.98105929107919</v>
      </c>
      <c r="AA960" s="14">
        <f>E960/(detalle!$D$2*1000000)</f>
        <v>5.9050305920732404E-2</v>
      </c>
      <c r="AB960" s="14">
        <f>F960/(detalle!$D$2*1000000)</f>
        <v>3.999810592910792E-4</v>
      </c>
      <c r="AC960" s="31">
        <f>5/585</f>
        <v>8.5470085470085479E-3</v>
      </c>
      <c r="AD960" s="31">
        <f>12/2373</f>
        <v>5.0568900126422255E-3</v>
      </c>
      <c r="AE960" s="31">
        <f t="shared" si="2198"/>
        <v>0</v>
      </c>
      <c r="AF960" s="22">
        <f t="shared" si="2187"/>
        <v>0</v>
      </c>
      <c r="AG960" s="12">
        <v>7286204</v>
      </c>
      <c r="AH960" s="12">
        <v>6052407</v>
      </c>
      <c r="AI960" s="12">
        <v>2476372</v>
      </c>
      <c r="AJ960" s="23">
        <f t="shared" si="2188"/>
        <v>0</v>
      </c>
      <c r="AK960" s="23">
        <f t="shared" si="2199"/>
        <v>15814983</v>
      </c>
      <c r="AL960" s="28">
        <f>AK960/detalle!$D$2</f>
        <v>1442904.5741355862</v>
      </c>
    </row>
    <row r="961" spans="1:38">
      <c r="A961" s="12">
        <v>960</v>
      </c>
      <c r="B961" s="19">
        <v>44850</v>
      </c>
      <c r="C961" s="12">
        <v>942</v>
      </c>
      <c r="D961" s="23">
        <v>12</v>
      </c>
      <c r="E961" s="12">
        <v>647234</v>
      </c>
      <c r="F961" s="12">
        <v>4384</v>
      </c>
      <c r="G961" s="12">
        <v>642617</v>
      </c>
      <c r="H961" s="23">
        <f t="shared" si="2178"/>
        <v>233</v>
      </c>
      <c r="I961" s="23">
        <f t="shared" si="2193"/>
        <v>838</v>
      </c>
      <c r="J961" s="12">
        <v>3690273</v>
      </c>
      <c r="K961" s="23">
        <f t="shared" si="2180"/>
        <v>3043039</v>
      </c>
      <c r="L961" s="23">
        <f t="shared" si="2194"/>
        <v>20</v>
      </c>
      <c r="M961" s="14">
        <f t="shared" si="2139"/>
        <v>6.7734389726126871E-3</v>
      </c>
      <c r="N961" s="14">
        <f t="shared" si="2195"/>
        <v>1.4319809069212411E-2</v>
      </c>
      <c r="O961" s="24"/>
      <c r="P961" s="12"/>
      <c r="Q961" s="12"/>
      <c r="R961" s="23">
        <f t="shared" si="2191"/>
        <v>647001</v>
      </c>
      <c r="S961" s="25">
        <f>(((H961+R961)/(H960+R960))-1)+detalle!$D$1</f>
        <v>7.1447112207469604E-2</v>
      </c>
      <c r="T961" s="25">
        <f t="shared" si="2184"/>
        <v>1.0002595709045745</v>
      </c>
      <c r="U961" s="10">
        <f t="shared" si="2190"/>
        <v>0.99286656757834102</v>
      </c>
      <c r="V961" s="21">
        <f t="shared" si="2185"/>
        <v>146.58234489051094</v>
      </c>
      <c r="W961" s="15">
        <f>J961/detalle!$D$2</f>
        <v>336687.79735704121</v>
      </c>
      <c r="X961" s="15">
        <f>E961/detalle!$D$2</f>
        <v>59051.400759398348</v>
      </c>
      <c r="Y961" s="15">
        <f>F961/detalle!$D$2</f>
        <v>399.98105929107919</v>
      </c>
      <c r="AA961" s="14">
        <f>E961/(detalle!$D$2*1000000)</f>
        <v>5.9051400759398347E-2</v>
      </c>
      <c r="AB961" s="14">
        <f>F961/(detalle!$D$2*1000000)</f>
        <v>3.999810592910792E-4</v>
      </c>
      <c r="AC961" s="31">
        <f>5/585</f>
        <v>8.5470085470085479E-3</v>
      </c>
      <c r="AD961" s="31">
        <f>12/2373</f>
        <v>5.0568900126422255E-3</v>
      </c>
      <c r="AE961" s="31">
        <f t="shared" si="2198"/>
        <v>0</v>
      </c>
      <c r="AF961" s="22">
        <f t="shared" si="2187"/>
        <v>0</v>
      </c>
      <c r="AG961" s="12">
        <v>7286513</v>
      </c>
      <c r="AH961" s="12">
        <v>6052802</v>
      </c>
      <c r="AI961" s="12">
        <v>2476887</v>
      </c>
      <c r="AJ961" s="23">
        <f t="shared" si="2188"/>
        <v>1219</v>
      </c>
      <c r="AK961" s="23">
        <f t="shared" si="2199"/>
        <v>15816202</v>
      </c>
      <c r="AL961" s="28">
        <f>AK961/detalle!$D$2</f>
        <v>1443015.7914967348</v>
      </c>
    </row>
    <row r="962" spans="1:38">
      <c r="A962" s="12">
        <v>961</v>
      </c>
      <c r="B962" s="19">
        <v>44851</v>
      </c>
      <c r="C962" s="12">
        <v>943</v>
      </c>
      <c r="D962" s="23">
        <v>12</v>
      </c>
      <c r="E962" s="12">
        <v>647246</v>
      </c>
      <c r="F962" s="12">
        <v>4384</v>
      </c>
      <c r="G962" s="12">
        <v>642689</v>
      </c>
      <c r="H962" s="23">
        <f t="shared" si="2178"/>
        <v>173</v>
      </c>
      <c r="I962" s="23">
        <f t="shared" si="2193"/>
        <v>635</v>
      </c>
      <c r="J962" s="12">
        <v>3690908</v>
      </c>
      <c r="K962" s="23">
        <f t="shared" si="2180"/>
        <v>3043662</v>
      </c>
      <c r="L962" s="23">
        <f t="shared" si="2194"/>
        <v>72</v>
      </c>
      <c r="M962" s="14">
        <f t="shared" si="2139"/>
        <v>6.773313392435025E-3</v>
      </c>
      <c r="N962" s="14">
        <f t="shared" si="2195"/>
        <v>1.889763779527559E-2</v>
      </c>
      <c r="O962" s="24"/>
      <c r="P962" s="12"/>
      <c r="Q962" s="12"/>
      <c r="R962" s="23">
        <f t="shared" si="2191"/>
        <v>647073</v>
      </c>
      <c r="S962" s="25">
        <f>(((H962+R962)/(H961+R961))-1)+detalle!$D$1</f>
        <v>7.1447111863715468E-2</v>
      </c>
      <c r="T962" s="25">
        <f t="shared" si="2184"/>
        <v>1.0002595660920166</v>
      </c>
      <c r="U962" s="10">
        <f t="shared" si="2190"/>
        <v>0.99295940028984342</v>
      </c>
      <c r="V962" s="21">
        <f t="shared" si="2185"/>
        <v>146.59876824817519</v>
      </c>
      <c r="W962" s="15">
        <f>J962/detalle!$D$2</f>
        <v>336745.73256978067</v>
      </c>
      <c r="X962" s="15">
        <f>E962/detalle!$D$2</f>
        <v>59052.495598064292</v>
      </c>
      <c r="Y962" s="15">
        <f>F962/detalle!$D$2</f>
        <v>399.98105929107919</v>
      </c>
      <c r="AA962" s="14">
        <f>E962/(detalle!$D$2*1000000)</f>
        <v>5.9052495598064289E-2</v>
      </c>
      <c r="AB962" s="14">
        <f>F962/(detalle!$D$2*1000000)</f>
        <v>3.999810592910792E-4</v>
      </c>
      <c r="AC962" s="31">
        <f>4/585</f>
        <v>6.8376068376068376E-3</v>
      </c>
      <c r="AD962" s="31">
        <f>14/2373</f>
        <v>5.8997050147492625E-3</v>
      </c>
      <c r="AE962" s="31">
        <f t="shared" si="2198"/>
        <v>0</v>
      </c>
      <c r="AF962" s="22">
        <f t="shared" si="2187"/>
        <v>0</v>
      </c>
      <c r="AG962" s="12">
        <v>7286815</v>
      </c>
      <c r="AH962" s="12">
        <v>6053226</v>
      </c>
      <c r="AI962" s="12">
        <v>2477608</v>
      </c>
      <c r="AJ962" s="23">
        <f t="shared" si="2188"/>
        <v>1447</v>
      </c>
      <c r="AK962" s="23">
        <f t="shared" si="2199"/>
        <v>15817649</v>
      </c>
      <c r="AL962" s="28">
        <f>AK962/detalle!$D$2</f>
        <v>1443147.8107925365</v>
      </c>
    </row>
    <row r="963" spans="1:38">
      <c r="A963" s="12">
        <v>962</v>
      </c>
      <c r="B963" s="19">
        <v>44852</v>
      </c>
      <c r="C963" s="12">
        <v>944</v>
      </c>
      <c r="D963" s="23">
        <v>26</v>
      </c>
      <c r="E963" s="12">
        <v>647272</v>
      </c>
      <c r="F963" s="12">
        <v>4384</v>
      </c>
      <c r="G963" s="12">
        <v>642710</v>
      </c>
      <c r="H963" s="23">
        <f t="shared" si="2178"/>
        <v>178</v>
      </c>
      <c r="I963" s="23">
        <f t="shared" si="2193"/>
        <v>1142</v>
      </c>
      <c r="J963" s="12">
        <v>3692050</v>
      </c>
      <c r="K963" s="23">
        <f t="shared" si="2180"/>
        <v>3044778</v>
      </c>
      <c r="L963" s="23">
        <f t="shared" si="2194"/>
        <v>21</v>
      </c>
      <c r="M963" s="14">
        <f t="shared" si="2139"/>
        <v>6.7730413180239531E-3</v>
      </c>
      <c r="N963" s="14">
        <f t="shared" si="2195"/>
        <v>2.276707530647986E-2</v>
      </c>
      <c r="O963" s="24"/>
      <c r="P963" s="12"/>
      <c r="Q963" s="12"/>
      <c r="R963" s="23">
        <f t="shared" si="2191"/>
        <v>647094</v>
      </c>
      <c r="S963" s="25">
        <f>(((H963+R963)/(H962+R962))-1)+detalle!$D$1</f>
        <v>7.146874162661046E-2</v>
      </c>
      <c r="T963" s="25">
        <f t="shared" si="2184"/>
        <v>1.0005623827725465</v>
      </c>
      <c r="U963" s="10">
        <f t="shared" si="2190"/>
        <v>0.99295195837298689</v>
      </c>
      <c r="V963" s="21">
        <f t="shared" si="2185"/>
        <v>146.60355839416059</v>
      </c>
      <c r="W963" s="15">
        <f>J963/detalle!$D$2</f>
        <v>336849.92471615627</v>
      </c>
      <c r="X963" s="15">
        <f>E963/detalle!$D$2</f>
        <v>59054.867748507168</v>
      </c>
      <c r="Y963" s="15">
        <f>F963/detalle!$D$2</f>
        <v>399.98105929107919</v>
      </c>
      <c r="AA963" s="14">
        <f>E963/(detalle!$D$2*1000000)</f>
        <v>5.9054867748507163E-2</v>
      </c>
      <c r="AB963" s="14">
        <f>F963/(detalle!$D$2*1000000)</f>
        <v>3.999810592910792E-4</v>
      </c>
      <c r="AC963" s="31">
        <f>3/585</f>
        <v>5.1282051282051282E-3</v>
      </c>
      <c r="AD963" s="31">
        <f>14/2373</f>
        <v>5.8997050147492625E-3</v>
      </c>
      <c r="AE963" s="31">
        <f t="shared" si="2198"/>
        <v>0</v>
      </c>
      <c r="AF963" s="22">
        <f t="shared" si="2187"/>
        <v>0</v>
      </c>
      <c r="AG963" s="12">
        <v>7287120</v>
      </c>
      <c r="AH963" s="12">
        <v>6053606</v>
      </c>
      <c r="AI963" s="12">
        <v>2478357</v>
      </c>
      <c r="AJ963" s="23">
        <f t="shared" si="2188"/>
        <v>1434</v>
      </c>
      <c r="AK963" s="23">
        <f>AG963+AH963+AI963</f>
        <v>15819083</v>
      </c>
      <c r="AL963" s="28">
        <f>AK963/detalle!$D$2</f>
        <v>1443278.6440131166</v>
      </c>
    </row>
    <row r="964" spans="1:38">
      <c r="A964" s="12">
        <v>963</v>
      </c>
      <c r="B964" s="19">
        <v>44853</v>
      </c>
      <c r="C964" s="12">
        <v>945</v>
      </c>
      <c r="D964" s="23">
        <v>36</v>
      </c>
      <c r="E964" s="12">
        <v>647308</v>
      </c>
      <c r="F964" s="12">
        <v>4384</v>
      </c>
      <c r="G964" s="12">
        <v>642728</v>
      </c>
      <c r="H964" s="23">
        <f t="shared" si="2178"/>
        <v>196</v>
      </c>
      <c r="I964" s="23">
        <f t="shared" si="2193"/>
        <v>1212</v>
      </c>
      <c r="J964" s="12">
        <v>3693262</v>
      </c>
      <c r="K964" s="23">
        <f t="shared" si="2180"/>
        <v>3045954</v>
      </c>
      <c r="L964" s="23">
        <f t="shared" si="2194"/>
        <v>18</v>
      </c>
      <c r="M964" s="14">
        <f t="shared" si="2139"/>
        <v>6.7726646356912014E-3</v>
      </c>
      <c r="N964" s="14">
        <f t="shared" si="2195"/>
        <v>2.9702970297029702E-2</v>
      </c>
      <c r="O964" s="24"/>
      <c r="P964" s="12"/>
      <c r="Q964" s="12"/>
      <c r="R964" s="23">
        <f t="shared" si="2191"/>
        <v>647112</v>
      </c>
      <c r="S964" s="25">
        <f>(((H964+R964)/(H963+R963))-1)+detalle!$D$1</f>
        <v>7.1484189468591613E-2</v>
      </c>
      <c r="T964" s="25">
        <f t="shared" si="2184"/>
        <v>1.0007786525602826</v>
      </c>
      <c r="U964" s="10">
        <f t="shared" si="2190"/>
        <v>0.99292454287603427</v>
      </c>
      <c r="V964" s="21">
        <f t="shared" si="2185"/>
        <v>146.60766423357666</v>
      </c>
      <c r="W964" s="15">
        <f>J964/detalle!$D$2</f>
        <v>336960.50342141645</v>
      </c>
      <c r="X964" s="15">
        <f>E964/detalle!$D$2</f>
        <v>59058.152264504992</v>
      </c>
      <c r="Y964" s="15">
        <f>F964/detalle!$D$2</f>
        <v>399.98105929107919</v>
      </c>
      <c r="AA964" s="14">
        <f>E964/(detalle!$D$2*1000000)</f>
        <v>5.905815226450499E-2</v>
      </c>
      <c r="AB964" s="14">
        <f>F964/(detalle!$D$2*1000000)</f>
        <v>3.999810592910792E-4</v>
      </c>
      <c r="AC964" s="31">
        <f>3/585</f>
        <v>5.1282051282051282E-3</v>
      </c>
      <c r="AD964" s="31">
        <f>9/2373</f>
        <v>3.7926675094816687E-3</v>
      </c>
      <c r="AE964" s="31">
        <f t="shared" ref="AE964:AE972" si="2201">1/469</f>
        <v>2.1321961620469083E-3</v>
      </c>
      <c r="AF964" s="22">
        <f t="shared" si="2187"/>
        <v>0</v>
      </c>
      <c r="AG964" s="12">
        <v>7287120</v>
      </c>
      <c r="AH964" s="12">
        <v>6053606</v>
      </c>
      <c r="AI964" s="12">
        <v>2478357</v>
      </c>
      <c r="AJ964" s="23">
        <f t="shared" si="2188"/>
        <v>0</v>
      </c>
      <c r="AK964" s="23">
        <f t="shared" si="2199"/>
        <v>15819083</v>
      </c>
      <c r="AL964" s="28">
        <f>AK964/detalle!$D$2</f>
        <v>1443278.6440131166</v>
      </c>
    </row>
    <row r="965" spans="1:38">
      <c r="A965" s="12">
        <v>964</v>
      </c>
      <c r="B965" s="19">
        <v>44854</v>
      </c>
      <c r="C965" s="12">
        <v>946</v>
      </c>
      <c r="D965" s="23">
        <v>27</v>
      </c>
      <c r="E965" s="12">
        <v>647335</v>
      </c>
      <c r="F965" s="12">
        <v>4384</v>
      </c>
      <c r="G965" s="12">
        <v>642734</v>
      </c>
      <c r="H965" s="23">
        <f t="shared" si="2178"/>
        <v>217</v>
      </c>
      <c r="I965" s="23">
        <f t="shared" si="2193"/>
        <v>1093</v>
      </c>
      <c r="J965" s="12">
        <v>3694355</v>
      </c>
      <c r="K965" s="23">
        <f t="shared" si="2180"/>
        <v>3047020</v>
      </c>
      <c r="L965" s="23">
        <f t="shared" si="2194"/>
        <v>6</v>
      </c>
      <c r="M965" s="14">
        <f t="shared" si="2139"/>
        <v>6.7723821514362736E-3</v>
      </c>
      <c r="N965" s="14">
        <f t="shared" si="2195"/>
        <v>2.4702653247941447E-2</v>
      </c>
      <c r="O965" s="24"/>
      <c r="P965" s="12"/>
      <c r="Q965" s="12"/>
      <c r="R965" s="23">
        <f t="shared" si="2191"/>
        <v>647118</v>
      </c>
      <c r="S965" s="25">
        <f>(((H965+R965)/(H964+R964))-1)+detalle!$D$1</f>
        <v>7.1470282638690846E-2</v>
      </c>
      <c r="T965" s="25">
        <f t="shared" si="2184"/>
        <v>1.0005839569416719</v>
      </c>
      <c r="U965" s="10">
        <f t="shared" si="2190"/>
        <v>0.99289239729042922</v>
      </c>
      <c r="V965" s="21">
        <f t="shared" si="2185"/>
        <v>146.60903284671534</v>
      </c>
      <c r="W965" s="15">
        <f>J965/detalle!$D$2</f>
        <v>337060.22497657273</v>
      </c>
      <c r="X965" s="15">
        <f>E965/detalle!$D$2</f>
        <v>59060.615651503365</v>
      </c>
      <c r="Y965" s="15">
        <f>F965/detalle!$D$2</f>
        <v>399.98105929107919</v>
      </c>
      <c r="AA965" s="14">
        <f>E965/(detalle!$D$2*1000000)</f>
        <v>5.9060615651503362E-2</v>
      </c>
      <c r="AB965" s="14">
        <f>F965/(detalle!$D$2*1000000)</f>
        <v>3.999810592910792E-4</v>
      </c>
      <c r="AC965" s="31">
        <f>3/585</f>
        <v>5.1282051282051282E-3</v>
      </c>
      <c r="AD965" s="31">
        <f t="shared" ref="AD965:AD966" si="2202">9/2373</f>
        <v>3.7926675094816687E-3</v>
      </c>
      <c r="AE965" s="31">
        <f t="shared" si="2201"/>
        <v>2.1321961620469083E-3</v>
      </c>
      <c r="AF965" s="22">
        <f t="shared" si="2187"/>
        <v>0</v>
      </c>
      <c r="AG965" s="12">
        <v>7287656</v>
      </c>
      <c r="AH965" s="12">
        <v>6054362</v>
      </c>
      <c r="AI965" s="12">
        <v>2479887</v>
      </c>
      <c r="AJ965" s="23">
        <f t="shared" si="2188"/>
        <v>2822</v>
      </c>
      <c r="AK965" s="23">
        <f t="shared" si="2199"/>
        <v>15821905</v>
      </c>
      <c r="AL965" s="28">
        <f>AK965/detalle!$D$2</f>
        <v>1443536.1135727242</v>
      </c>
    </row>
    <row r="966" spans="1:38">
      <c r="A966" s="12">
        <v>965</v>
      </c>
      <c r="B966" s="19">
        <v>44855</v>
      </c>
      <c r="C966" s="12">
        <v>947</v>
      </c>
      <c r="D966" s="23">
        <v>31</v>
      </c>
      <c r="E966" s="12">
        <v>647366</v>
      </c>
      <c r="F966" s="12">
        <v>4384</v>
      </c>
      <c r="G966" s="12">
        <v>642737</v>
      </c>
      <c r="H966" s="23">
        <f t="shared" si="2178"/>
        <v>245</v>
      </c>
      <c r="I966" s="23">
        <f t="shared" si="2193"/>
        <v>1049</v>
      </c>
      <c r="J966" s="12">
        <v>3695404</v>
      </c>
      <c r="K966" s="23">
        <f t="shared" si="2180"/>
        <v>3048038</v>
      </c>
      <c r="L966" s="23">
        <f t="shared" si="2194"/>
        <v>3</v>
      </c>
      <c r="M966" s="14">
        <f t="shared" si="2139"/>
        <v>6.7720578467204027E-3</v>
      </c>
      <c r="N966" s="14">
        <f t="shared" si="2195"/>
        <v>2.9551954242135366E-2</v>
      </c>
      <c r="O966" s="24"/>
      <c r="P966" s="12"/>
      <c r="Q966" s="12"/>
      <c r="R966" s="23">
        <f t="shared" si="2191"/>
        <v>647121</v>
      </c>
      <c r="S966" s="25">
        <f>(((H966+R966)/(H965+R965))-1)+detalle!$D$1</f>
        <v>7.1476460079733545E-2</v>
      </c>
      <c r="T966" s="25">
        <f t="shared" si="2184"/>
        <v>1.0006704411162697</v>
      </c>
      <c r="U966" s="10">
        <f t="shared" si="2190"/>
        <v>0.99284948545336027</v>
      </c>
      <c r="V966" s="21">
        <f t="shared" si="2185"/>
        <v>146.60971715328466</v>
      </c>
      <c r="W966" s="15">
        <f>J966/detalle!$D$2</f>
        <v>337155.93212328723</v>
      </c>
      <c r="X966" s="15">
        <f>E966/detalle!$D$2</f>
        <v>59063.443984723715</v>
      </c>
      <c r="Y966" s="15">
        <f>F966/detalle!$D$2</f>
        <v>399.98105929107919</v>
      </c>
      <c r="AA966" s="14">
        <f>E966/(detalle!$D$2*1000000)</f>
        <v>5.9063443984723719E-2</v>
      </c>
      <c r="AB966" s="14">
        <f>F966/(detalle!$D$2*1000000)</f>
        <v>3.999810592910792E-4</v>
      </c>
      <c r="AC966" s="31">
        <f>1/585</f>
        <v>1.7094017094017094E-3</v>
      </c>
      <c r="AD966" s="31">
        <f t="shared" si="2202"/>
        <v>3.7926675094816687E-3</v>
      </c>
      <c r="AE966" s="31">
        <f t="shared" si="2201"/>
        <v>2.1321961620469083E-3</v>
      </c>
      <c r="AF966" s="22">
        <f t="shared" si="2187"/>
        <v>0</v>
      </c>
      <c r="AG966" s="12">
        <v>7287969</v>
      </c>
      <c r="AH966" s="12">
        <v>6054738</v>
      </c>
      <c r="AI966" s="12">
        <v>2480545</v>
      </c>
      <c r="AJ966" s="23">
        <f t="shared" si="2188"/>
        <v>1347</v>
      </c>
      <c r="AK966" s="23">
        <f t="shared" si="2199"/>
        <v>15823252</v>
      </c>
      <c r="AL966" s="28">
        <f>AK966/detalle!$D$2</f>
        <v>1443659.0092129761</v>
      </c>
    </row>
    <row r="967" spans="1:38">
      <c r="A967" s="12">
        <v>966</v>
      </c>
      <c r="B967" s="19">
        <v>44856</v>
      </c>
      <c r="C967" s="12">
        <v>948</v>
      </c>
      <c r="D967" s="23">
        <v>35</v>
      </c>
      <c r="E967" s="12">
        <v>647401</v>
      </c>
      <c r="F967" s="12">
        <v>4384</v>
      </c>
      <c r="G967" s="12">
        <v>642773</v>
      </c>
      <c r="H967" s="23">
        <f t="shared" si="2178"/>
        <v>244</v>
      </c>
      <c r="I967" s="23">
        <f t="shared" si="2193"/>
        <v>1018</v>
      </c>
      <c r="J967" s="12">
        <v>3696422</v>
      </c>
      <c r="K967" s="23">
        <f t="shared" si="2180"/>
        <v>3049021</v>
      </c>
      <c r="L967" s="23">
        <f t="shared" si="2194"/>
        <v>36</v>
      </c>
      <c r="M967" s="14">
        <f t="shared" si="2139"/>
        <v>6.7716917335623513E-3</v>
      </c>
      <c r="N967" s="14">
        <f t="shared" si="2195"/>
        <v>3.4381139489194502E-2</v>
      </c>
      <c r="O967" s="24"/>
      <c r="P967" s="12"/>
      <c r="Q967" s="12"/>
      <c r="R967" s="23">
        <f t="shared" si="2191"/>
        <v>647157</v>
      </c>
      <c r="S967" s="25">
        <f>(((H967+R967)/(H966+R966))-1)+detalle!$D$1</f>
        <v>7.1482636671416994E-2</v>
      </c>
      <c r="T967" s="25">
        <f t="shared" si="2184"/>
        <v>1.000756913399838</v>
      </c>
      <c r="U967" s="10">
        <f t="shared" si="2190"/>
        <v>0.9928514166644784</v>
      </c>
      <c r="V967" s="21">
        <f t="shared" si="2185"/>
        <v>146.61792883211677</v>
      </c>
      <c r="W967" s="15">
        <f>J967/detalle!$D$2</f>
        <v>337248.8109367814</v>
      </c>
      <c r="X967" s="15">
        <f>E967/detalle!$D$2</f>
        <v>59066.637264166049</v>
      </c>
      <c r="Y967" s="15">
        <f>F967/detalle!$D$2</f>
        <v>399.98105929107919</v>
      </c>
      <c r="AA967" s="14">
        <f>E967/(detalle!$D$2*1000000)</f>
        <v>5.9066637264166048E-2</v>
      </c>
      <c r="AB967" s="14">
        <f>F967/(detalle!$D$2*1000000)</f>
        <v>3.999810592910792E-4</v>
      </c>
      <c r="AC967" s="31">
        <f>1/585</f>
        <v>1.7094017094017094E-3</v>
      </c>
      <c r="AD967" s="31">
        <f>8/2373</f>
        <v>3.3712600084281502E-3</v>
      </c>
      <c r="AE967" s="31">
        <f t="shared" si="2201"/>
        <v>2.1321961620469083E-3</v>
      </c>
      <c r="AF967" s="22">
        <f t="shared" si="2187"/>
        <v>0</v>
      </c>
      <c r="AG967" s="12">
        <v>7288147</v>
      </c>
      <c r="AH967" s="12">
        <v>6054994</v>
      </c>
      <c r="AI967" s="12">
        <v>2480852</v>
      </c>
      <c r="AJ967" s="23">
        <f t="shared" si="2188"/>
        <v>741</v>
      </c>
      <c r="AK967" s="23">
        <f t="shared" si="2199"/>
        <v>15823993</v>
      </c>
      <c r="AL967" s="28">
        <f>AK967/detalle!$D$2</f>
        <v>1443726.6155005982</v>
      </c>
    </row>
    <row r="968" spans="1:38">
      <c r="A968" s="12">
        <v>967</v>
      </c>
      <c r="B968" s="19">
        <v>44857</v>
      </c>
      <c r="C968" s="12">
        <v>949</v>
      </c>
      <c r="D968" s="23">
        <v>24</v>
      </c>
      <c r="E968" s="12">
        <v>647425</v>
      </c>
      <c r="F968" s="12">
        <v>4384</v>
      </c>
      <c r="G968" s="12">
        <v>642792</v>
      </c>
      <c r="H968" s="23">
        <f t="shared" si="2178"/>
        <v>249</v>
      </c>
      <c r="I968" s="23">
        <f t="shared" si="2193"/>
        <v>1007</v>
      </c>
      <c r="J968" s="12">
        <v>3697429</v>
      </c>
      <c r="K968" s="23">
        <f t="shared" si="2180"/>
        <v>3050004</v>
      </c>
      <c r="L968" s="23">
        <f t="shared" si="2194"/>
        <v>19</v>
      </c>
      <c r="M968" s="14">
        <f t="shared" si="2139"/>
        <v>6.7714407074178475E-3</v>
      </c>
      <c r="N968" s="14">
        <f t="shared" si="2195"/>
        <v>2.3833167825223437E-2</v>
      </c>
      <c r="O968" s="24"/>
      <c r="P968" s="12"/>
      <c r="Q968" s="12"/>
      <c r="R968" s="23">
        <f t="shared" si="2191"/>
        <v>647176</v>
      </c>
      <c r="S968" s="25">
        <f>(((H968+R968)/(H967+R967))-1)+detalle!$D$1</f>
        <v>7.1465642733682194E-2</v>
      </c>
      <c r="T968" s="25">
        <f t="shared" si="2184"/>
        <v>1.0005189982715508</v>
      </c>
      <c r="U968" s="10">
        <f t="shared" si="2190"/>
        <v>0.99284395875970188</v>
      </c>
      <c r="V968" s="21">
        <f t="shared" si="2185"/>
        <v>146.62226277372264</v>
      </c>
      <c r="W968" s="15">
        <f>J968/detalle!$D$2</f>
        <v>337340.68614816508</v>
      </c>
      <c r="X968" s="15">
        <f>E968/detalle!$D$2</f>
        <v>59068.826941497937</v>
      </c>
      <c r="Y968" s="15">
        <f>F968/detalle!$D$2</f>
        <v>399.98105929107919</v>
      </c>
      <c r="AA968" s="14">
        <f>E968/(detalle!$D$2*1000000)</f>
        <v>5.9068826941497933E-2</v>
      </c>
      <c r="AB968" s="14">
        <f>F968/(detalle!$D$2*1000000)</f>
        <v>3.999810592910792E-4</v>
      </c>
      <c r="AC968" s="31">
        <f>1/585</f>
        <v>1.7094017094017094E-3</v>
      </c>
      <c r="AD968" s="31">
        <f>9/2373</f>
        <v>3.7926675094816687E-3</v>
      </c>
      <c r="AE968" s="31">
        <f t="shared" si="2201"/>
        <v>2.1321961620469083E-3</v>
      </c>
      <c r="AF968" s="22">
        <f t="shared" si="2187"/>
        <v>0</v>
      </c>
      <c r="AG968" s="12">
        <v>7288219</v>
      </c>
      <c r="AH968" s="12">
        <v>6055094</v>
      </c>
      <c r="AI968" s="12">
        <v>2480995</v>
      </c>
      <c r="AJ968" s="23">
        <f t="shared" si="2188"/>
        <v>315</v>
      </c>
      <c r="AK968" s="23">
        <f t="shared" si="2199"/>
        <v>15824308</v>
      </c>
      <c r="AL968" s="28">
        <f>AK968/detalle!$D$2</f>
        <v>1443755.3550155791</v>
      </c>
    </row>
    <row r="969" spans="1:38">
      <c r="A969" s="12">
        <v>968</v>
      </c>
      <c r="B969" s="19">
        <v>44858</v>
      </c>
      <c r="C969" s="12">
        <v>950</v>
      </c>
      <c r="D969" s="23">
        <v>27</v>
      </c>
      <c r="E969" s="12">
        <v>647462</v>
      </c>
      <c r="F969" s="12">
        <v>4384</v>
      </c>
      <c r="G969" s="12">
        <v>642860</v>
      </c>
      <c r="H969" s="23">
        <f t="shared" si="2178"/>
        <v>218</v>
      </c>
      <c r="I969" s="23">
        <f t="shared" si="2193"/>
        <v>2192</v>
      </c>
      <c r="J969" s="12">
        <v>3699621</v>
      </c>
      <c r="K969" s="23">
        <f t="shared" si="2180"/>
        <v>3052159</v>
      </c>
      <c r="L969" s="23">
        <f t="shared" si="2194"/>
        <v>68</v>
      </c>
      <c r="M969" s="14">
        <f t="shared" si="2139"/>
        <v>6.771053745239103E-3</v>
      </c>
      <c r="N969" s="14">
        <f t="shared" si="2195"/>
        <v>1.2317518248175183E-2</v>
      </c>
      <c r="O969" s="24"/>
      <c r="P969" s="12"/>
      <c r="Q969" s="12"/>
      <c r="R969" s="23">
        <f t="shared" si="2191"/>
        <v>647244</v>
      </c>
      <c r="S969" s="25">
        <f>(((H969+R969)/(H968+R968))-1)+detalle!$D$1</f>
        <v>7.1485720905344802E-2</v>
      </c>
      <c r="T969" s="25">
        <f t="shared" si="2184"/>
        <v>1.0008000926748273</v>
      </c>
      <c r="U969" s="10">
        <f t="shared" si="2190"/>
        <v>0.99289224695812262</v>
      </c>
      <c r="V969" s="21">
        <f t="shared" si="2185"/>
        <v>146.63777372262774</v>
      </c>
      <c r="W969" s="15">
        <f>J969/detalle!$D$2</f>
        <v>337540.67667781061</v>
      </c>
      <c r="X969" s="15">
        <f>E969/detalle!$D$2</f>
        <v>59072.202694051259</v>
      </c>
      <c r="Y969" s="15">
        <f>F969/detalle!$D$2</f>
        <v>399.98105929107919</v>
      </c>
      <c r="AA969" s="14">
        <f>E969/(detalle!$D$2*1000000)</f>
        <v>5.9072202694051258E-2</v>
      </c>
      <c r="AB969" s="14">
        <f>F969/(detalle!$D$2*1000000)</f>
        <v>3.999810592910792E-4</v>
      </c>
      <c r="AC969" s="31">
        <f>1/585</f>
        <v>1.7094017094017094E-3</v>
      </c>
      <c r="AD969" s="31">
        <f>6/2373</f>
        <v>2.5284450063211127E-3</v>
      </c>
      <c r="AE969" s="31">
        <f t="shared" si="2201"/>
        <v>2.1321961620469083E-3</v>
      </c>
      <c r="AF969" s="22">
        <f t="shared" si="2187"/>
        <v>0</v>
      </c>
      <c r="AG969" s="12">
        <v>7288510</v>
      </c>
      <c r="AH969" s="12">
        <v>6055424</v>
      </c>
      <c r="AI969" s="12">
        <v>2481569</v>
      </c>
      <c r="AJ969" s="23">
        <f t="shared" si="2188"/>
        <v>1195</v>
      </c>
      <c r="AK969" s="23">
        <f t="shared" si="2199"/>
        <v>15825503</v>
      </c>
      <c r="AL969" s="28">
        <f>AK969/detalle!$D$2</f>
        <v>1443864.382699396</v>
      </c>
    </row>
    <row r="970" spans="1:38">
      <c r="A970" s="12">
        <v>969</v>
      </c>
      <c r="B970" s="19">
        <v>44859</v>
      </c>
      <c r="C970" s="12">
        <v>951</v>
      </c>
      <c r="D970" s="23">
        <v>32</v>
      </c>
      <c r="E970" s="12">
        <v>647484</v>
      </c>
      <c r="F970" s="12">
        <v>4384</v>
      </c>
      <c r="G970" s="12">
        <v>642859</v>
      </c>
      <c r="H970" s="23">
        <f t="shared" si="2178"/>
        <v>241</v>
      </c>
      <c r="I970" s="23">
        <f t="shared" si="2193"/>
        <v>2185</v>
      </c>
      <c r="J970" s="12">
        <v>3701806</v>
      </c>
      <c r="K970" s="23">
        <f t="shared" si="2180"/>
        <v>3054322</v>
      </c>
      <c r="L970" s="23">
        <f t="shared" si="2194"/>
        <v>-1</v>
      </c>
      <c r="M970" s="14">
        <f t="shared" si="2139"/>
        <v>6.7708236805851573E-3</v>
      </c>
      <c r="N970" s="14">
        <f t="shared" si="2195"/>
        <v>1.4645308924485127E-2</v>
      </c>
      <c r="O970" s="24"/>
      <c r="P970" s="12"/>
      <c r="Q970" s="12"/>
      <c r="R970" s="23">
        <f t="shared" si="2191"/>
        <v>647243</v>
      </c>
      <c r="S970" s="25">
        <f>(((H970+R970)/(H969+R969))-1)+detalle!$D$1</f>
        <v>7.1462550256672613E-2</v>
      </c>
      <c r="T970" s="25">
        <f t="shared" si="2184"/>
        <v>1.0004757035934166</v>
      </c>
      <c r="U970" s="10">
        <f t="shared" si="2190"/>
        <v>0.99285696634974763</v>
      </c>
      <c r="V970" s="21">
        <f t="shared" si="2185"/>
        <v>146.63754562043795</v>
      </c>
      <c r="W970" s="15">
        <f>J970/detalle!$D$2</f>
        <v>337740.0285515677</v>
      </c>
      <c r="X970" s="15">
        <f>E970/detalle!$D$2</f>
        <v>59074.209898272158</v>
      </c>
      <c r="Y970" s="15">
        <f>F970/detalle!$D$2</f>
        <v>399.98105929107919</v>
      </c>
      <c r="AA970" s="14">
        <f>E970/(detalle!$D$2*1000000)</f>
        <v>5.9074209898272154E-2</v>
      </c>
      <c r="AB970" s="14">
        <f>F970/(detalle!$D$2*1000000)</f>
        <v>3.999810592910792E-4</v>
      </c>
      <c r="AC970" s="31">
        <f>1/585</f>
        <v>1.7094017094017094E-3</v>
      </c>
      <c r="AD970" s="31">
        <f>6/2373</f>
        <v>2.5284450063211127E-3</v>
      </c>
      <c r="AE970" s="31">
        <f t="shared" si="2201"/>
        <v>2.1321961620469083E-3</v>
      </c>
      <c r="AF970" s="22">
        <f t="shared" si="2187"/>
        <v>0</v>
      </c>
      <c r="AG970" s="12">
        <v>7288763</v>
      </c>
      <c r="AH970" s="12">
        <v>6055768</v>
      </c>
      <c r="AI970" s="12">
        <v>2482254</v>
      </c>
      <c r="AJ970" s="23">
        <f t="shared" si="2188"/>
        <v>1282</v>
      </c>
      <c r="AK970" s="23">
        <f t="shared" si="2199"/>
        <v>15826785</v>
      </c>
      <c r="AL970" s="28">
        <f>AK970/detalle!$D$2</f>
        <v>1443981.3479635408</v>
      </c>
    </row>
    <row r="971" spans="1:38">
      <c r="A971" s="12">
        <v>970</v>
      </c>
      <c r="B971" s="19">
        <v>44860</v>
      </c>
      <c r="C971" s="12">
        <v>952</v>
      </c>
      <c r="D971" s="23">
        <v>24</v>
      </c>
      <c r="E971" s="12">
        <v>647508</v>
      </c>
      <c r="F971" s="12">
        <v>4384</v>
      </c>
      <c r="G971" s="12">
        <v>642861</v>
      </c>
      <c r="H971" s="23">
        <f t="shared" si="2178"/>
        <v>263</v>
      </c>
      <c r="I971" s="23">
        <f t="shared" si="2193"/>
        <v>1132</v>
      </c>
      <c r="J971" s="12">
        <v>3702938</v>
      </c>
      <c r="K971" s="23">
        <f t="shared" si="2180"/>
        <v>3055430</v>
      </c>
      <c r="L971" s="23">
        <f t="shared" si="2194"/>
        <v>2</v>
      </c>
      <c r="M971" s="14">
        <f t="shared" si="2139"/>
        <v>6.7705727187926633E-3</v>
      </c>
      <c r="N971" s="14">
        <f t="shared" si="2195"/>
        <v>2.1201413427561839E-2</v>
      </c>
      <c r="O971" s="24"/>
      <c r="P971" s="12"/>
      <c r="Q971" s="12"/>
      <c r="R971" s="23">
        <f t="shared" si="2191"/>
        <v>647245</v>
      </c>
      <c r="S971" s="25">
        <f>(((H971+R971)/(H970+R970))-1)+detalle!$D$1</f>
        <v>7.146563798156727E-2</v>
      </c>
      <c r="T971" s="25">
        <f t="shared" si="2184"/>
        <v>1.0005189317419418</v>
      </c>
      <c r="U971" s="10">
        <f t="shared" si="2190"/>
        <v>0.99282325469337829</v>
      </c>
      <c r="V971" s="21">
        <f t="shared" si="2185"/>
        <v>146.63800182481751</v>
      </c>
      <c r="W971" s="15">
        <f>J971/detalle!$D$2</f>
        <v>337843.30833238829</v>
      </c>
      <c r="X971" s="15">
        <f>E971/detalle!$D$2</f>
        <v>59076.399575604039</v>
      </c>
      <c r="Y971" s="15">
        <f>F971/detalle!$D$2</f>
        <v>399.98105929107919</v>
      </c>
      <c r="AA971" s="14">
        <f>E971/(detalle!$D$2*1000000)</f>
        <v>5.9076399575604038E-2</v>
      </c>
      <c r="AB971" s="14">
        <f>F971/(detalle!$D$2*1000000)</f>
        <v>3.999810592910792E-4</v>
      </c>
      <c r="AC971" s="31">
        <f>3/585</f>
        <v>5.1282051282051282E-3</v>
      </c>
      <c r="AD971" s="31">
        <f>5/2373</f>
        <v>2.1070375052675938E-3</v>
      </c>
      <c r="AE971" s="31">
        <f t="shared" si="2201"/>
        <v>2.1321961620469083E-3</v>
      </c>
      <c r="AF971" s="22">
        <f t="shared" si="2187"/>
        <v>0</v>
      </c>
      <c r="AG971" s="12">
        <v>7289020</v>
      </c>
      <c r="AH971" s="12">
        <v>6056198</v>
      </c>
      <c r="AI971" s="12">
        <v>2482905</v>
      </c>
      <c r="AJ971" s="23">
        <f t="shared" si="2188"/>
        <v>1338</v>
      </c>
      <c r="AK971" s="23">
        <f t="shared" si="2199"/>
        <v>15828123</v>
      </c>
      <c r="AL971" s="28">
        <f>AK971/detalle!$D$2</f>
        <v>1444103.4224747934</v>
      </c>
    </row>
    <row r="972" spans="1:38">
      <c r="A972" s="12">
        <v>971</v>
      </c>
      <c r="B972" s="19">
        <v>44861</v>
      </c>
      <c r="C972" s="12">
        <v>953</v>
      </c>
      <c r="D972" s="23">
        <v>39</v>
      </c>
      <c r="E972" s="12">
        <v>647547</v>
      </c>
      <c r="F972" s="12">
        <v>4384</v>
      </c>
      <c r="G972" s="12">
        <v>642900</v>
      </c>
      <c r="H972" s="23">
        <f t="shared" si="2178"/>
        <v>263</v>
      </c>
      <c r="I972" s="23">
        <f t="shared" si="2193"/>
        <v>821</v>
      </c>
      <c r="J972" s="12">
        <v>3703759</v>
      </c>
      <c r="K972" s="23">
        <f t="shared" si="2180"/>
        <v>3056212</v>
      </c>
      <c r="L972" s="23">
        <f t="shared" si="2194"/>
        <v>39</v>
      </c>
      <c r="M972" s="14">
        <f t="shared" si="2139"/>
        <v>6.7701649455560757E-3</v>
      </c>
      <c r="N972" s="14">
        <f t="shared" si="2195"/>
        <v>4.7503045066991476E-2</v>
      </c>
      <c r="O972" s="24"/>
      <c r="P972" s="12"/>
      <c r="Q972" s="12"/>
      <c r="R972" s="23">
        <f t="shared" si="2191"/>
        <v>647284</v>
      </c>
      <c r="S972" s="25">
        <f>(((H972+R972)/(H971+R971))-1)+detalle!$D$1</f>
        <v>7.148880234463742E-2</v>
      </c>
      <c r="T972" s="25">
        <f t="shared" si="2184"/>
        <v>1.0008432328249239</v>
      </c>
      <c r="U972" s="10">
        <f t="shared" si="2190"/>
        <v>0.99282368692928857</v>
      </c>
      <c r="V972" s="21">
        <f t="shared" si="2185"/>
        <v>146.64689781021897</v>
      </c>
      <c r="W972" s="15">
        <f>J972/detalle!$D$2</f>
        <v>337918.21354444989</v>
      </c>
      <c r="X972" s="15">
        <f>E972/detalle!$D$2</f>
        <v>59079.957801268356</v>
      </c>
      <c r="Y972" s="15">
        <f>F972/detalle!$D$2</f>
        <v>399.98105929107919</v>
      </c>
      <c r="AA972" s="14">
        <f>E972/(detalle!$D$2*1000000)</f>
        <v>5.9079957801268353E-2</v>
      </c>
      <c r="AB972" s="14">
        <f>F972/(detalle!$D$2*1000000)</f>
        <v>3.999810592910792E-4</v>
      </c>
      <c r="AC972" s="31">
        <f>3/585</f>
        <v>5.1282051282051282E-3</v>
      </c>
      <c r="AD972" s="31">
        <f t="shared" si="2200"/>
        <v>7.1639275179098188E-3</v>
      </c>
      <c r="AE972" s="31">
        <f t="shared" si="2201"/>
        <v>2.1321961620469083E-3</v>
      </c>
      <c r="AF972" s="22">
        <f t="shared" si="2187"/>
        <v>0</v>
      </c>
      <c r="AG972" s="12">
        <v>7289316</v>
      </c>
      <c r="AH972" s="12">
        <v>6056545</v>
      </c>
      <c r="AI972" s="12">
        <v>2483684</v>
      </c>
      <c r="AJ972" s="23">
        <f t="shared" si="2188"/>
        <v>1422</v>
      </c>
      <c r="AK972" s="23">
        <f t="shared" si="2199"/>
        <v>15829545</v>
      </c>
      <c r="AL972" s="28">
        <f>AK972/detalle!$D$2</f>
        <v>1444233.1608567077</v>
      </c>
    </row>
    <row r="973" spans="1:38">
      <c r="A973" s="12">
        <v>972</v>
      </c>
      <c r="B973" s="19">
        <v>44862</v>
      </c>
      <c r="C973" s="12">
        <v>954</v>
      </c>
      <c r="D973" s="23">
        <v>8</v>
      </c>
      <c r="E973" s="12">
        <v>647555</v>
      </c>
      <c r="F973" s="12">
        <v>4384</v>
      </c>
      <c r="G973" s="12">
        <v>642897</v>
      </c>
      <c r="H973" s="23">
        <f t="shared" si="2178"/>
        <v>274</v>
      </c>
      <c r="I973" s="23">
        <f t="shared" si="2193"/>
        <v>1464</v>
      </c>
      <c r="J973" s="12">
        <v>3705223</v>
      </c>
      <c r="K973" s="23">
        <f t="shared" si="2180"/>
        <v>3057668</v>
      </c>
      <c r="L973" s="23">
        <f t="shared" si="2194"/>
        <v>-3</v>
      </c>
      <c r="M973" s="14">
        <f t="shared" si="2139"/>
        <v>6.7700813058350255E-3</v>
      </c>
      <c r="N973" s="14">
        <f t="shared" si="2195"/>
        <v>5.4644808743169399E-3</v>
      </c>
      <c r="O973" s="24"/>
      <c r="P973" s="12"/>
      <c r="Q973" s="12"/>
      <c r="R973" s="23">
        <f t="shared" si="2191"/>
        <v>647281</v>
      </c>
      <c r="S973" s="25">
        <f>(((H973+R973)/(H972+R972))-1)+detalle!$D$1</f>
        <v>7.1440925744165523E-2</v>
      </c>
      <c r="T973" s="25">
        <f t="shared" si="2184"/>
        <v>1.0001729604183174</v>
      </c>
      <c r="U973" s="10">
        <f t="shared" si="2190"/>
        <v>0.99280678861255034</v>
      </c>
      <c r="V973" s="21">
        <f t="shared" si="2185"/>
        <v>146.64621350364965</v>
      </c>
      <c r="W973" s="15">
        <f>J973/detalle!$D$2</f>
        <v>338051.78386169486</v>
      </c>
      <c r="X973" s="15">
        <f>E973/detalle!$D$2</f>
        <v>59080.687693712316</v>
      </c>
      <c r="Y973" s="15">
        <f>F973/detalle!$D$2</f>
        <v>399.98105929107919</v>
      </c>
      <c r="AA973" s="14">
        <f>E973/(detalle!$D$2*1000000)</f>
        <v>5.9080687693712317E-2</v>
      </c>
      <c r="AB973" s="14">
        <f>F973/(detalle!$D$2*1000000)</f>
        <v>3.999810592910792E-4</v>
      </c>
      <c r="AC973" s="31">
        <f>0/585</f>
        <v>0</v>
      </c>
      <c r="AD973" s="31">
        <f>5/2373</f>
        <v>2.1070375052675938E-3</v>
      </c>
      <c r="AE973" s="31">
        <f t="shared" si="2198"/>
        <v>0</v>
      </c>
      <c r="AF973" s="22">
        <f t="shared" si="2187"/>
        <v>0</v>
      </c>
      <c r="AG973" s="12">
        <v>7289545</v>
      </c>
      <c r="AH973" s="12">
        <v>6056903</v>
      </c>
      <c r="AI973" s="12">
        <v>2484286</v>
      </c>
      <c r="AJ973" s="23">
        <f t="shared" si="2188"/>
        <v>1189</v>
      </c>
      <c r="AK973" s="23">
        <f t="shared" si="2199"/>
        <v>15830734</v>
      </c>
      <c r="AL973" s="28">
        <f>AK973/detalle!$D$2</f>
        <v>1444341.6411211914</v>
      </c>
    </row>
    <row r="974" spans="1:38">
      <c r="A974" s="12">
        <v>973</v>
      </c>
      <c r="B974" s="19">
        <v>44863</v>
      </c>
      <c r="C974" s="12">
        <v>955</v>
      </c>
      <c r="D974" s="23">
        <v>21</v>
      </c>
      <c r="E974" s="12">
        <v>647576</v>
      </c>
      <c r="F974" s="12">
        <v>4384</v>
      </c>
      <c r="G974" s="12">
        <v>642918</v>
      </c>
      <c r="H974" s="23">
        <f t="shared" si="2178"/>
        <v>274</v>
      </c>
      <c r="I974" s="23">
        <f t="shared" si="2193"/>
        <v>1794</v>
      </c>
      <c r="J974" s="12">
        <v>3707017</v>
      </c>
      <c r="K974" s="23">
        <f t="shared" si="2180"/>
        <v>3059441</v>
      </c>
      <c r="L974" s="23">
        <f t="shared" si="2194"/>
        <v>21</v>
      </c>
      <c r="M974" s="14">
        <f t="shared" si="2139"/>
        <v>6.7698617613994342E-3</v>
      </c>
      <c r="N974" s="14">
        <f t="shared" si="2195"/>
        <v>1.1705685618729096E-2</v>
      </c>
      <c r="O974" s="24"/>
      <c r="P974" s="12"/>
      <c r="Q974" s="12"/>
      <c r="R974" s="23">
        <f t="shared" si="2191"/>
        <v>647302</v>
      </c>
      <c r="S974" s="25">
        <f>(((H974+R974)/(H973+R973))-1)+detalle!$D$1</f>
        <v>7.1461001106359473E-2</v>
      </c>
      <c r="T974" s="25">
        <f t="shared" si="2184"/>
        <v>1.0004540154890327</v>
      </c>
      <c r="U974" s="10">
        <f t="shared" si="2190"/>
        <v>0.99280702187851311</v>
      </c>
      <c r="V974" s="21">
        <f t="shared" si="2185"/>
        <v>146.65100364963504</v>
      </c>
      <c r="W974" s="15">
        <f>J974/detalle!$D$2</f>
        <v>338215.4622422533</v>
      </c>
      <c r="X974" s="15">
        <f>E974/detalle!$D$2</f>
        <v>59082.603661377718</v>
      </c>
      <c r="Y974" s="15">
        <f>F974/detalle!$D$2</f>
        <v>399.98105929107919</v>
      </c>
      <c r="AA974" s="14">
        <f>E974/(detalle!$D$2*1000000)</f>
        <v>5.9082603661377714E-2</v>
      </c>
      <c r="AB974" s="14">
        <f>F974/(detalle!$D$2*1000000)</f>
        <v>3.999810592910792E-4</v>
      </c>
      <c r="AC974" s="31">
        <f>0/585</f>
        <v>0</v>
      </c>
      <c r="AD974" s="31">
        <f>5/2373</f>
        <v>2.1070375052675938E-3</v>
      </c>
      <c r="AE974" s="31">
        <f t="shared" si="2198"/>
        <v>0</v>
      </c>
      <c r="AF974" s="22">
        <f t="shared" si="2187"/>
        <v>0</v>
      </c>
      <c r="AG974" s="12">
        <v>7289545</v>
      </c>
      <c r="AH974" s="12">
        <v>6056903</v>
      </c>
      <c r="AI974" s="12">
        <v>2484286</v>
      </c>
      <c r="AJ974" s="23">
        <f t="shared" si="2188"/>
        <v>0</v>
      </c>
      <c r="AK974" s="23">
        <f t="shared" si="2199"/>
        <v>15830734</v>
      </c>
      <c r="AL974" s="28">
        <f>AK974/detalle!$D$2</f>
        <v>1444341.6411211914</v>
      </c>
    </row>
    <row r="975" spans="1:38">
      <c r="A975" s="12">
        <v>974</v>
      </c>
      <c r="B975" s="19">
        <v>44864</v>
      </c>
      <c r="C975" s="12">
        <v>956</v>
      </c>
      <c r="D975" s="23">
        <v>18</v>
      </c>
      <c r="E975" s="12">
        <v>647594</v>
      </c>
      <c r="F975" s="12">
        <v>4384</v>
      </c>
      <c r="G975" s="12">
        <v>642946</v>
      </c>
      <c r="H975" s="23">
        <f t="shared" ref="H975:H994" si="2203">E975-F975-G975</f>
        <v>264</v>
      </c>
      <c r="I975" s="23">
        <f t="shared" si="2193"/>
        <v>1187</v>
      </c>
      <c r="J975" s="12">
        <v>3708204</v>
      </c>
      <c r="K975" s="23">
        <f t="shared" si="2180"/>
        <v>3060610</v>
      </c>
      <c r="L975" s="23">
        <f t="shared" si="2194"/>
        <v>28</v>
      </c>
      <c r="M975" s="14">
        <f t="shared" si="2139"/>
        <v>6.7696735917874467E-3</v>
      </c>
      <c r="N975" s="14">
        <f t="shared" si="2195"/>
        <v>1.5164279696714406E-2</v>
      </c>
      <c r="O975" s="24"/>
      <c r="P975" s="12"/>
      <c r="Q975" s="12"/>
      <c r="R975" s="23">
        <f t="shared" si="2191"/>
        <v>647330</v>
      </c>
      <c r="S975" s="25">
        <f>(((H975+R975)/(H974+R974))-1)+detalle!$D$1</f>
        <v>7.1456367393832682E-2</v>
      </c>
      <c r="T975" s="25">
        <f t="shared" si="2184"/>
        <v>1.0003891435136576</v>
      </c>
      <c r="U975" s="10">
        <f t="shared" si="2190"/>
        <v>0.99282266358242977</v>
      </c>
      <c r="V975" s="21">
        <f t="shared" si="2185"/>
        <v>146.65739051094891</v>
      </c>
      <c r="W975" s="15">
        <f>J975/detalle!$D$2</f>
        <v>338323.76003362617</v>
      </c>
      <c r="X975" s="15">
        <f>E975/detalle!$D$2</f>
        <v>59084.245919376626</v>
      </c>
      <c r="Y975" s="15">
        <f>F975/detalle!$D$2</f>
        <v>399.98105929107919</v>
      </c>
      <c r="AA975" s="14">
        <f>E975/(detalle!$D$2*1000000)</f>
        <v>5.9084245919376631E-2</v>
      </c>
      <c r="AB975" s="14">
        <f>F975/(detalle!$D$2*1000000)</f>
        <v>3.999810592910792E-4</v>
      </c>
      <c r="AC975" s="31">
        <f>0/585</f>
        <v>0</v>
      </c>
      <c r="AD975" s="31">
        <f>3/2373</f>
        <v>1.2642225031605564E-3</v>
      </c>
      <c r="AE975" s="31">
        <f t="shared" si="2198"/>
        <v>0</v>
      </c>
      <c r="AF975" s="22">
        <f t="shared" si="2187"/>
        <v>0</v>
      </c>
      <c r="AG975" s="12">
        <v>7289742</v>
      </c>
      <c r="AH975" s="12">
        <v>6057153</v>
      </c>
      <c r="AI975" s="12">
        <v>2484701</v>
      </c>
      <c r="AJ975" s="23">
        <f t="shared" si="2188"/>
        <v>862</v>
      </c>
      <c r="AK975" s="23">
        <f t="shared" si="2199"/>
        <v>15831596</v>
      </c>
      <c r="AL975" s="28">
        <f>AK975/detalle!$D$2</f>
        <v>1444420.2870320284</v>
      </c>
    </row>
    <row r="976" spans="1:38">
      <c r="A976" s="12">
        <v>975</v>
      </c>
      <c r="B976" s="19">
        <v>44865</v>
      </c>
      <c r="C976" s="12">
        <v>957</v>
      </c>
      <c r="D976" s="23">
        <v>8</v>
      </c>
      <c r="E976" s="12">
        <v>647602</v>
      </c>
      <c r="F976" s="12">
        <v>4384</v>
      </c>
      <c r="G976" s="12">
        <v>642945</v>
      </c>
      <c r="H976" s="23">
        <f t="shared" si="2203"/>
        <v>273</v>
      </c>
      <c r="I976" s="23">
        <f t="shared" si="2193"/>
        <v>800</v>
      </c>
      <c r="J976" s="12">
        <v>3709004</v>
      </c>
      <c r="K976" s="23">
        <f t="shared" si="2180"/>
        <v>3061402</v>
      </c>
      <c r="L976" s="23">
        <f t="shared" si="2194"/>
        <v>-1</v>
      </c>
      <c r="M976" s="14">
        <f t="shared" si="2139"/>
        <v>6.7695899642064104E-3</v>
      </c>
      <c r="N976" s="14">
        <f t="shared" si="2195"/>
        <v>0.01</v>
      </c>
      <c r="O976" s="24"/>
      <c r="P976" s="12"/>
      <c r="Q976" s="12"/>
      <c r="R976" s="23">
        <f t="shared" si="2191"/>
        <v>647329</v>
      </c>
      <c r="S976" s="25">
        <f>(((H976+R976)/(H975+R975))-1)+detalle!$D$1</f>
        <v>7.1440924847534532E-2</v>
      </c>
      <c r="T976" s="25">
        <f t="shared" si="2184"/>
        <v>1.0001729478654835</v>
      </c>
      <c r="U976" s="10">
        <f t="shared" si="2190"/>
        <v>0.99280885482132541</v>
      </c>
      <c r="V976" s="21">
        <f t="shared" si="2185"/>
        <v>146.65716240875912</v>
      </c>
      <c r="W976" s="15">
        <f>J976/detalle!$D$2</f>
        <v>338396.74927802233</v>
      </c>
      <c r="X976" s="15">
        <f>E976/detalle!$D$2</f>
        <v>59084.975811820594</v>
      </c>
      <c r="Y976" s="15">
        <f>F976/detalle!$D$2</f>
        <v>399.98105929107919</v>
      </c>
      <c r="AA976" s="14">
        <f>E976/(detalle!$D$2*1000000)</f>
        <v>5.9084975811820588E-2</v>
      </c>
      <c r="AB976" s="14">
        <f>F976/(detalle!$D$2*1000000)</f>
        <v>3.999810592910792E-4</v>
      </c>
      <c r="AC976" s="31">
        <f>0/585</f>
        <v>0</v>
      </c>
      <c r="AD976" s="31">
        <f>3/2373</f>
        <v>1.2642225031605564E-3</v>
      </c>
      <c r="AE976" s="31">
        <f t="shared" si="2198"/>
        <v>0</v>
      </c>
      <c r="AF976" s="22">
        <f t="shared" si="2187"/>
        <v>0</v>
      </c>
      <c r="AG976" s="12">
        <v>7290037</v>
      </c>
      <c r="AH976" s="12">
        <v>6057459</v>
      </c>
      <c r="AI976" s="12">
        <v>2485347</v>
      </c>
      <c r="AJ976" s="23">
        <f t="shared" si="2188"/>
        <v>1247</v>
      </c>
      <c r="AK976" s="23">
        <f t="shared" si="2199"/>
        <v>15832843</v>
      </c>
      <c r="AL976" s="28">
        <f>AK976/detalle!$D$2</f>
        <v>1444534.0590167309</v>
      </c>
    </row>
    <row r="977" spans="1:38">
      <c r="A977" s="12">
        <v>976</v>
      </c>
      <c r="B977" s="19">
        <v>44866</v>
      </c>
      <c r="C977" s="12">
        <v>958</v>
      </c>
      <c r="D977" s="23">
        <v>30</v>
      </c>
      <c r="E977" s="12">
        <v>647632</v>
      </c>
      <c r="F977" s="12">
        <v>4384</v>
      </c>
      <c r="G977" s="12">
        <v>643043</v>
      </c>
      <c r="H977" s="23">
        <f t="shared" si="2203"/>
        <v>205</v>
      </c>
      <c r="I977" s="23">
        <f t="shared" si="2193"/>
        <v>1667</v>
      </c>
      <c r="J977" s="12">
        <v>3710671</v>
      </c>
      <c r="K977" s="23">
        <f t="shared" si="2180"/>
        <v>3063039</v>
      </c>
      <c r="L977" s="23">
        <f t="shared" si="2194"/>
        <v>98</v>
      </c>
      <c r="M977" s="14">
        <f t="shared" si="2139"/>
        <v>6.7692763791782984E-3</v>
      </c>
      <c r="N977" s="14">
        <f t="shared" si="2195"/>
        <v>1.7996400719856028E-2</v>
      </c>
      <c r="O977" s="24"/>
      <c r="P977" s="12"/>
      <c r="Q977" s="12"/>
      <c r="R977" s="23">
        <f t="shared" si="2191"/>
        <v>647427</v>
      </c>
      <c r="S977" s="25">
        <f>(((H977+R977)/(H976+R976))-1)+detalle!$D$1</f>
        <v>7.1474896177414121E-2</v>
      </c>
      <c r="T977" s="25">
        <f t="shared" si="2184"/>
        <v>1.0006485464837978</v>
      </c>
      <c r="U977" s="10">
        <f t="shared" si="2190"/>
        <v>0.99291418583393043</v>
      </c>
      <c r="V977" s="21">
        <f t="shared" si="2185"/>
        <v>146.67951642335765</v>
      </c>
      <c r="W977" s="15">
        <f>J977/detalle!$D$2</f>
        <v>338548.84061603289</v>
      </c>
      <c r="X977" s="15">
        <f>E977/detalle!$D$2</f>
        <v>59087.712908485446</v>
      </c>
      <c r="Y977" s="15">
        <f>F977/detalle!$D$2</f>
        <v>399.98105929107919</v>
      </c>
      <c r="AA977" s="14">
        <f>E977/(detalle!$D$2*1000000)</f>
        <v>5.9087712908485447E-2</v>
      </c>
      <c r="AB977" s="14">
        <f>F977/(detalle!$D$2*1000000)</f>
        <v>3.999810592910792E-4</v>
      </c>
      <c r="AC977" s="31">
        <f>2/585</f>
        <v>3.4188034188034188E-3</v>
      </c>
      <c r="AD977" s="31">
        <f>8/2373</f>
        <v>3.3712600084281502E-3</v>
      </c>
      <c r="AE977" s="31">
        <f t="shared" si="2198"/>
        <v>0</v>
      </c>
      <c r="AF977" s="22">
        <f t="shared" si="2187"/>
        <v>0</v>
      </c>
      <c r="AG977" s="12">
        <v>7290341</v>
      </c>
      <c r="AH977" s="12">
        <v>6057822</v>
      </c>
      <c r="AI977" s="12">
        <v>2485980</v>
      </c>
      <c r="AJ977" s="23">
        <f t="shared" si="2188"/>
        <v>1300</v>
      </c>
      <c r="AK977" s="23">
        <f t="shared" si="2199"/>
        <v>15834143</v>
      </c>
      <c r="AL977" s="28">
        <f>AK977/detalle!$D$2</f>
        <v>1444652.6665388746</v>
      </c>
    </row>
    <row r="978" spans="1:38">
      <c r="A978" s="12">
        <v>977</v>
      </c>
      <c r="B978" s="19">
        <v>44867</v>
      </c>
      <c r="C978" s="12">
        <v>959</v>
      </c>
      <c r="D978" s="23">
        <v>21</v>
      </c>
      <c r="E978" s="12">
        <v>647663</v>
      </c>
      <c r="F978" s="12">
        <v>4384</v>
      </c>
      <c r="G978" s="12">
        <v>643047</v>
      </c>
      <c r="H978" s="23">
        <f t="shared" si="2203"/>
        <v>232</v>
      </c>
      <c r="I978" s="23">
        <f t="shared" si="2193"/>
        <v>1387</v>
      </c>
      <c r="J978" s="12">
        <v>3712058</v>
      </c>
      <c r="K978" s="23">
        <f t="shared" si="2180"/>
        <v>3064395</v>
      </c>
      <c r="L978" s="23">
        <f t="shared" si="2194"/>
        <v>4</v>
      </c>
      <c r="M978" s="14">
        <f t="shared" si="2139"/>
        <v>6.7689523718353524E-3</v>
      </c>
      <c r="N978" s="14">
        <f t="shared" si="2195"/>
        <v>1.514059120403749E-2</v>
      </c>
      <c r="O978" s="24"/>
      <c r="P978" s="12"/>
      <c r="Q978" s="12"/>
      <c r="R978" s="23">
        <f t="shared" si="2191"/>
        <v>647431</v>
      </c>
      <c r="S978" s="25">
        <f>(((H978+R978)/(H977+R977))-1)+detalle!$D$1</f>
        <v>7.1476438118296431E-2</v>
      </c>
      <c r="T978" s="25">
        <f t="shared" si="2184"/>
        <v>1.0006701336561501</v>
      </c>
      <c r="U978" s="10">
        <f t="shared" si="2190"/>
        <v>0.9928728366449836</v>
      </c>
      <c r="V978" s="21">
        <f t="shared" si="2185"/>
        <v>146.68042883211677</v>
      </c>
      <c r="W978" s="15">
        <f>J978/detalle!$D$2</f>
        <v>338675.38571850478</v>
      </c>
      <c r="X978" s="15">
        <f>E978/detalle!$D$2</f>
        <v>59090.541241705803</v>
      </c>
      <c r="Y978" s="15">
        <f>F978/detalle!$D$2</f>
        <v>399.98105929107919</v>
      </c>
      <c r="AA978" s="14">
        <f>E978/(detalle!$D$2*1000000)</f>
        <v>5.9090541241705798E-2</v>
      </c>
      <c r="AB978" s="14">
        <f>F978/(detalle!$D$2*1000000)</f>
        <v>3.999810592910792E-4</v>
      </c>
      <c r="AC978" s="31">
        <f>1/585</f>
        <v>1.7094017094017094E-3</v>
      </c>
      <c r="AD978" s="31">
        <f>6/2373</f>
        <v>2.5284450063211127E-3</v>
      </c>
      <c r="AE978" s="31">
        <f t="shared" si="2198"/>
        <v>0</v>
      </c>
      <c r="AF978" s="22">
        <f t="shared" si="2187"/>
        <v>0</v>
      </c>
      <c r="AG978" s="12">
        <v>7290581</v>
      </c>
      <c r="AH978" s="12">
        <v>6058180</v>
      </c>
      <c r="AI978" s="12">
        <v>2486711</v>
      </c>
      <c r="AJ978" s="23">
        <f t="shared" si="2188"/>
        <v>1329</v>
      </c>
      <c r="AK978" s="23">
        <f t="shared" si="2199"/>
        <v>15835472</v>
      </c>
      <c r="AL978" s="28">
        <f>AK978/detalle!$D$2</f>
        <v>1444773.9199211278</v>
      </c>
    </row>
    <row r="979" spans="1:38">
      <c r="A979" s="12">
        <v>978</v>
      </c>
      <c r="B979" s="19">
        <v>44868</v>
      </c>
      <c r="C979" s="12">
        <v>960</v>
      </c>
      <c r="D979" s="23">
        <v>19</v>
      </c>
      <c r="E979" s="12">
        <v>647672</v>
      </c>
      <c r="F979" s="12">
        <v>4384</v>
      </c>
      <c r="G979" s="12">
        <v>643058</v>
      </c>
      <c r="H979" s="23">
        <f t="shared" si="2203"/>
        <v>230</v>
      </c>
      <c r="I979" s="23">
        <f t="shared" si="2193"/>
        <v>688</v>
      </c>
      <c r="J979" s="12">
        <v>3712746</v>
      </c>
      <c r="K979" s="23">
        <f t="shared" si="2180"/>
        <v>3065074</v>
      </c>
      <c r="L979" s="23">
        <f t="shared" si="2194"/>
        <v>11</v>
      </c>
      <c r="M979" s="14">
        <f t="shared" si="2139"/>
        <v>6.7688583109969244E-3</v>
      </c>
      <c r="N979" s="14">
        <f t="shared" si="2195"/>
        <v>2.7616279069767442E-2</v>
      </c>
      <c r="O979" s="24"/>
      <c r="P979" s="12"/>
      <c r="Q979" s="12"/>
      <c r="R979" s="23">
        <f t="shared" si="2191"/>
        <v>647442</v>
      </c>
      <c r="S979" s="25">
        <f>(((H979+R979)/(H978+R978))-1)+detalle!$D$1</f>
        <v>7.1442467544298199E-2</v>
      </c>
      <c r="T979" s="25">
        <f t="shared" si="2184"/>
        <v>1.0001945456201748</v>
      </c>
      <c r="U979" s="10">
        <f t="shared" si="2190"/>
        <v>0.99287602366630023</v>
      </c>
      <c r="V979" s="21">
        <f t="shared" si="2185"/>
        <v>146.68293795620437</v>
      </c>
      <c r="W979" s="15">
        <f>J979/detalle!$D$2</f>
        <v>338738.15646868548</v>
      </c>
      <c r="X979" s="15">
        <f>E979/detalle!$D$2</f>
        <v>59091.362370705261</v>
      </c>
      <c r="Y979" s="15">
        <f>F979/detalle!$D$2</f>
        <v>399.98105929107919</v>
      </c>
      <c r="AA979" s="14">
        <f>E979/(detalle!$D$2*1000000)</f>
        <v>5.9091362370705253E-2</v>
      </c>
      <c r="AB979" s="14">
        <f>F979/(detalle!$D$2*1000000)</f>
        <v>3.999810592910792E-4</v>
      </c>
      <c r="AC979" s="31">
        <f>1/585</f>
        <v>1.7094017094017094E-3</v>
      </c>
      <c r="AD979" s="31">
        <f>9/2373</f>
        <v>3.7926675094816687E-3</v>
      </c>
      <c r="AE979" s="31">
        <f t="shared" si="2198"/>
        <v>0</v>
      </c>
      <c r="AF979" s="22">
        <f t="shared" si="2187"/>
        <v>0</v>
      </c>
      <c r="AG979" s="12">
        <v>7290937</v>
      </c>
      <c r="AH979" s="12">
        <v>6058540</v>
      </c>
      <c r="AI979" s="12">
        <v>2487443</v>
      </c>
      <c r="AJ979" s="23">
        <f t="shared" si="2188"/>
        <v>1448</v>
      </c>
      <c r="AK979" s="23">
        <f t="shared" si="2199"/>
        <v>15836920</v>
      </c>
      <c r="AL979" s="28">
        <f>AK979/detalle!$D$2</f>
        <v>1444906.030453485</v>
      </c>
    </row>
    <row r="980" spans="1:38">
      <c r="A980" s="12">
        <v>979</v>
      </c>
      <c r="B980" s="19">
        <v>44869</v>
      </c>
      <c r="C980" s="12">
        <v>961</v>
      </c>
      <c r="D980" s="23">
        <v>21</v>
      </c>
      <c r="E980" s="12">
        <v>647694</v>
      </c>
      <c r="F980" s="12">
        <v>4384</v>
      </c>
      <c r="G980" s="12">
        <v>643073</v>
      </c>
      <c r="H980" s="23">
        <f t="shared" si="2203"/>
        <v>237</v>
      </c>
      <c r="I980" s="23">
        <f t="shared" si="2193"/>
        <v>1004</v>
      </c>
      <c r="J980" s="12">
        <v>3713750</v>
      </c>
      <c r="K980" s="23">
        <f t="shared" si="2180"/>
        <v>3066056</v>
      </c>
      <c r="L980" s="23">
        <f t="shared" si="2194"/>
        <v>15</v>
      </c>
      <c r="M980" s="14">
        <f t="shared" si="2139"/>
        <v>6.7686283955077555E-3</v>
      </c>
      <c r="N980" s="14">
        <f t="shared" si="2195"/>
        <v>2.091633466135458E-2</v>
      </c>
      <c r="O980" s="24"/>
      <c r="P980" s="12"/>
      <c r="Q980" s="12"/>
      <c r="R980" s="23">
        <f t="shared" si="2191"/>
        <v>647457</v>
      </c>
      <c r="S980" s="25">
        <f>(((H980+R980)/(H979+R979))-1)+detalle!$D$1</f>
        <v>7.1462539239438599E-2</v>
      </c>
      <c r="T980" s="25">
        <f t="shared" si="2184"/>
        <v>1.0004755493521404</v>
      </c>
      <c r="U980" s="10">
        <f t="shared" si="2190"/>
        <v>0.99286545807124971</v>
      </c>
      <c r="V980" s="21">
        <f t="shared" si="2185"/>
        <v>146.68635948905109</v>
      </c>
      <c r="W980" s="15">
        <f>J980/detalle!$D$2</f>
        <v>338829.75797040272</v>
      </c>
      <c r="X980" s="15">
        <f>E980/detalle!$D$2</f>
        <v>59093.369574926153</v>
      </c>
      <c r="Y980" s="15">
        <f>F980/detalle!$D$2</f>
        <v>399.98105929107919</v>
      </c>
      <c r="AA980" s="14">
        <f>E980/(detalle!$D$2*1000000)</f>
        <v>5.9093369574926148E-2</v>
      </c>
      <c r="AB980" s="14">
        <f>F980/(detalle!$D$2*1000000)</f>
        <v>3.999810592910792E-4</v>
      </c>
      <c r="AC980" s="31">
        <f>1/585</f>
        <v>1.7094017094017094E-3</v>
      </c>
      <c r="AD980" s="31">
        <f>9/2373</f>
        <v>3.7926675094816687E-3</v>
      </c>
      <c r="AE980" s="31">
        <f t="shared" si="2198"/>
        <v>0</v>
      </c>
      <c r="AF980" s="22">
        <f t="shared" si="2187"/>
        <v>0</v>
      </c>
      <c r="AG980" s="12">
        <v>7291276</v>
      </c>
      <c r="AH980" s="12">
        <v>6058921</v>
      </c>
      <c r="AI980" s="12">
        <v>2488110</v>
      </c>
      <c r="AJ980" s="23">
        <f t="shared" si="2188"/>
        <v>1387</v>
      </c>
      <c r="AK980" s="23">
        <f t="shared" si="2199"/>
        <v>15838307</v>
      </c>
      <c r="AL980" s="28">
        <f>AK980/detalle!$D$2</f>
        <v>1445032.5755559569</v>
      </c>
    </row>
    <row r="981" spans="1:38">
      <c r="A981" s="12">
        <v>980</v>
      </c>
      <c r="B981" s="19">
        <v>44870</v>
      </c>
      <c r="C981" s="12">
        <v>962</v>
      </c>
      <c r="D981" s="23">
        <v>23</v>
      </c>
      <c r="E981" s="12">
        <v>647717</v>
      </c>
      <c r="F981" s="12">
        <v>4384</v>
      </c>
      <c r="G981" s="12">
        <v>643090</v>
      </c>
      <c r="H981" s="23">
        <f t="shared" si="2203"/>
        <v>243</v>
      </c>
      <c r="I981" s="23">
        <f t="shared" si="2193"/>
        <v>607</v>
      </c>
      <c r="J981" s="12">
        <v>3714357</v>
      </c>
      <c r="K981" s="23">
        <f t="shared" si="2180"/>
        <v>3066640</v>
      </c>
      <c r="L981" s="23">
        <f t="shared" si="2194"/>
        <v>17</v>
      </c>
      <c r="M981" s="14">
        <f t="shared" si="2139"/>
        <v>6.7683880460139229E-3</v>
      </c>
      <c r="N981" s="14">
        <f t="shared" si="2195"/>
        <v>3.789126853377265E-2</v>
      </c>
      <c r="O981" s="24"/>
      <c r="P981" s="12"/>
      <c r="Q981" s="12"/>
      <c r="R981" s="23">
        <f t="shared" si="2191"/>
        <v>647474</v>
      </c>
      <c r="S981" s="25">
        <f>(((H981+R981)/(H980+R980))-1)+detalle!$D$1</f>
        <v>7.1464082024624426E-2</v>
      </c>
      <c r="T981" s="25">
        <f t="shared" si="2184"/>
        <v>1.000497148344742</v>
      </c>
      <c r="U981" s="10">
        <f t="shared" si="2190"/>
        <v>0.99285644810928231</v>
      </c>
      <c r="V981" s="21">
        <f t="shared" si="2185"/>
        <v>146.69023722627736</v>
      </c>
      <c r="W981" s="15">
        <f>J981/detalle!$D$2</f>
        <v>338885.13855958829</v>
      </c>
      <c r="X981" s="15">
        <f>E981/detalle!$D$2</f>
        <v>59095.468015702543</v>
      </c>
      <c r="Y981" s="15">
        <f>F981/detalle!$D$2</f>
        <v>399.98105929107919</v>
      </c>
      <c r="AA981" s="14">
        <f>E981/(detalle!$D$2*1000000)</f>
        <v>5.9095468015702542E-2</v>
      </c>
      <c r="AB981" s="14">
        <f>F981/(detalle!$D$2*1000000)</f>
        <v>3.999810592910792E-4</v>
      </c>
      <c r="AC981" s="31">
        <f>1/585</f>
        <v>1.7094017094017094E-3</v>
      </c>
      <c r="AD981" s="31">
        <f>9/2373</f>
        <v>3.7926675094816687E-3</v>
      </c>
      <c r="AE981" s="31">
        <f>1/469</f>
        <v>2.1321961620469083E-3</v>
      </c>
      <c r="AF981" s="22">
        <f t="shared" si="2187"/>
        <v>0</v>
      </c>
      <c r="AG981" s="12">
        <v>7291412</v>
      </c>
      <c r="AH981" s="12">
        <v>6059107</v>
      </c>
      <c r="AI981" s="12">
        <v>2488357</v>
      </c>
      <c r="AJ981" s="23">
        <f t="shared" si="2188"/>
        <v>569</v>
      </c>
      <c r="AK981" s="23">
        <f t="shared" si="2199"/>
        <v>15838876</v>
      </c>
      <c r="AL981" s="28">
        <f>AK981/detalle!$D$2</f>
        <v>1445084.4891560336</v>
      </c>
    </row>
    <row r="982" spans="1:38">
      <c r="A982" s="12">
        <v>981</v>
      </c>
      <c r="B982" s="19">
        <v>44871</v>
      </c>
      <c r="C982" s="12">
        <v>963</v>
      </c>
      <c r="D982" s="23">
        <v>21</v>
      </c>
      <c r="E982" s="12">
        <v>647738</v>
      </c>
      <c r="F982" s="12">
        <v>4384</v>
      </c>
      <c r="G982" s="12">
        <v>643099</v>
      </c>
      <c r="H982" s="23">
        <f t="shared" si="2203"/>
        <v>255</v>
      </c>
      <c r="I982" s="23">
        <f t="shared" si="2193"/>
        <v>413</v>
      </c>
      <c r="J982" s="12">
        <v>3714770</v>
      </c>
      <c r="K982" s="23">
        <f t="shared" si="2180"/>
        <v>3067032</v>
      </c>
      <c r="L982" s="23">
        <f t="shared" si="2194"/>
        <v>9</v>
      </c>
      <c r="M982" s="14">
        <f t="shared" si="2139"/>
        <v>6.7681686113829978E-3</v>
      </c>
      <c r="N982" s="14">
        <f t="shared" si="2195"/>
        <v>5.0847457627118647E-2</v>
      </c>
      <c r="O982" s="24"/>
      <c r="P982" s="12"/>
      <c r="Q982" s="12"/>
      <c r="R982" s="23">
        <f t="shared" si="2191"/>
        <v>647483</v>
      </c>
      <c r="S982" s="25">
        <f>(((H982+R982)/(H981+R981))-1)+detalle!$D$1</f>
        <v>7.1460992995397571E-2</v>
      </c>
      <c r="T982" s="25">
        <f t="shared" si="2184"/>
        <v>1.000453901935566</v>
      </c>
      <c r="U982" s="10">
        <f t="shared" si="2190"/>
        <v>0.99283815369794581</v>
      </c>
      <c r="V982" s="21">
        <f t="shared" si="2185"/>
        <v>146.6922901459854</v>
      </c>
      <c r="W982" s="15">
        <f>J982/detalle!$D$2</f>
        <v>338922.8192570078</v>
      </c>
      <c r="X982" s="15">
        <f>E982/detalle!$D$2</f>
        <v>59097.383983367945</v>
      </c>
      <c r="Y982" s="15">
        <f>F982/detalle!$D$2</f>
        <v>399.98105929107919</v>
      </c>
      <c r="AA982" s="14">
        <f>E982/(detalle!$D$2*1000000)</f>
        <v>5.9097383983367939E-2</v>
      </c>
      <c r="AB982" s="14">
        <f>F982/(detalle!$D$2*1000000)</f>
        <v>3.999810592910792E-4</v>
      </c>
      <c r="AC982" s="31">
        <f>0/585</f>
        <v>0</v>
      </c>
      <c r="AD982" s="31">
        <f>9/2373</f>
        <v>3.7926675094816687E-3</v>
      </c>
      <c r="AE982" s="31">
        <f t="shared" si="2198"/>
        <v>0</v>
      </c>
      <c r="AF982" s="22">
        <f t="shared" si="2187"/>
        <v>0</v>
      </c>
      <c r="AG982" s="12">
        <v>7291469</v>
      </c>
      <c r="AH982" s="12">
        <v>6059185</v>
      </c>
      <c r="AI982" s="12">
        <v>2488515</v>
      </c>
      <c r="AJ982" s="23">
        <f t="shared" si="2188"/>
        <v>293</v>
      </c>
      <c r="AK982" s="23">
        <f t="shared" si="2199"/>
        <v>15839169</v>
      </c>
      <c r="AL982" s="28">
        <f>AK982/detalle!$D$2</f>
        <v>1445111.2214667937</v>
      </c>
    </row>
    <row r="983" spans="1:38">
      <c r="A983" s="12">
        <v>982</v>
      </c>
      <c r="B983" s="19">
        <v>44872</v>
      </c>
      <c r="C983" s="12">
        <v>964</v>
      </c>
      <c r="D983" s="23">
        <v>18</v>
      </c>
      <c r="E983" s="12">
        <v>647756</v>
      </c>
      <c r="F983" s="12">
        <v>4384</v>
      </c>
      <c r="G983" s="12">
        <v>643118</v>
      </c>
      <c r="H983" s="23">
        <f t="shared" si="2203"/>
        <v>254</v>
      </c>
      <c r="I983" s="23">
        <f t="shared" si="2193"/>
        <v>698</v>
      </c>
      <c r="J983" s="12">
        <v>3715468</v>
      </c>
      <c r="K983" s="23">
        <f t="shared" si="2180"/>
        <v>3067712</v>
      </c>
      <c r="L983" s="23">
        <f t="shared" si="2194"/>
        <v>19</v>
      </c>
      <c r="M983" s="14">
        <f t="shared" si="2139"/>
        <v>6.7679805358807944E-3</v>
      </c>
      <c r="N983" s="14">
        <f t="shared" si="2195"/>
        <v>2.5787965616045846E-2</v>
      </c>
      <c r="O983" s="24"/>
      <c r="P983" s="12"/>
      <c r="Q983" s="12"/>
      <c r="R983" s="23">
        <f t="shared" si="2191"/>
        <v>647502</v>
      </c>
      <c r="S983" s="25">
        <f>(((H983+R983)/(H982+R982))-1)+detalle!$D$1</f>
        <v>7.1456360442030659E-2</v>
      </c>
      <c r="T983" s="25">
        <f t="shared" si="2184"/>
        <v>1.0003890461884293</v>
      </c>
      <c r="U983" s="10">
        <f t="shared" si="2190"/>
        <v>0.99283989650423921</v>
      </c>
      <c r="V983" s="21">
        <f t="shared" si="2185"/>
        <v>146.69662408759123</v>
      </c>
      <c r="W983" s="15">
        <f>J983/detalle!$D$2</f>
        <v>338986.5023727435</v>
      </c>
      <c r="X983" s="15">
        <f>E983/detalle!$D$2</f>
        <v>59099.026241366853</v>
      </c>
      <c r="Y983" s="15">
        <f>F983/detalle!$D$2</f>
        <v>399.98105929107919</v>
      </c>
      <c r="AA983" s="14">
        <f>E983/(detalle!$D$2*1000000)</f>
        <v>5.9099026241366856E-2</v>
      </c>
      <c r="AB983" s="14">
        <f>F983/(detalle!$D$2*1000000)</f>
        <v>3.999810592910792E-4</v>
      </c>
      <c r="AC983" s="31">
        <f>0/585</f>
        <v>0</v>
      </c>
      <c r="AD983" s="31">
        <f>8/2373</f>
        <v>3.3712600084281502E-3</v>
      </c>
      <c r="AE983" s="31">
        <f t="shared" si="2198"/>
        <v>0</v>
      </c>
      <c r="AF983" s="22">
        <f t="shared" si="2187"/>
        <v>0</v>
      </c>
      <c r="AG983" s="12">
        <v>7291749</v>
      </c>
      <c r="AH983" s="12">
        <v>6059482</v>
      </c>
      <c r="AI983" s="12">
        <v>2488515</v>
      </c>
      <c r="AJ983" s="23">
        <f t="shared" si="2188"/>
        <v>577</v>
      </c>
      <c r="AK983" s="23">
        <f t="shared" si="2199"/>
        <v>15839746</v>
      </c>
      <c r="AL983" s="28">
        <f>AK983/detalle!$D$2</f>
        <v>1445163.8649593145</v>
      </c>
    </row>
    <row r="984" spans="1:38">
      <c r="A984" s="12">
        <v>983</v>
      </c>
      <c r="B984" s="19">
        <v>44873</v>
      </c>
      <c r="C984" s="12">
        <v>965</v>
      </c>
      <c r="D984" s="23">
        <v>36</v>
      </c>
      <c r="E984" s="12">
        <v>647792</v>
      </c>
      <c r="F984" s="12">
        <v>4384</v>
      </c>
      <c r="G984" s="12">
        <v>643168</v>
      </c>
      <c r="H984" s="23">
        <f t="shared" si="2203"/>
        <v>240</v>
      </c>
      <c r="I984" s="23">
        <f t="shared" si="2193"/>
        <v>640</v>
      </c>
      <c r="J984" s="12">
        <v>3716108</v>
      </c>
      <c r="K984" s="23">
        <f t="shared" si="2180"/>
        <v>3068316</v>
      </c>
      <c r="L984" s="23">
        <f t="shared" si="2194"/>
        <v>50</v>
      </c>
      <c r="M984" s="14">
        <f t="shared" si="2139"/>
        <v>6.7676044162323706E-3</v>
      </c>
      <c r="N984" s="14">
        <f t="shared" si="2195"/>
        <v>5.6250000000000001E-2</v>
      </c>
      <c r="O984" s="24"/>
      <c r="P984" s="12"/>
      <c r="Q984" s="12"/>
      <c r="R984" s="23">
        <f t="shared" si="2191"/>
        <v>647552</v>
      </c>
      <c r="S984" s="25">
        <f>(((H984+R984)/(H983+R983))-1)+detalle!$D$1</f>
        <v>7.1484147911074186E-2</v>
      </c>
      <c r="T984" s="25">
        <f t="shared" si="2184"/>
        <v>1.0007780707550387</v>
      </c>
      <c r="U984" s="10">
        <f t="shared" si="2190"/>
        <v>0.9928619062909082</v>
      </c>
      <c r="V984" s="21">
        <f t="shared" si="2185"/>
        <v>146.70802919708029</v>
      </c>
      <c r="W984" s="15">
        <f>J984/detalle!$D$2</f>
        <v>339044.89376826043</v>
      </c>
      <c r="X984" s="15">
        <f>E984/detalle!$D$2</f>
        <v>59102.310757364685</v>
      </c>
      <c r="Y984" s="15">
        <f>F984/detalle!$D$2</f>
        <v>399.98105929107919</v>
      </c>
      <c r="AA984" s="14">
        <f>E984/(detalle!$D$2*1000000)</f>
        <v>5.9102310757364683E-2</v>
      </c>
      <c r="AB984" s="14">
        <f>F984/(detalle!$D$2*1000000)</f>
        <v>3.999810592910792E-4</v>
      </c>
      <c r="AC984" s="31">
        <f>0/585</f>
        <v>0</v>
      </c>
      <c r="AD984" s="31">
        <f>7/2373</f>
        <v>2.9498525073746312E-3</v>
      </c>
      <c r="AE984" s="31">
        <f t="shared" si="2198"/>
        <v>0</v>
      </c>
      <c r="AF984" s="22">
        <f t="shared" si="2187"/>
        <v>0</v>
      </c>
      <c r="AG984" s="12">
        <v>7291749</v>
      </c>
      <c r="AH984" s="12">
        <v>6059482</v>
      </c>
      <c r="AI984" s="12">
        <v>2488515</v>
      </c>
      <c r="AJ984" s="23">
        <f t="shared" si="2188"/>
        <v>0</v>
      </c>
      <c r="AK984" s="23">
        <f t="shared" si="2199"/>
        <v>15839746</v>
      </c>
      <c r="AL984" s="28">
        <f>AK984/detalle!$D$2</f>
        <v>1445163.8649593145</v>
      </c>
    </row>
    <row r="985" spans="1:38">
      <c r="A985" s="12">
        <v>984</v>
      </c>
      <c r="B985" s="19">
        <v>44874</v>
      </c>
      <c r="C985" s="12">
        <v>966</v>
      </c>
      <c r="D985" s="23">
        <v>35</v>
      </c>
      <c r="E985" s="12">
        <v>647827</v>
      </c>
      <c r="F985" s="12">
        <v>4384</v>
      </c>
      <c r="G985" s="12">
        <v>643167</v>
      </c>
      <c r="H985" s="23">
        <f t="shared" si="2203"/>
        <v>276</v>
      </c>
      <c r="I985" s="23">
        <f t="shared" si="2193"/>
        <v>1001</v>
      </c>
      <c r="J985" s="12">
        <v>3717109</v>
      </c>
      <c r="K985" s="23">
        <f t="shared" si="2180"/>
        <v>3069282</v>
      </c>
      <c r="L985" s="23">
        <f t="shared" si="2194"/>
        <v>-1</v>
      </c>
      <c r="M985" s="14">
        <f t="shared" si="2139"/>
        <v>6.7672387844285586E-3</v>
      </c>
      <c r="N985" s="14">
        <f t="shared" si="2195"/>
        <v>3.4965034965034968E-2</v>
      </c>
      <c r="O985" s="24"/>
      <c r="P985" s="12"/>
      <c r="Q985" s="12"/>
      <c r="R985" s="23">
        <f t="shared" si="2191"/>
        <v>647551</v>
      </c>
      <c r="S985" s="25">
        <f>(((H985+R985)/(H984+R984))-1)+detalle!$D$1</f>
        <v>7.1482601117113492E-2</v>
      </c>
      <c r="T985" s="25">
        <f t="shared" si="2184"/>
        <v>1.0007564156395889</v>
      </c>
      <c r="U985" s="10">
        <f t="shared" si="2190"/>
        <v>0.99280672154757366</v>
      </c>
      <c r="V985" s="21">
        <f t="shared" si="2185"/>
        <v>146.7078010948905</v>
      </c>
      <c r="W985" s="15">
        <f>J985/detalle!$D$2</f>
        <v>339136.22156031115</v>
      </c>
      <c r="X985" s="15">
        <f>E985/detalle!$D$2</f>
        <v>59105.504036807019</v>
      </c>
      <c r="Y985" s="15">
        <f>F985/detalle!$D$2</f>
        <v>399.98105929107919</v>
      </c>
      <c r="AA985" s="14">
        <f>E985/(detalle!$D$2*1000000)</f>
        <v>5.9105504036807019E-2</v>
      </c>
      <c r="AB985" s="14">
        <f>F985/(detalle!$D$2*1000000)</f>
        <v>3.999810592910792E-4</v>
      </c>
      <c r="AC985" s="31">
        <f>1/585</f>
        <v>1.7094017094017094E-3</v>
      </c>
      <c r="AD985" s="31">
        <f>9/2373</f>
        <v>3.7926675094816687E-3</v>
      </c>
      <c r="AE985" s="31">
        <f t="shared" si="2198"/>
        <v>0</v>
      </c>
      <c r="AF985" s="22">
        <f t="shared" si="2187"/>
        <v>0</v>
      </c>
      <c r="AG985" s="12">
        <v>7292291</v>
      </c>
      <c r="AH985" s="12">
        <v>6060885</v>
      </c>
      <c r="AI985" s="12">
        <v>2489891</v>
      </c>
      <c r="AJ985" s="23">
        <f t="shared" si="2188"/>
        <v>3321</v>
      </c>
      <c r="AK985" s="23">
        <f t="shared" si="2199"/>
        <v>15843067</v>
      </c>
      <c r="AL985" s="28">
        <f>AK985/detalle!$D$2</f>
        <v>1445466.8615601142</v>
      </c>
    </row>
    <row r="986" spans="1:38">
      <c r="A986" s="12">
        <v>985</v>
      </c>
      <c r="B986" s="19">
        <v>44875</v>
      </c>
      <c r="C986" s="12">
        <v>967</v>
      </c>
      <c r="D986" s="23">
        <v>40</v>
      </c>
      <c r="E986" s="12">
        <v>647868</v>
      </c>
      <c r="F986" s="12">
        <v>4384</v>
      </c>
      <c r="G986" s="12">
        <v>643217</v>
      </c>
      <c r="H986" s="23">
        <f t="shared" si="2203"/>
        <v>267</v>
      </c>
      <c r="I986" s="23">
        <f t="shared" si="2193"/>
        <v>1021</v>
      </c>
      <c r="J986" s="12">
        <v>3718130</v>
      </c>
      <c r="K986" s="23">
        <f t="shared" si="2180"/>
        <v>3070262</v>
      </c>
      <c r="L986" s="23">
        <f t="shared" si="2194"/>
        <v>50</v>
      </c>
      <c r="M986" s="14">
        <f t="shared" si="2139"/>
        <v>6.7668105231312552E-3</v>
      </c>
      <c r="N986" s="14">
        <f t="shared" si="2195"/>
        <v>3.9177277179236046E-2</v>
      </c>
      <c r="O986" s="24"/>
      <c r="P986" s="12"/>
      <c r="Q986" s="12"/>
      <c r="R986" s="23">
        <f t="shared" si="2191"/>
        <v>647601</v>
      </c>
      <c r="S986" s="25">
        <f>(((H986+R986)/(H985+R985))-1)+detalle!$D$1</f>
        <v>7.1491859929977003E-2</v>
      </c>
      <c r="T986" s="25">
        <f t="shared" si="2184"/>
        <v>1.0008860390196781</v>
      </c>
      <c r="U986" s="10">
        <f t="shared" si="2190"/>
        <v>0.99282106848926011</v>
      </c>
      <c r="V986" s="21">
        <f t="shared" si="2185"/>
        <v>146.71920620437956</v>
      </c>
      <c r="W986" s="15">
        <f>J986/detalle!$D$2</f>
        <v>339229.37408347178</v>
      </c>
      <c r="X986" s="15">
        <f>E986/detalle!$D$2</f>
        <v>59109.244735582324</v>
      </c>
      <c r="Y986" s="15">
        <f>F986/detalle!$D$2</f>
        <v>399.98105929107919</v>
      </c>
      <c r="AA986" s="14">
        <f>E986/(detalle!$D$2*1000000)</f>
        <v>5.9109244735582323E-2</v>
      </c>
      <c r="AB986" s="14">
        <f>F986/(detalle!$D$2*1000000)</f>
        <v>3.999810592910792E-4</v>
      </c>
      <c r="AC986" s="31">
        <f t="shared" ref="AC986:AC991" si="2204">2/585</f>
        <v>3.4188034188034188E-3</v>
      </c>
      <c r="AD986" s="31">
        <f>9/2373</f>
        <v>3.7926675094816687E-3</v>
      </c>
      <c r="AE986" s="31">
        <f t="shared" si="2198"/>
        <v>0</v>
      </c>
      <c r="AF986" s="22">
        <f t="shared" si="2187"/>
        <v>0</v>
      </c>
      <c r="AG986" s="12">
        <v>7292533</v>
      </c>
      <c r="AH986" s="12">
        <v>6061229</v>
      </c>
      <c r="AI986" s="12">
        <v>2490763</v>
      </c>
      <c r="AJ986" s="23">
        <f t="shared" si="2188"/>
        <v>1458</v>
      </c>
      <c r="AK986" s="23">
        <f t="shared" si="2199"/>
        <v>15844525</v>
      </c>
      <c r="AL986" s="28">
        <f>AK986/detalle!$D$2</f>
        <v>1445599.8844580262</v>
      </c>
    </row>
    <row r="987" spans="1:38">
      <c r="A987" s="12">
        <v>986</v>
      </c>
      <c r="B987" s="19">
        <v>44876</v>
      </c>
      <c r="C987" s="12">
        <v>968</v>
      </c>
      <c r="D987" s="23">
        <v>48</v>
      </c>
      <c r="E987" s="12">
        <v>647916</v>
      </c>
      <c r="F987" s="12">
        <v>4384</v>
      </c>
      <c r="G987" s="12">
        <v>643229</v>
      </c>
      <c r="H987" s="23">
        <f t="shared" si="2203"/>
        <v>303</v>
      </c>
      <c r="I987" s="23">
        <f t="shared" si="2193"/>
        <v>793</v>
      </c>
      <c r="J987" s="12">
        <v>3718923</v>
      </c>
      <c r="K987" s="23">
        <f t="shared" si="2180"/>
        <v>3071007</v>
      </c>
      <c r="L987" s="23">
        <f t="shared" si="2194"/>
        <v>12</v>
      </c>
      <c r="M987" s="14">
        <f t="shared" si="2139"/>
        <v>6.7663092129226629E-3</v>
      </c>
      <c r="N987" s="14">
        <f t="shared" si="2195"/>
        <v>6.0529634300126103E-2</v>
      </c>
      <c r="O987" s="24"/>
      <c r="P987" s="12"/>
      <c r="Q987" s="12"/>
      <c r="R987" s="23">
        <f t="shared" si="2191"/>
        <v>647613</v>
      </c>
      <c r="S987" s="25">
        <f>(((H987+R987)/(H986+R986))-1)+detalle!$D$1</f>
        <v>7.1502660594883E-2</v>
      </c>
      <c r="T987" s="25">
        <f t="shared" si="2184"/>
        <v>1.0010372483283621</v>
      </c>
      <c r="U987" s="10">
        <f t="shared" si="2190"/>
        <v>0.99276603757277182</v>
      </c>
      <c r="V987" s="21">
        <f t="shared" si="2185"/>
        <v>146.72194343065692</v>
      </c>
      <c r="W987" s="15">
        <f>J987/detalle!$D$2</f>
        <v>339301.72467197949</v>
      </c>
      <c r="X987" s="15">
        <f>E987/detalle!$D$2</f>
        <v>59113.624090246092</v>
      </c>
      <c r="Y987" s="15">
        <f>F987/detalle!$D$2</f>
        <v>399.98105929107919</v>
      </c>
      <c r="AA987" s="14">
        <f>E987/(detalle!$D$2*1000000)</f>
        <v>5.9113624090246092E-2</v>
      </c>
      <c r="AB987" s="14">
        <f>F987/(detalle!$D$2*1000000)</f>
        <v>3.999810592910792E-4</v>
      </c>
      <c r="AC987" s="31">
        <f>2/585</f>
        <v>3.4188034188034188E-3</v>
      </c>
      <c r="AD987" s="31">
        <f>12/2373</f>
        <v>5.0568900126422255E-3</v>
      </c>
      <c r="AE987" s="31">
        <f>2/469</f>
        <v>4.2643923240938165E-3</v>
      </c>
      <c r="AF987" s="22">
        <f t="shared" si="2187"/>
        <v>0</v>
      </c>
      <c r="AG987" s="12">
        <v>7292797</v>
      </c>
      <c r="AH987" s="12">
        <v>6061550</v>
      </c>
      <c r="AI987" s="12">
        <v>2491396</v>
      </c>
      <c r="AJ987" s="23">
        <f t="shared" si="2188"/>
        <v>1218</v>
      </c>
      <c r="AK987" s="23">
        <f t="shared" si="2199"/>
        <v>15845743</v>
      </c>
      <c r="AL987" s="28">
        <f>AK987/detalle!$D$2</f>
        <v>1445711.0105826193</v>
      </c>
    </row>
    <row r="988" spans="1:38">
      <c r="A988" s="12">
        <v>987</v>
      </c>
      <c r="B988" s="19">
        <v>44877</v>
      </c>
      <c r="C988" s="12">
        <v>969</v>
      </c>
      <c r="D988" s="23">
        <v>25</v>
      </c>
      <c r="E988" s="12">
        <v>647941</v>
      </c>
      <c r="F988" s="12">
        <v>4384</v>
      </c>
      <c r="G988" s="12">
        <v>643234</v>
      </c>
      <c r="H988" s="23">
        <f t="shared" si="2203"/>
        <v>323</v>
      </c>
      <c r="I988" s="23">
        <f t="shared" si="2193"/>
        <v>886</v>
      </c>
      <c r="J988" s="12">
        <v>3719809</v>
      </c>
      <c r="K988" s="23">
        <f t="shared" si="2180"/>
        <v>3071868</v>
      </c>
      <c r="L988" s="23">
        <f t="shared" si="2194"/>
        <v>5</v>
      </c>
      <c r="M988" s="14">
        <f t="shared" ref="M988:M1007" si="2205">F988/E988</f>
        <v>6.7660481432723039E-3</v>
      </c>
      <c r="N988" s="14">
        <f t="shared" si="2195"/>
        <v>2.8216704288939052E-2</v>
      </c>
      <c r="O988" s="24"/>
      <c r="P988" s="12"/>
      <c r="Q988" s="12"/>
      <c r="R988" s="23">
        <f t="shared" si="2191"/>
        <v>647618</v>
      </c>
      <c r="S988" s="25">
        <f>(((H988+R988)/(H987+R987))-1)+detalle!$D$1</f>
        <v>7.1467156677276461E-2</v>
      </c>
      <c r="T988" s="25">
        <f t="shared" si="2184"/>
        <v>1.0005401934818705</v>
      </c>
      <c r="U988" s="10">
        <f t="shared" si="2190"/>
        <v>0.99273544967828864</v>
      </c>
      <c r="V988" s="21">
        <f t="shared" si="2185"/>
        <v>146.72308394160584</v>
      </c>
      <c r="W988" s="15">
        <f>J988/detalle!$D$2</f>
        <v>339382.56026014825</v>
      </c>
      <c r="X988" s="15">
        <f>E988/detalle!$D$2</f>
        <v>59115.90500413347</v>
      </c>
      <c r="Y988" s="15">
        <f>F988/detalle!$D$2</f>
        <v>399.98105929107919</v>
      </c>
      <c r="AA988" s="14">
        <f>E988/(detalle!$D$2*1000000)</f>
        <v>5.9115905004133475E-2</v>
      </c>
      <c r="AB988" s="14">
        <f>F988/(detalle!$D$2*1000000)</f>
        <v>3.999810592910792E-4</v>
      </c>
      <c r="AC988" s="31">
        <f t="shared" si="2204"/>
        <v>3.4188034188034188E-3</v>
      </c>
      <c r="AD988" s="31">
        <f>8/2373</f>
        <v>3.3712600084281502E-3</v>
      </c>
      <c r="AE988" s="31">
        <f>1/469</f>
        <v>2.1321961620469083E-3</v>
      </c>
      <c r="AF988" s="22">
        <f t="shared" si="2187"/>
        <v>0</v>
      </c>
      <c r="AG988" s="12">
        <v>7292952</v>
      </c>
      <c r="AH988" s="12">
        <v>6061761</v>
      </c>
      <c r="AI988" s="12">
        <v>2491671</v>
      </c>
      <c r="AJ988" s="23">
        <f t="shared" si="2188"/>
        <v>641</v>
      </c>
      <c r="AK988" s="23">
        <f t="shared" si="2199"/>
        <v>15846384</v>
      </c>
      <c r="AL988" s="28">
        <f>AK988/detalle!$D$2</f>
        <v>1445769.4932146918</v>
      </c>
    </row>
    <row r="989" spans="1:38">
      <c r="A989" s="12">
        <v>988</v>
      </c>
      <c r="B989" s="19">
        <v>44878</v>
      </c>
      <c r="C989" s="12">
        <v>970</v>
      </c>
      <c r="D989" s="23">
        <v>49</v>
      </c>
      <c r="E989" s="12">
        <v>647990</v>
      </c>
      <c r="F989" s="12">
        <v>4384</v>
      </c>
      <c r="G989" s="12">
        <v>643271</v>
      </c>
      <c r="H989" s="23">
        <f t="shared" si="2203"/>
        <v>335</v>
      </c>
      <c r="I989" s="23">
        <f t="shared" si="2193"/>
        <v>361</v>
      </c>
      <c r="J989" s="12">
        <v>3720170</v>
      </c>
      <c r="K989" s="23">
        <f t="shared" si="2180"/>
        <v>3072180</v>
      </c>
      <c r="L989" s="23">
        <f t="shared" si="2194"/>
        <v>37</v>
      </c>
      <c r="M989" s="14">
        <f t="shared" si="2205"/>
        <v>6.7655365051929811E-3</v>
      </c>
      <c r="N989" s="14">
        <f t="shared" si="2195"/>
        <v>0.13573407202216067</v>
      </c>
      <c r="O989" s="24"/>
      <c r="P989" s="12"/>
      <c r="Q989" s="12"/>
      <c r="R989" s="23">
        <f t="shared" si="2191"/>
        <v>647655</v>
      </c>
      <c r="S989" s="25">
        <f>(((H989+R989)/(H988+R988))-1)+detalle!$D$1</f>
        <v>7.1504195598056014E-2</v>
      </c>
      <c r="T989" s="25">
        <f t="shared" si="2184"/>
        <v>1.0010587383727843</v>
      </c>
      <c r="U989" s="10">
        <f t="shared" si="2190"/>
        <v>0.99271748020802786</v>
      </c>
      <c r="V989" s="21">
        <f t="shared" si="2185"/>
        <v>146.73152372262774</v>
      </c>
      <c r="W989" s="15">
        <f>J989/detalle!$D$2</f>
        <v>339415.49665668205</v>
      </c>
      <c r="X989" s="15">
        <f>E989/detalle!$D$2</f>
        <v>59120.375595352743</v>
      </c>
      <c r="Y989" s="15">
        <f>F989/detalle!$D$2</f>
        <v>399.98105929107919</v>
      </c>
      <c r="AA989" s="14">
        <f>E989/(detalle!$D$2*1000000)</f>
        <v>5.9120375595352735E-2</v>
      </c>
      <c r="AB989" s="14">
        <f>F989/(detalle!$D$2*1000000)</f>
        <v>3.999810592910792E-4</v>
      </c>
      <c r="AC989" s="31">
        <f>1/585</f>
        <v>1.7094017094017094E-3</v>
      </c>
      <c r="AD989" s="31">
        <f>9/2373</f>
        <v>3.7926675094816687E-3</v>
      </c>
      <c r="AE989" s="31">
        <f>1/469</f>
        <v>2.1321961620469083E-3</v>
      </c>
      <c r="AF989" s="22">
        <f t="shared" si="2187"/>
        <v>0</v>
      </c>
      <c r="AG989" s="12">
        <v>7293020</v>
      </c>
      <c r="AH989" s="12">
        <v>6061821</v>
      </c>
      <c r="AI989" s="12">
        <v>2491821</v>
      </c>
      <c r="AJ989" s="23">
        <f t="shared" si="2188"/>
        <v>278</v>
      </c>
      <c r="AK989" s="23">
        <f t="shared" si="2199"/>
        <v>15846662</v>
      </c>
      <c r="AL989" s="28">
        <f>AK989/detalle!$D$2</f>
        <v>1445794.8569771196</v>
      </c>
    </row>
    <row r="990" spans="1:38">
      <c r="A990" s="12">
        <v>989</v>
      </c>
      <c r="B990" s="19">
        <v>44879</v>
      </c>
      <c r="C990" s="12">
        <v>971</v>
      </c>
      <c r="D990" s="23">
        <v>57</v>
      </c>
      <c r="E990" s="12">
        <v>648047</v>
      </c>
      <c r="F990" s="12">
        <v>4384</v>
      </c>
      <c r="G990" s="12">
        <v>643318</v>
      </c>
      <c r="H990" s="23">
        <f t="shared" si="2203"/>
        <v>345</v>
      </c>
      <c r="I990" s="23">
        <f t="shared" si="2193"/>
        <v>922</v>
      </c>
      <c r="J990" s="12">
        <v>3721092</v>
      </c>
      <c r="K990" s="23">
        <f t="shared" si="2180"/>
        <v>3073045</v>
      </c>
      <c r="L990" s="23">
        <f t="shared" si="2194"/>
        <v>47</v>
      </c>
      <c r="M990" s="14">
        <f t="shared" si="2205"/>
        <v>6.7649414317171438E-3</v>
      </c>
      <c r="N990" s="14">
        <f t="shared" si="2195"/>
        <v>6.1822125813449022E-2</v>
      </c>
      <c r="O990" s="24"/>
      <c r="P990" s="12"/>
      <c r="Q990" s="12"/>
      <c r="R990" s="23">
        <f t="shared" si="2191"/>
        <v>647702</v>
      </c>
      <c r="S990" s="25">
        <f>(((H990+R990)/(H989+R989))-1)+detalle!$D$1</f>
        <v>7.1516535749008431E-2</v>
      </c>
      <c r="T990" s="25">
        <f t="shared" si="2184"/>
        <v>1.0012315004861181</v>
      </c>
      <c r="U990" s="10">
        <f t="shared" si="2190"/>
        <v>0.99270268977404419</v>
      </c>
      <c r="V990" s="21">
        <f t="shared" si="2185"/>
        <v>146.74224452554745</v>
      </c>
      <c r="W990" s="15">
        <f>J990/detalle!$D$2</f>
        <v>339499.61676084867</v>
      </c>
      <c r="X990" s="15">
        <f>E990/detalle!$D$2</f>
        <v>59125.576079015969</v>
      </c>
      <c r="Y990" s="15">
        <f>F990/detalle!$D$2</f>
        <v>399.98105929107919</v>
      </c>
      <c r="AA990" s="14">
        <f>E990/(detalle!$D$2*1000000)</f>
        <v>5.9125576079015967E-2</v>
      </c>
      <c r="AB990" s="14">
        <f>F990/(detalle!$D$2*1000000)</f>
        <v>3.999810592910792E-4</v>
      </c>
      <c r="AC990" s="31">
        <f>1/585</f>
        <v>1.7094017094017094E-3</v>
      </c>
      <c r="AD990" s="31">
        <f>11/2373</f>
        <v>4.6354825115887061E-3</v>
      </c>
      <c r="AE990" s="31">
        <f>1/469</f>
        <v>2.1321961620469083E-3</v>
      </c>
      <c r="AF990" s="22">
        <f t="shared" si="2187"/>
        <v>0</v>
      </c>
      <c r="AG990" s="12">
        <v>7293253</v>
      </c>
      <c r="AH990" s="12">
        <v>6062208</v>
      </c>
      <c r="AI990" s="12">
        <v>2492507</v>
      </c>
      <c r="AJ990" s="23">
        <f t="shared" si="2188"/>
        <v>1306</v>
      </c>
      <c r="AK990" s="23">
        <f t="shared" si="2199"/>
        <v>15847968</v>
      </c>
      <c r="AL990" s="28">
        <f>AK990/detalle!$D$2</f>
        <v>1445914.0119185962</v>
      </c>
    </row>
    <row r="991" spans="1:38">
      <c r="A991" s="12">
        <v>990</v>
      </c>
      <c r="B991" s="19">
        <v>44880</v>
      </c>
      <c r="C991" s="12">
        <v>972</v>
      </c>
      <c r="D991" s="23">
        <v>87</v>
      </c>
      <c r="E991" s="12">
        <v>648134</v>
      </c>
      <c r="F991" s="12">
        <v>4384</v>
      </c>
      <c r="G991" s="12">
        <v>643309</v>
      </c>
      <c r="H991" s="23">
        <f t="shared" si="2203"/>
        <v>441</v>
      </c>
      <c r="I991" s="23">
        <f t="shared" si="2193"/>
        <v>628</v>
      </c>
      <c r="J991" s="12">
        <v>3721720</v>
      </c>
      <c r="K991" s="23">
        <f t="shared" si="2180"/>
        <v>3073586</v>
      </c>
      <c r="L991" s="23">
        <f t="shared" si="2194"/>
        <v>-9</v>
      </c>
      <c r="M991" s="14">
        <f t="shared" si="2205"/>
        <v>6.7640333634711343E-3</v>
      </c>
      <c r="N991" s="14">
        <f t="shared" si="2195"/>
        <v>0.13853503184713375</v>
      </c>
      <c r="O991" s="24"/>
      <c r="P991" s="12"/>
      <c r="Q991" s="12"/>
      <c r="R991" s="23">
        <f t="shared" si="2191"/>
        <v>647693</v>
      </c>
      <c r="S991" s="25">
        <f>(((H991+R991)/(H990+R990))-1)+detalle!$D$1</f>
        <v>7.1562820950596767E-2</v>
      </c>
      <c r="T991" s="25">
        <f t="shared" si="2184"/>
        <v>1.0018794933083548</v>
      </c>
      <c r="U991" s="10">
        <f t="shared" si="2190"/>
        <v>0.99255555178404464</v>
      </c>
      <c r="V991" s="21">
        <f t="shared" si="2185"/>
        <v>146.74019160583941</v>
      </c>
      <c r="W991" s="15">
        <f>J991/detalle!$D$2</f>
        <v>339556.91331769968</v>
      </c>
      <c r="X991" s="15">
        <f>E991/detalle!$D$2</f>
        <v>59133.513659344055</v>
      </c>
      <c r="Y991" s="15">
        <f>F991/detalle!$D$2</f>
        <v>399.98105929107919</v>
      </c>
      <c r="AA991" s="14">
        <f>E991/(detalle!$D$2*1000000)</f>
        <v>5.913351365934405E-2</v>
      </c>
      <c r="AB991" s="14">
        <f>F991/(detalle!$D$2*1000000)</f>
        <v>3.999810592910792E-4</v>
      </c>
      <c r="AC991" s="31">
        <f t="shared" si="2204"/>
        <v>3.4188034188034188E-3</v>
      </c>
      <c r="AD991" s="31">
        <f>11/2373</f>
        <v>4.6354825115887061E-3</v>
      </c>
      <c r="AE991" s="31">
        <f t="shared" si="2198"/>
        <v>0</v>
      </c>
      <c r="AF991" s="22">
        <f t="shared" si="2187"/>
        <v>0</v>
      </c>
      <c r="AG991" s="12">
        <v>7293461</v>
      </c>
      <c r="AH991" s="12">
        <v>6062514</v>
      </c>
      <c r="AI991" s="12">
        <v>2493149</v>
      </c>
      <c r="AJ991" s="23">
        <f t="shared" si="2188"/>
        <v>1156</v>
      </c>
      <c r="AK991" s="23">
        <f t="shared" si="2199"/>
        <v>15849124</v>
      </c>
      <c r="AL991" s="28">
        <f>AK991/detalle!$D$2</f>
        <v>1446019.4813767488</v>
      </c>
    </row>
    <row r="992" spans="1:38">
      <c r="A992" s="12">
        <v>991</v>
      </c>
      <c r="B992" s="19">
        <v>44881</v>
      </c>
      <c r="C992" s="12">
        <v>973</v>
      </c>
      <c r="D992" s="23">
        <v>82</v>
      </c>
      <c r="E992" s="12">
        <v>648216</v>
      </c>
      <c r="F992" s="12">
        <v>4384</v>
      </c>
      <c r="G992" s="12">
        <v>643339</v>
      </c>
      <c r="H992" s="23">
        <f t="shared" si="2203"/>
        <v>493</v>
      </c>
      <c r="I992" s="23">
        <f>J992-J991</f>
        <v>1291</v>
      </c>
      <c r="J992" s="12">
        <v>3723011</v>
      </c>
      <c r="K992" s="23">
        <f t="shared" si="2180"/>
        <v>3074795</v>
      </c>
      <c r="L992" s="23">
        <f t="shared" si="2194"/>
        <v>30</v>
      </c>
      <c r="M992" s="14">
        <f t="shared" si="2205"/>
        <v>6.7631777061966996E-3</v>
      </c>
      <c r="N992" s="14">
        <f t="shared" si="2195"/>
        <v>6.3516653756777688E-2</v>
      </c>
      <c r="O992" s="24"/>
      <c r="P992" s="12"/>
      <c r="Q992" s="12"/>
      <c r="R992" s="23">
        <f t="shared" si="2191"/>
        <v>647723</v>
      </c>
      <c r="S992" s="25">
        <f>(((H992+R992)/(H991+R991))-1)+detalle!$D$1</f>
        <v>7.1555088475972167E-2</v>
      </c>
      <c r="T992" s="25">
        <f t="shared" si="2184"/>
        <v>1.0017712386636104</v>
      </c>
      <c r="U992" s="10">
        <f t="shared" si="2190"/>
        <v>0.99247627334098509</v>
      </c>
      <c r="V992" s="21">
        <f t="shared" si="2185"/>
        <v>146.74703467153284</v>
      </c>
      <c r="W992" s="15">
        <f>J992/detalle!$D$2</f>
        <v>339674.69971084397</v>
      </c>
      <c r="X992" s="15">
        <f>E992/detalle!$D$2</f>
        <v>59140.995056894659</v>
      </c>
      <c r="Y992" s="15">
        <f>F992/detalle!$D$2</f>
        <v>399.98105929107919</v>
      </c>
      <c r="AA992" s="14">
        <f>E992/(detalle!$D$2*1000000)</f>
        <v>5.9140995056894657E-2</v>
      </c>
      <c r="AB992" s="14">
        <f>F992/(detalle!$D$2*1000000)</f>
        <v>3.999810592910792E-4</v>
      </c>
      <c r="AC992" s="31">
        <f>0/585</f>
        <v>0</v>
      </c>
      <c r="AD992" s="31">
        <f>9/2373</f>
        <v>3.7926675094816687E-3</v>
      </c>
      <c r="AE992" s="31">
        <f t="shared" si="2198"/>
        <v>0</v>
      </c>
      <c r="AF992" s="22">
        <f t="shared" si="2187"/>
        <v>0</v>
      </c>
      <c r="AG992" s="12">
        <v>7293723</v>
      </c>
      <c r="AH992" s="12">
        <v>6062839</v>
      </c>
      <c r="AI992" s="12">
        <v>2493838</v>
      </c>
      <c r="AJ992" s="23">
        <f t="shared" si="2188"/>
        <v>1276</v>
      </c>
      <c r="AK992" s="23">
        <f t="shared" si="2199"/>
        <v>15850400</v>
      </c>
      <c r="AL992" s="28">
        <f>AK992/detalle!$D$2</f>
        <v>1446135.8992215607</v>
      </c>
    </row>
    <row r="993" spans="1:38">
      <c r="A993" s="12">
        <v>992</v>
      </c>
      <c r="B993" s="19">
        <v>44882</v>
      </c>
      <c r="C993" s="12">
        <v>974</v>
      </c>
      <c r="D993" s="23">
        <v>108</v>
      </c>
      <c r="E993" s="12">
        <v>648324</v>
      </c>
      <c r="F993" s="12">
        <v>4384</v>
      </c>
      <c r="G993" s="12">
        <v>643389</v>
      </c>
      <c r="H993" s="23">
        <f t="shared" si="2203"/>
        <v>551</v>
      </c>
      <c r="I993" s="23">
        <f t="shared" si="2193"/>
        <v>924</v>
      </c>
      <c r="J993" s="12">
        <v>3723935</v>
      </c>
      <c r="K993" s="23">
        <f t="shared" si="2180"/>
        <v>3075611</v>
      </c>
      <c r="L993" s="23">
        <f t="shared" si="2194"/>
        <v>50</v>
      </c>
      <c r="M993" s="14">
        <f t="shared" si="2205"/>
        <v>6.7620510732288178E-3</v>
      </c>
      <c r="N993" s="14">
        <f t="shared" si="2195"/>
        <v>0.11688311688311688</v>
      </c>
      <c r="O993" s="24"/>
      <c r="P993" s="12"/>
      <c r="Q993" s="12"/>
      <c r="R993" s="23">
        <f t="shared" si="2191"/>
        <v>647773</v>
      </c>
      <c r="S993" s="25">
        <f>(((H993+R993)/(H992+R992))-1)+detalle!$D$1</f>
        <v>7.1595182558194886E-2</v>
      </c>
      <c r="T993" s="25">
        <f t="shared" si="2184"/>
        <v>1.0023325558147285</v>
      </c>
      <c r="U993" s="10">
        <f t="shared" si="2190"/>
        <v>0.99238806522664591</v>
      </c>
      <c r="V993" s="21">
        <f t="shared" si="2185"/>
        <v>146.75843978102191</v>
      </c>
      <c r="W993" s="15">
        <f>J993/detalle!$D$2</f>
        <v>339759.00228812161</v>
      </c>
      <c r="X993" s="15">
        <f>E993/detalle!$D$2</f>
        <v>59150.848604888146</v>
      </c>
      <c r="Y993" s="15">
        <f>F993/detalle!$D$2</f>
        <v>399.98105929107919</v>
      </c>
      <c r="AA993" s="14">
        <f>E993/(detalle!$D$2*1000000)</f>
        <v>5.9150848604888145E-2</v>
      </c>
      <c r="AB993" s="14">
        <f>F993/(detalle!$D$2*1000000)</f>
        <v>3.999810592910792E-4</v>
      </c>
      <c r="AC993" s="31">
        <f>0/585</f>
        <v>0</v>
      </c>
      <c r="AD993" s="31">
        <f>13/2373</f>
        <v>5.478297513695744E-3</v>
      </c>
      <c r="AE993" s="31">
        <f t="shared" si="2198"/>
        <v>0</v>
      </c>
      <c r="AF993" s="22">
        <f t="shared" si="2187"/>
        <v>0</v>
      </c>
      <c r="AG993" s="12">
        <v>7293956</v>
      </c>
      <c r="AH993" s="12">
        <v>6063174</v>
      </c>
      <c r="AI993" s="12">
        <v>2494498</v>
      </c>
      <c r="AJ993" s="23">
        <f t="shared" si="2188"/>
        <v>1228</v>
      </c>
      <c r="AK993" s="23">
        <f t="shared" si="2199"/>
        <v>15851628</v>
      </c>
      <c r="AL993" s="28">
        <f>AK993/detalle!$D$2</f>
        <v>1446247.9377117087</v>
      </c>
    </row>
    <row r="994" spans="1:38">
      <c r="A994" s="12">
        <v>993</v>
      </c>
      <c r="B994" s="19">
        <v>44883</v>
      </c>
      <c r="C994" s="12">
        <v>975</v>
      </c>
      <c r="D994" s="23">
        <v>81</v>
      </c>
      <c r="E994" s="12">
        <v>648406</v>
      </c>
      <c r="F994" s="12">
        <v>4384</v>
      </c>
      <c r="G994" s="12">
        <v>643434</v>
      </c>
      <c r="H994" s="23">
        <f t="shared" si="2203"/>
        <v>588</v>
      </c>
      <c r="I994" s="23">
        <f t="shared" si="2193"/>
        <v>1100</v>
      </c>
      <c r="J994" s="12">
        <v>3725035</v>
      </c>
      <c r="K994" s="23">
        <f t="shared" si="2180"/>
        <v>3076629</v>
      </c>
      <c r="L994" s="23">
        <f t="shared" si="2194"/>
        <v>45</v>
      </c>
      <c r="M994" s="14">
        <f t="shared" si="2205"/>
        <v>6.761195917372757E-3</v>
      </c>
      <c r="N994" s="14">
        <f t="shared" si="2195"/>
        <v>7.3636363636363639E-2</v>
      </c>
      <c r="O994" s="24"/>
      <c r="P994" s="12"/>
      <c r="Q994" s="12"/>
      <c r="R994" s="23">
        <f t="shared" si="2191"/>
        <v>647818</v>
      </c>
      <c r="S994" s="25">
        <f>(((H994+R994)/(H993+R993))-1)+detalle!$D$1</f>
        <v>7.1555051398463104E-2</v>
      </c>
      <c r="T994" s="25">
        <f t="shared" si="2184"/>
        <v>1.0017707195784835</v>
      </c>
      <c r="U994" s="10">
        <f t="shared" si="2190"/>
        <v>0.99233196484918396</v>
      </c>
      <c r="V994" s="21">
        <f t="shared" si="2185"/>
        <v>146.76870437956205</v>
      </c>
      <c r="W994" s="15">
        <f>J994/detalle!$D$2</f>
        <v>339859.36249916634</v>
      </c>
      <c r="X994" s="15">
        <f>E994/detalle!$D$2</f>
        <v>59158.330002438757</v>
      </c>
      <c r="Y994" s="15">
        <f>F994/detalle!$D$2</f>
        <v>399.98105929107919</v>
      </c>
      <c r="AA994" s="14">
        <f>E994/(detalle!$D$2*1000000)</f>
        <v>5.9158330002438753E-2</v>
      </c>
      <c r="AB994" s="14">
        <f>F994/(detalle!$D$2*1000000)</f>
        <v>3.999810592910792E-4</v>
      </c>
      <c r="AC994" s="31">
        <f>1/585</f>
        <v>1.7094017094017094E-3</v>
      </c>
      <c r="AD994" s="31">
        <f>20/2373</f>
        <v>8.4281500210703752E-3</v>
      </c>
      <c r="AE994" s="31">
        <f t="shared" si="2198"/>
        <v>0</v>
      </c>
      <c r="AF994" s="22">
        <f t="shared" si="2187"/>
        <v>0</v>
      </c>
      <c r="AG994" s="12">
        <v>7294156</v>
      </c>
      <c r="AH994" s="12">
        <v>6063485</v>
      </c>
      <c r="AI994" s="12">
        <v>2495149</v>
      </c>
      <c r="AJ994" s="23">
        <f t="shared" si="2188"/>
        <v>1162</v>
      </c>
      <c r="AK994" s="23">
        <f t="shared" si="2199"/>
        <v>15852790</v>
      </c>
      <c r="AL994" s="28">
        <f>AK994/detalle!$D$2</f>
        <v>1446353.9545891942</v>
      </c>
    </row>
    <row r="995" spans="1:38">
      <c r="A995" s="12">
        <v>994</v>
      </c>
      <c r="B995" s="19">
        <v>44884</v>
      </c>
      <c r="C995" s="12">
        <v>976</v>
      </c>
      <c r="D995" s="23">
        <v>50</v>
      </c>
      <c r="E995" s="12">
        <v>648456</v>
      </c>
      <c r="F995" s="12">
        <v>4384</v>
      </c>
      <c r="G995" s="12">
        <v>643487</v>
      </c>
      <c r="H995" s="23">
        <f t="shared" ref="H995:H1007" si="2206">E995-F995-G995</f>
        <v>585</v>
      </c>
      <c r="I995" s="23">
        <f t="shared" si="2193"/>
        <v>1171</v>
      </c>
      <c r="J995" s="12">
        <v>3726206</v>
      </c>
      <c r="K995" s="23">
        <f t="shared" si="2180"/>
        <v>3077750</v>
      </c>
      <c r="L995" s="23">
        <f>G995-G994</f>
        <v>53</v>
      </c>
      <c r="M995" s="14">
        <f t="shared" si="2205"/>
        <v>6.760674587019011E-3</v>
      </c>
      <c r="N995" s="14">
        <f t="shared" si="2195"/>
        <v>4.2698548249359522E-2</v>
      </c>
      <c r="O995" s="24"/>
      <c r="P995" s="12"/>
      <c r="Q995" s="12"/>
      <c r="R995" s="23">
        <f t="shared" ref="R995:R1006" si="2207">F995+G995</f>
        <v>647871</v>
      </c>
      <c r="S995" s="25">
        <f>(((H995+R995)/(H994+R994))-1)+detalle!$D$1</f>
        <v>7.1505683608285936E-2</v>
      </c>
      <c r="T995" s="25">
        <f t="shared" ref="T995:T1007" si="2208">S995*14</f>
        <v>1.0010795705160032</v>
      </c>
      <c r="U995" s="10">
        <f t="shared" ref="U995:U1007" si="2209">G995/E995</f>
        <v>0.99233718247652891</v>
      </c>
      <c r="V995" s="21">
        <f t="shared" ref="V995:V1007" si="2210">G995/F995</f>
        <v>146.78079379562044</v>
      </c>
      <c r="W995" s="15">
        <f>J995/detalle!$D$2</f>
        <v>339966.20050565124</v>
      </c>
      <c r="X995" s="15">
        <f>E995/detalle!$D$2</f>
        <v>59162.891830213513</v>
      </c>
      <c r="Y995" s="15">
        <f>F995/detalle!$D$2</f>
        <v>399.98105929107919</v>
      </c>
      <c r="AA995" s="14">
        <f>E995/(detalle!$D$2*1000000)</f>
        <v>5.9162891830213511E-2</v>
      </c>
      <c r="AB995" s="14">
        <f>F995/(detalle!$D$2*1000000)</f>
        <v>3.999810592910792E-4</v>
      </c>
      <c r="AC995" s="31">
        <f>1/585</f>
        <v>1.7094017094017094E-3</v>
      </c>
      <c r="AD995" s="31">
        <f>16/2373</f>
        <v>6.7425200168563003E-3</v>
      </c>
      <c r="AE995" s="31">
        <f t="shared" si="2198"/>
        <v>0</v>
      </c>
      <c r="AF995" s="22">
        <f t="shared" ref="AF995:AF1007" si="2211">F995-F994</f>
        <v>0</v>
      </c>
      <c r="AG995" s="12">
        <v>7294156</v>
      </c>
      <c r="AH995" s="12">
        <v>6063485</v>
      </c>
      <c r="AI995" s="12">
        <v>2495149</v>
      </c>
      <c r="AJ995" s="23">
        <f t="shared" ref="AJ995:AJ1007" si="2212">AK995-AK994</f>
        <v>0</v>
      </c>
      <c r="AK995" s="23">
        <f t="shared" si="2199"/>
        <v>15852790</v>
      </c>
      <c r="AL995" s="28">
        <f>AK995/detalle!$D$2</f>
        <v>1446353.9545891942</v>
      </c>
    </row>
    <row r="996" spans="1:38">
      <c r="A996" s="12">
        <v>995</v>
      </c>
      <c r="B996" s="19">
        <v>44885</v>
      </c>
      <c r="C996" s="12">
        <v>977</v>
      </c>
      <c r="D996" s="23">
        <v>107</v>
      </c>
      <c r="E996" s="12">
        <v>648563</v>
      </c>
      <c r="F996" s="12">
        <v>4384</v>
      </c>
      <c r="G996" s="12">
        <v>643588</v>
      </c>
      <c r="H996" s="23">
        <f t="shared" si="2206"/>
        <v>591</v>
      </c>
      <c r="I996" s="23">
        <f t="shared" si="2193"/>
        <v>776</v>
      </c>
      <c r="J996" s="12">
        <v>3726982</v>
      </c>
      <c r="K996" s="23">
        <f t="shared" si="2180"/>
        <v>3078419</v>
      </c>
      <c r="L996" s="23">
        <f t="shared" ref="L996:L1007" si="2213">G996-G995</f>
        <v>101</v>
      </c>
      <c r="M996" s="14">
        <f t="shared" si="2205"/>
        <v>6.7595592101307046E-3</v>
      </c>
      <c r="N996" s="14">
        <f t="shared" si="2195"/>
        <v>0.13788659793814434</v>
      </c>
      <c r="O996" s="24"/>
      <c r="P996" s="12"/>
      <c r="Q996" s="12"/>
      <c r="R996" s="23">
        <f t="shared" si="2207"/>
        <v>647972</v>
      </c>
      <c r="S996" s="25">
        <f>(((H996+R996)/(H995+R995))-1)+detalle!$D$1</f>
        <v>7.1593578769084926E-2</v>
      </c>
      <c r="T996" s="25">
        <f t="shared" si="2208"/>
        <v>1.002310102767189</v>
      </c>
      <c r="U996" s="10">
        <f t="shared" si="2209"/>
        <v>0.99232919546751819</v>
      </c>
      <c r="V996" s="21">
        <f t="shared" si="2210"/>
        <v>146.80383211678833</v>
      </c>
      <c r="W996" s="15">
        <f>J996/detalle!$D$2</f>
        <v>340037.00007271557</v>
      </c>
      <c r="X996" s="15">
        <f>E996/detalle!$D$2</f>
        <v>59172.654141651503</v>
      </c>
      <c r="Y996" s="15">
        <f>F996/detalle!$D$2</f>
        <v>399.98105929107919</v>
      </c>
      <c r="AA996" s="14">
        <f>E996/(detalle!$D$2*1000000)</f>
        <v>5.9172654141651501E-2</v>
      </c>
      <c r="AB996" s="14">
        <f>F996/(detalle!$D$2*1000000)</f>
        <v>3.999810592910792E-4</v>
      </c>
      <c r="AC996" s="31">
        <f t="shared" ref="AC996:AC999" si="2214">1/585</f>
        <v>1.7094017094017094E-3</v>
      </c>
      <c r="AD996" s="31">
        <f>15/2373</f>
        <v>6.321112515802781E-3</v>
      </c>
      <c r="AE996" s="31">
        <f t="shared" si="2198"/>
        <v>0</v>
      </c>
      <c r="AF996" s="22">
        <f t="shared" si="2211"/>
        <v>0</v>
      </c>
      <c r="AG996" s="12">
        <v>7294354</v>
      </c>
      <c r="AH996" s="12">
        <v>6063722</v>
      </c>
      <c r="AI996" s="12">
        <v>2495533</v>
      </c>
      <c r="AJ996" s="23">
        <f t="shared" si="2212"/>
        <v>819</v>
      </c>
      <c r="AK996" s="23">
        <f t="shared" si="2199"/>
        <v>15853609</v>
      </c>
      <c r="AL996" s="28">
        <f>AK996/detalle!$D$2</f>
        <v>1446428.6773281449</v>
      </c>
    </row>
    <row r="997" spans="1:38">
      <c r="A997" s="12">
        <v>996</v>
      </c>
      <c r="B997" s="19">
        <v>44886</v>
      </c>
      <c r="C997" s="12">
        <v>978</v>
      </c>
      <c r="D997" s="23">
        <v>151</v>
      </c>
      <c r="E997" s="12">
        <v>648714</v>
      </c>
      <c r="F997" s="12">
        <v>4384</v>
      </c>
      <c r="G997" s="12">
        <v>643682</v>
      </c>
      <c r="H997" s="23">
        <f t="shared" si="2206"/>
        <v>648</v>
      </c>
      <c r="I997" s="23">
        <f t="shared" si="2193"/>
        <v>1059</v>
      </c>
      <c r="J997" s="12">
        <v>3728041</v>
      </c>
      <c r="K997" s="23">
        <f t="shared" si="2180"/>
        <v>3079327</v>
      </c>
      <c r="L997" s="23">
        <f t="shared" si="2213"/>
        <v>94</v>
      </c>
      <c r="M997" s="14">
        <f t="shared" si="2205"/>
        <v>6.7579857995973573E-3</v>
      </c>
      <c r="N997" s="14">
        <f t="shared" si="2195"/>
        <v>0.14258734655335223</v>
      </c>
      <c r="O997" s="24"/>
      <c r="P997" s="12"/>
      <c r="Q997" s="12"/>
      <c r="R997" s="23">
        <f t="shared" si="2207"/>
        <v>648066</v>
      </c>
      <c r="S997" s="25">
        <f>(((H997+R997)/(H996+R996))-1)+detalle!$D$1</f>
        <v>7.1661393837497062E-2</v>
      </c>
      <c r="T997" s="25">
        <f t="shared" si="2208"/>
        <v>1.0032595137249589</v>
      </c>
      <c r="U997" s="10">
        <f t="shared" si="2209"/>
        <v>0.99224311483951322</v>
      </c>
      <c r="V997" s="21">
        <f t="shared" si="2210"/>
        <v>146.82527372262774</v>
      </c>
      <c r="W997" s="15">
        <f>J997/detalle!$D$2</f>
        <v>340133.61958498502</v>
      </c>
      <c r="X997" s="15">
        <f>E997/detalle!$D$2</f>
        <v>59186.430861531284</v>
      </c>
      <c r="Y997" s="15">
        <f>F997/detalle!$D$2</f>
        <v>399.98105929107919</v>
      </c>
      <c r="AA997" s="14">
        <f>E997/(detalle!$D$2*1000000)</f>
        <v>5.9186430861531282E-2</v>
      </c>
      <c r="AB997" s="14">
        <f>F997/(detalle!$D$2*1000000)</f>
        <v>3.999810592910792E-4</v>
      </c>
      <c r="AC997" s="31">
        <f>2/585</f>
        <v>3.4188034188034188E-3</v>
      </c>
      <c r="AD997" s="31">
        <f>9/2373</f>
        <v>3.7926675094816687E-3</v>
      </c>
      <c r="AE997" s="31">
        <f t="shared" si="2198"/>
        <v>0</v>
      </c>
      <c r="AF997" s="22">
        <f t="shared" si="2211"/>
        <v>0</v>
      </c>
      <c r="AG997" s="12">
        <v>7294580</v>
      </c>
      <c r="AH997" s="12">
        <v>6064043</v>
      </c>
      <c r="AI997" s="12">
        <v>2496165</v>
      </c>
      <c r="AJ997" s="23">
        <f t="shared" si="2212"/>
        <v>1179</v>
      </c>
      <c r="AK997" s="23">
        <f t="shared" si="2199"/>
        <v>15854788</v>
      </c>
      <c r="AL997" s="28">
        <f>AK997/detalle!$D$2</f>
        <v>1446536.2452270738</v>
      </c>
    </row>
    <row r="998" spans="1:38">
      <c r="A998" s="12">
        <v>997</v>
      </c>
      <c r="B998" s="19">
        <v>44887</v>
      </c>
      <c r="C998" s="12">
        <v>979</v>
      </c>
      <c r="D998" s="23">
        <v>200</v>
      </c>
      <c r="E998" s="12">
        <v>648914</v>
      </c>
      <c r="F998" s="12">
        <v>4384</v>
      </c>
      <c r="G998" s="12">
        <v>643642</v>
      </c>
      <c r="H998" s="23">
        <f t="shared" si="2206"/>
        <v>888</v>
      </c>
      <c r="I998" s="23">
        <f t="shared" ref="I998:I1007" si="2215">J998-J997</f>
        <v>1629</v>
      </c>
      <c r="J998" s="12">
        <v>3729670</v>
      </c>
      <c r="K998" s="23">
        <f t="shared" si="2180"/>
        <v>3080756</v>
      </c>
      <c r="L998" s="23">
        <f t="shared" si="2213"/>
        <v>-40</v>
      </c>
      <c r="M998" s="14">
        <f t="shared" si="2205"/>
        <v>6.7559029393725514E-3</v>
      </c>
      <c r="N998" s="14">
        <f t="shared" ref="N998:N1007" si="2216">D998/I998</f>
        <v>0.12277470841006753</v>
      </c>
      <c r="O998" s="24"/>
      <c r="P998" s="12"/>
      <c r="Q998" s="12"/>
      <c r="R998" s="23">
        <f t="shared" si="2207"/>
        <v>648026</v>
      </c>
      <c r="S998" s="25">
        <f>(((H998+R998)/(H997+R997))-1)+detalle!$D$1</f>
        <v>7.1736873700450926E-2</v>
      </c>
      <c r="T998" s="25">
        <f t="shared" si="2208"/>
        <v>1.004316231806313</v>
      </c>
      <c r="U998" s="10">
        <f t="shared" si="2209"/>
        <v>0.99187565686670343</v>
      </c>
      <c r="V998" s="21">
        <f t="shared" si="2210"/>
        <v>146.81614963503651</v>
      </c>
      <c r="W998" s="15">
        <f>J998/detalle!$D$2</f>
        <v>340282.2439338867</v>
      </c>
      <c r="X998" s="15">
        <f>E998/detalle!$D$2</f>
        <v>59204.678172630331</v>
      </c>
      <c r="Y998" s="15">
        <f>F998/detalle!$D$2</f>
        <v>399.98105929107919</v>
      </c>
      <c r="AA998" s="14">
        <f>E998/(detalle!$D$2*1000000)</f>
        <v>5.920467817263033E-2</v>
      </c>
      <c r="AB998" s="14">
        <f>F998/(detalle!$D$2*1000000)</f>
        <v>3.999810592910792E-4</v>
      </c>
      <c r="AC998" s="31">
        <f t="shared" si="2214"/>
        <v>1.7094017094017094E-3</v>
      </c>
      <c r="AD998" s="31">
        <f>13/2373</f>
        <v>5.478297513695744E-3</v>
      </c>
      <c r="AE998" s="31">
        <f t="shared" si="2198"/>
        <v>0</v>
      </c>
      <c r="AF998" s="22">
        <f t="shared" si="2211"/>
        <v>0</v>
      </c>
      <c r="AG998" s="12">
        <v>7294854</v>
      </c>
      <c r="AH998" s="12">
        <v>6064369</v>
      </c>
      <c r="AI998" s="12">
        <v>2496812</v>
      </c>
      <c r="AJ998" s="23">
        <f t="shared" si="2212"/>
        <v>1247</v>
      </c>
      <c r="AK998" s="23">
        <f t="shared" si="2199"/>
        <v>15856035</v>
      </c>
      <c r="AL998" s="28">
        <f>AK998/detalle!$D$2</f>
        <v>1446650.0172117762</v>
      </c>
    </row>
    <row r="999" spans="1:38">
      <c r="A999" s="12">
        <v>998</v>
      </c>
      <c r="B999" s="19">
        <v>44888</v>
      </c>
      <c r="C999" s="12">
        <v>980</v>
      </c>
      <c r="D999" s="23">
        <v>234</v>
      </c>
      <c r="E999" s="12">
        <v>649150</v>
      </c>
      <c r="F999" s="12">
        <v>4384</v>
      </c>
      <c r="G999" s="12">
        <v>643673</v>
      </c>
      <c r="H999" s="23">
        <f t="shared" si="2206"/>
        <v>1093</v>
      </c>
      <c r="I999" s="23">
        <f t="shared" si="2215"/>
        <v>776</v>
      </c>
      <c r="J999" s="12">
        <v>3730446</v>
      </c>
      <c r="K999" s="23">
        <f t="shared" si="2180"/>
        <v>3081296</v>
      </c>
      <c r="L999" s="23">
        <f t="shared" si="2213"/>
        <v>31</v>
      </c>
      <c r="M999" s="14">
        <f t="shared" si="2205"/>
        <v>6.7534468150658557E-3</v>
      </c>
      <c r="N999" s="14">
        <f t="shared" si="2216"/>
        <v>0.3015463917525773</v>
      </c>
      <c r="O999" s="24"/>
      <c r="P999" s="12"/>
      <c r="Q999" s="12"/>
      <c r="R999" s="23">
        <f t="shared" si="2207"/>
        <v>648057</v>
      </c>
      <c r="S999" s="25">
        <f>(((H999+R999)/(H998+R998))-1)+detalle!$D$1</f>
        <v>7.1792255984614278E-2</v>
      </c>
      <c r="T999" s="25">
        <f t="shared" si="2208"/>
        <v>1.0050915837846</v>
      </c>
      <c r="U999" s="10">
        <f t="shared" si="2209"/>
        <v>0.99156281290918891</v>
      </c>
      <c r="V999" s="21">
        <f t="shared" si="2210"/>
        <v>146.82322080291971</v>
      </c>
      <c r="W999" s="15">
        <f>J999/detalle!$D$2</f>
        <v>340353.04350095103</v>
      </c>
      <c r="X999" s="15">
        <f>E999/detalle!$D$2</f>
        <v>59226.209999727202</v>
      </c>
      <c r="Y999" s="15">
        <f>F999/detalle!$D$2</f>
        <v>399.98105929107919</v>
      </c>
      <c r="AA999" s="14">
        <f>E999/(detalle!$D$2*1000000)</f>
        <v>5.9226209999727206E-2</v>
      </c>
      <c r="AB999" s="14">
        <f>F999/(detalle!$D$2*1000000)</f>
        <v>3.999810592910792E-4</v>
      </c>
      <c r="AC999" s="31">
        <f t="shared" si="2214"/>
        <v>1.7094017094017094E-3</v>
      </c>
      <c r="AD999" s="31">
        <f>14/2373</f>
        <v>5.8997050147492625E-3</v>
      </c>
      <c r="AE999" s="31">
        <f t="shared" si="2198"/>
        <v>0</v>
      </c>
      <c r="AF999" s="22">
        <f t="shared" si="2211"/>
        <v>0</v>
      </c>
      <c r="AG999" s="12">
        <v>7295083</v>
      </c>
      <c r="AH999" s="12">
        <v>6064668</v>
      </c>
      <c r="AI999" s="12">
        <v>2497379</v>
      </c>
      <c r="AJ999" s="23">
        <f t="shared" si="2212"/>
        <v>1095</v>
      </c>
      <c r="AK999" s="23">
        <f t="shared" si="2199"/>
        <v>15857130</v>
      </c>
      <c r="AL999" s="28">
        <f>AK999/detalle!$D$2</f>
        <v>1446749.9212400436</v>
      </c>
    </row>
    <row r="1000" spans="1:38">
      <c r="A1000" s="12">
        <v>999</v>
      </c>
      <c r="B1000" s="19">
        <v>44889</v>
      </c>
      <c r="C1000" s="12">
        <v>981</v>
      </c>
      <c r="D1000" s="23">
        <v>318</v>
      </c>
      <c r="E1000" s="12">
        <v>649469</v>
      </c>
      <c r="F1000" s="12">
        <v>4384</v>
      </c>
      <c r="G1000" s="12">
        <v>643671</v>
      </c>
      <c r="H1000" s="23">
        <f t="shared" si="2206"/>
        <v>1414</v>
      </c>
      <c r="I1000" s="23">
        <f t="shared" si="2215"/>
        <v>2192</v>
      </c>
      <c r="J1000" s="12">
        <v>3732638</v>
      </c>
      <c r="K1000" s="23">
        <f t="shared" si="2180"/>
        <v>3083169</v>
      </c>
      <c r="L1000" s="23">
        <f t="shared" si="2213"/>
        <v>-2</v>
      </c>
      <c r="M1000" s="14">
        <f t="shared" si="2205"/>
        <v>6.7501297213569851E-3</v>
      </c>
      <c r="N1000" s="14">
        <f t="shared" si="2216"/>
        <v>0.14507299270072993</v>
      </c>
      <c r="O1000" s="24"/>
      <c r="P1000" s="12"/>
      <c r="Q1000" s="12"/>
      <c r="R1000" s="23">
        <f t="shared" si="2207"/>
        <v>648055</v>
      </c>
      <c r="S1000" s="25">
        <f>(((H1000+R1000)/(H999+R999))-1)+detalle!$D$1</f>
        <v>7.1919983274831872E-2</v>
      </c>
      <c r="T1000" s="25">
        <f t="shared" si="2208"/>
        <v>1.0068797658476463</v>
      </c>
      <c r="U1000" s="10">
        <f t="shared" si="2209"/>
        <v>0.99107270708840611</v>
      </c>
      <c r="V1000" s="21">
        <f t="shared" si="2210"/>
        <v>146.82276459854015</v>
      </c>
      <c r="W1000" s="15">
        <f>J1000/detalle!$D$2</f>
        <v>340553.03403059655</v>
      </c>
      <c r="X1000" s="15">
        <f>E1000/detalle!$D$2</f>
        <v>59255.314460930182</v>
      </c>
      <c r="Y1000" s="15">
        <f>F1000/detalle!$D$2</f>
        <v>399.98105929107919</v>
      </c>
      <c r="AA1000" s="14">
        <f>E1000/(detalle!$D$2*1000000)</f>
        <v>5.9255314460930179E-2</v>
      </c>
      <c r="AB1000" s="14">
        <f>F1000/(detalle!$D$2*1000000)</f>
        <v>3.999810592910792E-4</v>
      </c>
      <c r="AC1000" s="31">
        <f>4/585</f>
        <v>6.8376068376068376E-3</v>
      </c>
      <c r="AD1000" s="31">
        <f>15/2373</f>
        <v>6.321112515802781E-3</v>
      </c>
      <c r="AE1000" s="31">
        <f t="shared" si="2198"/>
        <v>0</v>
      </c>
      <c r="AF1000" s="22">
        <f t="shared" si="2211"/>
        <v>0</v>
      </c>
      <c r="AG1000" s="12">
        <v>7295083</v>
      </c>
      <c r="AH1000" s="12">
        <v>6064668</v>
      </c>
      <c r="AI1000" s="12">
        <v>2497379</v>
      </c>
      <c r="AJ1000" s="23">
        <f t="shared" si="2212"/>
        <v>0</v>
      </c>
      <c r="AK1000" s="23">
        <f t="shared" si="2199"/>
        <v>15857130</v>
      </c>
      <c r="AL1000" s="28">
        <f>AK1000/detalle!$D$2</f>
        <v>1446749.9212400436</v>
      </c>
    </row>
    <row r="1001" spans="1:38">
      <c r="A1001" s="12">
        <v>1000</v>
      </c>
      <c r="B1001" s="19">
        <v>44890</v>
      </c>
      <c r="C1001" s="12">
        <v>982</v>
      </c>
      <c r="D1001" s="23">
        <v>210</v>
      </c>
      <c r="E1001" s="12">
        <v>649684</v>
      </c>
      <c r="F1001" s="12">
        <v>4384</v>
      </c>
      <c r="G1001" s="12">
        <v>643714</v>
      </c>
      <c r="H1001" s="23">
        <f t="shared" si="2206"/>
        <v>1586</v>
      </c>
      <c r="I1001" s="23">
        <f t="shared" si="2215"/>
        <v>1261</v>
      </c>
      <c r="J1001" s="12">
        <v>3733899</v>
      </c>
      <c r="K1001" s="23">
        <f t="shared" si="2180"/>
        <v>3084215</v>
      </c>
      <c r="L1001" s="23">
        <f t="shared" si="2213"/>
        <v>43</v>
      </c>
      <c r="M1001" s="14">
        <f t="shared" si="2205"/>
        <v>6.7478959001606937E-3</v>
      </c>
      <c r="N1001" s="14">
        <f t="shared" si="2216"/>
        <v>0.16653449643140364</v>
      </c>
      <c r="O1001" s="24"/>
      <c r="P1001" s="12"/>
      <c r="Q1001" s="12"/>
      <c r="R1001" s="23">
        <f t="shared" si="2207"/>
        <v>648098</v>
      </c>
      <c r="S1001" s="25">
        <f>(((H1001+R1001)/(H1000+R1000))-1)+detalle!$D$1</f>
        <v>7.1759611093282133E-2</v>
      </c>
      <c r="T1001" s="25">
        <f t="shared" si="2208"/>
        <v>1.0046345553059499</v>
      </c>
      <c r="U1001" s="10">
        <f t="shared" si="2209"/>
        <v>0.99081091730749105</v>
      </c>
      <c r="V1001" s="21">
        <f t="shared" si="2210"/>
        <v>146.83257299270073</v>
      </c>
      <c r="W1001" s="15">
        <f>J1001/detalle!$D$2</f>
        <v>340668.08332707605</v>
      </c>
      <c r="X1001" s="15">
        <f>E1001/detalle!$D$2</f>
        <v>59274.930320361658</v>
      </c>
      <c r="Y1001" s="15">
        <f>F1001/detalle!$D$2</f>
        <v>399.98105929107919</v>
      </c>
      <c r="AA1001" s="14">
        <f>E1001/(detalle!$D$2*1000000)</f>
        <v>5.9274930320361657E-2</v>
      </c>
      <c r="AB1001" s="14">
        <f>F1001/(detalle!$D$2*1000000)</f>
        <v>3.999810592910792E-4</v>
      </c>
      <c r="AC1001" s="31">
        <f>5/585</f>
        <v>8.5470085470085479E-3</v>
      </c>
      <c r="AD1001" s="31">
        <f>17/2373</f>
        <v>7.1639275179098188E-3</v>
      </c>
      <c r="AE1001" s="31">
        <f t="shared" si="2198"/>
        <v>0</v>
      </c>
      <c r="AF1001" s="22">
        <f t="shared" si="2211"/>
        <v>0</v>
      </c>
      <c r="AG1001" s="12">
        <v>7295083</v>
      </c>
      <c r="AH1001" s="12">
        <v>6064668</v>
      </c>
      <c r="AI1001" s="12">
        <v>2497379</v>
      </c>
      <c r="AJ1001" s="23">
        <f t="shared" si="2212"/>
        <v>0</v>
      </c>
      <c r="AK1001" s="23">
        <f t="shared" si="2199"/>
        <v>15857130</v>
      </c>
      <c r="AL1001" s="28">
        <f>AK1001/detalle!$D$2</f>
        <v>1446749.9212400436</v>
      </c>
    </row>
    <row r="1002" spans="1:38">
      <c r="A1002" s="12">
        <v>1001</v>
      </c>
      <c r="B1002" s="19">
        <v>44891</v>
      </c>
      <c r="C1002" s="12">
        <v>983</v>
      </c>
      <c r="D1002" s="23">
        <v>150</v>
      </c>
      <c r="E1002" s="12">
        <v>649834</v>
      </c>
      <c r="F1002" s="12">
        <v>4384</v>
      </c>
      <c r="G1002" s="12">
        <v>643679</v>
      </c>
      <c r="H1002" s="23">
        <f t="shared" si="2206"/>
        <v>1771</v>
      </c>
      <c r="I1002" s="23">
        <f t="shared" si="2215"/>
        <v>1162</v>
      </c>
      <c r="J1002" s="12">
        <v>3735061</v>
      </c>
      <c r="K1002" s="23">
        <f t="shared" si="2180"/>
        <v>3085227</v>
      </c>
      <c r="L1002" s="23">
        <f t="shared" si="2213"/>
        <v>-35</v>
      </c>
      <c r="M1002" s="14">
        <f t="shared" si="2205"/>
        <v>6.7463382956262676E-3</v>
      </c>
      <c r="N1002" s="14">
        <f t="shared" si="2216"/>
        <v>0.12908777969018934</v>
      </c>
      <c r="O1002" s="24"/>
      <c r="P1002" s="12"/>
      <c r="Q1002" s="12"/>
      <c r="R1002" s="23">
        <f t="shared" si="2207"/>
        <v>648063</v>
      </c>
      <c r="S1002" s="25">
        <f>(((H1002+R1002)/(H1001+R1001))-1)+detalle!$D$1</f>
        <v>7.1659452903257509E-2</v>
      </c>
      <c r="T1002" s="25">
        <f t="shared" si="2208"/>
        <v>1.0032323406456052</v>
      </c>
      <c r="U1002" s="10">
        <f t="shared" si="2209"/>
        <v>0.99052835031715791</v>
      </c>
      <c r="V1002" s="21">
        <f t="shared" si="2210"/>
        <v>146.82458941605839</v>
      </c>
      <c r="W1002" s="15">
        <f>J1002/detalle!$D$2</f>
        <v>340774.10020456149</v>
      </c>
      <c r="X1002" s="15">
        <f>E1002/detalle!$D$2</f>
        <v>59288.615803685942</v>
      </c>
      <c r="Y1002" s="15">
        <f>F1002/detalle!$D$2</f>
        <v>399.98105929107919</v>
      </c>
      <c r="AA1002" s="14">
        <f>E1002/(detalle!$D$2*1000000)</f>
        <v>5.928861580368594E-2</v>
      </c>
      <c r="AB1002" s="14">
        <f>F1002/(detalle!$D$2*1000000)</f>
        <v>3.999810592910792E-4</v>
      </c>
      <c r="AC1002" s="31">
        <f>6/585</f>
        <v>1.0256410256410256E-2</v>
      </c>
      <c r="AD1002" s="31">
        <f>21/2373</f>
        <v>8.8495575221238937E-3</v>
      </c>
      <c r="AE1002" s="31">
        <f t="shared" si="2198"/>
        <v>0</v>
      </c>
      <c r="AF1002" s="22">
        <f t="shared" si="2211"/>
        <v>0</v>
      </c>
      <c r="AG1002" s="12">
        <v>7295563</v>
      </c>
      <c r="AH1002" s="12">
        <v>6065354</v>
      </c>
      <c r="AI1002" s="12">
        <v>2498656</v>
      </c>
      <c r="AJ1002" s="23">
        <f t="shared" si="2212"/>
        <v>2443</v>
      </c>
      <c r="AK1002" s="23">
        <f t="shared" si="2199"/>
        <v>15859573</v>
      </c>
      <c r="AL1002" s="28">
        <f>AK1002/detalle!$D$2</f>
        <v>1446972.8121451184</v>
      </c>
    </row>
    <row r="1003" spans="1:38">
      <c r="A1003" s="12">
        <v>1002</v>
      </c>
      <c r="B1003" s="19">
        <v>44892</v>
      </c>
      <c r="C1003" s="12">
        <v>984</v>
      </c>
      <c r="D1003" s="23">
        <v>216</v>
      </c>
      <c r="E1003" s="12">
        <v>650052</v>
      </c>
      <c r="F1003" s="12">
        <v>4384</v>
      </c>
      <c r="G1003" s="12">
        <v>643720</v>
      </c>
      <c r="H1003" s="23">
        <f t="shared" si="2206"/>
        <v>1948</v>
      </c>
      <c r="I1003" s="23">
        <f t="shared" si="2215"/>
        <v>1347</v>
      </c>
      <c r="J1003" s="12">
        <v>3736408</v>
      </c>
      <c r="K1003" s="23">
        <f t="shared" si="2180"/>
        <v>3086356</v>
      </c>
      <c r="L1003" s="23">
        <f t="shared" si="2213"/>
        <v>41</v>
      </c>
      <c r="M1003" s="14">
        <f t="shared" si="2205"/>
        <v>6.7440758585467012E-3</v>
      </c>
      <c r="N1003" s="14">
        <f t="shared" si="2216"/>
        <v>0.16035634743875279</v>
      </c>
      <c r="O1003" s="24"/>
      <c r="P1003" s="12"/>
      <c r="Q1003" s="12"/>
      <c r="R1003" s="23">
        <f t="shared" si="2207"/>
        <v>648104</v>
      </c>
      <c r="S1003" s="25">
        <f>(((H1003+R1003)/(H1002+R1002))-1)+detalle!$D$1</f>
        <v>7.1764041717906873E-2</v>
      </c>
      <c r="T1003" s="25">
        <f t="shared" si="2208"/>
        <v>1.0046965840506963</v>
      </c>
      <c r="U1003" s="10">
        <f t="shared" si="2209"/>
        <v>0.99025924079919758</v>
      </c>
      <c r="V1003" s="21">
        <f t="shared" si="2210"/>
        <v>146.83394160583941</v>
      </c>
      <c r="W1003" s="15">
        <f>J1003/detalle!$D$2</f>
        <v>340896.99584481359</v>
      </c>
      <c r="X1003" s="15">
        <f>E1003/detalle!$D$2</f>
        <v>59308.505372783897</v>
      </c>
      <c r="Y1003" s="15">
        <f>F1003/detalle!$D$2</f>
        <v>399.98105929107919</v>
      </c>
      <c r="AA1003" s="14">
        <f>E1003/(detalle!$D$2*1000000)</f>
        <v>5.9308505372783898E-2</v>
      </c>
      <c r="AB1003" s="14">
        <f>F1003/(detalle!$D$2*1000000)</f>
        <v>3.999810592910792E-4</v>
      </c>
      <c r="AC1003" s="31">
        <f t="shared" ref="AC1003" si="2217">6/585</f>
        <v>1.0256410256410256E-2</v>
      </c>
      <c r="AD1003" s="31">
        <f>23/2373</f>
        <v>9.6923725242309307E-3</v>
      </c>
      <c r="AE1003" s="31">
        <f t="shared" si="2198"/>
        <v>0</v>
      </c>
      <c r="AF1003" s="22">
        <f t="shared" si="2211"/>
        <v>0</v>
      </c>
      <c r="AG1003" s="12">
        <v>7295618</v>
      </c>
      <c r="AH1003" s="12">
        <v>6065417</v>
      </c>
      <c r="AI1003" s="12">
        <v>2498787</v>
      </c>
      <c r="AJ1003" s="23">
        <f t="shared" si="2212"/>
        <v>249</v>
      </c>
      <c r="AK1003" s="23">
        <f t="shared" si="2199"/>
        <v>15859822</v>
      </c>
      <c r="AL1003" s="28">
        <f>AK1003/detalle!$D$2</f>
        <v>1446995.5300474367</v>
      </c>
    </row>
    <row r="1004" spans="1:38">
      <c r="A1004" s="12">
        <v>1003</v>
      </c>
      <c r="B1004" s="19">
        <v>44893</v>
      </c>
      <c r="C1004" s="12">
        <v>985</v>
      </c>
      <c r="D1004" s="23">
        <v>328</v>
      </c>
      <c r="E1004" s="12">
        <v>650381</v>
      </c>
      <c r="F1004" s="12">
        <v>4384</v>
      </c>
      <c r="G1004" s="12">
        <v>644066</v>
      </c>
      <c r="H1004" s="23">
        <f t="shared" si="2206"/>
        <v>1931</v>
      </c>
      <c r="I1004" s="23">
        <f t="shared" si="2215"/>
        <v>1736</v>
      </c>
      <c r="J1004" s="12">
        <v>3738144</v>
      </c>
      <c r="K1004" s="23">
        <f t="shared" ref="K1004:K1007" si="2218">J1004-E1004</f>
        <v>3087763</v>
      </c>
      <c r="L1004" s="23">
        <f t="shared" si="2213"/>
        <v>346</v>
      </c>
      <c r="M1004" s="14">
        <f t="shared" si="2205"/>
        <v>6.7406643182995815E-3</v>
      </c>
      <c r="N1004" s="14">
        <f>D1004/I1004</f>
        <v>0.1889400921658986</v>
      </c>
      <c r="O1004" s="24"/>
      <c r="P1004" s="12"/>
      <c r="Q1004" s="12"/>
      <c r="R1004" s="23">
        <f t="shared" si="2207"/>
        <v>648450</v>
      </c>
      <c r="S1004" s="25">
        <f>(((H1004+R1004)/(H1003+R1003))-1)+detalle!$D$1</f>
        <v>7.1934684785656594E-2</v>
      </c>
      <c r="T1004" s="25">
        <f t="shared" si="2208"/>
        <v>1.0070855869991924</v>
      </c>
      <c r="U1004" s="10">
        <f t="shared" si="2209"/>
        <v>0.99029030675865382</v>
      </c>
      <c r="V1004" s="21">
        <f t="shared" si="2210"/>
        <v>146.91286496350364</v>
      </c>
      <c r="W1004" s="15">
        <f>J1004/detalle!$D$2</f>
        <v>341055.38250515331</v>
      </c>
      <c r="X1004" s="15">
        <f>E1004/detalle!$D$2</f>
        <v>59338.522199541832</v>
      </c>
      <c r="Y1004" s="15">
        <f>F1004/detalle!$D$2</f>
        <v>399.98105929107919</v>
      </c>
      <c r="AA1004" s="14">
        <f>E1004/(detalle!$D$2*1000000)</f>
        <v>5.9338522199541825E-2</v>
      </c>
      <c r="AB1004" s="14">
        <f>F1004/(detalle!$D$2*1000000)</f>
        <v>3.999810592910792E-4</v>
      </c>
      <c r="AC1004" s="31">
        <f>5/585</f>
        <v>8.5470085470085479E-3</v>
      </c>
      <c r="AD1004" s="31">
        <f>25/2373</f>
        <v>1.0535187526337969E-2</v>
      </c>
      <c r="AE1004" s="31">
        <f t="shared" si="2198"/>
        <v>0</v>
      </c>
      <c r="AF1004" s="22">
        <f t="shared" si="2211"/>
        <v>0</v>
      </c>
      <c r="AG1004" s="12">
        <v>7295816</v>
      </c>
      <c r="AH1004" s="12">
        <v>6065746</v>
      </c>
      <c r="AI1004" s="12">
        <v>2499365</v>
      </c>
      <c r="AJ1004" s="23">
        <f t="shared" si="2212"/>
        <v>1105</v>
      </c>
      <c r="AK1004" s="23">
        <f t="shared" si="2199"/>
        <v>15860927</v>
      </c>
      <c r="AL1004" s="28">
        <f>AK1004/detalle!$D$2</f>
        <v>1447096.3464412589</v>
      </c>
    </row>
    <row r="1005" spans="1:38">
      <c r="A1005" s="12">
        <v>1004</v>
      </c>
      <c r="B1005" s="19">
        <v>44894</v>
      </c>
      <c r="C1005" s="12">
        <v>986</v>
      </c>
      <c r="D1005" s="23">
        <v>328</v>
      </c>
      <c r="E1005" s="12">
        <v>650381</v>
      </c>
      <c r="F1005" s="12">
        <v>4384</v>
      </c>
      <c r="G1005" s="12">
        <v>644066</v>
      </c>
      <c r="H1005" s="23">
        <f t="shared" si="2206"/>
        <v>1931</v>
      </c>
      <c r="I1005" s="23">
        <f t="shared" si="2215"/>
        <v>0</v>
      </c>
      <c r="J1005" s="12">
        <v>3738144</v>
      </c>
      <c r="K1005" s="23">
        <f t="shared" si="2218"/>
        <v>3087763</v>
      </c>
      <c r="L1005" s="23">
        <f t="shared" si="2213"/>
        <v>0</v>
      </c>
      <c r="M1005" s="14">
        <f t="shared" si="2205"/>
        <v>6.7406643182995815E-3</v>
      </c>
      <c r="N1005" s="14">
        <f>D1004/I1004</f>
        <v>0.1889400921658986</v>
      </c>
      <c r="O1005" s="24"/>
      <c r="P1005" s="12"/>
      <c r="Q1005" s="12"/>
      <c r="R1005" s="23">
        <f t="shared" si="2207"/>
        <v>648450</v>
      </c>
      <c r="S1005" s="25">
        <f>(((H1005+R1005)/(H1004+R1004))-1)+detalle!$D$1</f>
        <v>7.1428571428571425E-2</v>
      </c>
      <c r="T1005" s="25">
        <f t="shared" si="2208"/>
        <v>1</v>
      </c>
      <c r="U1005" s="10">
        <f t="shared" si="2209"/>
        <v>0.99029030675865382</v>
      </c>
      <c r="V1005" s="21">
        <f t="shared" si="2210"/>
        <v>146.91286496350364</v>
      </c>
      <c r="W1005" s="15">
        <f>J1005/detalle!$D$2</f>
        <v>341055.38250515331</v>
      </c>
      <c r="X1005" s="15">
        <f>E1005/detalle!$D$2</f>
        <v>59338.522199541832</v>
      </c>
      <c r="Y1005" s="15">
        <f>F1005/detalle!$D$2</f>
        <v>399.98105929107919</v>
      </c>
      <c r="AA1005" s="14">
        <f>E1005/(detalle!$D$2*1000000)</f>
        <v>5.9338522199541825E-2</v>
      </c>
      <c r="AB1005" s="14">
        <f>F1005/(detalle!$D$2*1000000)</f>
        <v>3.999810592910792E-4</v>
      </c>
      <c r="AC1005" s="31">
        <f t="shared" ref="AC1005:AC1007" si="2219">5/585</f>
        <v>8.5470085470085479E-3</v>
      </c>
      <c r="AD1005" s="31">
        <f t="shared" ref="AD1005:AD1006" si="2220">25/2373</f>
        <v>1.0535187526337969E-2</v>
      </c>
      <c r="AE1005" s="31">
        <f t="shared" si="2198"/>
        <v>0</v>
      </c>
      <c r="AF1005" s="22">
        <f t="shared" si="2211"/>
        <v>0</v>
      </c>
      <c r="AG1005" s="12">
        <v>7295993</v>
      </c>
      <c r="AH1005" s="12">
        <v>6065999</v>
      </c>
      <c r="AI1005" s="12">
        <v>2499887</v>
      </c>
      <c r="AJ1005" s="23">
        <f t="shared" si="2212"/>
        <v>952</v>
      </c>
      <c r="AK1005" s="23">
        <f t="shared" si="2199"/>
        <v>15861879</v>
      </c>
      <c r="AL1005" s="28">
        <f>AK1005/detalle!$D$2</f>
        <v>1447183.2036420903</v>
      </c>
    </row>
    <row r="1006" spans="1:38">
      <c r="A1006" s="12">
        <v>1005</v>
      </c>
      <c r="B1006" s="19">
        <v>44895</v>
      </c>
      <c r="C1006" s="12">
        <v>987</v>
      </c>
      <c r="D1006" s="23">
        <v>328</v>
      </c>
      <c r="E1006" s="12">
        <v>650381</v>
      </c>
      <c r="F1006" s="12">
        <v>4384</v>
      </c>
      <c r="G1006" s="12">
        <v>644066</v>
      </c>
      <c r="H1006" s="23">
        <f t="shared" si="2206"/>
        <v>1931</v>
      </c>
      <c r="I1006" s="23">
        <f t="shared" si="2215"/>
        <v>0</v>
      </c>
      <c r="J1006" s="12">
        <v>3738144</v>
      </c>
      <c r="K1006" s="23">
        <f t="shared" si="2218"/>
        <v>3087763</v>
      </c>
      <c r="L1006" s="23">
        <f t="shared" si="2213"/>
        <v>0</v>
      </c>
      <c r="M1006" s="14">
        <f t="shared" si="2205"/>
        <v>6.7406643182995815E-3</v>
      </c>
      <c r="N1006" s="14">
        <f>D1004/I1004</f>
        <v>0.1889400921658986</v>
      </c>
      <c r="O1006" s="24"/>
      <c r="P1006" s="12"/>
      <c r="Q1006" s="12"/>
      <c r="R1006" s="23">
        <f t="shared" si="2207"/>
        <v>648450</v>
      </c>
      <c r="S1006" s="25">
        <f>(((H1006+R1006)/(H1005+R1005))-1)+detalle!$D$1</f>
        <v>7.1428571428571425E-2</v>
      </c>
      <c r="T1006" s="25">
        <f t="shared" si="2208"/>
        <v>1</v>
      </c>
      <c r="U1006" s="10">
        <f t="shared" si="2209"/>
        <v>0.99029030675865382</v>
      </c>
      <c r="V1006" s="21">
        <f t="shared" si="2210"/>
        <v>146.91286496350364</v>
      </c>
      <c r="W1006" s="15">
        <f>J1006/detalle!$D$2</f>
        <v>341055.38250515331</v>
      </c>
      <c r="X1006" s="15">
        <f>E1006/detalle!$D$2</f>
        <v>59338.522199541832</v>
      </c>
      <c r="Y1006" s="15">
        <f>F1006/detalle!$D$2</f>
        <v>399.98105929107919</v>
      </c>
      <c r="AA1006" s="14">
        <f>E1006/(detalle!$D$2*1000000)</f>
        <v>5.9338522199541825E-2</v>
      </c>
      <c r="AB1006" s="14">
        <f>F1006/(detalle!$D$2*1000000)</f>
        <v>3.999810592910792E-4</v>
      </c>
      <c r="AC1006" s="31">
        <f t="shared" si="2219"/>
        <v>8.5470085470085479E-3</v>
      </c>
      <c r="AD1006" s="31">
        <f t="shared" si="2220"/>
        <v>1.0535187526337969E-2</v>
      </c>
      <c r="AE1006" s="31">
        <f t="shared" si="2198"/>
        <v>0</v>
      </c>
      <c r="AF1006" s="22">
        <f t="shared" si="2211"/>
        <v>0</v>
      </c>
      <c r="AG1006" s="12">
        <v>7296172</v>
      </c>
      <c r="AH1006" s="12">
        <v>6066275</v>
      </c>
      <c r="AI1006" s="12">
        <v>2500509</v>
      </c>
      <c r="AJ1006" s="23">
        <f t="shared" si="2212"/>
        <v>1077</v>
      </c>
      <c r="AK1006" s="23">
        <f t="shared" si="2199"/>
        <v>15862956</v>
      </c>
      <c r="AL1006" s="28">
        <f>AK1006/detalle!$D$2</f>
        <v>1447281.4654123588</v>
      </c>
    </row>
    <row r="1007" spans="1:38">
      <c r="A1007" s="12">
        <v>1006</v>
      </c>
      <c r="B1007" s="19">
        <v>44896</v>
      </c>
      <c r="C1007" s="12">
        <v>988</v>
      </c>
      <c r="D1007" s="23">
        <v>349</v>
      </c>
      <c r="E1007" s="12">
        <v>651339</v>
      </c>
      <c r="F1007" s="12">
        <v>4384</v>
      </c>
      <c r="G1007" s="12">
        <v>645117</v>
      </c>
      <c r="H1007" s="23">
        <f t="shared" si="2206"/>
        <v>1838</v>
      </c>
      <c r="I1007" s="23">
        <f t="shared" si="2215"/>
        <v>4349</v>
      </c>
      <c r="J1007" s="12">
        <v>3742493</v>
      </c>
      <c r="K1007" s="23">
        <f t="shared" si="2218"/>
        <v>3091154</v>
      </c>
      <c r="L1007" s="23">
        <f t="shared" si="2213"/>
        <v>1051</v>
      </c>
      <c r="M1007" s="14">
        <f t="shared" si="2205"/>
        <v>6.7307500395339444E-3</v>
      </c>
      <c r="N1007" s="14">
        <f t="shared" si="2216"/>
        <v>8.0248332950103474E-2</v>
      </c>
      <c r="O1007" s="24"/>
      <c r="P1007" s="12"/>
      <c r="Q1007" s="12"/>
      <c r="R1007" s="23">
        <f>F1007+G1007</f>
        <v>649501</v>
      </c>
      <c r="S1007" s="25">
        <f>(((H1007+R1007)/(H1006+R1006))-1)+detalle!$D$1</f>
        <v>7.2901554187907919E-2</v>
      </c>
      <c r="T1007" s="25">
        <f t="shared" si="2208"/>
        <v>1.0206217586307109</v>
      </c>
      <c r="U1007" s="10">
        <f t="shared" si="2209"/>
        <v>0.99044737072400091</v>
      </c>
      <c r="V1007" s="21">
        <f t="shared" si="2210"/>
        <v>147.15260036496349</v>
      </c>
      <c r="W1007" s="15">
        <f>J1007/detalle!$D$2</f>
        <v>341452.17028500204</v>
      </c>
      <c r="X1007" s="15">
        <f>E1007/detalle!$D$2</f>
        <v>59425.926819706256</v>
      </c>
      <c r="Y1007" s="15">
        <f>F1007/detalle!$D$2</f>
        <v>399.98105929107919</v>
      </c>
      <c r="AA1007" s="14">
        <f>E1007/(detalle!$D$2*1000000)</f>
        <v>5.9425926819706258E-2</v>
      </c>
      <c r="AB1007" s="14">
        <f>F1007/(detalle!$D$2*1000000)</f>
        <v>3.999810592910792E-4</v>
      </c>
      <c r="AC1007" s="31">
        <f t="shared" si="2219"/>
        <v>8.5470085470085479E-3</v>
      </c>
      <c r="AD1007" s="31">
        <f>43/2373</f>
        <v>1.8120522545301308E-2</v>
      </c>
      <c r="AE1007" s="31">
        <f t="shared" si="2198"/>
        <v>0</v>
      </c>
      <c r="AF1007" s="22">
        <f t="shared" si="2211"/>
        <v>0</v>
      </c>
      <c r="AG1007" s="12">
        <v>7296172</v>
      </c>
      <c r="AH1007" s="12">
        <v>6066275</v>
      </c>
      <c r="AI1007" s="12">
        <v>2500509</v>
      </c>
      <c r="AJ1007" s="23">
        <f t="shared" si="2212"/>
        <v>0</v>
      </c>
      <c r="AK1007" s="23">
        <f t="shared" si="2199"/>
        <v>15862956</v>
      </c>
      <c r="AL1007" s="28">
        <f>AK1007/detalle!$D$2</f>
        <v>1447281.4654123588</v>
      </c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79998168889431442"/>
  </sheetPr>
  <dimension ref="A1:F495"/>
  <sheetViews>
    <sheetView topLeftCell="A467" zoomScale="133" workbookViewId="0">
      <selection activeCell="F490" sqref="F490"/>
    </sheetView>
  </sheetViews>
  <sheetFormatPr defaultColWidth="10.6640625" defaultRowHeight="15.5"/>
  <cols>
    <col min="2" max="2" width="11.1640625" customWidth="1"/>
    <col min="3" max="3" width="11.6640625" customWidth="1"/>
  </cols>
  <sheetData>
    <row r="1" spans="1:6" ht="46.5" customHeight="1">
      <c r="A1" s="36" t="s">
        <v>431</v>
      </c>
      <c r="B1" s="36" t="s">
        <v>429</v>
      </c>
      <c r="C1" s="36" t="s">
        <v>426</v>
      </c>
      <c r="D1" s="36" t="s">
        <v>432</v>
      </c>
      <c r="E1" s="36" t="s">
        <v>430</v>
      </c>
    </row>
    <row r="2" spans="1:6">
      <c r="A2" s="38">
        <v>44311</v>
      </c>
      <c r="B2" s="12">
        <f>Indicadores!AH422</f>
        <v>754074</v>
      </c>
      <c r="C2" s="34">
        <v>10960519</v>
      </c>
      <c r="D2" s="37">
        <f>(B2/C2)</f>
        <v>6.8799114348508494E-2</v>
      </c>
      <c r="E2" s="35">
        <v>0.7</v>
      </c>
    </row>
    <row r="3" spans="1:6">
      <c r="A3" s="38">
        <v>44312</v>
      </c>
      <c r="B3" s="12">
        <f>Indicadores!AH423</f>
        <v>768065</v>
      </c>
      <c r="C3" s="34">
        <v>10960519</v>
      </c>
      <c r="D3" s="37">
        <f t="shared" ref="D3:D66" si="0">(B3/C3)</f>
        <v>7.0075604996442234E-2</v>
      </c>
      <c r="E3" s="35">
        <v>0.7</v>
      </c>
      <c r="F3" s="39"/>
    </row>
    <row r="4" spans="1:6">
      <c r="A4" s="38">
        <v>44313</v>
      </c>
      <c r="B4" s="12">
        <f>Indicadores!AH424</f>
        <v>779431</v>
      </c>
      <c r="C4" s="34">
        <v>10960519</v>
      </c>
      <c r="D4" s="37">
        <f t="shared" si="0"/>
        <v>7.1112599686200997E-2</v>
      </c>
      <c r="E4" s="35">
        <v>0.7</v>
      </c>
    </row>
    <row r="5" spans="1:6">
      <c r="A5" s="38">
        <v>44314</v>
      </c>
      <c r="B5" s="12">
        <f>Indicadores!AH425</f>
        <v>787103</v>
      </c>
      <c r="C5" s="34">
        <v>10960519</v>
      </c>
      <c r="D5" s="37">
        <f t="shared" si="0"/>
        <v>7.1812566539960376E-2</v>
      </c>
      <c r="E5" s="35">
        <v>0.7</v>
      </c>
    </row>
    <row r="6" spans="1:6">
      <c r="A6" s="38">
        <v>44315</v>
      </c>
      <c r="B6" s="12">
        <f>Indicadores!AH426</f>
        <v>791831</v>
      </c>
      <c r="C6" s="34">
        <v>10960519</v>
      </c>
      <c r="D6" s="37">
        <f t="shared" si="0"/>
        <v>7.2243932974341812E-2</v>
      </c>
      <c r="E6" s="35">
        <v>0.7</v>
      </c>
    </row>
    <row r="7" spans="1:6">
      <c r="A7" s="38">
        <v>44316</v>
      </c>
      <c r="B7" s="12">
        <f>Indicadores!AH427</f>
        <v>795791</v>
      </c>
      <c r="C7" s="34">
        <v>10960519</v>
      </c>
      <c r="D7" s="37">
        <f t="shared" si="0"/>
        <v>7.2605229734102925E-2</v>
      </c>
      <c r="E7" s="35">
        <v>0.7</v>
      </c>
    </row>
    <row r="8" spans="1:6">
      <c r="A8" s="38">
        <v>44317</v>
      </c>
      <c r="B8" s="12">
        <f>Indicadores!AH428</f>
        <v>796683</v>
      </c>
      <c r="C8" s="34">
        <v>10960519</v>
      </c>
      <c r="D8" s="37">
        <f t="shared" si="0"/>
        <v>7.2686612741604664E-2</v>
      </c>
      <c r="E8" s="35">
        <v>0.7</v>
      </c>
    </row>
    <row r="9" spans="1:6">
      <c r="A9" s="38">
        <v>44318</v>
      </c>
      <c r="B9" s="12">
        <f>Indicadores!AH429</f>
        <v>796969</v>
      </c>
      <c r="C9" s="34">
        <v>10960519</v>
      </c>
      <c r="D9" s="37">
        <f t="shared" si="0"/>
        <v>7.2712706396476298E-2</v>
      </c>
      <c r="E9" s="35">
        <v>0.7</v>
      </c>
    </row>
    <row r="10" spans="1:6">
      <c r="A10" s="38">
        <v>44319</v>
      </c>
      <c r="B10" s="12">
        <f>Indicadores!AH430</f>
        <v>800988</v>
      </c>
      <c r="C10" s="34">
        <v>10960519</v>
      </c>
      <c r="D10" s="37">
        <f t="shared" si="0"/>
        <v>7.3079386113011624E-2</v>
      </c>
      <c r="E10" s="35">
        <v>0.7</v>
      </c>
    </row>
    <row r="11" spans="1:6">
      <c r="A11" s="38">
        <v>44320</v>
      </c>
      <c r="B11" s="12">
        <f>Indicadores!AH431</f>
        <v>804258</v>
      </c>
      <c r="C11" s="34">
        <v>10960519</v>
      </c>
      <c r="D11" s="37">
        <f t="shared" si="0"/>
        <v>7.3377729649481013E-2</v>
      </c>
      <c r="E11" s="35">
        <v>0.7</v>
      </c>
    </row>
    <row r="12" spans="1:6">
      <c r="A12" s="38">
        <v>44321</v>
      </c>
      <c r="B12" s="12">
        <f>Indicadores!AH432</f>
        <v>807263</v>
      </c>
      <c r="C12" s="34">
        <v>10960519</v>
      </c>
      <c r="D12" s="37">
        <f t="shared" si="0"/>
        <v>7.365189549874418E-2</v>
      </c>
      <c r="E12" s="35">
        <v>0.7</v>
      </c>
    </row>
    <row r="13" spans="1:6">
      <c r="A13" s="38">
        <v>44322</v>
      </c>
      <c r="B13" s="12">
        <f>Indicadores!AH433</f>
        <v>807894</v>
      </c>
      <c r="C13" s="34">
        <v>10960519</v>
      </c>
      <c r="D13" s="37">
        <f t="shared" si="0"/>
        <v>7.3709465765261661E-2</v>
      </c>
      <c r="E13" s="35">
        <v>0.7</v>
      </c>
    </row>
    <row r="14" spans="1:6">
      <c r="A14" s="38">
        <v>44323</v>
      </c>
      <c r="B14" s="12">
        <f>Indicadores!AH434</f>
        <v>810045</v>
      </c>
      <c r="C14" s="34">
        <v>10960519</v>
      </c>
      <c r="D14" s="37">
        <f t="shared" si="0"/>
        <v>7.3905715596131905E-2</v>
      </c>
      <c r="E14" s="35">
        <v>0.7</v>
      </c>
    </row>
    <row r="15" spans="1:6">
      <c r="A15" s="38">
        <v>44324</v>
      </c>
      <c r="B15" s="12">
        <f>Indicadores!AH435</f>
        <v>810445</v>
      </c>
      <c r="C15" s="34">
        <v>10960519</v>
      </c>
      <c r="D15" s="37">
        <f t="shared" si="0"/>
        <v>7.3942210218329987E-2</v>
      </c>
      <c r="E15" s="35">
        <v>0.7</v>
      </c>
    </row>
    <row r="16" spans="1:6">
      <c r="A16" s="38">
        <v>44325</v>
      </c>
      <c r="B16" s="12">
        <f>Indicadores!AH436</f>
        <v>810556</v>
      </c>
      <c r="C16" s="34">
        <v>10960519</v>
      </c>
      <c r="D16" s="37">
        <f t="shared" si="0"/>
        <v>7.3952337475989963E-2</v>
      </c>
      <c r="E16" s="35">
        <v>0.7</v>
      </c>
    </row>
    <row r="17" spans="1:5">
      <c r="A17" s="38">
        <v>44326</v>
      </c>
      <c r="B17" s="12">
        <f>Indicadores!AH437</f>
        <v>812583</v>
      </c>
      <c r="C17" s="34">
        <v>10960519</v>
      </c>
      <c r="D17" s="37">
        <f t="shared" si="0"/>
        <v>7.413727397397879E-2</v>
      </c>
      <c r="E17" s="35">
        <v>0.7</v>
      </c>
    </row>
    <row r="18" spans="1:5">
      <c r="A18" s="38">
        <v>44327</v>
      </c>
      <c r="B18" s="12">
        <f>Indicadores!AH438</f>
        <v>814909</v>
      </c>
      <c r="C18" s="34">
        <v>10960519</v>
      </c>
      <c r="D18" s="37">
        <f t="shared" si="0"/>
        <v>7.4349490202060692E-2</v>
      </c>
      <c r="E18" s="35">
        <v>0.7</v>
      </c>
    </row>
    <row r="19" spans="1:5">
      <c r="A19" s="38">
        <v>44328</v>
      </c>
      <c r="B19" s="12">
        <f>Indicadores!AH439</f>
        <v>816694</v>
      </c>
      <c r="C19" s="34">
        <v>10960519</v>
      </c>
      <c r="D19" s="37">
        <f t="shared" si="0"/>
        <v>7.4512347453619662E-2</v>
      </c>
      <c r="E19" s="35">
        <v>0.7</v>
      </c>
    </row>
    <row r="20" spans="1:5">
      <c r="A20" s="38">
        <v>44329</v>
      </c>
      <c r="B20" s="12">
        <f>Indicadores!AH440</f>
        <v>818317</v>
      </c>
      <c r="C20" s="34">
        <v>10960519</v>
      </c>
      <c r="D20" s="37">
        <f t="shared" si="0"/>
        <v>7.4660424383188428E-2</v>
      </c>
      <c r="E20" s="35">
        <v>0.7</v>
      </c>
    </row>
    <row r="21" spans="1:5">
      <c r="A21" s="38">
        <v>44330</v>
      </c>
      <c r="B21" s="12">
        <f>Indicadores!AH441</f>
        <v>820232</v>
      </c>
      <c r="C21" s="34">
        <v>10960519</v>
      </c>
      <c r="D21" s="37">
        <f t="shared" si="0"/>
        <v>7.4835142386961789E-2</v>
      </c>
      <c r="E21" s="35">
        <v>0.7</v>
      </c>
    </row>
    <row r="22" spans="1:5">
      <c r="A22" s="38">
        <v>44331</v>
      </c>
      <c r="B22" s="12">
        <f>Indicadores!AH442</f>
        <v>820525</v>
      </c>
      <c r="C22" s="34">
        <v>10960519</v>
      </c>
      <c r="D22" s="37">
        <f t="shared" si="0"/>
        <v>7.4861874697721889E-2</v>
      </c>
      <c r="E22" s="35">
        <v>0.7</v>
      </c>
    </row>
    <row r="23" spans="1:5">
      <c r="A23" s="38">
        <v>44332</v>
      </c>
      <c r="B23" s="12">
        <f>Indicadores!AH443</f>
        <v>820641</v>
      </c>
      <c r="C23" s="34">
        <v>10960519</v>
      </c>
      <c r="D23" s="37">
        <f t="shared" si="0"/>
        <v>7.4872458138159334E-2</v>
      </c>
      <c r="E23" s="35">
        <v>0.7</v>
      </c>
    </row>
    <row r="24" spans="1:5">
      <c r="A24" s="38">
        <v>44333</v>
      </c>
      <c r="B24" s="12">
        <f>Indicadores!AH444</f>
        <v>822929</v>
      </c>
      <c r="C24" s="34">
        <v>10960519</v>
      </c>
      <c r="D24" s="37">
        <f t="shared" si="0"/>
        <v>7.508120737713242E-2</v>
      </c>
      <c r="E24" s="35">
        <v>0.7</v>
      </c>
    </row>
    <row r="25" spans="1:5">
      <c r="A25" s="38">
        <v>44334</v>
      </c>
      <c r="B25" s="12">
        <f>Indicadores!AH445</f>
        <v>825594</v>
      </c>
      <c r="C25" s="34">
        <v>10960519</v>
      </c>
      <c r="D25" s="37">
        <f t="shared" si="0"/>
        <v>7.5324352797527194E-2</v>
      </c>
      <c r="E25" s="35">
        <v>0.7</v>
      </c>
    </row>
    <row r="26" spans="1:5">
      <c r="A26" s="38">
        <v>44335</v>
      </c>
      <c r="B26" s="12">
        <f>Indicadores!AH446</f>
        <v>829313</v>
      </c>
      <c r="C26" s="34">
        <v>10960519</v>
      </c>
      <c r="D26" s="37">
        <f t="shared" si="0"/>
        <v>7.5663661547413955E-2</v>
      </c>
      <c r="E26" s="35">
        <v>0.7</v>
      </c>
    </row>
    <row r="27" spans="1:5">
      <c r="A27" s="38">
        <v>44336</v>
      </c>
      <c r="B27" s="12">
        <f>Indicadores!AH447</f>
        <v>845114</v>
      </c>
      <c r="C27" s="34">
        <v>10960519</v>
      </c>
      <c r="D27" s="37">
        <f t="shared" si="0"/>
        <v>7.710529036079404E-2</v>
      </c>
      <c r="E27" s="35">
        <v>0.7</v>
      </c>
    </row>
    <row r="28" spans="1:5">
      <c r="A28" s="38">
        <v>44337</v>
      </c>
      <c r="B28" s="12">
        <f>Indicadores!AH448</f>
        <v>871981</v>
      </c>
      <c r="C28" s="34">
        <v>10960519</v>
      </c>
      <c r="D28" s="37">
        <f t="shared" si="0"/>
        <v>7.9556542897284338E-2</v>
      </c>
      <c r="E28" s="35">
        <v>0.7</v>
      </c>
    </row>
    <row r="29" spans="1:5">
      <c r="A29" s="38">
        <v>44338</v>
      </c>
      <c r="B29" s="12">
        <f>Indicadores!AH449</f>
        <v>879449</v>
      </c>
      <c r="C29" s="34">
        <v>10960519</v>
      </c>
      <c r="D29" s="37">
        <f t="shared" si="0"/>
        <v>8.023789749372269E-2</v>
      </c>
      <c r="E29" s="35">
        <v>0.7</v>
      </c>
    </row>
    <row r="30" spans="1:5">
      <c r="A30" s="38">
        <v>44339</v>
      </c>
      <c r="B30" s="12">
        <f>Indicadores!AH450</f>
        <v>883202</v>
      </c>
      <c r="C30" s="34">
        <v>10960519</v>
      </c>
      <c r="D30" s="37">
        <f t="shared" si="0"/>
        <v>8.0580308286496288E-2</v>
      </c>
      <c r="E30" s="35">
        <v>0.7</v>
      </c>
    </row>
    <row r="31" spans="1:5">
      <c r="A31" s="38">
        <v>44340</v>
      </c>
      <c r="B31" s="12">
        <f>Indicadores!AH451</f>
        <v>912779</v>
      </c>
      <c r="C31" s="34">
        <v>10960519</v>
      </c>
      <c r="D31" s="37">
        <f t="shared" si="0"/>
        <v>8.3278811888378643E-2</v>
      </c>
      <c r="E31" s="35">
        <v>0.7</v>
      </c>
    </row>
    <row r="32" spans="1:5">
      <c r="A32" s="38">
        <v>44341</v>
      </c>
      <c r="B32" s="12">
        <f>Indicadores!AH452</f>
        <v>944337</v>
      </c>
      <c r="C32" s="34">
        <v>10960519</v>
      </c>
      <c r="D32" s="37">
        <f t="shared" si="0"/>
        <v>8.6158055106697051E-2</v>
      </c>
      <c r="E32" s="35">
        <v>0.7</v>
      </c>
    </row>
    <row r="33" spans="1:5">
      <c r="A33" s="38">
        <v>44342</v>
      </c>
      <c r="B33" s="12">
        <f>Indicadores!AH453</f>
        <v>976512</v>
      </c>
      <c r="C33" s="34">
        <v>10960519</v>
      </c>
      <c r="D33" s="37">
        <f t="shared" si="0"/>
        <v>8.909359127975601E-2</v>
      </c>
      <c r="E33" s="35">
        <v>0.7</v>
      </c>
    </row>
    <row r="34" spans="1:5">
      <c r="A34" s="38">
        <v>44343</v>
      </c>
      <c r="B34" s="12">
        <f>Indicadores!AH454</f>
        <v>1006332</v>
      </c>
      <c r="C34" s="34">
        <v>10960519</v>
      </c>
      <c r="D34" s="37">
        <f t="shared" si="0"/>
        <v>9.1814265364623698E-2</v>
      </c>
      <c r="E34" s="35">
        <v>0.7</v>
      </c>
    </row>
    <row r="35" spans="1:5">
      <c r="A35" s="38">
        <v>44344</v>
      </c>
      <c r="B35" s="12">
        <f>Indicadores!AH455</f>
        <v>1033751</v>
      </c>
      <c r="C35" s="34">
        <v>10960519</v>
      </c>
      <c r="D35" s="37">
        <f t="shared" si="0"/>
        <v>9.4315880479747358E-2</v>
      </c>
      <c r="E35" s="35">
        <v>0.7</v>
      </c>
    </row>
    <row r="36" spans="1:5">
      <c r="A36" s="38">
        <v>44345</v>
      </c>
      <c r="B36" s="12">
        <f>Indicadores!AH456</f>
        <v>1041039</v>
      </c>
      <c r="C36" s="34">
        <v>10960519</v>
      </c>
      <c r="D36" s="37">
        <f t="shared" si="0"/>
        <v>9.4980812496196582E-2</v>
      </c>
      <c r="E36" s="35">
        <v>0.7</v>
      </c>
    </row>
    <row r="37" spans="1:5">
      <c r="A37" s="38">
        <v>44346</v>
      </c>
      <c r="B37" s="12">
        <f>Indicadores!AH457</f>
        <v>1042831</v>
      </c>
      <c r="C37" s="34">
        <v>10960519</v>
      </c>
      <c r="D37" s="37">
        <f t="shared" si="0"/>
        <v>9.5144308403644018E-2</v>
      </c>
      <c r="E37" s="35">
        <v>0.7</v>
      </c>
    </row>
    <row r="38" spans="1:5">
      <c r="A38" s="38">
        <v>44347</v>
      </c>
      <c r="B38" s="12">
        <f>Indicadores!AH458</f>
        <v>1087424</v>
      </c>
      <c r="C38" s="34">
        <v>10960519</v>
      </c>
      <c r="D38" s="37">
        <f t="shared" si="0"/>
        <v>9.9212820122842729E-2</v>
      </c>
      <c r="E38" s="35">
        <v>0.7</v>
      </c>
    </row>
    <row r="39" spans="1:5">
      <c r="A39" s="38">
        <v>44348</v>
      </c>
      <c r="B39" s="12">
        <f>Indicadores!AH459</f>
        <v>1142655</v>
      </c>
      <c r="C39" s="34">
        <v>10960519</v>
      </c>
      <c r="D39" s="37">
        <f t="shared" si="0"/>
        <v>0.10425190631939965</v>
      </c>
      <c r="E39" s="35">
        <v>0.7</v>
      </c>
    </row>
    <row r="40" spans="1:5">
      <c r="A40" s="38">
        <v>44349</v>
      </c>
      <c r="B40" s="12">
        <f>Indicadores!AH460</f>
        <v>1201200</v>
      </c>
      <c r="C40" s="34">
        <v>10960519</v>
      </c>
      <c r="D40" s="37">
        <f t="shared" si="0"/>
        <v>0.10959335046086778</v>
      </c>
      <c r="E40" s="35">
        <v>0.7</v>
      </c>
    </row>
    <row r="41" spans="1:5">
      <c r="A41" s="38">
        <v>44350</v>
      </c>
      <c r="B41" s="12">
        <f>Indicadores!AH461</f>
        <v>1231191</v>
      </c>
      <c r="C41" s="34">
        <v>10960519</v>
      </c>
      <c r="D41" s="37">
        <f t="shared" si="0"/>
        <v>0.11232962599672515</v>
      </c>
      <c r="E41" s="35">
        <v>0.7</v>
      </c>
    </row>
    <row r="42" spans="1:5">
      <c r="A42" s="38">
        <v>44351</v>
      </c>
      <c r="B42" s="12">
        <f>Indicadores!AH462</f>
        <v>1302763</v>
      </c>
      <c r="C42" s="34">
        <v>10960519</v>
      </c>
      <c r="D42" s="37">
        <f t="shared" si="0"/>
        <v>0.11885960874662961</v>
      </c>
      <c r="E42" s="35">
        <v>0.7</v>
      </c>
    </row>
    <row r="43" spans="1:5">
      <c r="A43" s="38">
        <v>44352</v>
      </c>
      <c r="B43" s="12">
        <f>Indicadores!AH463</f>
        <v>1330909</v>
      </c>
      <c r="C43" s="34">
        <v>10960519</v>
      </c>
      <c r="D43" s="37">
        <f t="shared" si="0"/>
        <v>0.12142755283759829</v>
      </c>
      <c r="E43" s="35">
        <v>0.7</v>
      </c>
    </row>
    <row r="44" spans="1:5">
      <c r="A44" s="38">
        <v>44353</v>
      </c>
      <c r="B44" s="12">
        <f>Indicadores!AH464</f>
        <v>1348310</v>
      </c>
      <c r="C44" s="34">
        <v>10960519</v>
      </c>
      <c r="D44" s="37">
        <f t="shared" si="0"/>
        <v>0.12301516013977075</v>
      </c>
      <c r="E44" s="35">
        <v>0.7</v>
      </c>
    </row>
    <row r="45" spans="1:5">
      <c r="A45" s="38">
        <v>44354</v>
      </c>
      <c r="B45" s="12">
        <f>Indicadores!AH465</f>
        <v>1445238</v>
      </c>
      <c r="C45" s="34">
        <v>10960519</v>
      </c>
      <c r="D45" s="37">
        <f t="shared" si="0"/>
        <v>0.13185853699081221</v>
      </c>
      <c r="E45" s="35">
        <v>0.7</v>
      </c>
    </row>
    <row r="46" spans="1:5">
      <c r="A46" s="38">
        <v>44355</v>
      </c>
      <c r="B46" s="12">
        <f>Indicadores!AH466</f>
        <v>1564664</v>
      </c>
      <c r="C46" s="34">
        <v>10960519</v>
      </c>
      <c r="D46" s="37">
        <f t="shared" si="0"/>
        <v>0.14275455386738528</v>
      </c>
      <c r="E46" s="35">
        <v>0.7</v>
      </c>
    </row>
    <row r="47" spans="1:5">
      <c r="A47" s="38">
        <v>44356</v>
      </c>
      <c r="B47" s="12">
        <f>Indicadores!AH467</f>
        <v>1687569</v>
      </c>
      <c r="C47" s="34">
        <v>10960519</v>
      </c>
      <c r="D47" s="37">
        <f t="shared" si="0"/>
        <v>0.15396798272052628</v>
      </c>
      <c r="E47" s="35">
        <v>0.7</v>
      </c>
    </row>
    <row r="48" spans="1:5">
      <c r="A48" s="38">
        <v>44357</v>
      </c>
      <c r="B48" s="12">
        <f>Indicadores!AH468</f>
        <v>1827556</v>
      </c>
      <c r="C48" s="34">
        <v>10960519</v>
      </c>
      <c r="D48" s="37">
        <f t="shared" si="0"/>
        <v>0.16673991441463676</v>
      </c>
      <c r="E48" s="35">
        <v>0.7</v>
      </c>
    </row>
    <row r="49" spans="1:5">
      <c r="A49" s="38">
        <v>44358</v>
      </c>
      <c r="B49" s="12">
        <f>Indicadores!AH469</f>
        <v>1945871</v>
      </c>
      <c r="C49" s="34">
        <v>10960519</v>
      </c>
      <c r="D49" s="37">
        <f t="shared" si="0"/>
        <v>0.17753456747805466</v>
      </c>
      <c r="E49" s="35">
        <v>0.7</v>
      </c>
    </row>
    <row r="50" spans="1:5">
      <c r="A50" s="38">
        <v>44359</v>
      </c>
      <c r="B50" s="12">
        <f>Indicadores!AH470</f>
        <v>1978069</v>
      </c>
      <c r="C50" s="34">
        <v>10960519</v>
      </c>
      <c r="D50" s="37">
        <f t="shared" si="0"/>
        <v>0.18047220209188999</v>
      </c>
      <c r="E50" s="35">
        <v>0.7</v>
      </c>
    </row>
    <row r="51" spans="1:5">
      <c r="A51" s="38">
        <v>44360</v>
      </c>
      <c r="B51" s="12">
        <f>Indicadores!AH471</f>
        <v>1992998</v>
      </c>
      <c r="C51" s="34">
        <v>10960519</v>
      </c>
      <c r="D51" s="37">
        <f t="shared" si="0"/>
        <v>0.18183427262887825</v>
      </c>
      <c r="E51" s="35">
        <v>0.7</v>
      </c>
    </row>
    <row r="52" spans="1:5">
      <c r="A52" s="38">
        <v>44361</v>
      </c>
      <c r="B52" s="12">
        <f>Indicadores!AH472</f>
        <v>2097995</v>
      </c>
      <c r="C52" s="34">
        <v>10960519</v>
      </c>
      <c r="D52" s="37">
        <f t="shared" si="0"/>
        <v>0.19141383724621069</v>
      </c>
      <c r="E52" s="35">
        <v>0.7</v>
      </c>
    </row>
    <row r="53" spans="1:5">
      <c r="A53" s="38">
        <v>44362</v>
      </c>
      <c r="B53" s="12">
        <f>Indicadores!AH473</f>
        <v>2186707</v>
      </c>
      <c r="C53" s="34">
        <v>10960519</v>
      </c>
      <c r="D53" s="37">
        <f t="shared" si="0"/>
        <v>0.19950761455730334</v>
      </c>
      <c r="E53" s="35">
        <v>0.7</v>
      </c>
    </row>
    <row r="54" spans="1:5">
      <c r="A54" s="38">
        <v>44363</v>
      </c>
      <c r="B54" s="12">
        <f>Indicadores!AH474</f>
        <v>2252316</v>
      </c>
      <c r="C54" s="34">
        <v>10960519</v>
      </c>
      <c r="D54" s="37">
        <f t="shared" si="0"/>
        <v>0.20549355372678976</v>
      </c>
      <c r="E54" s="35">
        <v>0.7</v>
      </c>
    </row>
    <row r="55" spans="1:5">
      <c r="A55" s="38">
        <v>44364</v>
      </c>
      <c r="B55" s="12">
        <f>Indicadores!AH475</f>
        <v>2330856</v>
      </c>
      <c r="C55" s="34">
        <v>10960519</v>
      </c>
      <c r="D55" s="37">
        <f t="shared" si="0"/>
        <v>0.21265927279538496</v>
      </c>
      <c r="E55" s="35">
        <v>0.7</v>
      </c>
    </row>
    <row r="56" spans="1:5">
      <c r="A56" s="38">
        <v>44365</v>
      </c>
      <c r="B56" s="12">
        <f>Indicadores!AH476</f>
        <v>2412686</v>
      </c>
      <c r="C56" s="34">
        <v>10960519</v>
      </c>
      <c r="D56" s="37">
        <f t="shared" si="0"/>
        <v>0.22012516013155947</v>
      </c>
      <c r="E56" s="35">
        <v>0.7</v>
      </c>
    </row>
    <row r="57" spans="1:5">
      <c r="A57" s="38">
        <v>44366</v>
      </c>
      <c r="B57" s="12">
        <f>Indicadores!AH477</f>
        <v>2452188</v>
      </c>
      <c r="C57" s="34">
        <v>10960519</v>
      </c>
      <c r="D57" s="37">
        <f t="shared" si="0"/>
        <v>0.22372918654673196</v>
      </c>
      <c r="E57" s="35">
        <v>0.7</v>
      </c>
    </row>
    <row r="58" spans="1:5">
      <c r="A58" s="38">
        <v>44367</v>
      </c>
      <c r="B58" s="12">
        <f>Indicadores!AH478</f>
        <v>2470706</v>
      </c>
      <c r="C58" s="34">
        <v>10960519</v>
      </c>
      <c r="D58" s="37">
        <f t="shared" si="0"/>
        <v>0.22541870508139258</v>
      </c>
      <c r="E58" s="35">
        <v>0.7</v>
      </c>
    </row>
    <row r="59" spans="1:5">
      <c r="A59" s="38">
        <v>44368</v>
      </c>
      <c r="B59" s="12">
        <f>Indicadores!AH479</f>
        <v>2546487</v>
      </c>
      <c r="C59" s="34">
        <v>10960519</v>
      </c>
      <c r="D59" s="37">
        <f t="shared" si="0"/>
        <v>0.23233270249337645</v>
      </c>
      <c r="E59" s="35">
        <v>0.7</v>
      </c>
    </row>
    <row r="60" spans="1:5">
      <c r="A60" s="38">
        <v>44369</v>
      </c>
      <c r="B60" s="12">
        <f>Indicadores!AH480</f>
        <v>2610476</v>
      </c>
      <c r="C60" s="34">
        <v>10960519</v>
      </c>
      <c r="D60" s="37">
        <f t="shared" si="0"/>
        <v>0.23817083844296058</v>
      </c>
      <c r="E60" s="35">
        <v>0.7</v>
      </c>
    </row>
    <row r="61" spans="1:5">
      <c r="A61" s="38">
        <v>44370</v>
      </c>
      <c r="B61" s="12">
        <f>Indicadores!AH481</f>
        <v>2655737</v>
      </c>
      <c r="C61" s="34">
        <v>10960519</v>
      </c>
      <c r="D61" s="37">
        <f t="shared" si="0"/>
        <v>0.24230029618123011</v>
      </c>
      <c r="E61" s="35">
        <v>0.7</v>
      </c>
    </row>
    <row r="62" spans="1:5">
      <c r="A62" s="38">
        <v>44371</v>
      </c>
      <c r="B62" s="12">
        <f>Indicadores!AH482</f>
        <v>2692223</v>
      </c>
      <c r="C62" s="34">
        <v>10960519</v>
      </c>
      <c r="D62" s="37">
        <f t="shared" si="0"/>
        <v>0.24562915314502898</v>
      </c>
      <c r="E62" s="35">
        <v>0.7</v>
      </c>
    </row>
    <row r="63" spans="1:5">
      <c r="A63" s="38">
        <v>44372</v>
      </c>
      <c r="B63" s="12">
        <f>Indicadores!AH483</f>
        <v>2718646</v>
      </c>
      <c r="C63" s="34">
        <v>10960519</v>
      </c>
      <c r="D63" s="37">
        <f t="shared" si="0"/>
        <v>0.24803989665087939</v>
      </c>
      <c r="E63" s="35">
        <v>0.7</v>
      </c>
    </row>
    <row r="64" spans="1:5">
      <c r="A64" s="38">
        <v>44373</v>
      </c>
      <c r="B64" s="12">
        <f>Indicadores!AH484</f>
        <v>2727265</v>
      </c>
      <c r="C64" s="34">
        <v>10960519</v>
      </c>
      <c r="D64" s="37">
        <f t="shared" si="0"/>
        <v>0.24882626452269277</v>
      </c>
      <c r="E64" s="35">
        <v>0.7</v>
      </c>
    </row>
    <row r="65" spans="1:5">
      <c r="A65" s="38">
        <v>44374</v>
      </c>
      <c r="B65" s="12">
        <f>Indicadores!AH485</f>
        <v>2731358</v>
      </c>
      <c r="C65" s="34">
        <v>10960519</v>
      </c>
      <c r="D65" s="37">
        <f t="shared" si="0"/>
        <v>0.24919969574433473</v>
      </c>
      <c r="E65" s="35">
        <v>0.7</v>
      </c>
    </row>
    <row r="66" spans="1:5">
      <c r="A66" s="38">
        <v>44375</v>
      </c>
      <c r="B66" s="12">
        <f>Indicadores!AH486</f>
        <v>2770178</v>
      </c>
      <c r="C66" s="34">
        <v>10960519</v>
      </c>
      <c r="D66" s="37">
        <f t="shared" si="0"/>
        <v>0.25274149882865948</v>
      </c>
      <c r="E66" s="35">
        <v>0.7</v>
      </c>
    </row>
    <row r="67" spans="1:5">
      <c r="A67" s="38">
        <v>44376</v>
      </c>
      <c r="B67" s="12">
        <f>Indicadores!AH487</f>
        <v>2827967</v>
      </c>
      <c r="C67" s="34">
        <v>10960519</v>
      </c>
      <c r="D67" s="37">
        <f t="shared" ref="D67:D82" si="1">(B67/C67)</f>
        <v>0.25801396813417321</v>
      </c>
      <c r="E67" s="35">
        <v>0.7</v>
      </c>
    </row>
    <row r="68" spans="1:5">
      <c r="A68" s="38">
        <v>44377</v>
      </c>
      <c r="B68" s="12">
        <f>Indicadores!AH488</f>
        <v>2892597</v>
      </c>
      <c r="C68" s="34">
        <v>10960519</v>
      </c>
      <c r="D68" s="37">
        <f t="shared" si="1"/>
        <v>0.26391058671582979</v>
      </c>
      <c r="E68" s="35">
        <v>0.7</v>
      </c>
    </row>
    <row r="69" spans="1:5">
      <c r="A69" s="38">
        <v>44378</v>
      </c>
      <c r="B69" s="12">
        <f>Indicadores!AH489</f>
        <v>2892597</v>
      </c>
      <c r="C69" s="34">
        <v>10960519</v>
      </c>
      <c r="D69" s="37">
        <f t="shared" si="1"/>
        <v>0.26391058671582979</v>
      </c>
      <c r="E69" s="35">
        <v>0.7</v>
      </c>
    </row>
    <row r="70" spans="1:5">
      <c r="A70" s="38">
        <v>44379</v>
      </c>
      <c r="B70" s="12">
        <f>Indicadores!AH490</f>
        <v>3025993</v>
      </c>
      <c r="C70" s="34">
        <v>10960519</v>
      </c>
      <c r="D70" s="37">
        <f t="shared" si="1"/>
        <v>0.2760811782726712</v>
      </c>
      <c r="E70" s="35">
        <v>0.7</v>
      </c>
    </row>
    <row r="71" spans="1:5">
      <c r="A71" s="38">
        <v>44380</v>
      </c>
      <c r="B71" s="12">
        <f>Indicadores!AH491</f>
        <v>3058630</v>
      </c>
      <c r="C71" s="34">
        <v>10960519</v>
      </c>
      <c r="D71" s="37">
        <f t="shared" si="1"/>
        <v>0.27905886573436894</v>
      </c>
      <c r="E71" s="35">
        <v>0.7</v>
      </c>
    </row>
    <row r="72" spans="1:5">
      <c r="A72" s="38">
        <v>44381</v>
      </c>
      <c r="B72" s="12">
        <f>Indicadores!AH492</f>
        <v>3089408</v>
      </c>
      <c r="C72" s="34">
        <v>10960519</v>
      </c>
      <c r="D72" s="37">
        <f t="shared" si="1"/>
        <v>0.28186694443940108</v>
      </c>
      <c r="E72" s="35">
        <v>0.7</v>
      </c>
    </row>
    <row r="73" spans="1:5">
      <c r="A73" s="38">
        <v>44382</v>
      </c>
      <c r="B73" s="12">
        <f>Indicadores!AH493</f>
        <v>3192086</v>
      </c>
      <c r="C73" s="34">
        <v>10960519</v>
      </c>
      <c r="D73" s="37">
        <f t="shared" si="1"/>
        <v>0.2912349314845401</v>
      </c>
      <c r="E73" s="35">
        <v>0.7</v>
      </c>
    </row>
    <row r="74" spans="1:5">
      <c r="A74" s="38">
        <v>44383</v>
      </c>
      <c r="B74" s="12">
        <f>Indicadores!AH494</f>
        <v>3299075</v>
      </c>
      <c r="C74" s="34">
        <v>10960519</v>
      </c>
      <c r="D74" s="37">
        <f t="shared" si="1"/>
        <v>0.30099623932041902</v>
      </c>
      <c r="E74" s="35">
        <v>0.7</v>
      </c>
    </row>
    <row r="75" spans="1:5">
      <c r="A75" s="38">
        <v>44384</v>
      </c>
      <c r="B75" s="12">
        <f>Indicadores!AH495</f>
        <v>3403094</v>
      </c>
      <c r="C75" s="34">
        <v>10960519</v>
      </c>
      <c r="D75" s="37">
        <f t="shared" si="1"/>
        <v>0.31048657458647716</v>
      </c>
      <c r="E75" s="35">
        <v>0.7</v>
      </c>
    </row>
    <row r="76" spans="1:5">
      <c r="A76" s="38">
        <v>44385</v>
      </c>
      <c r="B76" s="12">
        <f>Indicadores!AH496</f>
        <v>3469190</v>
      </c>
      <c r="C76" s="34">
        <v>10960519</v>
      </c>
      <c r="D76" s="37">
        <f t="shared" si="1"/>
        <v>0.31651694595848973</v>
      </c>
      <c r="E76" s="35">
        <v>0.7</v>
      </c>
    </row>
    <row r="77" spans="1:5">
      <c r="A77" s="38">
        <v>44386</v>
      </c>
      <c r="B77" s="12">
        <f>Indicadores!AH497</f>
        <v>3515118</v>
      </c>
      <c r="C77" s="34">
        <v>10960519</v>
      </c>
      <c r="D77" s="37">
        <f t="shared" si="1"/>
        <v>0.32070725847927456</v>
      </c>
      <c r="E77" s="35">
        <v>0.7</v>
      </c>
    </row>
    <row r="78" spans="1:5">
      <c r="A78" s="38">
        <v>44387</v>
      </c>
      <c r="B78" s="12">
        <f>Indicadores!AH498</f>
        <v>3536178</v>
      </c>
      <c r="C78" s="34">
        <v>10960519</v>
      </c>
      <c r="D78" s="37">
        <f t="shared" si="1"/>
        <v>0.32262870033800406</v>
      </c>
      <c r="E78" s="35">
        <v>0.7</v>
      </c>
    </row>
    <row r="79" spans="1:5">
      <c r="A79" s="38">
        <v>44388</v>
      </c>
      <c r="B79" s="12">
        <f>Indicadores!AH499</f>
        <v>3547663</v>
      </c>
      <c r="C79" s="34">
        <v>10960519</v>
      </c>
      <c r="D79" s="37">
        <f t="shared" si="1"/>
        <v>0.32367655217786678</v>
      </c>
      <c r="E79" s="35">
        <v>0.7</v>
      </c>
    </row>
    <row r="80" spans="1:5">
      <c r="A80" s="38">
        <v>44389</v>
      </c>
      <c r="B80" s="12">
        <f>Indicadores!AH500</f>
        <v>3574258</v>
      </c>
      <c r="C80" s="34">
        <v>10960519</v>
      </c>
      <c r="D80" s="37">
        <f t="shared" si="1"/>
        <v>0.32610298837126234</v>
      </c>
      <c r="E80" s="35">
        <v>0.7</v>
      </c>
    </row>
    <row r="81" spans="1:5">
      <c r="A81" s="38">
        <v>44390</v>
      </c>
      <c r="B81" s="12">
        <f>Indicadores!AH501</f>
        <v>3604070</v>
      </c>
      <c r="C81" s="34">
        <v>10960519</v>
      </c>
      <c r="D81" s="37">
        <f t="shared" si="1"/>
        <v>0.32882293256368605</v>
      </c>
      <c r="E81" s="35">
        <v>0.7</v>
      </c>
    </row>
    <row r="82" spans="1:5">
      <c r="A82" s="38">
        <v>44391</v>
      </c>
      <c r="B82" s="12">
        <f>Indicadores!AH502</f>
        <v>3629728</v>
      </c>
      <c r="C82" s="34">
        <v>10960519</v>
      </c>
      <c r="D82" s="37">
        <f t="shared" si="1"/>
        <v>0.33116388010458264</v>
      </c>
      <c r="E82" s="35">
        <v>0.7</v>
      </c>
    </row>
    <row r="83" spans="1:5">
      <c r="A83" s="38">
        <v>44392</v>
      </c>
      <c r="B83" s="12">
        <f>Indicadores!AH503</f>
        <v>3657968</v>
      </c>
      <c r="C83" s="34">
        <v>10960519</v>
      </c>
      <c r="D83" s="37">
        <f t="shared" ref="D83:D84" si="2">(B83/C83)</f>
        <v>0.33374040043176789</v>
      </c>
      <c r="E83" s="35">
        <v>0.7</v>
      </c>
    </row>
    <row r="84" spans="1:5">
      <c r="A84" s="38">
        <v>44393</v>
      </c>
      <c r="B84" s="12">
        <f>Indicadores!AH504</f>
        <v>3692082</v>
      </c>
      <c r="C84" s="34">
        <v>10960519</v>
      </c>
      <c r="D84" s="37">
        <f t="shared" si="2"/>
        <v>0.3368528442859321</v>
      </c>
      <c r="E84" s="35">
        <v>0.7</v>
      </c>
    </row>
    <row r="85" spans="1:5">
      <c r="A85" s="38">
        <v>44394</v>
      </c>
      <c r="B85" s="12">
        <f>Indicadores!AH505</f>
        <v>3713656</v>
      </c>
      <c r="C85" s="34">
        <v>10960519</v>
      </c>
      <c r="D85" s="37">
        <f t="shared" ref="D85:D87" si="3">(B85/C85)</f>
        <v>0.33882118173418613</v>
      </c>
      <c r="E85" s="35">
        <v>0.7</v>
      </c>
    </row>
    <row r="86" spans="1:5">
      <c r="A86" s="38">
        <v>44395</v>
      </c>
      <c r="B86" s="12">
        <f>Indicadores!AH506</f>
        <v>3723277</v>
      </c>
      <c r="C86" s="34">
        <v>10960519</v>
      </c>
      <c r="D86" s="37">
        <f t="shared" si="3"/>
        <v>0.33969896863460569</v>
      </c>
      <c r="E86" s="35">
        <v>0.7</v>
      </c>
    </row>
    <row r="87" spans="1:5">
      <c r="A87" s="38">
        <v>44396</v>
      </c>
      <c r="B87" s="12">
        <f>Indicadores!AH507</f>
        <v>3780347</v>
      </c>
      <c r="C87" s="34">
        <v>10960519</v>
      </c>
      <c r="D87" s="37">
        <f t="shared" si="3"/>
        <v>0.34490583885671838</v>
      </c>
      <c r="E87" s="35">
        <v>0.7</v>
      </c>
    </row>
    <row r="88" spans="1:5">
      <c r="A88" s="38">
        <v>44397</v>
      </c>
      <c r="B88" s="12">
        <f>Indicadores!AH508</f>
        <v>3836969</v>
      </c>
      <c r="C88" s="34">
        <v>10960519</v>
      </c>
      <c r="D88" s="37">
        <f t="shared" ref="D88:D96" si="4">(B88/C88)</f>
        <v>0.35007183510196915</v>
      </c>
      <c r="E88" s="35">
        <v>0.7</v>
      </c>
    </row>
    <row r="89" spans="1:5">
      <c r="A89" s="38">
        <v>44398</v>
      </c>
      <c r="B89" s="12">
        <f>Indicadores!AH509</f>
        <v>3893882</v>
      </c>
      <c r="C89" s="34">
        <v>10960519</v>
      </c>
      <c r="D89" s="37">
        <f t="shared" si="4"/>
        <v>0.35526438118486908</v>
      </c>
      <c r="E89" s="35">
        <v>0.7</v>
      </c>
    </row>
    <row r="90" spans="1:5">
      <c r="A90" s="38">
        <v>44399</v>
      </c>
      <c r="B90" s="12">
        <f>Indicadores!AH510</f>
        <v>3944218</v>
      </c>
      <c r="C90" s="34">
        <v>10960519</v>
      </c>
      <c r="D90" s="37">
        <f t="shared" si="4"/>
        <v>0.35985686444227688</v>
      </c>
      <c r="E90" s="35">
        <v>0.7</v>
      </c>
    </row>
    <row r="91" spans="1:5">
      <c r="A91" s="38">
        <v>44400</v>
      </c>
      <c r="B91" s="12">
        <f>Indicadores!AH511</f>
        <v>3984498</v>
      </c>
      <c r="C91" s="34">
        <v>10960519</v>
      </c>
      <c r="D91" s="37">
        <f t="shared" si="4"/>
        <v>0.36353187289762462</v>
      </c>
      <c r="E91" s="35">
        <v>0.7</v>
      </c>
    </row>
    <row r="92" spans="1:5">
      <c r="A92" s="38">
        <v>44401</v>
      </c>
      <c r="B92" s="12">
        <f>Indicadores!AH512</f>
        <v>3996388</v>
      </c>
      <c r="C92" s="34">
        <v>10960519</v>
      </c>
      <c r="D92" s="37">
        <f t="shared" si="4"/>
        <v>0.36461667554246291</v>
      </c>
      <c r="E92" s="35">
        <v>0.7</v>
      </c>
    </row>
    <row r="93" spans="1:5">
      <c r="A93" s="38">
        <v>44402</v>
      </c>
      <c r="B93" s="12">
        <f>Indicadores!AH513</f>
        <v>3999041</v>
      </c>
      <c r="C93" s="34">
        <v>10960519</v>
      </c>
      <c r="D93" s="37">
        <f t="shared" si="4"/>
        <v>0.36485872612419173</v>
      </c>
      <c r="E93" s="35">
        <v>0.7</v>
      </c>
    </row>
    <row r="94" spans="1:5">
      <c r="A94" s="38">
        <v>44403</v>
      </c>
      <c r="B94" s="12">
        <f>Indicadores!AH514</f>
        <v>4036927</v>
      </c>
      <c r="C94" s="34">
        <v>10960519</v>
      </c>
      <c r="D94" s="37">
        <f t="shared" si="4"/>
        <v>0.36831531426568392</v>
      </c>
      <c r="E94" s="35">
        <v>0.7</v>
      </c>
    </row>
    <row r="95" spans="1:5">
      <c r="A95" s="38">
        <v>44404</v>
      </c>
      <c r="B95" s="12">
        <f>Indicadores!AH515</f>
        <v>4088555</v>
      </c>
      <c r="C95" s="34">
        <v>10960519</v>
      </c>
      <c r="D95" s="37">
        <f t="shared" si="4"/>
        <v>0.37302567515279156</v>
      </c>
      <c r="E95" s="35">
        <v>0.7</v>
      </c>
    </row>
    <row r="96" spans="1:5">
      <c r="A96" s="38">
        <v>44405</v>
      </c>
      <c r="B96" s="12">
        <f>Indicadores!AH516</f>
        <v>4139202</v>
      </c>
      <c r="C96" s="34">
        <v>10960519</v>
      </c>
      <c r="D96" s="37">
        <f t="shared" si="4"/>
        <v>0.37764653297895839</v>
      </c>
      <c r="E96" s="35">
        <v>0.7</v>
      </c>
    </row>
    <row r="97" spans="1:5">
      <c r="A97" s="38">
        <v>44406</v>
      </c>
      <c r="B97" s="12">
        <f>Indicadores!AH517</f>
        <v>4174568</v>
      </c>
      <c r="C97" s="34">
        <v>10960519</v>
      </c>
      <c r="D97" s="37">
        <f t="shared" ref="D97:D103" si="5">(B97/C97)</f>
        <v>0.38087320500060262</v>
      </c>
      <c r="E97" s="35">
        <v>0.7</v>
      </c>
    </row>
    <row r="98" spans="1:5">
      <c r="A98" s="38">
        <v>44407</v>
      </c>
      <c r="B98" s="12">
        <f>Indicadores!AH518</f>
        <v>4205772</v>
      </c>
      <c r="C98" s="34">
        <v>10960519</v>
      </c>
      <c r="D98" s="37">
        <f t="shared" si="5"/>
        <v>0.38372015047827573</v>
      </c>
      <c r="E98" s="35">
        <v>0.7</v>
      </c>
    </row>
    <row r="99" spans="1:5">
      <c r="A99" s="38">
        <v>44408</v>
      </c>
      <c r="B99" s="12">
        <f>Indicadores!AH519</f>
        <v>4215901</v>
      </c>
      <c r="C99" s="34">
        <v>10960519</v>
      </c>
      <c r="D99" s="37">
        <f t="shared" si="5"/>
        <v>0.38464428554888686</v>
      </c>
      <c r="E99" s="35">
        <v>0.7</v>
      </c>
    </row>
    <row r="100" spans="1:5">
      <c r="A100" s="38">
        <v>44409</v>
      </c>
      <c r="B100" s="12">
        <f>Indicadores!AH520</f>
        <v>4219737</v>
      </c>
      <c r="C100" s="34">
        <v>10960519</v>
      </c>
      <c r="D100" s="37">
        <f t="shared" si="5"/>
        <v>0.38499426897576655</v>
      </c>
      <c r="E100" s="35">
        <v>0.7</v>
      </c>
    </row>
    <row r="101" spans="1:5">
      <c r="A101" s="38">
        <v>44410</v>
      </c>
      <c r="B101" s="12">
        <f>Indicadores!AH521</f>
        <v>4250852</v>
      </c>
      <c r="C101" s="34">
        <v>10960519</v>
      </c>
      <c r="D101" s="37">
        <f t="shared" si="5"/>
        <v>0.38783309440000058</v>
      </c>
      <c r="E101" s="35">
        <v>0.7</v>
      </c>
    </row>
    <row r="102" spans="1:5">
      <c r="A102" s="38">
        <v>44411</v>
      </c>
      <c r="B102" s="12">
        <f>Indicadores!AH522</f>
        <v>4282396</v>
      </c>
      <c r="C102" s="34">
        <v>10960519</v>
      </c>
      <c r="D102" s="37">
        <f t="shared" si="5"/>
        <v>0.39071106030654207</v>
      </c>
      <c r="E102" s="35">
        <v>0.7</v>
      </c>
    </row>
    <row r="103" spans="1:5">
      <c r="A103" s="38">
        <v>44412</v>
      </c>
      <c r="B103" s="12">
        <f>Indicadores!AH523</f>
        <v>4312006</v>
      </c>
      <c r="C103" s="34">
        <v>10960519</v>
      </c>
      <c r="D103" s="37">
        <f t="shared" si="5"/>
        <v>0.39341257471475577</v>
      </c>
      <c r="E103" s="35">
        <v>0.7</v>
      </c>
    </row>
    <row r="104" spans="1:5">
      <c r="A104" s="38">
        <v>44413</v>
      </c>
      <c r="B104" s="12">
        <f>Indicadores!AH524</f>
        <v>4337509</v>
      </c>
      <c r="C104" s="34">
        <v>10960519</v>
      </c>
      <c r="D104" s="37">
        <f t="shared" ref="D104" si="6">(B104/C104)</f>
        <v>0.39573938058955055</v>
      </c>
      <c r="E104" s="35">
        <v>0.7</v>
      </c>
    </row>
    <row r="105" spans="1:5">
      <c r="A105" s="38">
        <v>44414</v>
      </c>
      <c r="B105" s="12">
        <f>Indicadores!AH525</f>
        <v>4358673</v>
      </c>
      <c r="C105" s="34">
        <v>10960519</v>
      </c>
      <c r="D105" s="37">
        <f t="shared" ref="D105" si="7">(B105/C105)</f>
        <v>0.39767031105005157</v>
      </c>
      <c r="E105" s="35">
        <v>0.7</v>
      </c>
    </row>
    <row r="106" spans="1:5">
      <c r="A106" s="38">
        <v>44415</v>
      </c>
      <c r="B106" s="12">
        <f>Indicadores!AH526</f>
        <v>4366182</v>
      </c>
      <c r="C106" s="34">
        <v>10960519</v>
      </c>
      <c r="D106" s="37">
        <f t="shared" ref="D106" si="8">(B106/C106)</f>
        <v>0.39835540634526523</v>
      </c>
      <c r="E106" s="35">
        <v>0.7</v>
      </c>
    </row>
    <row r="107" spans="1:5">
      <c r="A107" s="38">
        <v>44416</v>
      </c>
      <c r="B107" s="12">
        <f>Indicadores!AH527</f>
        <v>4369473</v>
      </c>
      <c r="C107" s="34">
        <v>10960519</v>
      </c>
      <c r="D107" s="37">
        <f t="shared" ref="D107:D148" si="9">(B107/C107)</f>
        <v>0.39865566584939999</v>
      </c>
      <c r="E107" s="35">
        <v>0.7</v>
      </c>
    </row>
    <row r="108" spans="1:5">
      <c r="A108" s="38">
        <v>44417</v>
      </c>
      <c r="B108" s="12">
        <f>Indicadores!AH528</f>
        <v>4391693</v>
      </c>
      <c r="C108" s="34">
        <v>10960519</v>
      </c>
      <c r="D108" s="37">
        <f t="shared" si="9"/>
        <v>0.40068294211250399</v>
      </c>
      <c r="E108" s="35">
        <v>0.7</v>
      </c>
    </row>
    <row r="109" spans="1:5">
      <c r="A109" s="38">
        <v>44418</v>
      </c>
      <c r="B109" s="12">
        <f>Indicadores!AH529</f>
        <v>4417043</v>
      </c>
      <c r="C109" s="34">
        <v>10960519</v>
      </c>
      <c r="D109" s="37">
        <f t="shared" si="9"/>
        <v>0.40299578879430803</v>
      </c>
      <c r="E109" s="35">
        <v>0.7</v>
      </c>
    </row>
    <row r="110" spans="1:5">
      <c r="A110" s="38">
        <v>44419</v>
      </c>
      <c r="B110" s="12">
        <f>Indicadores!AH530</f>
        <v>4429487</v>
      </c>
      <c r="C110" s="34">
        <v>10960519</v>
      </c>
      <c r="D110" s="37">
        <f t="shared" si="9"/>
        <v>0.40413113649089061</v>
      </c>
      <c r="E110" s="35">
        <v>0.7</v>
      </c>
    </row>
    <row r="111" spans="1:5">
      <c r="A111" s="38">
        <v>44420</v>
      </c>
      <c r="B111" s="12">
        <f>Indicadores!AH531</f>
        <v>4438630</v>
      </c>
      <c r="C111" s="34">
        <v>10960519</v>
      </c>
      <c r="D111" s="37">
        <f t="shared" si="9"/>
        <v>0.40496531231778349</v>
      </c>
      <c r="E111" s="35">
        <v>0.7</v>
      </c>
    </row>
    <row r="112" spans="1:5">
      <c r="A112" s="38">
        <v>44421</v>
      </c>
      <c r="B112" s="12">
        <f>Indicadores!AH532</f>
        <v>4455264</v>
      </c>
      <c r="C112" s="34">
        <v>10960519</v>
      </c>
      <c r="D112" s="37">
        <f t="shared" si="9"/>
        <v>0.4064829411818911</v>
      </c>
      <c r="E112" s="35">
        <v>0.7</v>
      </c>
    </row>
    <row r="113" spans="1:5">
      <c r="A113" s="38">
        <v>44422</v>
      </c>
      <c r="B113" s="12">
        <f>Indicadores!AH533</f>
        <v>4461013</v>
      </c>
      <c r="C113" s="34">
        <v>10960519</v>
      </c>
      <c r="D113" s="37">
        <f t="shared" si="9"/>
        <v>0.40700746013943317</v>
      </c>
      <c r="E113" s="35">
        <v>0.7</v>
      </c>
    </row>
    <row r="114" spans="1:5">
      <c r="A114" s="38">
        <v>44423</v>
      </c>
      <c r="B114" s="12">
        <f>Indicadores!AH534</f>
        <v>4462896</v>
      </c>
      <c r="C114" s="34">
        <v>10960519</v>
      </c>
      <c r="D114" s="37">
        <f t="shared" si="9"/>
        <v>0.40717925857343068</v>
      </c>
      <c r="E114" s="35">
        <v>0.7</v>
      </c>
    </row>
    <row r="115" spans="1:5">
      <c r="A115" s="38">
        <v>44424</v>
      </c>
      <c r="B115" s="12">
        <f>Indicadores!AH535</f>
        <v>4463319</v>
      </c>
      <c r="C115" s="34">
        <v>10960519</v>
      </c>
      <c r="D115" s="37">
        <f t="shared" si="9"/>
        <v>0.40721785163640517</v>
      </c>
      <c r="E115" s="35">
        <v>0.7</v>
      </c>
    </row>
    <row r="116" spans="1:5">
      <c r="A116" s="38">
        <v>44425</v>
      </c>
      <c r="B116" s="12">
        <f>Indicadores!AH536</f>
        <v>4480873</v>
      </c>
      <c r="C116" s="34">
        <v>10960519</v>
      </c>
      <c r="D116" s="37">
        <f t="shared" si="9"/>
        <v>0.40881941813156841</v>
      </c>
      <c r="E116" s="35">
        <v>0.7</v>
      </c>
    </row>
    <row r="117" spans="1:5">
      <c r="A117" s="38">
        <v>44426</v>
      </c>
      <c r="B117" s="12">
        <f>Indicadores!AH537</f>
        <v>4501030</v>
      </c>
      <c r="C117" s="34">
        <v>10960519</v>
      </c>
      <c r="D117" s="37">
        <f t="shared" si="9"/>
        <v>0.41065847338068573</v>
      </c>
      <c r="E117" s="35">
        <v>0.7</v>
      </c>
    </row>
    <row r="118" spans="1:5">
      <c r="A118" s="38">
        <v>44427</v>
      </c>
      <c r="B118" s="12">
        <f>Indicadores!AH538</f>
        <v>4520504</v>
      </c>
      <c r="C118" s="34">
        <v>10960519</v>
      </c>
      <c r="D118" s="37">
        <f t="shared" si="9"/>
        <v>0.4124352140623998</v>
      </c>
      <c r="E118" s="35">
        <v>0.7</v>
      </c>
    </row>
    <row r="119" spans="1:5">
      <c r="A119" s="38">
        <v>44428</v>
      </c>
      <c r="B119" s="12">
        <f>Indicadores!AH539</f>
        <v>4534518</v>
      </c>
      <c r="C119" s="34">
        <v>10960519</v>
      </c>
      <c r="D119" s="37">
        <f t="shared" si="9"/>
        <v>0.41371380315110989</v>
      </c>
      <c r="E119" s="35">
        <v>0.7</v>
      </c>
    </row>
    <row r="120" spans="1:5">
      <c r="A120" s="38">
        <v>44429</v>
      </c>
      <c r="B120" s="12">
        <f>Indicadores!AH540</f>
        <v>4540737</v>
      </c>
      <c r="C120" s="34">
        <v>10960519</v>
      </c>
      <c r="D120" s="37">
        <f t="shared" si="9"/>
        <v>0.41428120328973472</v>
      </c>
      <c r="E120" s="35">
        <v>0.7</v>
      </c>
    </row>
    <row r="121" spans="1:5">
      <c r="A121" s="38">
        <v>44430</v>
      </c>
      <c r="B121" s="12">
        <f>Indicadores!AH541</f>
        <v>4543100</v>
      </c>
      <c r="C121" s="34">
        <v>10960519</v>
      </c>
      <c r="D121" s="37">
        <f t="shared" si="9"/>
        <v>0.41449679527036998</v>
      </c>
      <c r="E121" s="35">
        <v>0.7</v>
      </c>
    </row>
    <row r="122" spans="1:5">
      <c r="A122" s="38">
        <v>44431</v>
      </c>
      <c r="B122" s="12">
        <f>Indicadores!AH542</f>
        <v>4559262</v>
      </c>
      <c r="C122" s="34">
        <v>10960519</v>
      </c>
      <c r="D122" s="37">
        <f t="shared" si="9"/>
        <v>0.41597136048028382</v>
      </c>
      <c r="E122" s="35">
        <v>0.7</v>
      </c>
    </row>
    <row r="123" spans="1:5">
      <c r="A123" s="38">
        <v>44432</v>
      </c>
      <c r="B123" s="12">
        <f>Indicadores!AH543</f>
        <v>4576556</v>
      </c>
      <c r="C123" s="34">
        <v>10960519</v>
      </c>
      <c r="D123" s="37">
        <f t="shared" si="9"/>
        <v>0.41754920547101831</v>
      </c>
      <c r="E123" s="35">
        <v>0.7</v>
      </c>
    </row>
    <row r="124" spans="1:5">
      <c r="A124" s="38">
        <v>44433</v>
      </c>
      <c r="B124" s="12">
        <f>Indicadores!AH544</f>
        <v>4594526</v>
      </c>
      <c r="C124" s="34">
        <v>10960519</v>
      </c>
      <c r="D124" s="37">
        <f t="shared" si="9"/>
        <v>0.41918872637326754</v>
      </c>
      <c r="E124" s="35">
        <v>0.7</v>
      </c>
    </row>
    <row r="125" spans="1:5">
      <c r="A125" s="38">
        <v>44434</v>
      </c>
      <c r="B125" s="12">
        <f>Indicadores!AH545</f>
        <v>4609868</v>
      </c>
      <c r="C125" s="34">
        <v>10960519</v>
      </c>
      <c r="D125" s="37">
        <f t="shared" si="9"/>
        <v>0.42058847760767532</v>
      </c>
      <c r="E125" s="35">
        <v>0.7</v>
      </c>
    </row>
    <row r="126" spans="1:5">
      <c r="A126" s="38">
        <v>44435</v>
      </c>
      <c r="B126" s="12">
        <f>Indicadores!AH546</f>
        <v>4623226</v>
      </c>
      <c r="C126" s="34">
        <v>10960519</v>
      </c>
      <c r="D126" s="37">
        <f t="shared" si="9"/>
        <v>0.4218072155159806</v>
      </c>
      <c r="E126" s="35">
        <v>0.7</v>
      </c>
    </row>
    <row r="127" spans="1:5">
      <c r="A127" s="38">
        <v>44436</v>
      </c>
      <c r="B127" s="12">
        <f>Indicadores!AH547</f>
        <v>4628273</v>
      </c>
      <c r="C127" s="34">
        <v>10960519</v>
      </c>
      <c r="D127" s="37">
        <f t="shared" si="9"/>
        <v>0.42226768641156498</v>
      </c>
      <c r="E127" s="35">
        <v>0.7</v>
      </c>
    </row>
    <row r="128" spans="1:5">
      <c r="A128" s="38">
        <v>44437</v>
      </c>
      <c r="B128" s="12">
        <f>Indicadores!AH548</f>
        <v>4629910</v>
      </c>
      <c r="C128" s="34">
        <v>10960519</v>
      </c>
      <c r="D128" s="37">
        <f t="shared" si="9"/>
        <v>0.42241704065291069</v>
      </c>
      <c r="E128" s="35">
        <v>0.7</v>
      </c>
    </row>
    <row r="129" spans="1:5">
      <c r="A129" s="38">
        <v>44438</v>
      </c>
      <c r="B129" s="12">
        <f>Indicadores!AH549</f>
        <v>4643779</v>
      </c>
      <c r="C129" s="34">
        <v>10960519</v>
      </c>
      <c r="D129" s="37">
        <f t="shared" si="9"/>
        <v>0.42368240044107403</v>
      </c>
      <c r="E129" s="35">
        <v>0.7</v>
      </c>
    </row>
    <row r="130" spans="1:5">
      <c r="A130" s="38">
        <v>44439</v>
      </c>
      <c r="B130" s="12">
        <f>Indicadores!AH550</f>
        <v>4658577</v>
      </c>
      <c r="C130" s="34">
        <v>10960519</v>
      </c>
      <c r="D130" s="37">
        <f t="shared" si="9"/>
        <v>0.4250325189892924</v>
      </c>
      <c r="E130" s="35">
        <v>0.7</v>
      </c>
    </row>
    <row r="131" spans="1:5">
      <c r="A131" s="38">
        <v>44440</v>
      </c>
      <c r="B131" s="12">
        <f>Indicadores!AH551</f>
        <v>4671784</v>
      </c>
      <c r="C131" s="34">
        <v>10960519</v>
      </c>
      <c r="D131" s="37">
        <f t="shared" si="9"/>
        <v>0.42623748017771784</v>
      </c>
      <c r="E131" s="35">
        <v>0.7</v>
      </c>
    </row>
    <row r="132" spans="1:5">
      <c r="A132" s="38">
        <v>44441</v>
      </c>
      <c r="B132" s="12">
        <f>Indicadores!AH552</f>
        <v>4684130</v>
      </c>
      <c r="C132" s="34">
        <v>10960519</v>
      </c>
      <c r="D132" s="37">
        <f t="shared" si="9"/>
        <v>0.42736388669186193</v>
      </c>
      <c r="E132" s="35">
        <v>0.7</v>
      </c>
    </row>
    <row r="133" spans="1:5">
      <c r="A133" s="38">
        <v>44442</v>
      </c>
      <c r="B133" s="12">
        <f>Indicadores!AH553</f>
        <v>4694576</v>
      </c>
      <c r="C133" s="34">
        <v>10960519</v>
      </c>
      <c r="D133" s="37">
        <f t="shared" si="9"/>
        <v>0.42831694375056512</v>
      </c>
      <c r="E133" s="35">
        <v>0.7</v>
      </c>
    </row>
    <row r="134" spans="1:5">
      <c r="A134" s="38">
        <v>44443</v>
      </c>
      <c r="B134" s="12">
        <f>Indicadores!AH554</f>
        <v>4698661</v>
      </c>
      <c r="C134" s="34">
        <v>10960519</v>
      </c>
      <c r="D134" s="37">
        <f t="shared" si="9"/>
        <v>0.42868964507976309</v>
      </c>
      <c r="E134" s="35">
        <v>0.7</v>
      </c>
    </row>
    <row r="135" spans="1:5">
      <c r="A135" s="38">
        <v>44444</v>
      </c>
      <c r="B135" s="12">
        <f>Indicadores!AH555</f>
        <v>4699926</v>
      </c>
      <c r="C135" s="34">
        <v>10960519</v>
      </c>
      <c r="D135" s="37">
        <f t="shared" si="9"/>
        <v>0.42880505932246454</v>
      </c>
      <c r="E135" s="35">
        <v>0.7</v>
      </c>
    </row>
    <row r="136" spans="1:5">
      <c r="A136" s="38">
        <v>44445</v>
      </c>
      <c r="B136" s="12">
        <f>Indicadores!AH556</f>
        <v>4710022</v>
      </c>
      <c r="C136" s="34">
        <v>10960519</v>
      </c>
      <c r="D136" s="37">
        <f t="shared" si="9"/>
        <v>0.42972618358674436</v>
      </c>
      <c r="E136" s="35">
        <v>0.7</v>
      </c>
    </row>
    <row r="137" spans="1:5">
      <c r="A137" s="38">
        <v>44446</v>
      </c>
      <c r="B137" s="12">
        <f>Indicadores!AH557</f>
        <v>4721182</v>
      </c>
      <c r="C137" s="34">
        <v>10960519</v>
      </c>
      <c r="D137" s="37">
        <f t="shared" si="9"/>
        <v>0.43074438354607114</v>
      </c>
      <c r="E137" s="35">
        <v>0.7</v>
      </c>
    </row>
    <row r="138" spans="1:5">
      <c r="A138" s="38">
        <v>44447</v>
      </c>
      <c r="B138" s="12">
        <f>Indicadores!AH558</f>
        <v>4733550</v>
      </c>
      <c r="C138" s="34">
        <v>10960519</v>
      </c>
      <c r="D138" s="37">
        <f t="shared" si="9"/>
        <v>0.43187279726443611</v>
      </c>
      <c r="E138" s="35">
        <v>0.7</v>
      </c>
    </row>
    <row r="139" spans="1:5">
      <c r="A139" s="38">
        <v>44448</v>
      </c>
      <c r="B139" s="12">
        <f>Indicadores!AH559</f>
        <v>4744602</v>
      </c>
      <c r="C139" s="34">
        <v>10960519</v>
      </c>
      <c r="D139" s="37">
        <f t="shared" si="9"/>
        <v>0.43288114367576935</v>
      </c>
      <c r="E139" s="35">
        <v>0.7</v>
      </c>
    </row>
    <row r="140" spans="1:5">
      <c r="A140" s="38">
        <v>44449</v>
      </c>
      <c r="B140" s="12">
        <f>Indicadores!AH560</f>
        <v>4754536</v>
      </c>
      <c r="C140" s="34">
        <v>10960519</v>
      </c>
      <c r="D140" s="37">
        <f t="shared" si="9"/>
        <v>0.43378748761805896</v>
      </c>
      <c r="E140" s="35">
        <v>0.7</v>
      </c>
    </row>
    <row r="141" spans="1:5">
      <c r="A141" s="38">
        <v>44450</v>
      </c>
      <c r="B141" s="12">
        <f>Indicadores!AH561</f>
        <v>4757982</v>
      </c>
      <c r="C141" s="34">
        <v>10960519</v>
      </c>
      <c r="D141" s="37">
        <f t="shared" si="9"/>
        <v>0.43410188878829553</v>
      </c>
      <c r="E141" s="35">
        <v>0.7</v>
      </c>
    </row>
    <row r="142" spans="1:5">
      <c r="A142" s="38">
        <v>44451</v>
      </c>
      <c r="B142" s="12">
        <f>Indicadores!AH562</f>
        <v>4759116</v>
      </c>
      <c r="C142" s="34">
        <v>10960519</v>
      </c>
      <c r="D142" s="37">
        <f t="shared" si="9"/>
        <v>0.43420535104222713</v>
      </c>
      <c r="E142" s="35">
        <v>0.7</v>
      </c>
    </row>
    <row r="143" spans="1:5">
      <c r="A143" s="38">
        <v>44452</v>
      </c>
      <c r="B143" s="12">
        <f>Indicadores!AH563</f>
        <v>4769499</v>
      </c>
      <c r="C143" s="34">
        <v>10960519</v>
      </c>
      <c r="D143" s="37">
        <f t="shared" si="9"/>
        <v>0.43515266019793408</v>
      </c>
      <c r="E143" s="35">
        <v>0.7</v>
      </c>
    </row>
    <row r="144" spans="1:5">
      <c r="A144" s="38">
        <v>44453</v>
      </c>
      <c r="B144" s="12">
        <f>Indicadores!AH564</f>
        <v>4780400</v>
      </c>
      <c r="C144" s="34">
        <v>10960519</v>
      </c>
      <c r="D144" s="37">
        <f t="shared" si="9"/>
        <v>0.43614722988938753</v>
      </c>
      <c r="E144" s="35">
        <v>0.7</v>
      </c>
    </row>
    <row r="145" spans="1:5">
      <c r="A145" s="38">
        <v>44454</v>
      </c>
      <c r="B145" s="12">
        <f>Indicadores!AH565</f>
        <v>4791169</v>
      </c>
      <c r="C145" s="34">
        <v>10960519</v>
      </c>
      <c r="D145" s="37">
        <f t="shared" si="9"/>
        <v>0.43712975635551565</v>
      </c>
      <c r="E145" s="35">
        <v>0.7</v>
      </c>
    </row>
    <row r="146" spans="1:5">
      <c r="A146" s="38">
        <v>44455</v>
      </c>
      <c r="B146" s="12">
        <f>Indicadores!AH566</f>
        <v>4802290</v>
      </c>
      <c r="C146" s="34">
        <v>10960519</v>
      </c>
      <c r="D146" s="37">
        <f t="shared" si="9"/>
        <v>0.4381443980891781</v>
      </c>
      <c r="E146" s="35">
        <v>0.7</v>
      </c>
    </row>
    <row r="147" spans="1:5">
      <c r="A147" s="38">
        <v>44456</v>
      </c>
      <c r="B147" s="12">
        <f>Indicadores!AH567</f>
        <v>4813036</v>
      </c>
      <c r="C147" s="34">
        <v>10960519</v>
      </c>
      <c r="D147" s="37">
        <f t="shared" si="9"/>
        <v>0.4391248261145298</v>
      </c>
      <c r="E147" s="35">
        <v>0.7</v>
      </c>
    </row>
    <row r="148" spans="1:5">
      <c r="A148" s="38">
        <v>44457</v>
      </c>
      <c r="B148" s="12">
        <f>Indicadores!AH568</f>
        <v>4816740</v>
      </c>
      <c r="C148" s="34">
        <v>10960519</v>
      </c>
      <c r="D148" s="37">
        <f t="shared" si="9"/>
        <v>0.43946276631608411</v>
      </c>
      <c r="E148" s="35">
        <v>0.7</v>
      </c>
    </row>
    <row r="149" spans="1:5">
      <c r="A149" s="38">
        <v>44458</v>
      </c>
      <c r="B149" s="12">
        <f>Indicadores!AH569</f>
        <v>4818161</v>
      </c>
      <c r="C149" s="34">
        <v>10960519</v>
      </c>
      <c r="D149" s="37">
        <f t="shared" ref="D149:D161" si="10">(B149/C149)</f>
        <v>0.43959241346144284</v>
      </c>
      <c r="E149" s="35">
        <v>0.7</v>
      </c>
    </row>
    <row r="150" spans="1:5">
      <c r="A150" s="38">
        <v>44459</v>
      </c>
      <c r="B150" s="12">
        <f>Indicadores!AH570</f>
        <v>4828158</v>
      </c>
      <c r="C150" s="34">
        <v>10960519</v>
      </c>
      <c r="D150" s="37">
        <f t="shared" si="10"/>
        <v>0.44050450530672863</v>
      </c>
      <c r="E150" s="35">
        <v>0.7</v>
      </c>
    </row>
    <row r="151" spans="1:5">
      <c r="A151" s="38">
        <v>44460</v>
      </c>
      <c r="B151" s="12">
        <f>Indicadores!AH571</f>
        <v>4839454</v>
      </c>
      <c r="C151" s="34">
        <v>10960519</v>
      </c>
      <c r="D151" s="37">
        <f t="shared" si="10"/>
        <v>0.44153511343760271</v>
      </c>
      <c r="E151" s="35">
        <v>0.7</v>
      </c>
    </row>
    <row r="152" spans="1:5">
      <c r="A152" s="38">
        <v>44461</v>
      </c>
      <c r="B152" s="12">
        <f>Indicadores!AH572</f>
        <v>4849827</v>
      </c>
      <c r="C152" s="34">
        <v>10960519</v>
      </c>
      <c r="D152" s="37">
        <f t="shared" si="10"/>
        <v>0.44248151022775473</v>
      </c>
      <c r="E152" s="35">
        <v>0.7</v>
      </c>
    </row>
    <row r="153" spans="1:5">
      <c r="A153" s="38">
        <v>44462</v>
      </c>
      <c r="B153" s="12">
        <f>Indicadores!AH573</f>
        <v>4860422</v>
      </c>
      <c r="C153" s="34">
        <v>10960519</v>
      </c>
      <c r="D153" s="37">
        <f t="shared" si="10"/>
        <v>0.44344816153322669</v>
      </c>
      <c r="E153" s="35">
        <v>0.7</v>
      </c>
    </row>
    <row r="154" spans="1:5">
      <c r="A154" s="38">
        <v>44463</v>
      </c>
      <c r="B154" s="12">
        <f>Indicadores!AH574</f>
        <v>4862748</v>
      </c>
      <c r="C154" s="34">
        <v>10960519</v>
      </c>
      <c r="D154" s="37">
        <f t="shared" si="10"/>
        <v>0.44366037776130857</v>
      </c>
      <c r="E154" s="35">
        <v>0.7</v>
      </c>
    </row>
    <row r="155" spans="1:5">
      <c r="A155" s="38">
        <v>44464</v>
      </c>
      <c r="B155" s="12">
        <f>Indicadores!AH575</f>
        <v>4866030</v>
      </c>
      <c r="C155" s="34">
        <v>10960519</v>
      </c>
      <c r="D155" s="37">
        <f t="shared" si="10"/>
        <v>0.44395981613644392</v>
      </c>
      <c r="E155" s="35">
        <v>0.7</v>
      </c>
    </row>
    <row r="156" spans="1:5">
      <c r="A156" s="38">
        <v>44465</v>
      </c>
      <c r="B156" s="12">
        <f>Indicadores!AH576</f>
        <v>4867470</v>
      </c>
      <c r="C156" s="34">
        <v>10960519</v>
      </c>
      <c r="D156" s="37">
        <f t="shared" si="10"/>
        <v>0.44409119677635706</v>
      </c>
      <c r="E156" s="35">
        <v>0.7</v>
      </c>
    </row>
    <row r="157" spans="1:5">
      <c r="A157" s="38">
        <v>44466</v>
      </c>
      <c r="B157" s="12">
        <f>Indicadores!AH577</f>
        <v>4877470</v>
      </c>
      <c r="C157" s="34">
        <v>10960519</v>
      </c>
      <c r="D157" s="37">
        <f t="shared" si="10"/>
        <v>0.44500356233130933</v>
      </c>
      <c r="E157" s="35">
        <v>0.7</v>
      </c>
    </row>
    <row r="158" spans="1:5">
      <c r="A158" s="38">
        <v>44467</v>
      </c>
      <c r="B158" s="12">
        <f>Indicadores!AH578</f>
        <v>4887765</v>
      </c>
      <c r="C158" s="34">
        <v>10960519</v>
      </c>
      <c r="D158" s="37">
        <f t="shared" si="10"/>
        <v>0.44594284267013268</v>
      </c>
      <c r="E158" s="35">
        <v>0.7</v>
      </c>
    </row>
    <row r="159" spans="1:5">
      <c r="A159" s="38">
        <v>44468</v>
      </c>
      <c r="B159" s="12">
        <f>Indicadores!AH579</f>
        <v>4897590</v>
      </c>
      <c r="C159" s="34">
        <v>10960519</v>
      </c>
      <c r="D159" s="37">
        <f t="shared" si="10"/>
        <v>0.44683924182787332</v>
      </c>
      <c r="E159" s="35">
        <v>0.7</v>
      </c>
    </row>
    <row r="160" spans="1:5">
      <c r="A160" s="38">
        <v>44469</v>
      </c>
      <c r="B160" s="12">
        <f>Indicadores!AH580</f>
        <v>4907894</v>
      </c>
      <c r="C160" s="34">
        <v>10960519</v>
      </c>
      <c r="D160" s="37">
        <f t="shared" si="10"/>
        <v>0.44777934329569613</v>
      </c>
      <c r="E160" s="35">
        <v>0.7</v>
      </c>
    </row>
    <row r="161" spans="1:5">
      <c r="A161" s="38">
        <v>44470</v>
      </c>
      <c r="B161" s="12">
        <f>Indicadores!AH581</f>
        <v>4916798</v>
      </c>
      <c r="C161" s="34">
        <v>10960519</v>
      </c>
      <c r="D161" s="37">
        <f t="shared" si="10"/>
        <v>0.44859171358582561</v>
      </c>
      <c r="E161" s="35">
        <v>0.7</v>
      </c>
    </row>
    <row r="162" spans="1:5">
      <c r="A162" s="38">
        <v>44471</v>
      </c>
      <c r="B162" s="12">
        <f>Indicadores!AH582</f>
        <v>4920361</v>
      </c>
      <c r="C162" s="34">
        <v>10960519</v>
      </c>
      <c r="D162" s="37">
        <f t="shared" ref="D162:D181" si="11">(B162/C162)</f>
        <v>0.44891678943305513</v>
      </c>
      <c r="E162" s="35">
        <v>0.7</v>
      </c>
    </row>
    <row r="163" spans="1:5">
      <c r="A163" s="38">
        <v>44472</v>
      </c>
      <c r="B163" s="12">
        <f>Indicadores!AH583</f>
        <v>4921450</v>
      </c>
      <c r="C163" s="34">
        <v>10960519</v>
      </c>
      <c r="D163" s="37">
        <f t="shared" si="11"/>
        <v>0.44901614604198942</v>
      </c>
      <c r="E163" s="35">
        <v>0.7</v>
      </c>
    </row>
    <row r="164" spans="1:5">
      <c r="A164" s="38">
        <v>44473</v>
      </c>
      <c r="B164" s="12">
        <f>Indicadores!AH584</f>
        <v>4928726</v>
      </c>
      <c r="C164" s="34">
        <v>10960519</v>
      </c>
      <c r="D164" s="37">
        <f t="shared" si="11"/>
        <v>0.44967998321977271</v>
      </c>
      <c r="E164" s="35">
        <v>0.7</v>
      </c>
    </row>
    <row r="165" spans="1:5">
      <c r="A165" s="38">
        <v>44474</v>
      </c>
      <c r="B165" s="12">
        <f>Indicadores!AH585</f>
        <v>4938094</v>
      </c>
      <c r="C165" s="34">
        <v>10960519</v>
      </c>
      <c r="D165" s="37">
        <f t="shared" si="11"/>
        <v>0.45053468727165202</v>
      </c>
      <c r="E165" s="35">
        <v>0.7</v>
      </c>
    </row>
    <row r="166" spans="1:5">
      <c r="A166" s="38">
        <v>44475</v>
      </c>
      <c r="B166" s="12">
        <f>Indicadores!AH586</f>
        <v>4947154</v>
      </c>
      <c r="C166" s="34">
        <v>10960519</v>
      </c>
      <c r="D166" s="37">
        <f t="shared" si="11"/>
        <v>0.45136129046443879</v>
      </c>
      <c r="E166" s="35">
        <v>0.7</v>
      </c>
    </row>
    <row r="167" spans="1:5">
      <c r="A167" s="38">
        <v>44476</v>
      </c>
      <c r="B167" s="12">
        <f>Indicadores!AH587</f>
        <v>4956157</v>
      </c>
      <c r="C167" s="34">
        <v>10960519</v>
      </c>
      <c r="D167" s="37">
        <f t="shared" si="11"/>
        <v>0.4521826931735623</v>
      </c>
      <c r="E167" s="35">
        <v>0.7</v>
      </c>
    </row>
    <row r="168" spans="1:5">
      <c r="A168" s="38">
        <v>44477</v>
      </c>
      <c r="B168" s="12">
        <f>Indicadores!AH588</f>
        <v>4964932</v>
      </c>
      <c r="C168" s="34">
        <v>10960519</v>
      </c>
      <c r="D168" s="37">
        <f t="shared" si="11"/>
        <v>0.45298329394803294</v>
      </c>
      <c r="E168" s="35">
        <v>0.7</v>
      </c>
    </row>
    <row r="169" spans="1:5">
      <c r="A169" s="38">
        <v>44478</v>
      </c>
      <c r="B169" s="12">
        <f>Indicadores!AH589</f>
        <v>4970581</v>
      </c>
      <c r="C169" s="34">
        <v>10960519</v>
      </c>
      <c r="D169" s="37">
        <f t="shared" si="11"/>
        <v>0.45349868925002546</v>
      </c>
      <c r="E169" s="35">
        <v>0.7</v>
      </c>
    </row>
    <row r="170" spans="1:5">
      <c r="A170" s="38">
        <v>44479</v>
      </c>
      <c r="B170" s="12">
        <f>Indicadores!AH590</f>
        <v>4973191</v>
      </c>
      <c r="C170" s="34">
        <v>10960519</v>
      </c>
      <c r="D170" s="37">
        <f t="shared" si="11"/>
        <v>0.45373681665986804</v>
      </c>
      <c r="E170" s="35">
        <v>0.7</v>
      </c>
    </row>
    <row r="171" spans="1:5">
      <c r="A171" s="38">
        <v>44480</v>
      </c>
      <c r="B171" s="12">
        <f>Indicadores!AH591</f>
        <v>4988709</v>
      </c>
      <c r="C171" s="34">
        <v>10960519</v>
      </c>
      <c r="D171" s="37">
        <f t="shared" si="11"/>
        <v>0.45515262552804298</v>
      </c>
      <c r="E171" s="35">
        <v>0.7</v>
      </c>
    </row>
    <row r="172" spans="1:5">
      <c r="A172" s="38">
        <v>44481</v>
      </c>
      <c r="B172" s="12">
        <f>Indicadores!AH592</f>
        <v>5006400</v>
      </c>
      <c r="C172" s="34">
        <v>10960519</v>
      </c>
      <c r="D172" s="37">
        <f t="shared" si="11"/>
        <v>0.45676669143130905</v>
      </c>
      <c r="E172" s="35">
        <v>0.7</v>
      </c>
    </row>
    <row r="173" spans="1:5">
      <c r="A173" s="38">
        <v>44482</v>
      </c>
      <c r="B173" s="12">
        <f>Indicadores!AH593</f>
        <v>5027184</v>
      </c>
      <c r="C173" s="34">
        <v>10960519</v>
      </c>
      <c r="D173" s="37">
        <f t="shared" si="11"/>
        <v>0.45866295200072188</v>
      </c>
      <c r="E173" s="35">
        <v>0.7</v>
      </c>
    </row>
    <row r="174" spans="1:5">
      <c r="A174" s="38">
        <v>44483</v>
      </c>
      <c r="B174" s="12">
        <f>Indicadores!AH594</f>
        <v>5050180</v>
      </c>
      <c r="C174" s="34">
        <v>10960519</v>
      </c>
      <c r="D174" s="37">
        <f t="shared" si="11"/>
        <v>0.46076102783089012</v>
      </c>
      <c r="E174" s="35">
        <v>0.7</v>
      </c>
    </row>
    <row r="175" spans="1:5">
      <c r="A175" s="38">
        <v>44484</v>
      </c>
      <c r="B175" s="12">
        <f>Indicadores!AH595</f>
        <v>5071130</v>
      </c>
      <c r="C175" s="34">
        <v>10960519</v>
      </c>
      <c r="D175" s="37">
        <f t="shared" si="11"/>
        <v>0.46267243366851513</v>
      </c>
      <c r="E175" s="35">
        <v>0.7</v>
      </c>
    </row>
    <row r="176" spans="1:5">
      <c r="A176" s="38">
        <v>44485</v>
      </c>
      <c r="B176" s="12">
        <f>Indicadores!AH596</f>
        <v>5082077</v>
      </c>
      <c r="C176" s="34">
        <v>10960519</v>
      </c>
      <c r="D176" s="37">
        <f t="shared" si="11"/>
        <v>0.46367120024152142</v>
      </c>
      <c r="E176" s="35">
        <v>0.7</v>
      </c>
    </row>
    <row r="177" spans="1:5">
      <c r="A177" s="38">
        <v>44486</v>
      </c>
      <c r="B177" s="12">
        <f>Indicadores!AH597</f>
        <v>5088396</v>
      </c>
      <c r="C177" s="34">
        <v>10960519</v>
      </c>
      <c r="D177" s="37">
        <f t="shared" si="11"/>
        <v>0.46424772403569575</v>
      </c>
      <c r="E177" s="35">
        <v>0.7</v>
      </c>
    </row>
    <row r="178" spans="1:5">
      <c r="A178" s="38">
        <v>44487</v>
      </c>
      <c r="B178" s="12">
        <f>Indicadores!AH598</f>
        <v>5121120</v>
      </c>
      <c r="C178" s="34">
        <v>10960519</v>
      </c>
      <c r="D178" s="37">
        <f t="shared" si="11"/>
        <v>0.46723334907772157</v>
      </c>
      <c r="E178" s="35">
        <v>0.7</v>
      </c>
    </row>
    <row r="179" spans="1:5">
      <c r="A179" s="38">
        <v>44488</v>
      </c>
      <c r="B179" s="12">
        <f>Indicadores!AH599</f>
        <v>5158185</v>
      </c>
      <c r="C179" s="34">
        <v>10960519</v>
      </c>
      <c r="D179" s="37">
        <f t="shared" si="11"/>
        <v>0.47061503200715221</v>
      </c>
      <c r="E179" s="35">
        <v>0.7</v>
      </c>
    </row>
    <row r="180" spans="1:5">
      <c r="A180" s="38">
        <v>44489</v>
      </c>
      <c r="B180" s="12">
        <f>Indicadores!AH600</f>
        <v>5190840</v>
      </c>
      <c r="C180" s="34">
        <v>10960519</v>
      </c>
      <c r="D180" s="37">
        <f t="shared" si="11"/>
        <v>0.47359436172684888</v>
      </c>
      <c r="E180" s="35">
        <v>0.7</v>
      </c>
    </row>
    <row r="181" spans="1:5">
      <c r="A181" s="38">
        <v>44490</v>
      </c>
      <c r="B181" s="12">
        <f>Indicadores!AH601</f>
        <v>5220779</v>
      </c>
      <c r="C181" s="34">
        <v>10960519</v>
      </c>
      <c r="D181" s="37">
        <f t="shared" si="11"/>
        <v>0.47632589296182049</v>
      </c>
      <c r="E181" s="35">
        <v>0.7</v>
      </c>
    </row>
    <row r="182" spans="1:5">
      <c r="A182" s="38">
        <v>44491</v>
      </c>
      <c r="B182" s="12">
        <f>Indicadores!AH602</f>
        <v>5242777</v>
      </c>
      <c r="C182" s="34">
        <v>10960519</v>
      </c>
      <c r="D182" s="37">
        <f t="shared" ref="D182:D213" si="12">(B182/C182)</f>
        <v>0.47833291470960454</v>
      </c>
      <c r="E182" s="35">
        <v>0.7</v>
      </c>
    </row>
    <row r="183" spans="1:5">
      <c r="A183" s="38">
        <v>44492</v>
      </c>
      <c r="B183" s="12">
        <f>Indicadores!AH603</f>
        <v>5250652</v>
      </c>
      <c r="C183" s="34">
        <v>10960519</v>
      </c>
      <c r="D183" s="37">
        <f t="shared" si="12"/>
        <v>0.47905140258412948</v>
      </c>
      <c r="E183" s="35">
        <v>0.7</v>
      </c>
    </row>
    <row r="184" spans="1:5">
      <c r="A184" s="38">
        <v>44493</v>
      </c>
      <c r="B184" s="12">
        <f>Indicadores!AH604</f>
        <v>5253400</v>
      </c>
      <c r="C184" s="34">
        <v>10960519</v>
      </c>
      <c r="D184" s="37">
        <f t="shared" si="12"/>
        <v>0.47930212063863037</v>
      </c>
      <c r="E184" s="35">
        <v>0.7</v>
      </c>
    </row>
    <row r="185" spans="1:5">
      <c r="A185" s="38">
        <v>44494</v>
      </c>
      <c r="B185" s="12">
        <f>Indicadores!AH605</f>
        <v>5269681</v>
      </c>
      <c r="C185" s="34">
        <v>10960519</v>
      </c>
      <c r="D185" s="37">
        <f t="shared" si="12"/>
        <v>0.48078754299864812</v>
      </c>
      <c r="E185" s="35">
        <v>0.7</v>
      </c>
    </row>
    <row r="186" spans="1:5">
      <c r="A186" s="38">
        <v>44495</v>
      </c>
      <c r="B186" s="12">
        <f>Indicadores!AH606</f>
        <v>5286037</v>
      </c>
      <c r="C186" s="34">
        <v>10960519</v>
      </c>
      <c r="D186" s="37">
        <f t="shared" si="12"/>
        <v>0.48227980810032811</v>
      </c>
      <c r="E186" s="35">
        <v>0.7</v>
      </c>
    </row>
    <row r="187" spans="1:5">
      <c r="A187" s="38">
        <v>44496</v>
      </c>
      <c r="B187" s="12">
        <f>Indicadores!AH607</f>
        <v>5299671</v>
      </c>
      <c r="C187" s="34">
        <v>10960519</v>
      </c>
      <c r="D187" s="37">
        <f t="shared" si="12"/>
        <v>0.48352372729795001</v>
      </c>
      <c r="E187" s="35">
        <v>0.7</v>
      </c>
    </row>
    <row r="188" spans="1:5">
      <c r="A188" s="38">
        <v>44497</v>
      </c>
      <c r="B188" s="12">
        <f>Indicadores!AH608</f>
        <v>5311756</v>
      </c>
      <c r="C188" s="34">
        <v>10960519</v>
      </c>
      <c r="D188" s="37">
        <f t="shared" si="12"/>
        <v>0.48462632107110987</v>
      </c>
      <c r="E188" s="35">
        <v>0.7</v>
      </c>
    </row>
    <row r="189" spans="1:5">
      <c r="A189" s="38">
        <v>44498</v>
      </c>
      <c r="B189" s="12">
        <f>Indicadores!AH609</f>
        <v>5320460</v>
      </c>
      <c r="C189" s="34">
        <v>10960519</v>
      </c>
      <c r="D189" s="37">
        <f t="shared" si="12"/>
        <v>0.48542044405014034</v>
      </c>
      <c r="E189" s="35">
        <v>0.7</v>
      </c>
    </row>
    <row r="190" spans="1:5">
      <c r="A190" s="38">
        <v>44499</v>
      </c>
      <c r="B190" s="12">
        <f>Indicadores!AH610</f>
        <v>5324573</v>
      </c>
      <c r="C190" s="34">
        <v>10960519</v>
      </c>
      <c r="D190" s="37">
        <f t="shared" si="12"/>
        <v>0.48579570000289218</v>
      </c>
      <c r="E190" s="35">
        <v>0.7</v>
      </c>
    </row>
    <row r="191" spans="1:5">
      <c r="A191" s="38">
        <v>44500</v>
      </c>
      <c r="B191" s="12">
        <f>Indicadores!AH611</f>
        <v>5326123</v>
      </c>
      <c r="C191" s="34">
        <v>10960519</v>
      </c>
      <c r="D191" s="37">
        <f t="shared" si="12"/>
        <v>0.48593711666390982</v>
      </c>
      <c r="E191" s="35">
        <v>0.7</v>
      </c>
    </row>
    <row r="192" spans="1:5">
      <c r="A192" s="38">
        <v>44501</v>
      </c>
      <c r="B192" s="12">
        <f>Indicadores!AH612</f>
        <v>5336379</v>
      </c>
      <c r="C192" s="34">
        <v>10960519</v>
      </c>
      <c r="D192" s="37">
        <f t="shared" si="12"/>
        <v>0.48687283877706888</v>
      </c>
      <c r="E192" s="35">
        <v>0.7</v>
      </c>
    </row>
    <row r="193" spans="1:5">
      <c r="A193" s="38">
        <v>44502</v>
      </c>
      <c r="B193" s="12">
        <f>Indicadores!AH613</f>
        <v>5348254</v>
      </c>
      <c r="C193" s="34">
        <v>10960519</v>
      </c>
      <c r="D193" s="37">
        <f t="shared" si="12"/>
        <v>0.48795627287357468</v>
      </c>
      <c r="E193" s="35">
        <v>0.7</v>
      </c>
    </row>
    <row r="194" spans="1:5">
      <c r="A194" s="38">
        <v>44503</v>
      </c>
      <c r="B194" s="12">
        <f>Indicadores!AH614</f>
        <v>5359699</v>
      </c>
      <c r="C194" s="34">
        <v>10960519</v>
      </c>
      <c r="D194" s="37">
        <f t="shared" si="12"/>
        <v>0.48900047525121759</v>
      </c>
      <c r="E194" s="35">
        <v>0.7</v>
      </c>
    </row>
    <row r="195" spans="1:5">
      <c r="A195" s="38">
        <v>44504</v>
      </c>
      <c r="B195" s="12">
        <f>Indicadores!AH615</f>
        <v>5371508</v>
      </c>
      <c r="C195" s="34">
        <v>10960519</v>
      </c>
      <c r="D195" s="37">
        <f t="shared" si="12"/>
        <v>0.49007788773506072</v>
      </c>
      <c r="E195" s="35">
        <v>0.7</v>
      </c>
    </row>
    <row r="196" spans="1:5">
      <c r="A196" s="38">
        <v>44505</v>
      </c>
      <c r="B196" s="12">
        <f>Indicadores!AH616</f>
        <v>5382559</v>
      </c>
      <c r="C196" s="34">
        <v>10960519</v>
      </c>
      <c r="D196" s="37">
        <f t="shared" si="12"/>
        <v>0.49108614290983849</v>
      </c>
      <c r="E196" s="35">
        <v>0.7</v>
      </c>
    </row>
    <row r="197" spans="1:5">
      <c r="A197" s="38">
        <v>44506</v>
      </c>
      <c r="B197" s="12">
        <f>Indicadores!AH617</f>
        <v>5385106</v>
      </c>
      <c r="C197" s="34">
        <v>10960519</v>
      </c>
      <c r="D197" s="37">
        <f t="shared" si="12"/>
        <v>0.49131852241668483</v>
      </c>
      <c r="E197" s="35">
        <v>0.7</v>
      </c>
    </row>
    <row r="198" spans="1:5">
      <c r="A198" s="38">
        <v>44507</v>
      </c>
      <c r="B198" s="12">
        <f>Indicadores!AH618</f>
        <v>5386906</v>
      </c>
      <c r="C198" s="34">
        <v>10960519</v>
      </c>
      <c r="D198" s="37">
        <f t="shared" si="12"/>
        <v>0.49148274821657623</v>
      </c>
      <c r="E198" s="35">
        <v>0.7</v>
      </c>
    </row>
    <row r="199" spans="1:5">
      <c r="A199" s="38">
        <v>44508</v>
      </c>
      <c r="B199" s="12">
        <f>Indicadores!AH619</f>
        <v>5401661</v>
      </c>
      <c r="C199" s="34">
        <v>10960519</v>
      </c>
      <c r="D199" s="37">
        <f t="shared" si="12"/>
        <v>0.49282894359290835</v>
      </c>
      <c r="E199" s="35">
        <v>0.7</v>
      </c>
    </row>
    <row r="200" spans="1:5">
      <c r="A200" s="38">
        <v>44509</v>
      </c>
      <c r="B200" s="12">
        <f>Indicadores!AH620</f>
        <v>5417869</v>
      </c>
      <c r="C200" s="34">
        <v>10960519</v>
      </c>
      <c r="D200" s="37">
        <f t="shared" si="12"/>
        <v>0.49430770568437499</v>
      </c>
      <c r="E200" s="35">
        <v>0.7</v>
      </c>
    </row>
    <row r="201" spans="1:5">
      <c r="A201" s="38">
        <v>44510</v>
      </c>
      <c r="B201" s="12">
        <f>Indicadores!AH621</f>
        <v>5433312</v>
      </c>
      <c r="C201" s="34">
        <v>10960519</v>
      </c>
      <c r="D201" s="37">
        <f t="shared" si="12"/>
        <v>0.4957166718108878</v>
      </c>
      <c r="E201" s="35">
        <v>0.7</v>
      </c>
    </row>
    <row r="202" spans="1:5">
      <c r="A202" s="38">
        <v>44511</v>
      </c>
      <c r="B202" s="12">
        <f>Indicadores!AH622</f>
        <v>5448530</v>
      </c>
      <c r="C202" s="34">
        <v>10960519</v>
      </c>
      <c r="D202" s="37">
        <f t="shared" si="12"/>
        <v>0.49710510971241417</v>
      </c>
      <c r="E202" s="35">
        <v>0.7</v>
      </c>
    </row>
    <row r="203" spans="1:5">
      <c r="A203" s="38">
        <v>44512</v>
      </c>
      <c r="B203" s="12">
        <f>Indicadores!AH623</f>
        <v>5460820</v>
      </c>
      <c r="C203" s="34">
        <v>10960519</v>
      </c>
      <c r="D203" s="37">
        <f t="shared" si="12"/>
        <v>0.49822640697945053</v>
      </c>
      <c r="E203" s="35">
        <v>0.7</v>
      </c>
    </row>
    <row r="204" spans="1:5">
      <c r="A204" s="38">
        <v>44513</v>
      </c>
      <c r="B204" s="12">
        <f>Indicadores!AH624</f>
        <v>5465964</v>
      </c>
      <c r="C204" s="34">
        <v>10960519</v>
      </c>
      <c r="D204" s="37">
        <f t="shared" si="12"/>
        <v>0.49869572782091798</v>
      </c>
      <c r="E204" s="35">
        <v>0.7</v>
      </c>
    </row>
    <row r="205" spans="1:5">
      <c r="A205" s="38">
        <v>44514</v>
      </c>
      <c r="B205" s="12">
        <f>Indicadores!AH625</f>
        <v>5467873</v>
      </c>
      <c r="C205" s="34">
        <v>10960519</v>
      </c>
      <c r="D205" s="37">
        <f t="shared" si="12"/>
        <v>0.49886989840535834</v>
      </c>
      <c r="E205" s="35">
        <v>0.7</v>
      </c>
    </row>
    <row r="206" spans="1:5">
      <c r="A206" s="38">
        <v>44515</v>
      </c>
      <c r="B206" s="12">
        <f>Indicadores!AH626</f>
        <v>5481481</v>
      </c>
      <c r="C206" s="34">
        <v>10960519</v>
      </c>
      <c r="D206" s="37">
        <f t="shared" si="12"/>
        <v>0.50011144545253738</v>
      </c>
      <c r="E206" s="35">
        <v>0.7</v>
      </c>
    </row>
    <row r="207" spans="1:5">
      <c r="A207" s="38">
        <v>44516</v>
      </c>
      <c r="B207" s="12">
        <f>Indicadores!AH627</f>
        <v>5497449</v>
      </c>
      <c r="C207" s="34">
        <v>10960519</v>
      </c>
      <c r="D207" s="37">
        <f t="shared" si="12"/>
        <v>0.5015683107706852</v>
      </c>
      <c r="E207" s="35">
        <v>0.7</v>
      </c>
    </row>
    <row r="208" spans="1:5">
      <c r="A208" s="38">
        <v>44517</v>
      </c>
      <c r="B208" s="12">
        <f>Indicadores!AH628</f>
        <v>5510323</v>
      </c>
      <c r="C208" s="34">
        <v>10960519</v>
      </c>
      <c r="D208" s="37">
        <f t="shared" si="12"/>
        <v>0.50274289018613083</v>
      </c>
      <c r="E208" s="35">
        <v>0.7</v>
      </c>
    </row>
    <row r="209" spans="1:5">
      <c r="A209" s="38">
        <v>44518</v>
      </c>
      <c r="B209" s="12">
        <f>Indicadores!AH629</f>
        <v>5518624</v>
      </c>
      <c r="C209" s="34">
        <v>10960519</v>
      </c>
      <c r="D209" s="37">
        <f t="shared" si="12"/>
        <v>0.5035002448332967</v>
      </c>
      <c r="E209" s="35">
        <v>0.7</v>
      </c>
    </row>
    <row r="210" spans="1:5">
      <c r="A210" s="38">
        <v>44519</v>
      </c>
      <c r="B210" s="12">
        <f>Indicadores!AH630</f>
        <v>5529473</v>
      </c>
      <c r="C210" s="34">
        <v>10960519</v>
      </c>
      <c r="D210" s="37">
        <f t="shared" si="12"/>
        <v>0.50449007022386438</v>
      </c>
      <c r="E210" s="35">
        <v>0.7</v>
      </c>
    </row>
    <row r="211" spans="1:5">
      <c r="A211" s="38">
        <v>44520</v>
      </c>
      <c r="B211" s="12">
        <f>Indicadores!AH631</f>
        <v>5533108</v>
      </c>
      <c r="C211" s="34">
        <v>10960519</v>
      </c>
      <c r="D211" s="37">
        <f t="shared" si="12"/>
        <v>0.5048217151030896</v>
      </c>
      <c r="E211" s="35">
        <v>0.7</v>
      </c>
    </row>
    <row r="212" spans="1:5">
      <c r="A212" s="38">
        <v>44521</v>
      </c>
      <c r="B212" s="12">
        <f>Indicadores!AH632</f>
        <v>5534706</v>
      </c>
      <c r="C212" s="34">
        <v>10960519</v>
      </c>
      <c r="D212" s="37">
        <f t="shared" si="12"/>
        <v>0.50496751111877092</v>
      </c>
      <c r="E212" s="35">
        <v>0.7</v>
      </c>
    </row>
    <row r="213" spans="1:5">
      <c r="A213" s="38">
        <v>44522</v>
      </c>
      <c r="B213" s="12">
        <f>Indicadores!AH633</f>
        <v>5545879</v>
      </c>
      <c r="C213" s="34">
        <v>10960519</v>
      </c>
      <c r="D213" s="37">
        <f t="shared" si="12"/>
        <v>0.50598689715331913</v>
      </c>
      <c r="E213" s="35">
        <v>0.7</v>
      </c>
    </row>
    <row r="214" spans="1:5">
      <c r="A214" s="38">
        <v>44523</v>
      </c>
      <c r="B214" s="12">
        <f>Indicadores!AH634</f>
        <v>5558129</v>
      </c>
      <c r="C214" s="34">
        <v>10960519</v>
      </c>
      <c r="D214" s="37">
        <f t="shared" ref="D214:D215" si="13">(B214/C214)</f>
        <v>0.50710454495813562</v>
      </c>
      <c r="E214" s="35">
        <v>0.7</v>
      </c>
    </row>
    <row r="215" spans="1:5">
      <c r="A215" s="38">
        <v>44524</v>
      </c>
      <c r="B215" s="12">
        <f>Indicadores!AH635</f>
        <v>5565330</v>
      </c>
      <c r="C215" s="34">
        <v>10960519</v>
      </c>
      <c r="D215" s="37">
        <f t="shared" si="13"/>
        <v>0.50776153939425683</v>
      </c>
      <c r="E215" s="35">
        <v>0.7</v>
      </c>
    </row>
    <row r="216" spans="1:5">
      <c r="A216" s="38">
        <v>44525</v>
      </c>
      <c r="B216" s="12">
        <f>Indicadores!AH636</f>
        <v>5573716</v>
      </c>
      <c r="C216" s="34">
        <v>10960519</v>
      </c>
      <c r="D216" s="37">
        <f t="shared" ref="D216" si="14">(B216/C216)</f>
        <v>0.50852664914863976</v>
      </c>
      <c r="E216" s="35">
        <v>0.7</v>
      </c>
    </row>
    <row r="217" spans="1:5">
      <c r="A217" s="38">
        <v>44526</v>
      </c>
      <c r="B217" s="12">
        <f>Indicadores!AH637</f>
        <v>5580500</v>
      </c>
      <c r="C217" s="34">
        <v>10960519</v>
      </c>
      <c r="D217" s="37">
        <f t="shared" ref="D217" si="15">(B217/C217)</f>
        <v>0.50914559794111935</v>
      </c>
      <c r="E217" s="35">
        <v>0.7</v>
      </c>
    </row>
    <row r="218" spans="1:5">
      <c r="A218" s="38">
        <v>44527</v>
      </c>
      <c r="B218" s="12">
        <f>Indicadores!AH638</f>
        <v>5583029</v>
      </c>
      <c r="C218" s="34">
        <v>10960519</v>
      </c>
      <c r="D218" s="37">
        <f t="shared" ref="D218" si="16">(B218/C218)</f>
        <v>0.50937633518996683</v>
      </c>
      <c r="E218" s="35">
        <v>0.7</v>
      </c>
    </row>
    <row r="219" spans="1:5">
      <c r="A219" s="38">
        <v>44528</v>
      </c>
      <c r="B219" s="12">
        <f>Indicadores!AH639</f>
        <v>5583974</v>
      </c>
      <c r="C219" s="34">
        <v>10960519</v>
      </c>
      <c r="D219" s="37">
        <f t="shared" ref="D219" si="17">(B219/C219)</f>
        <v>0.50946255373490978</v>
      </c>
      <c r="E219" s="35">
        <v>0.7</v>
      </c>
    </row>
    <row r="220" spans="1:5">
      <c r="A220" s="38">
        <v>44529</v>
      </c>
      <c r="B220" s="12">
        <f>Indicadores!AH640</f>
        <v>5592459</v>
      </c>
      <c r="C220" s="34">
        <v>10960519</v>
      </c>
      <c r="D220" s="37">
        <f t="shared" ref="D220" si="18">(B220/C220)</f>
        <v>0.5102366959082868</v>
      </c>
      <c r="E220" s="35">
        <v>0.7</v>
      </c>
    </row>
    <row r="221" spans="1:5">
      <c r="A221" s="38">
        <v>44530</v>
      </c>
      <c r="B221" s="12">
        <f>Indicadores!AH641</f>
        <v>5601216</v>
      </c>
      <c r="C221" s="34">
        <v>10960519</v>
      </c>
      <c r="D221" s="37">
        <f t="shared" ref="D221" si="19">(B221/C221)</f>
        <v>0.51103565442475851</v>
      </c>
      <c r="E221" s="35">
        <v>0.7</v>
      </c>
    </row>
    <row r="222" spans="1:5">
      <c r="A222" s="38">
        <v>44531</v>
      </c>
      <c r="B222" s="12">
        <f>Indicadores!AH642</f>
        <v>5608755</v>
      </c>
      <c r="C222" s="34">
        <v>10960519</v>
      </c>
      <c r="D222" s="37">
        <f t="shared" ref="D222" si="20">(B222/C222)</f>
        <v>0.51172348681663704</v>
      </c>
      <c r="E222" s="35">
        <v>0.7</v>
      </c>
    </row>
    <row r="223" spans="1:5">
      <c r="A223" s="38">
        <v>44532</v>
      </c>
      <c r="B223" s="12">
        <f>Indicadores!AH643</f>
        <v>5610578</v>
      </c>
      <c r="C223" s="34">
        <v>10960519</v>
      </c>
      <c r="D223" s="37">
        <f t="shared" ref="D223" si="21">(B223/C223)</f>
        <v>0.51188981105730491</v>
      </c>
      <c r="E223" s="35">
        <v>0.7</v>
      </c>
    </row>
    <row r="224" spans="1:5">
      <c r="A224" s="38">
        <v>44533</v>
      </c>
      <c r="B224" s="12">
        <f>Indicadores!AH644</f>
        <v>5617498</v>
      </c>
      <c r="C224" s="34">
        <v>10960519</v>
      </c>
      <c r="D224" s="37">
        <f t="shared" ref="D224:D225" si="22">(B224/C224)</f>
        <v>0.51252116802133185</v>
      </c>
      <c r="E224" s="35">
        <v>0.7</v>
      </c>
    </row>
    <row r="225" spans="1:5">
      <c r="A225" s="38">
        <v>44534</v>
      </c>
      <c r="B225" s="12">
        <f>Indicadores!AH645</f>
        <v>5619966</v>
      </c>
      <c r="C225" s="34">
        <v>10960519</v>
      </c>
      <c r="D225" s="37">
        <f t="shared" si="22"/>
        <v>0.51274633984029405</v>
      </c>
      <c r="E225" s="35">
        <v>0.7</v>
      </c>
    </row>
    <row r="226" spans="1:5">
      <c r="A226" s="38">
        <v>44535</v>
      </c>
      <c r="B226" s="12">
        <f>Indicadores!AH646</f>
        <v>5620848</v>
      </c>
      <c r="C226" s="34">
        <v>10960519</v>
      </c>
      <c r="D226" s="37">
        <f t="shared" ref="D226" si="23">(B226/C226)</f>
        <v>0.51282681048224088</v>
      </c>
      <c r="E226" s="35">
        <v>0.7</v>
      </c>
    </row>
    <row r="227" spans="1:5">
      <c r="A227" s="38">
        <v>44536</v>
      </c>
      <c r="B227" s="12">
        <f>Indicadores!AH647</f>
        <v>5627360</v>
      </c>
      <c r="C227" s="34">
        <v>10960519</v>
      </c>
      <c r="D227" s="37">
        <f t="shared" ref="D227" si="24">(B227/C227)</f>
        <v>0.51342094293162577</v>
      </c>
      <c r="E227" s="35">
        <v>0.7</v>
      </c>
    </row>
    <row r="228" spans="1:5">
      <c r="A228" s="38">
        <v>44537</v>
      </c>
      <c r="B228" s="12">
        <f>Indicadores!AH648</f>
        <v>5633639</v>
      </c>
      <c r="C228" s="34">
        <v>10960519</v>
      </c>
      <c r="D228" s="37">
        <f t="shared" ref="D228" si="25">(B228/C228)</f>
        <v>0.51399381726358029</v>
      </c>
      <c r="E228" s="35">
        <v>0.7</v>
      </c>
    </row>
    <row r="229" spans="1:5">
      <c r="A229" s="38">
        <v>44538</v>
      </c>
      <c r="B229" s="12">
        <f>Indicadores!AH649</f>
        <v>5639648</v>
      </c>
      <c r="C229" s="34">
        <v>10960519</v>
      </c>
      <c r="D229" s="37">
        <f t="shared" ref="D229" si="26">(B229/C229)</f>
        <v>0.51454205772555117</v>
      </c>
      <c r="E229" s="35">
        <v>0.7</v>
      </c>
    </row>
    <row r="230" spans="1:5">
      <c r="A230" s="38">
        <v>44539</v>
      </c>
      <c r="B230" s="12">
        <f>Indicadores!AH650</f>
        <v>5645204</v>
      </c>
      <c r="C230" s="34">
        <v>10960519</v>
      </c>
      <c r="D230" s="37">
        <f t="shared" ref="D230" si="27">(B230/C230)</f>
        <v>0.51504896802788258</v>
      </c>
      <c r="E230" s="35">
        <v>0.7</v>
      </c>
    </row>
    <row r="231" spans="1:5">
      <c r="A231" s="38">
        <v>44540</v>
      </c>
      <c r="B231" s="12">
        <f>Indicadores!AH651</f>
        <v>5650591</v>
      </c>
      <c r="C231" s="34">
        <v>10960519</v>
      </c>
      <c r="D231" s="37">
        <f t="shared" ref="D231" si="28">(B231/C231)</f>
        <v>0.51554045935233539</v>
      </c>
      <c r="E231" s="35">
        <v>0.7</v>
      </c>
    </row>
    <row r="232" spans="1:5">
      <c r="A232" s="38">
        <v>44541</v>
      </c>
      <c r="B232" s="12">
        <f>Indicadores!AH652</f>
        <v>5651988</v>
      </c>
      <c r="C232" s="34">
        <v>10960519</v>
      </c>
      <c r="D232" s="37">
        <f t="shared" ref="D232" si="29">(B232/C232)</f>
        <v>0.51566791682036228</v>
      </c>
      <c r="E232" s="35">
        <v>0.7</v>
      </c>
    </row>
    <row r="233" spans="1:5">
      <c r="A233" s="38">
        <v>44542</v>
      </c>
      <c r="B233" s="12">
        <f>Indicadores!AH653</f>
        <v>5652556</v>
      </c>
      <c r="C233" s="34">
        <v>10960519</v>
      </c>
      <c r="D233" s="37">
        <f t="shared" ref="D233" si="30">(B233/C233)</f>
        <v>0.51571973918388359</v>
      </c>
      <c r="E233" s="35">
        <v>0.7</v>
      </c>
    </row>
    <row r="234" spans="1:5">
      <c r="A234" s="38">
        <v>44543</v>
      </c>
      <c r="B234" s="12">
        <f>Indicadores!AH654</f>
        <v>5657819</v>
      </c>
      <c r="C234" s="34">
        <v>10960519</v>
      </c>
      <c r="D234" s="37">
        <f t="shared" ref="D234" si="31">(B234/C234)</f>
        <v>0.51619991717545488</v>
      </c>
      <c r="E234" s="35">
        <v>0.7</v>
      </c>
    </row>
    <row r="235" spans="1:5">
      <c r="A235" s="38">
        <v>44544</v>
      </c>
      <c r="B235" s="12">
        <f>Indicadores!AH655</f>
        <v>5662746</v>
      </c>
      <c r="C235" s="34">
        <v>10960519</v>
      </c>
      <c r="D235" s="37">
        <f t="shared" ref="D235" si="32">(B235/C235)</f>
        <v>0.51664943968437993</v>
      </c>
      <c r="E235" s="35">
        <v>0.7</v>
      </c>
    </row>
    <row r="236" spans="1:5">
      <c r="A236" s="38">
        <v>44545</v>
      </c>
      <c r="B236" s="12">
        <f>Indicadores!AH656</f>
        <v>5667100</v>
      </c>
      <c r="C236" s="34">
        <v>10960519</v>
      </c>
      <c r="D236" s="37">
        <f t="shared" ref="D236" si="33">(B236/C236)</f>
        <v>0.51704668364700612</v>
      </c>
      <c r="E236" s="35">
        <v>0.7</v>
      </c>
    </row>
    <row r="237" spans="1:5">
      <c r="A237" s="38">
        <v>44546</v>
      </c>
      <c r="B237" s="12">
        <f>Indicadores!AH657</f>
        <v>5672049</v>
      </c>
      <c r="C237" s="34">
        <v>10960519</v>
      </c>
      <c r="D237" s="37">
        <f t="shared" ref="D237" si="34">(B237/C237)</f>
        <v>0.517498213360152</v>
      </c>
      <c r="E237" s="35">
        <v>0.7</v>
      </c>
    </row>
    <row r="238" spans="1:5">
      <c r="A238" s="38">
        <v>44547</v>
      </c>
      <c r="B238" s="12">
        <f>Indicadores!AH658</f>
        <v>5677283</v>
      </c>
      <c r="C238" s="34">
        <v>10960519</v>
      </c>
      <c r="D238" s="37">
        <f t="shared" ref="D238" si="35">(B238/C238)</f>
        <v>0.51797574549161407</v>
      </c>
      <c r="E238" s="35">
        <v>0.7</v>
      </c>
    </row>
    <row r="239" spans="1:5">
      <c r="A239" s="38">
        <v>44548</v>
      </c>
      <c r="B239" s="12">
        <f>Indicadores!AH659</f>
        <v>5678445</v>
      </c>
      <c r="C239" s="34">
        <v>10960519</v>
      </c>
      <c r="D239" s="37">
        <f t="shared" ref="D239" si="36">(B239/C239)</f>
        <v>0.51808176236909953</v>
      </c>
      <c r="E239" s="35">
        <v>0.7</v>
      </c>
    </row>
    <row r="240" spans="1:5">
      <c r="A240" s="38">
        <v>44549</v>
      </c>
      <c r="B240" s="12">
        <f>Indicadores!AH660</f>
        <v>5678863</v>
      </c>
      <c r="C240" s="34">
        <v>10960519</v>
      </c>
      <c r="D240" s="37">
        <f t="shared" ref="D240" si="37">(B240/C240)</f>
        <v>0.51811989924929647</v>
      </c>
      <c r="E240" s="35">
        <v>0.7</v>
      </c>
    </row>
    <row r="241" spans="1:5">
      <c r="A241" s="38">
        <v>44550</v>
      </c>
      <c r="B241" s="12">
        <f>Indicadores!AH661</f>
        <v>5681607</v>
      </c>
      <c r="C241" s="34">
        <v>10960519</v>
      </c>
      <c r="D241" s="37">
        <f t="shared" ref="D241" si="38">(B241/C241)</f>
        <v>0.51837025235757539</v>
      </c>
      <c r="E241" s="35">
        <v>0.7</v>
      </c>
    </row>
    <row r="242" spans="1:5">
      <c r="A242" s="38">
        <v>44551</v>
      </c>
      <c r="B242" s="12">
        <f>Indicadores!AH662</f>
        <v>5685417</v>
      </c>
      <c r="C242" s="34">
        <v>10960519</v>
      </c>
      <c r="D242" s="37">
        <f t="shared" ref="D242" si="39">(B242/C242)</f>
        <v>0.51871786363401218</v>
      </c>
      <c r="E242" s="35">
        <v>0.7</v>
      </c>
    </row>
    <row r="243" spans="1:5">
      <c r="A243" s="38">
        <v>44552</v>
      </c>
      <c r="B243" s="12">
        <f>Indicadores!AH663</f>
        <v>5688369</v>
      </c>
      <c r="C243" s="34">
        <v>10960519</v>
      </c>
      <c r="D243" s="37">
        <f t="shared" ref="D243" si="40">(B243/C243)</f>
        <v>0.51898719394583415</v>
      </c>
      <c r="E243" s="35">
        <v>0.7</v>
      </c>
    </row>
    <row r="244" spans="1:5">
      <c r="A244" s="38">
        <v>44553</v>
      </c>
      <c r="B244" s="12">
        <f>Indicadores!AH664</f>
        <v>5689842</v>
      </c>
      <c r="C244" s="34">
        <v>10960519</v>
      </c>
      <c r="D244" s="37">
        <f t="shared" ref="D244" si="41">(B244/C244)</f>
        <v>0.51912158539207864</v>
      </c>
      <c r="E244" s="35">
        <v>0.7</v>
      </c>
    </row>
    <row r="245" spans="1:5">
      <c r="A245" s="38">
        <v>44554</v>
      </c>
      <c r="B245" s="12">
        <f>Indicadores!AH665</f>
        <v>5690156</v>
      </c>
      <c r="C245" s="34">
        <v>10960519</v>
      </c>
      <c r="D245" s="37">
        <f t="shared" ref="D245" si="42">(B245/C245)</f>
        <v>0.51915023367050406</v>
      </c>
      <c r="E245" s="35">
        <v>0.7</v>
      </c>
    </row>
    <row r="246" spans="1:5">
      <c r="A246" s="38">
        <v>44555</v>
      </c>
      <c r="B246" s="12">
        <f>Indicadores!AH666</f>
        <v>5690156</v>
      </c>
      <c r="C246" s="34">
        <v>10960519</v>
      </c>
      <c r="D246" s="37">
        <f t="shared" ref="D246" si="43">(B246/C246)</f>
        <v>0.51915023367050406</v>
      </c>
      <c r="E246" s="35">
        <v>0.7</v>
      </c>
    </row>
    <row r="247" spans="1:5">
      <c r="A247" s="38">
        <v>44556</v>
      </c>
      <c r="B247" s="12">
        <f>Indicadores!AH667</f>
        <v>5690156</v>
      </c>
      <c r="C247" s="34">
        <v>10960519</v>
      </c>
      <c r="D247" s="37">
        <f t="shared" ref="D247" si="44">(B247/C247)</f>
        <v>0.51915023367050406</v>
      </c>
      <c r="E247" s="35">
        <v>0.7</v>
      </c>
    </row>
    <row r="248" spans="1:5">
      <c r="A248" s="38">
        <v>44557</v>
      </c>
      <c r="B248" s="12">
        <f>Indicadores!AH668</f>
        <v>5692235</v>
      </c>
      <c r="C248" s="34">
        <v>10960519</v>
      </c>
      <c r="D248" s="37">
        <f t="shared" ref="D248" si="45">(B248/C248)</f>
        <v>0.51933991446937866</v>
      </c>
      <c r="E248" s="35">
        <v>0.7</v>
      </c>
    </row>
    <row r="249" spans="1:5">
      <c r="A249" s="38">
        <v>44558</v>
      </c>
      <c r="B249" s="12">
        <f>Indicadores!AH669</f>
        <v>5694921</v>
      </c>
      <c r="C249" s="34">
        <v>10960519</v>
      </c>
      <c r="D249" s="37">
        <f t="shared" ref="D249" si="46">(B249/C249)</f>
        <v>0.5195849758574389</v>
      </c>
      <c r="E249" s="35">
        <v>0.7</v>
      </c>
    </row>
    <row r="250" spans="1:5">
      <c r="A250" s="38">
        <v>44559</v>
      </c>
      <c r="B250" s="12">
        <f>Indicadores!AH670</f>
        <v>5697773</v>
      </c>
      <c r="C250" s="34">
        <v>10960519</v>
      </c>
      <c r="D250" s="37">
        <f t="shared" ref="D250" si="47">(B250/C250)</f>
        <v>0.51984518251371126</v>
      </c>
      <c r="E250" s="35">
        <v>0.7</v>
      </c>
    </row>
    <row r="251" spans="1:5">
      <c r="A251" s="38">
        <v>44560</v>
      </c>
      <c r="B251" s="12">
        <f>Indicadores!AH671</f>
        <v>5699050</v>
      </c>
      <c r="C251" s="34">
        <v>10960519</v>
      </c>
      <c r="D251" s="37">
        <f t="shared" ref="D251" si="48">(B251/C251)</f>
        <v>0.51996169159507866</v>
      </c>
      <c r="E251" s="35">
        <v>0.7</v>
      </c>
    </row>
    <row r="252" spans="1:5">
      <c r="A252" s="38">
        <v>44561</v>
      </c>
      <c r="B252" s="12">
        <f>Indicadores!AH672</f>
        <v>5699587</v>
      </c>
      <c r="C252" s="34">
        <v>10960519</v>
      </c>
      <c r="D252" s="37">
        <f t="shared" ref="D252" si="49">(B252/C252)</f>
        <v>0.52001068562537955</v>
      </c>
      <c r="E252" s="35">
        <v>0.7</v>
      </c>
    </row>
    <row r="253" spans="1:5">
      <c r="A253" s="38">
        <v>44562</v>
      </c>
      <c r="B253" s="12">
        <f>Indicadores!AH673</f>
        <v>5699664</v>
      </c>
      <c r="C253" s="34">
        <v>10960519</v>
      </c>
      <c r="D253" s="37">
        <f t="shared" ref="D253" si="50">(B253/C253)</f>
        <v>0.52001771084015269</v>
      </c>
      <c r="E253" s="35">
        <v>0.7</v>
      </c>
    </row>
    <row r="254" spans="1:5">
      <c r="A254" s="38">
        <v>44563</v>
      </c>
      <c r="B254" s="12">
        <f>Indicadores!AH674</f>
        <v>5699843</v>
      </c>
      <c r="C254" s="34">
        <v>10960519</v>
      </c>
      <c r="D254" s="37">
        <f t="shared" ref="D254" si="51">(B254/C254)</f>
        <v>0.5200340421835864</v>
      </c>
      <c r="E254" s="35">
        <v>0.7</v>
      </c>
    </row>
    <row r="255" spans="1:5">
      <c r="A255" s="38">
        <v>44564</v>
      </c>
      <c r="B255" s="12">
        <f>Indicadores!AH675</f>
        <v>5703471</v>
      </c>
      <c r="C255" s="34">
        <v>10960519</v>
      </c>
      <c r="D255" s="37">
        <f t="shared" ref="D255" si="52">(B255/C255)</f>
        <v>0.5203650484069231</v>
      </c>
      <c r="E255" s="35">
        <v>0.7</v>
      </c>
    </row>
    <row r="256" spans="1:5">
      <c r="A256" s="38">
        <v>44565</v>
      </c>
      <c r="B256" s="12">
        <f>Indicadores!AH676</f>
        <v>5709667</v>
      </c>
      <c r="C256" s="34">
        <v>10960519</v>
      </c>
      <c r="D256" s="37">
        <f t="shared" ref="D256" si="53">(B256/C256)</f>
        <v>0.52093035010477151</v>
      </c>
      <c r="E256" s="35">
        <v>0.7</v>
      </c>
    </row>
    <row r="257" spans="1:5">
      <c r="A257" s="38">
        <v>44566</v>
      </c>
      <c r="B257" s="12">
        <f>Indicadores!AH677</f>
        <v>5713518</v>
      </c>
      <c r="C257" s="34">
        <v>10960519</v>
      </c>
      <c r="D257" s="37">
        <f t="shared" ref="D257" si="54">(B257/C257)</f>
        <v>0.52128170207998359</v>
      </c>
      <c r="E257" s="35">
        <v>0.7</v>
      </c>
    </row>
    <row r="258" spans="1:5">
      <c r="A258" s="38">
        <v>44567</v>
      </c>
      <c r="B258" s="12">
        <f>Indicadores!AH678</f>
        <v>5717501</v>
      </c>
      <c r="C258" s="34">
        <v>10960519</v>
      </c>
      <c r="D258" s="37">
        <f t="shared" ref="D258" si="55">(B258/C258)</f>
        <v>0.52164509728052111</v>
      </c>
      <c r="E258" s="35">
        <v>0.7</v>
      </c>
    </row>
    <row r="259" spans="1:5">
      <c r="A259" s="38">
        <v>44568</v>
      </c>
      <c r="B259" s="12">
        <f>Indicadores!AH679</f>
        <v>5721101</v>
      </c>
      <c r="C259" s="34">
        <v>10960519</v>
      </c>
      <c r="D259" s="37">
        <f t="shared" ref="D259" si="56">(B259/C259)</f>
        <v>0.52197354888030389</v>
      </c>
      <c r="E259" s="35">
        <v>0.7</v>
      </c>
    </row>
    <row r="260" spans="1:5">
      <c r="A260" s="38">
        <v>44569</v>
      </c>
      <c r="B260" s="12">
        <f>Indicadores!AH680</f>
        <v>5722555</v>
      </c>
      <c r="C260" s="34">
        <v>10960519</v>
      </c>
      <c r="D260" s="37">
        <f t="shared" ref="D260" si="57">(B260/C260)</f>
        <v>0.52210620683199405</v>
      </c>
      <c r="E260" s="35">
        <v>0.7</v>
      </c>
    </row>
    <row r="261" spans="1:5">
      <c r="A261" s="38">
        <v>44570</v>
      </c>
      <c r="B261" s="12">
        <f>Indicadores!AH681</f>
        <v>5723047</v>
      </c>
      <c r="C261" s="34">
        <v>10960519</v>
      </c>
      <c r="D261" s="37">
        <f t="shared" ref="D261" si="58">(B261/C261)</f>
        <v>0.52215109521729763</v>
      </c>
      <c r="E261" s="35">
        <v>0.7</v>
      </c>
    </row>
    <row r="262" spans="1:5">
      <c r="A262" s="38">
        <v>44571</v>
      </c>
      <c r="B262" s="12">
        <f>Indicadores!AH682</f>
        <v>5724174</v>
      </c>
      <c r="C262" s="34">
        <v>10960519</v>
      </c>
      <c r="D262" s="37">
        <f t="shared" ref="D262" si="59">(B262/C262)</f>
        <v>0.52225391881534078</v>
      </c>
      <c r="E262" s="35">
        <v>0.7</v>
      </c>
    </row>
    <row r="263" spans="1:5">
      <c r="A263" s="38">
        <v>44572</v>
      </c>
      <c r="B263" s="12">
        <f>Indicadores!AH683</f>
        <v>5728829</v>
      </c>
      <c r="C263" s="34">
        <v>10960519</v>
      </c>
      <c r="D263" s="37">
        <f t="shared" ref="D263" si="60">(B263/C263)</f>
        <v>0.52267862498117101</v>
      </c>
      <c r="E263" s="35">
        <v>0.7</v>
      </c>
    </row>
    <row r="264" spans="1:5">
      <c r="A264" s="38">
        <v>44573</v>
      </c>
      <c r="B264" s="12">
        <f>Indicadores!AH684</f>
        <v>5732824</v>
      </c>
      <c r="C264" s="34">
        <v>10960519</v>
      </c>
      <c r="D264" s="37">
        <f t="shared" ref="D264" si="61">(B264/C264)</f>
        <v>0.52304311502037448</v>
      </c>
      <c r="E264" s="35">
        <v>0.7</v>
      </c>
    </row>
    <row r="265" spans="1:5">
      <c r="A265" s="38">
        <v>44574</v>
      </c>
      <c r="B265" s="12">
        <f>Indicadores!AH685</f>
        <v>5737167</v>
      </c>
      <c r="C265" s="34">
        <v>10960519</v>
      </c>
      <c r="D265" s="37">
        <f t="shared" ref="D265" si="62">(B265/C265)</f>
        <v>0.52343935538089026</v>
      </c>
      <c r="E265" s="35">
        <v>0.7</v>
      </c>
    </row>
    <row r="266" spans="1:5">
      <c r="A266" s="38">
        <v>44575</v>
      </c>
      <c r="B266" s="12">
        <f>Indicadores!AH686</f>
        <v>5740955</v>
      </c>
      <c r="C266" s="34">
        <v>10960519</v>
      </c>
      <c r="D266" s="37">
        <f t="shared" ref="D266" si="63">(B266/C266)</f>
        <v>0.52378495945310621</v>
      </c>
      <c r="E266" s="35">
        <v>0.7</v>
      </c>
    </row>
    <row r="267" spans="1:5">
      <c r="A267" s="38">
        <v>44576</v>
      </c>
      <c r="B267" s="12">
        <f>Indicadores!AH687</f>
        <v>5742268</v>
      </c>
      <c r="C267" s="34">
        <v>10960519</v>
      </c>
      <c r="D267" s="37">
        <f t="shared" ref="D267" si="64">(B267/C267)</f>
        <v>0.52390475305047146</v>
      </c>
      <c r="E267" s="35">
        <v>0.7</v>
      </c>
    </row>
    <row r="268" spans="1:5">
      <c r="A268" s="38">
        <v>44577</v>
      </c>
      <c r="B268" s="12">
        <f>Indicadores!AH688</f>
        <v>5742774</v>
      </c>
      <c r="C268" s="34">
        <v>10960519</v>
      </c>
      <c r="D268" s="37">
        <f t="shared" ref="D268" si="65">(B268/C268)</f>
        <v>0.52395091874755206</v>
      </c>
      <c r="E268" s="35">
        <v>0.7</v>
      </c>
    </row>
    <row r="269" spans="1:5">
      <c r="A269" s="38">
        <v>44578</v>
      </c>
      <c r="B269" s="12">
        <f>Indicadores!AH689</f>
        <v>5747090</v>
      </c>
      <c r="C269" s="34">
        <v>10960519</v>
      </c>
      <c r="D269" s="37">
        <f t="shared" ref="D269" si="66">(B269/C269)</f>
        <v>0.52434469572106945</v>
      </c>
      <c r="E269" s="35">
        <v>0.7</v>
      </c>
    </row>
    <row r="270" spans="1:5">
      <c r="A270" s="38">
        <v>44579</v>
      </c>
      <c r="B270" s="12">
        <f>Indicadores!AH690</f>
        <v>5751304</v>
      </c>
      <c r="C270" s="34">
        <v>10960519</v>
      </c>
      <c r="D270" s="37">
        <f t="shared" ref="D270" si="67">(B270/C270)</f>
        <v>0.52472916656592627</v>
      </c>
      <c r="E270" s="35">
        <v>0.7</v>
      </c>
    </row>
    <row r="271" spans="1:5">
      <c r="A271" s="38">
        <v>44580</v>
      </c>
      <c r="B271" s="12">
        <f>Indicadores!AH691</f>
        <v>5755408</v>
      </c>
      <c r="C271" s="34">
        <v>10960519</v>
      </c>
      <c r="D271" s="37">
        <f t="shared" ref="D271" si="68">(B271/C271)</f>
        <v>0.52510360138967871</v>
      </c>
      <c r="E271" s="35">
        <v>0.7</v>
      </c>
    </row>
    <row r="272" spans="1:5">
      <c r="A272" s="38">
        <v>44581</v>
      </c>
      <c r="B272" s="12">
        <f>Indicadores!AH692</f>
        <v>5759874</v>
      </c>
      <c r="C272" s="34">
        <v>10960519</v>
      </c>
      <c r="D272" s="37">
        <f t="shared" ref="D272" si="69">(B272/C272)</f>
        <v>0.52551106384652035</v>
      </c>
      <c r="E272" s="35">
        <v>0.7</v>
      </c>
    </row>
    <row r="273" spans="1:5">
      <c r="A273" s="38">
        <v>44582</v>
      </c>
      <c r="B273" s="12">
        <f>Indicadores!AH693</f>
        <v>5760761</v>
      </c>
      <c r="C273" s="34">
        <v>10960519</v>
      </c>
      <c r="D273" s="37">
        <f t="shared" ref="D273" si="70">(B273/C273)</f>
        <v>0.52559199067124462</v>
      </c>
      <c r="E273" s="35">
        <v>0.7</v>
      </c>
    </row>
    <row r="274" spans="1:5">
      <c r="A274" s="38">
        <v>44583</v>
      </c>
      <c r="B274" s="12">
        <f>Indicadores!AH694</f>
        <v>5761772</v>
      </c>
      <c r="C274" s="34">
        <v>10960519</v>
      </c>
      <c r="D274" s="37">
        <f t="shared" ref="D274" si="71">(B274/C274)</f>
        <v>0.5256842308288503</v>
      </c>
      <c r="E274" s="35">
        <v>0.7</v>
      </c>
    </row>
    <row r="275" spans="1:5">
      <c r="A275" s="38">
        <v>44584</v>
      </c>
      <c r="B275" s="12">
        <f>Indicadores!AH695</f>
        <v>5762449</v>
      </c>
      <c r="C275" s="34">
        <v>10960519</v>
      </c>
      <c r="D275" s="37">
        <f t="shared" ref="D275" si="72">(B275/C275)</f>
        <v>0.52574599797692056</v>
      </c>
      <c r="E275" s="35">
        <v>0.7</v>
      </c>
    </row>
    <row r="276" spans="1:5">
      <c r="A276" s="38">
        <v>44585</v>
      </c>
      <c r="B276" s="12">
        <f>Indicadores!AH696</f>
        <v>5763319</v>
      </c>
      <c r="C276" s="34">
        <v>10960519</v>
      </c>
      <c r="D276" s="37">
        <f t="shared" ref="D276" si="73">(B276/C276)</f>
        <v>0.52582537378020144</v>
      </c>
      <c r="E276" s="35">
        <v>0.7</v>
      </c>
    </row>
    <row r="277" spans="1:5">
      <c r="A277" s="38">
        <v>44586</v>
      </c>
      <c r="B277" s="12">
        <f>Indicadores!AH697</f>
        <v>5769230</v>
      </c>
      <c r="C277" s="34">
        <v>10960519</v>
      </c>
      <c r="D277" s="37">
        <f t="shared" ref="D277" si="74">(B277/C277)</f>
        <v>0.52636467305973378</v>
      </c>
      <c r="E277" s="35">
        <v>0.7</v>
      </c>
    </row>
    <row r="278" spans="1:5">
      <c r="A278" s="38">
        <v>44587</v>
      </c>
      <c r="B278" s="12">
        <f>Indicadores!AH698</f>
        <v>5774497</v>
      </c>
      <c r="C278" s="34">
        <v>10960519</v>
      </c>
      <c r="D278" s="37">
        <f t="shared" ref="D278" si="75">(B278/C278)</f>
        <v>0.52684521599752709</v>
      </c>
      <c r="E278" s="35">
        <v>0.7</v>
      </c>
    </row>
    <row r="279" spans="1:5">
      <c r="A279" s="38">
        <v>44588</v>
      </c>
      <c r="B279" s="12">
        <f>Indicadores!AH699</f>
        <v>5779813</v>
      </c>
      <c r="C279" s="34">
        <v>10960519</v>
      </c>
      <c r="D279" s="37">
        <f t="shared" ref="D279" si="76">(B279/C279)</f>
        <v>0.52733022952653974</v>
      </c>
      <c r="E279" s="35">
        <v>0.7</v>
      </c>
    </row>
    <row r="280" spans="1:5">
      <c r="A280" s="38">
        <v>44589</v>
      </c>
      <c r="B280" s="12">
        <f>Indicadores!AH700</f>
        <v>5785462</v>
      </c>
      <c r="C280" s="34">
        <v>10960519</v>
      </c>
      <c r="D280" s="37">
        <f t="shared" ref="D280" si="77">(B280/C280)</f>
        <v>0.52784562482853226</v>
      </c>
      <c r="E280" s="35">
        <v>0.7</v>
      </c>
    </row>
    <row r="281" spans="1:5">
      <c r="A281" s="38">
        <v>44590</v>
      </c>
      <c r="B281" s="12">
        <f>Indicadores!AH701</f>
        <v>5787787</v>
      </c>
      <c r="C281" s="34">
        <v>10960519</v>
      </c>
      <c r="D281" s="37">
        <f t="shared" ref="D281" si="78">(B281/C281)</f>
        <v>0.52805774982005871</v>
      </c>
      <c r="E281" s="35">
        <v>0.7</v>
      </c>
    </row>
    <row r="282" spans="1:5">
      <c r="A282" s="38">
        <v>44591</v>
      </c>
      <c r="B282" s="12">
        <f>Indicadores!AH702</f>
        <v>5789094</v>
      </c>
      <c r="C282" s="34">
        <v>10960519</v>
      </c>
      <c r="D282" s="37">
        <f t="shared" ref="D282" si="79">(B282/C282)</f>
        <v>0.52817699599809098</v>
      </c>
      <c r="E282" s="35">
        <v>0.7</v>
      </c>
    </row>
    <row r="283" spans="1:5">
      <c r="A283" s="38">
        <v>44592</v>
      </c>
      <c r="B283" s="12">
        <f>Indicadores!AH703</f>
        <v>5794606</v>
      </c>
      <c r="C283" s="34">
        <v>10960519</v>
      </c>
      <c r="D283" s="37">
        <f t="shared" ref="D283" si="80">(B283/C283)</f>
        <v>0.52867989189198061</v>
      </c>
      <c r="E283" s="35">
        <v>0.7</v>
      </c>
    </row>
    <row r="284" spans="1:5">
      <c r="A284" s="38">
        <v>44593</v>
      </c>
      <c r="B284" s="12">
        <f>Indicadores!AH704</f>
        <v>5801131</v>
      </c>
      <c r="C284" s="34">
        <v>10960519</v>
      </c>
      <c r="D284" s="37">
        <f t="shared" ref="D284" si="81">(B284/C284)</f>
        <v>0.52927521041658698</v>
      </c>
      <c r="E284" s="35">
        <v>0.7</v>
      </c>
    </row>
    <row r="285" spans="1:5">
      <c r="A285" s="38">
        <v>44594</v>
      </c>
      <c r="B285" s="12">
        <f>Indicadores!AH705</f>
        <v>5806741</v>
      </c>
      <c r="C285" s="34">
        <v>10960519</v>
      </c>
      <c r="D285" s="37">
        <f t="shared" ref="D285" si="82">(B285/C285)</f>
        <v>0.52978704749291528</v>
      </c>
      <c r="E285" s="35">
        <v>0.7</v>
      </c>
    </row>
    <row r="286" spans="1:5">
      <c r="A286" s="38">
        <v>44595</v>
      </c>
      <c r="B286" s="12">
        <f>Indicadores!AH706</f>
        <v>5811643</v>
      </c>
      <c r="C286" s="34">
        <v>10960519</v>
      </c>
      <c r="D286" s="37">
        <f t="shared" ref="D286" si="83">(B286/C286)</f>
        <v>0.53023428908795289</v>
      </c>
      <c r="E286" s="35">
        <v>0.7</v>
      </c>
    </row>
    <row r="287" spans="1:5">
      <c r="A287" s="38">
        <v>44596</v>
      </c>
      <c r="B287" s="12">
        <f>Indicadores!AH707</f>
        <v>5815779</v>
      </c>
      <c r="C287" s="34">
        <v>10960519</v>
      </c>
      <c r="D287" s="37">
        <f t="shared" ref="D287" si="84">(B287/C287)</f>
        <v>0.53061164348148115</v>
      </c>
      <c r="E287" s="35">
        <v>0.7</v>
      </c>
    </row>
    <row r="288" spans="1:5">
      <c r="A288" s="38">
        <v>44597</v>
      </c>
      <c r="B288" s="12">
        <f>Indicadores!AH708</f>
        <v>5817561</v>
      </c>
      <c r="C288" s="34">
        <v>10960519</v>
      </c>
      <c r="D288" s="37">
        <f t="shared" ref="D288" si="85">(B288/C288)</f>
        <v>0.53077422702337362</v>
      </c>
      <c r="E288" s="35">
        <v>0.7</v>
      </c>
    </row>
    <row r="289" spans="1:5">
      <c r="A289" s="38">
        <v>44598</v>
      </c>
      <c r="B289" s="12">
        <f>Indicadores!AH709</f>
        <v>5818265</v>
      </c>
      <c r="C289" s="34">
        <v>10960519</v>
      </c>
      <c r="D289" s="37">
        <f t="shared" ref="D289" si="86">(B289/C289)</f>
        <v>0.53083845755844228</v>
      </c>
      <c r="E289" s="35">
        <v>0.7</v>
      </c>
    </row>
    <row r="290" spans="1:5">
      <c r="A290" s="38">
        <v>44599</v>
      </c>
      <c r="B290" s="12">
        <f>Indicadores!AH710</f>
        <v>5822454</v>
      </c>
      <c r="C290" s="34">
        <v>10960519</v>
      </c>
      <c r="D290" s="37">
        <f t="shared" ref="D290" si="87">(B290/C290)</f>
        <v>0.53122064748941178</v>
      </c>
      <c r="E290" s="35">
        <v>0.7</v>
      </c>
    </row>
    <row r="291" spans="1:5">
      <c r="A291" s="38">
        <v>44600</v>
      </c>
      <c r="B291" s="12">
        <f>Indicadores!AH711</f>
        <v>5826518</v>
      </c>
      <c r="C291" s="34">
        <v>10960519</v>
      </c>
      <c r="D291" s="37">
        <f t="shared" ref="D291" si="88">(B291/C291)</f>
        <v>0.53159143285094435</v>
      </c>
      <c r="E291" s="35">
        <v>0.7</v>
      </c>
    </row>
    <row r="292" spans="1:5">
      <c r="A292" s="38">
        <v>44601</v>
      </c>
      <c r="B292" s="12">
        <f>Indicadores!AH712</f>
        <v>5830645</v>
      </c>
      <c r="C292" s="34">
        <v>10960519</v>
      </c>
      <c r="D292" s="37">
        <f t="shared" ref="D292" si="89">(B292/C292)</f>
        <v>0.53196796611547315</v>
      </c>
      <c r="E292" s="35">
        <v>0.7</v>
      </c>
    </row>
    <row r="293" spans="1:5">
      <c r="A293" s="38">
        <v>44602</v>
      </c>
      <c r="B293" s="12">
        <f>Indicadores!AH713</f>
        <v>5834345</v>
      </c>
      <c r="C293" s="34">
        <v>10960519</v>
      </c>
      <c r="D293" s="37">
        <f t="shared" ref="D293" si="90">(B293/C293)</f>
        <v>0.53230554137080555</v>
      </c>
      <c r="E293" s="35">
        <v>0.7</v>
      </c>
    </row>
    <row r="294" spans="1:5">
      <c r="A294" s="38">
        <v>44603</v>
      </c>
      <c r="B294" s="12">
        <f>Indicadores!AH714</f>
        <v>5837594</v>
      </c>
      <c r="C294" s="34">
        <v>10960519</v>
      </c>
      <c r="D294" s="37">
        <f t="shared" ref="D294" si="91">(B294/C294)</f>
        <v>0.53260196893960954</v>
      </c>
      <c r="E294" s="35">
        <v>0.7</v>
      </c>
    </row>
    <row r="295" spans="1:5">
      <c r="A295" s="38">
        <v>44604</v>
      </c>
      <c r="B295" s="12">
        <f>Indicadores!AH715</f>
        <v>5838761</v>
      </c>
      <c r="C295" s="34">
        <v>10960519</v>
      </c>
      <c r="D295" s="37">
        <f t="shared" ref="D295" si="92">(B295/C295)</f>
        <v>0.53270844199987244</v>
      </c>
      <c r="E295" s="35">
        <v>0.7</v>
      </c>
    </row>
    <row r="296" spans="1:5">
      <c r="A296" s="38">
        <v>44605</v>
      </c>
      <c r="B296" s="12">
        <f>Indicadores!AH716</f>
        <v>5839347</v>
      </c>
      <c r="C296" s="34">
        <v>10960519</v>
      </c>
      <c r="D296" s="37">
        <f t="shared" ref="D296" si="93">(B296/C296)</f>
        <v>0.53276190662139267</v>
      </c>
      <c r="E296" s="35">
        <v>0.7</v>
      </c>
    </row>
    <row r="297" spans="1:5">
      <c r="A297" s="38">
        <v>44606</v>
      </c>
      <c r="B297" s="12">
        <f>Indicadores!AH717</f>
        <v>5841497</v>
      </c>
      <c r="C297" s="34">
        <v>10960519</v>
      </c>
      <c r="D297" s="37">
        <f t="shared" ref="D297" si="94">(B297/C297)</f>
        <v>0.53295806521570743</v>
      </c>
      <c r="E297" s="35">
        <v>0.7</v>
      </c>
    </row>
    <row r="298" spans="1:5">
      <c r="A298" s="38">
        <v>44607</v>
      </c>
      <c r="B298" s="12">
        <f>Indicadores!AH718</f>
        <v>5844147</v>
      </c>
      <c r="C298" s="34">
        <v>10960519</v>
      </c>
      <c r="D298" s="37">
        <f t="shared" ref="D298" si="95">(B298/C298)</f>
        <v>0.53319984208776972</v>
      </c>
      <c r="E298" s="35">
        <v>0.7</v>
      </c>
    </row>
    <row r="299" spans="1:5">
      <c r="A299" s="38">
        <v>44608</v>
      </c>
      <c r="B299" s="12">
        <f>Indicadores!AH719</f>
        <v>5846951</v>
      </c>
      <c r="C299" s="34">
        <v>10960519</v>
      </c>
      <c r="D299" s="37">
        <f t="shared" ref="D299" si="96">(B299/C299)</f>
        <v>0.53345566938937838</v>
      </c>
      <c r="E299" s="35">
        <v>0.7</v>
      </c>
    </row>
    <row r="300" spans="1:5">
      <c r="A300" s="38">
        <v>44609</v>
      </c>
      <c r="B300" s="12">
        <f>Indicadores!AH720</f>
        <v>5848497</v>
      </c>
      <c r="C300" s="34">
        <v>10960519</v>
      </c>
      <c r="D300" s="37">
        <f t="shared" ref="D300" si="97">(B300/C300)</f>
        <v>0.533596721104174</v>
      </c>
      <c r="E300" s="35">
        <v>0.7</v>
      </c>
    </row>
    <row r="301" spans="1:5">
      <c r="A301" s="38">
        <v>44610</v>
      </c>
      <c r="B301" s="12">
        <f>Indicadores!AH721</f>
        <v>5849687</v>
      </c>
      <c r="C301" s="34">
        <v>10960519</v>
      </c>
      <c r="D301" s="37">
        <f t="shared" ref="D301" si="98">(B301/C301)</f>
        <v>0.53370529260521327</v>
      </c>
      <c r="E301" s="35">
        <v>0.7</v>
      </c>
    </row>
    <row r="302" spans="1:5">
      <c r="A302" s="38">
        <v>44611</v>
      </c>
      <c r="B302" s="12">
        <f>Indicadores!AH722</f>
        <v>5850128</v>
      </c>
      <c r="C302" s="34">
        <v>10960519</v>
      </c>
      <c r="D302" s="37">
        <f t="shared" ref="D302" si="99">(B302/C302)</f>
        <v>0.53374552792618668</v>
      </c>
      <c r="E302" s="35">
        <v>0.7</v>
      </c>
    </row>
    <row r="303" spans="1:5">
      <c r="A303" s="38">
        <v>44612</v>
      </c>
      <c r="B303" s="12">
        <f>Indicadores!AH723</f>
        <v>5850286</v>
      </c>
      <c r="C303" s="34">
        <v>10960519</v>
      </c>
      <c r="D303" s="37">
        <f t="shared" ref="D303" si="100">(B303/C303)</f>
        <v>0.53375994330195498</v>
      </c>
      <c r="E303" s="35">
        <v>0.7</v>
      </c>
    </row>
    <row r="304" spans="1:5">
      <c r="A304" s="38">
        <v>44613</v>
      </c>
      <c r="B304" s="12">
        <f>Indicadores!AH724</f>
        <v>5851397</v>
      </c>
      <c r="C304" s="34">
        <v>10960519</v>
      </c>
      <c r="D304" s="37">
        <f t="shared" ref="D304" si="101">(B304/C304)</f>
        <v>0.53386130711511015</v>
      </c>
      <c r="E304" s="35">
        <v>0.7</v>
      </c>
    </row>
    <row r="305" spans="1:5">
      <c r="A305" s="38">
        <v>44614</v>
      </c>
      <c r="B305" s="12">
        <f>Indicadores!AH725</f>
        <v>5852617</v>
      </c>
      <c r="C305" s="34">
        <v>10960519</v>
      </c>
      <c r="D305" s="37">
        <f t="shared" ref="D305" si="102">(B305/C305)</f>
        <v>0.53397261571281429</v>
      </c>
      <c r="E305" s="35">
        <v>0.7</v>
      </c>
    </row>
    <row r="306" spans="1:5">
      <c r="A306" s="38">
        <v>44615</v>
      </c>
      <c r="B306" s="12">
        <f>Indicadores!AH726</f>
        <v>5853859</v>
      </c>
      <c r="C306" s="34">
        <v>10960519</v>
      </c>
      <c r="D306" s="37">
        <f t="shared" ref="D306" si="103">(B306/C306)</f>
        <v>0.53408593151473938</v>
      </c>
      <c r="E306" s="35">
        <v>0.7</v>
      </c>
    </row>
    <row r="307" spans="1:5">
      <c r="A307" s="38">
        <v>44616</v>
      </c>
      <c r="B307" s="12">
        <f>Indicadores!AH727</f>
        <v>5855045</v>
      </c>
      <c r="C307" s="34">
        <v>10960519</v>
      </c>
      <c r="D307" s="37">
        <f t="shared" ref="D307" si="104">(B307/C307)</f>
        <v>0.53419413806955673</v>
      </c>
      <c r="E307" s="35">
        <v>0.7</v>
      </c>
    </row>
    <row r="308" spans="1:5">
      <c r="A308" s="38">
        <v>44617</v>
      </c>
      <c r="B308" s="12">
        <f>Indicadores!AH728</f>
        <v>5856392</v>
      </c>
      <c r="C308" s="34">
        <v>10960519</v>
      </c>
      <c r="D308" s="37">
        <f t="shared" ref="D308" si="105">(B308/C308)</f>
        <v>0.53431703370980876</v>
      </c>
      <c r="E308" s="35">
        <v>0.7</v>
      </c>
    </row>
    <row r="309" spans="1:5">
      <c r="A309" s="38">
        <v>44618</v>
      </c>
      <c r="B309" s="12">
        <f>Indicadores!AH729</f>
        <v>5856911</v>
      </c>
      <c r="C309" s="34">
        <v>10960519</v>
      </c>
      <c r="D309" s="37">
        <f t="shared" ref="D309:D310" si="106">(B309/C309)</f>
        <v>0.53436438548211085</v>
      </c>
      <c r="E309" s="35">
        <v>0.7</v>
      </c>
    </row>
    <row r="310" spans="1:5">
      <c r="A310" s="38">
        <v>44619</v>
      </c>
      <c r="B310" s="12">
        <f>Indicadores!AH730</f>
        <v>5857078</v>
      </c>
      <c r="C310" s="34">
        <v>10960519</v>
      </c>
      <c r="D310" s="37">
        <f t="shared" si="106"/>
        <v>0.53437962198687849</v>
      </c>
      <c r="E310" s="35">
        <v>0.7</v>
      </c>
    </row>
    <row r="311" spans="1:5">
      <c r="A311" s="38">
        <v>44620</v>
      </c>
      <c r="B311" s="12">
        <f>Indicadores!AH731</f>
        <v>5858333</v>
      </c>
      <c r="C311" s="34">
        <v>10960519</v>
      </c>
      <c r="D311" s="37">
        <f t="shared" ref="D311" si="107">(B311/C311)</f>
        <v>0.53449412386402506</v>
      </c>
      <c r="E311" s="35">
        <v>0.7</v>
      </c>
    </row>
    <row r="312" spans="1:5">
      <c r="A312" s="38">
        <v>44621</v>
      </c>
      <c r="B312" s="12">
        <f>Indicadores!AH732</f>
        <v>5858333</v>
      </c>
      <c r="C312" s="34">
        <v>10960519</v>
      </c>
      <c r="D312" s="37">
        <f t="shared" ref="D312:D315" si="108">(B312/C312)</f>
        <v>0.53449412386402506</v>
      </c>
      <c r="E312" s="35">
        <v>0.7</v>
      </c>
    </row>
    <row r="313" spans="1:5">
      <c r="A313" s="38">
        <v>44622</v>
      </c>
      <c r="B313" s="12">
        <f>Indicadores!AH733</f>
        <v>5858333</v>
      </c>
      <c r="C313" s="34">
        <v>10960519</v>
      </c>
      <c r="D313" s="37">
        <f t="shared" si="108"/>
        <v>0.53449412386402506</v>
      </c>
      <c r="E313" s="35">
        <v>0.7</v>
      </c>
    </row>
    <row r="314" spans="1:5">
      <c r="A314" s="38">
        <v>44623</v>
      </c>
      <c r="B314" s="12">
        <f>Indicadores!AH734</f>
        <v>5862255</v>
      </c>
      <c r="C314" s="34">
        <v>10960519</v>
      </c>
      <c r="D314" s="37">
        <f t="shared" si="108"/>
        <v>0.5348519536346773</v>
      </c>
      <c r="E314" s="35">
        <v>0.7</v>
      </c>
    </row>
    <row r="315" spans="1:5">
      <c r="A315" s="38">
        <v>44624</v>
      </c>
      <c r="B315" s="12">
        <f>Indicadores!AH735</f>
        <v>5862255</v>
      </c>
      <c r="C315" s="34">
        <v>10960519</v>
      </c>
      <c r="D315" s="37">
        <f t="shared" si="108"/>
        <v>0.5348519536346773</v>
      </c>
      <c r="E315" s="35">
        <v>0.7</v>
      </c>
    </row>
    <row r="316" spans="1:5">
      <c r="A316" s="38">
        <v>44625</v>
      </c>
      <c r="B316" s="12">
        <f>Indicadores!AH736</f>
        <v>5862255</v>
      </c>
      <c r="C316" s="34">
        <v>10960519</v>
      </c>
      <c r="D316" s="37">
        <f t="shared" ref="D316" si="109">(B316/C316)</f>
        <v>0.5348519536346773</v>
      </c>
      <c r="E316" s="35">
        <v>0.7</v>
      </c>
    </row>
    <row r="317" spans="1:5">
      <c r="A317" s="38">
        <v>44626</v>
      </c>
      <c r="B317" s="12">
        <f>Indicadores!AH737</f>
        <v>5864471</v>
      </c>
      <c r="C317" s="34">
        <v>10960519</v>
      </c>
      <c r="D317" s="37">
        <f t="shared" ref="D317" si="110">(B317/C317)</f>
        <v>0.53505413384165479</v>
      </c>
      <c r="E317" s="35">
        <v>0.7</v>
      </c>
    </row>
    <row r="318" spans="1:5">
      <c r="A318" s="38">
        <v>44627</v>
      </c>
      <c r="B318" s="12">
        <f>Indicadores!AH738</f>
        <v>5865672</v>
      </c>
      <c r="C318" s="34">
        <v>10960519</v>
      </c>
      <c r="D318" s="37">
        <f t="shared" ref="D318" si="111">(B318/C318)</f>
        <v>0.53516370894480458</v>
      </c>
      <c r="E318" s="35">
        <v>0.7</v>
      </c>
    </row>
    <row r="319" spans="1:5">
      <c r="A319" s="38">
        <v>44628</v>
      </c>
      <c r="B319" s="12">
        <f>Indicadores!AH739</f>
        <v>5865672</v>
      </c>
      <c r="C319" s="34">
        <v>10960519</v>
      </c>
      <c r="D319" s="37">
        <f t="shared" ref="D319" si="112">(B319/C319)</f>
        <v>0.53516370894480458</v>
      </c>
      <c r="E319" s="35">
        <v>0.7</v>
      </c>
    </row>
    <row r="320" spans="1:5">
      <c r="A320" s="38">
        <v>44629</v>
      </c>
      <c r="B320" s="12">
        <f>Indicadores!AH740</f>
        <v>5866945</v>
      </c>
      <c r="C320" s="34">
        <v>10960519</v>
      </c>
      <c r="D320" s="37">
        <f t="shared" ref="D320" si="113">(B320/C320)</f>
        <v>0.53527985307994996</v>
      </c>
      <c r="E320" s="35">
        <v>0.7</v>
      </c>
    </row>
    <row r="321" spans="1:5">
      <c r="A321" s="38">
        <v>44630</v>
      </c>
      <c r="B321" s="12">
        <f>Indicadores!AH741</f>
        <v>5870014</v>
      </c>
      <c r="C321" s="34">
        <v>10960519</v>
      </c>
      <c r="D321" s="37">
        <f t="shared" ref="D321" si="114">(B321/C321)</f>
        <v>0.53555985806876483</v>
      </c>
      <c r="E321" s="35">
        <v>0.7</v>
      </c>
    </row>
    <row r="322" spans="1:5">
      <c r="A322" s="38">
        <v>44631</v>
      </c>
      <c r="B322" s="12">
        <f>Indicadores!AH742</f>
        <v>5870014</v>
      </c>
      <c r="C322" s="34">
        <v>10960519</v>
      </c>
      <c r="D322" s="37">
        <f t="shared" ref="D322" si="115">(B322/C322)</f>
        <v>0.53555985806876483</v>
      </c>
      <c r="E322" s="35">
        <v>0.7</v>
      </c>
    </row>
    <row r="323" spans="1:5">
      <c r="A323" s="38">
        <v>44632</v>
      </c>
      <c r="B323" s="12">
        <f>Indicadores!AH743</f>
        <v>5871320</v>
      </c>
      <c r="C323" s="34">
        <v>10960519</v>
      </c>
      <c r="D323" s="37">
        <f t="shared" ref="D323" si="116">(B323/C323)</f>
        <v>0.53567901301024157</v>
      </c>
      <c r="E323" s="35">
        <v>0.7</v>
      </c>
    </row>
    <row r="324" spans="1:5">
      <c r="A324" s="38">
        <v>44633</v>
      </c>
      <c r="B324" s="12">
        <f>Indicadores!AH744</f>
        <v>5871851</v>
      </c>
      <c r="C324" s="34">
        <v>10960519</v>
      </c>
      <c r="D324" s="37">
        <f t="shared" ref="D324:D325" si="117">(B324/C324)</f>
        <v>0.53572745962120949</v>
      </c>
      <c r="E324" s="35">
        <v>0.7</v>
      </c>
    </row>
    <row r="325" spans="1:5">
      <c r="A325" s="38">
        <v>44634</v>
      </c>
      <c r="B325" s="12">
        <f>Indicadores!AH745</f>
        <v>5875457</v>
      </c>
      <c r="C325" s="34">
        <v>10960519</v>
      </c>
      <c r="D325" s="37">
        <f t="shared" si="117"/>
        <v>0.53605645864032536</v>
      </c>
      <c r="E325" s="35">
        <v>0.7</v>
      </c>
    </row>
    <row r="326" spans="1:5">
      <c r="A326" s="38">
        <v>44635</v>
      </c>
      <c r="B326" s="12">
        <f>Indicadores!AH746</f>
        <v>5875457</v>
      </c>
      <c r="C326" s="34">
        <v>10960519</v>
      </c>
      <c r="D326" s="37">
        <f t="shared" ref="D326:D327" si="118">(B326/C326)</f>
        <v>0.53605645864032536</v>
      </c>
      <c r="E326" s="35">
        <v>0.7</v>
      </c>
    </row>
    <row r="327" spans="1:5">
      <c r="A327" s="38">
        <v>44636</v>
      </c>
      <c r="B327" s="12">
        <f>Indicadores!AH747</f>
        <v>5885943</v>
      </c>
      <c r="C327" s="34">
        <v>10960519</v>
      </c>
      <c r="D327" s="37">
        <f t="shared" si="118"/>
        <v>0.53701316516124831</v>
      </c>
      <c r="E327" s="35">
        <v>0.7</v>
      </c>
    </row>
    <row r="328" spans="1:5">
      <c r="A328" s="38">
        <v>44637</v>
      </c>
      <c r="B328" s="12">
        <f>Indicadores!AH748</f>
        <v>5892931</v>
      </c>
      <c r="C328" s="34">
        <v>10960519</v>
      </c>
      <c r="D328" s="37">
        <f t="shared" ref="D328:D329" si="119">(B328/C328)</f>
        <v>0.53765072621104892</v>
      </c>
      <c r="E328" s="35">
        <v>0.7</v>
      </c>
    </row>
    <row r="329" spans="1:5">
      <c r="A329" s="38">
        <v>44638</v>
      </c>
      <c r="B329" s="12">
        <f>Indicadores!AH749</f>
        <v>5897465</v>
      </c>
      <c r="C329" s="34">
        <v>10960519</v>
      </c>
      <c r="D329" s="37">
        <f t="shared" si="119"/>
        <v>0.53806439275366436</v>
      </c>
      <c r="E329" s="35">
        <v>0.7</v>
      </c>
    </row>
    <row r="330" spans="1:5">
      <c r="A330" s="38">
        <v>44639</v>
      </c>
      <c r="B330" s="12">
        <f>Indicadores!AH750</f>
        <v>5897465</v>
      </c>
      <c r="C330" s="34">
        <v>10960519</v>
      </c>
      <c r="D330" s="37">
        <f t="shared" ref="D330" si="120">(B330/C330)</f>
        <v>0.53806439275366436</v>
      </c>
      <c r="E330" s="35">
        <v>0.7</v>
      </c>
    </row>
    <row r="331" spans="1:5">
      <c r="A331" s="38">
        <v>44640</v>
      </c>
      <c r="B331" s="12">
        <f>Indicadores!AH751</f>
        <v>5898438</v>
      </c>
      <c r="C331" s="34">
        <v>10960519</v>
      </c>
      <c r="D331" s="37">
        <f>(B331/C331)</f>
        <v>0.53815316592216111</v>
      </c>
      <c r="E331" s="35">
        <v>0.7</v>
      </c>
    </row>
    <row r="332" spans="1:5">
      <c r="A332" s="38">
        <v>44641</v>
      </c>
      <c r="B332" s="12">
        <f>Indicadores!AH752</f>
        <v>5902828</v>
      </c>
      <c r="C332" s="34">
        <v>10960519</v>
      </c>
      <c r="D332" s="37">
        <f>(B332/C332)</f>
        <v>0.53855369440078527</v>
      </c>
      <c r="E332" s="35">
        <v>0.7</v>
      </c>
    </row>
    <row r="333" spans="1:5">
      <c r="A333" s="38">
        <v>44642</v>
      </c>
      <c r="B333" s="12">
        <f>Indicadores!AH753</f>
        <v>5908126</v>
      </c>
      <c r="C333" s="34">
        <v>10960519</v>
      </c>
      <c r="D333" s="37">
        <f t="shared" ref="D333:D334" si="121">(B333/C333)</f>
        <v>0.53903706567179899</v>
      </c>
      <c r="E333" s="35">
        <v>0.7</v>
      </c>
    </row>
    <row r="334" spans="1:5">
      <c r="A334" s="38">
        <v>44643</v>
      </c>
      <c r="B334" s="12">
        <f>Indicadores!AH754</f>
        <v>5912809</v>
      </c>
      <c r="C334" s="34">
        <v>10960519</v>
      </c>
      <c r="D334" s="37">
        <f t="shared" si="121"/>
        <v>0.53946432646118314</v>
      </c>
      <c r="E334" s="35">
        <v>0.7</v>
      </c>
    </row>
    <row r="335" spans="1:5">
      <c r="A335" s="38">
        <v>44644</v>
      </c>
      <c r="B335" s="12">
        <f>Indicadores!AH755</f>
        <v>5917791</v>
      </c>
      <c r="C335" s="34">
        <v>10960519</v>
      </c>
      <c r="D335" s="37">
        <f t="shared" ref="D335:D336" si="122">(B335/C335)</f>
        <v>0.53991886698066027</v>
      </c>
      <c r="E335" s="35">
        <v>0.7</v>
      </c>
    </row>
    <row r="336" spans="1:5">
      <c r="A336" s="38">
        <v>44645</v>
      </c>
      <c r="B336" s="12">
        <f>Indicadores!AH756</f>
        <v>5919741</v>
      </c>
      <c r="C336" s="34">
        <v>10960519</v>
      </c>
      <c r="D336" s="37">
        <f t="shared" si="122"/>
        <v>0.54009677826387603</v>
      </c>
      <c r="E336" s="35">
        <v>0.7</v>
      </c>
    </row>
    <row r="337" spans="1:5">
      <c r="A337" s="38">
        <v>44646</v>
      </c>
      <c r="B337" s="12">
        <f>Indicadores!AH757</f>
        <v>5920213</v>
      </c>
      <c r="C337" s="34">
        <v>10960519</v>
      </c>
      <c r="D337" s="37">
        <f t="shared" ref="D337:D338" si="123">(B337/C337)</f>
        <v>0.54013984191806974</v>
      </c>
      <c r="E337" s="35">
        <v>0.7</v>
      </c>
    </row>
    <row r="338" spans="1:5">
      <c r="A338" s="38">
        <v>44647</v>
      </c>
      <c r="B338" s="12">
        <f>Indicadores!AH758</f>
        <v>5920444</v>
      </c>
      <c r="C338" s="34">
        <v>10960519</v>
      </c>
      <c r="D338" s="37">
        <f t="shared" si="123"/>
        <v>0.54016091756238915</v>
      </c>
      <c r="E338" s="35">
        <v>0.7</v>
      </c>
    </row>
    <row r="339" spans="1:5">
      <c r="A339" s="38">
        <v>44648</v>
      </c>
      <c r="B339" s="12">
        <f>Indicadores!AH759</f>
        <v>5923507</v>
      </c>
      <c r="C339" s="34">
        <v>10960519</v>
      </c>
      <c r="D339" s="37">
        <f t="shared" ref="D339:D340" si="124">(B339/C339)</f>
        <v>0.54044037513187104</v>
      </c>
      <c r="E339" s="35">
        <v>0.7</v>
      </c>
    </row>
    <row r="340" spans="1:5">
      <c r="A340" s="38">
        <v>44649</v>
      </c>
      <c r="B340" s="12">
        <f>Indicadores!AH760</f>
        <v>5927338</v>
      </c>
      <c r="C340" s="34">
        <v>10960519</v>
      </c>
      <c r="D340" s="37">
        <f t="shared" si="124"/>
        <v>0.54078990237597324</v>
      </c>
      <c r="E340" s="35">
        <v>0.7</v>
      </c>
    </row>
    <row r="341" spans="1:5">
      <c r="A341" s="38">
        <v>44650</v>
      </c>
      <c r="B341" s="12">
        <f>Indicadores!AH761</f>
        <v>5929000</v>
      </c>
      <c r="C341" s="34">
        <v>10960519</v>
      </c>
      <c r="D341" s="37">
        <f t="shared" ref="D341:D344" si="125">(B341/C341)</f>
        <v>0.54094153753120633</v>
      </c>
      <c r="E341" s="35">
        <v>0.7</v>
      </c>
    </row>
    <row r="342" spans="1:5">
      <c r="A342" s="38">
        <v>44651</v>
      </c>
      <c r="B342" s="12">
        <f>Indicadores!AH762</f>
        <v>5931996</v>
      </c>
      <c r="C342" s="34">
        <v>10960519</v>
      </c>
      <c r="D342" s="37">
        <f t="shared" si="125"/>
        <v>0.54121488225147008</v>
      </c>
      <c r="E342" s="35">
        <v>0.7</v>
      </c>
    </row>
    <row r="343" spans="1:5">
      <c r="A343" s="38">
        <v>44652</v>
      </c>
      <c r="B343" s="12">
        <f>Indicadores!AH763</f>
        <v>5934331</v>
      </c>
      <c r="C343" s="34">
        <v>10960519</v>
      </c>
      <c r="D343" s="37">
        <f t="shared" si="125"/>
        <v>0.54142791960855141</v>
      </c>
      <c r="E343" s="35">
        <v>0.7</v>
      </c>
    </row>
    <row r="344" spans="1:5">
      <c r="A344" s="38">
        <v>44653</v>
      </c>
      <c r="B344" s="12">
        <f>Indicadores!AH764</f>
        <v>5934750</v>
      </c>
      <c r="C344" s="34">
        <v>10960519</v>
      </c>
      <c r="D344" s="37">
        <f t="shared" si="125"/>
        <v>0.54146614772530388</v>
      </c>
      <c r="E344" s="35">
        <v>0.7</v>
      </c>
    </row>
    <row r="345" spans="1:5">
      <c r="A345" s="38">
        <v>44654</v>
      </c>
      <c r="B345" s="12">
        <f>Indicadores!AH765</f>
        <v>5934855</v>
      </c>
      <c r="C345" s="34">
        <v>10960519</v>
      </c>
      <c r="D345" s="37">
        <f t="shared" ref="D345:D346" si="126">(B345/C345)</f>
        <v>0.54147572756363094</v>
      </c>
      <c r="E345" s="35">
        <v>0.7</v>
      </c>
    </row>
    <row r="346" spans="1:5">
      <c r="A346" s="38">
        <v>44655</v>
      </c>
      <c r="B346" s="12">
        <f>Indicadores!AH766</f>
        <v>5936957</v>
      </c>
      <c r="C346" s="34">
        <v>10960519</v>
      </c>
      <c r="D346" s="37">
        <f t="shared" si="126"/>
        <v>0.54166750680328191</v>
      </c>
      <c r="E346" s="35">
        <v>0.7</v>
      </c>
    </row>
    <row r="347" spans="1:5">
      <c r="A347" s="38">
        <v>44656</v>
      </c>
      <c r="B347" s="12">
        <f>Indicadores!AH767</f>
        <v>5939778</v>
      </c>
      <c r="C347" s="34">
        <v>10960519</v>
      </c>
      <c r="D347" s="37">
        <f t="shared" ref="D347:D348" si="127">(B347/C347)</f>
        <v>0.54192488512633386</v>
      </c>
      <c r="E347" s="35">
        <v>0.7</v>
      </c>
    </row>
    <row r="348" spans="1:5">
      <c r="A348" s="38">
        <v>44657</v>
      </c>
      <c r="B348" s="12">
        <f>Indicadores!AH768</f>
        <v>5942268</v>
      </c>
      <c r="C348" s="34">
        <v>10960519</v>
      </c>
      <c r="D348" s="37">
        <f t="shared" si="127"/>
        <v>0.542152064149517</v>
      </c>
      <c r="E348" s="35">
        <v>0.7</v>
      </c>
    </row>
    <row r="349" spans="1:5">
      <c r="A349" s="38">
        <v>44658</v>
      </c>
      <c r="B349" s="12">
        <f>Indicadores!AH769</f>
        <v>5944898</v>
      </c>
      <c r="C349" s="34">
        <v>10960519</v>
      </c>
      <c r="D349" s="37">
        <f t="shared" ref="D349:D350" si="128">(B349/C349)</f>
        <v>0.5423920162904694</v>
      </c>
      <c r="E349" s="35">
        <v>0.7</v>
      </c>
    </row>
    <row r="350" spans="1:5">
      <c r="A350" s="38">
        <v>44659</v>
      </c>
      <c r="B350" s="12">
        <f>Indicadores!AH770</f>
        <v>5946351</v>
      </c>
      <c r="C350" s="34">
        <v>10960519</v>
      </c>
      <c r="D350" s="37">
        <f t="shared" si="128"/>
        <v>0.54252458300560402</v>
      </c>
      <c r="E350" s="35">
        <v>0.7</v>
      </c>
    </row>
    <row r="351" spans="1:5">
      <c r="A351" s="38">
        <v>44660</v>
      </c>
      <c r="B351" s="12">
        <f>Indicadores!AH771</f>
        <v>5946744</v>
      </c>
      <c r="C351" s="34">
        <v>10960519</v>
      </c>
      <c r="D351" s="37">
        <f t="shared" ref="D351:D353" si="129">(B351/C351)</f>
        <v>0.54256043897191364</v>
      </c>
      <c r="E351" s="35">
        <v>0.7</v>
      </c>
    </row>
    <row r="352" spans="1:5">
      <c r="A352" s="38">
        <v>44661</v>
      </c>
      <c r="B352" s="12">
        <f>Indicadores!AH772</f>
        <v>5946943</v>
      </c>
      <c r="C352" s="34">
        <v>10960519</v>
      </c>
      <c r="D352" s="37">
        <f t="shared" si="129"/>
        <v>0.54257859504645722</v>
      </c>
      <c r="E352" s="35">
        <v>0.7</v>
      </c>
    </row>
    <row r="353" spans="1:5">
      <c r="A353" s="38">
        <v>44662</v>
      </c>
      <c r="B353" s="12">
        <f>Indicadores!AH773</f>
        <v>5947895</v>
      </c>
      <c r="C353" s="34">
        <v>10960519</v>
      </c>
      <c r="D353" s="37">
        <f t="shared" si="129"/>
        <v>0.54266545224728868</v>
      </c>
      <c r="E353" s="35">
        <v>0.7</v>
      </c>
    </row>
    <row r="354" spans="1:5">
      <c r="A354" s="38">
        <v>44663</v>
      </c>
      <c r="B354" s="12">
        <f>Indicadores!AH774</f>
        <v>5948773</v>
      </c>
      <c r="C354" s="34">
        <v>10960519</v>
      </c>
      <c r="D354" s="37">
        <f t="shared" ref="D354:D356" si="130">(B354/C354)</f>
        <v>0.54274555794301349</v>
      </c>
      <c r="E354" s="35">
        <v>0.7</v>
      </c>
    </row>
    <row r="355" spans="1:5">
      <c r="A355" s="38">
        <v>44664</v>
      </c>
      <c r="B355" s="12">
        <f>Indicadores!AH775</f>
        <v>5949473</v>
      </c>
      <c r="C355" s="34">
        <v>10960519</v>
      </c>
      <c r="D355" s="37">
        <f t="shared" si="130"/>
        <v>0.54280942353186012</v>
      </c>
      <c r="E355" s="35">
        <v>0.7</v>
      </c>
    </row>
    <row r="356" spans="1:5">
      <c r="A356" s="38">
        <v>44665</v>
      </c>
      <c r="B356" s="12">
        <f>Indicadores!AH776</f>
        <v>5949473</v>
      </c>
      <c r="C356" s="34">
        <v>10960519</v>
      </c>
      <c r="D356" s="37">
        <f t="shared" si="130"/>
        <v>0.54280942353186012</v>
      </c>
      <c r="E356" s="35">
        <v>0.7</v>
      </c>
    </row>
    <row r="357" spans="1:5">
      <c r="A357" s="38">
        <v>44666</v>
      </c>
      <c r="B357" s="12">
        <f>Indicadores!AH777</f>
        <v>5949473</v>
      </c>
      <c r="C357" s="34">
        <v>10960519</v>
      </c>
      <c r="D357" s="37">
        <f t="shared" ref="D357:D359" si="131">(B357/C357)</f>
        <v>0.54280942353186012</v>
      </c>
      <c r="E357" s="35">
        <v>0.7</v>
      </c>
    </row>
    <row r="358" spans="1:5">
      <c r="A358" s="38">
        <v>44667</v>
      </c>
      <c r="B358" s="12">
        <f>Indicadores!AH778</f>
        <v>5949473</v>
      </c>
      <c r="C358" s="34">
        <v>10960519</v>
      </c>
      <c r="D358" s="37">
        <f t="shared" si="131"/>
        <v>0.54280942353186012</v>
      </c>
      <c r="E358" s="35">
        <v>0.7</v>
      </c>
    </row>
    <row r="359" spans="1:5">
      <c r="A359" s="38">
        <v>44668</v>
      </c>
      <c r="B359" s="12">
        <f>Indicadores!AH779</f>
        <v>5949941</v>
      </c>
      <c r="C359" s="34">
        <v>10960519</v>
      </c>
      <c r="D359" s="37">
        <f t="shared" si="131"/>
        <v>0.54285212223983192</v>
      </c>
      <c r="E359" s="35">
        <v>0.7</v>
      </c>
    </row>
    <row r="360" spans="1:5">
      <c r="A360" s="38">
        <v>44669</v>
      </c>
      <c r="B360" s="12">
        <f>Indicadores!AH780</f>
        <v>5950727</v>
      </c>
      <c r="C360" s="34">
        <v>10960519</v>
      </c>
      <c r="D360" s="37">
        <f t="shared" ref="D360:D362" si="132">(B360/C360)</f>
        <v>0.54292383417245116</v>
      </c>
      <c r="E360" s="35">
        <v>0.7</v>
      </c>
    </row>
    <row r="361" spans="1:5">
      <c r="A361" s="38">
        <v>44670</v>
      </c>
      <c r="B361" s="12">
        <f>Indicadores!AH781</f>
        <v>5952192</v>
      </c>
      <c r="C361" s="34">
        <v>10960519</v>
      </c>
      <c r="D361" s="37">
        <f t="shared" si="132"/>
        <v>0.54305749572625162</v>
      </c>
      <c r="E361" s="35">
        <v>0.7</v>
      </c>
    </row>
    <row r="362" spans="1:5">
      <c r="A362" s="38">
        <v>44671</v>
      </c>
      <c r="B362" s="12">
        <f>Indicadores!AH782</f>
        <v>5953835</v>
      </c>
      <c r="C362" s="34">
        <v>10960519</v>
      </c>
      <c r="D362" s="37">
        <f t="shared" si="132"/>
        <v>0.54320739738693036</v>
      </c>
      <c r="E362" s="35">
        <v>0.7</v>
      </c>
    </row>
    <row r="363" spans="1:5">
      <c r="A363" s="38">
        <v>44672</v>
      </c>
      <c r="B363" s="12">
        <f>Indicadores!AH783</f>
        <v>5953835</v>
      </c>
      <c r="C363" s="34">
        <v>10960519</v>
      </c>
      <c r="D363" s="37">
        <f t="shared" ref="D363:D365" si="133">(B363/C363)</f>
        <v>0.54320739738693036</v>
      </c>
      <c r="E363" s="35">
        <v>0.7</v>
      </c>
    </row>
    <row r="364" spans="1:5">
      <c r="A364" s="38">
        <v>44673</v>
      </c>
      <c r="B364" s="12">
        <f>Indicadores!AH784</f>
        <v>5956526</v>
      </c>
      <c r="C364" s="34">
        <v>10960519</v>
      </c>
      <c r="D364" s="37">
        <f t="shared" si="133"/>
        <v>0.54345291495776793</v>
      </c>
      <c r="E364" s="35">
        <v>0.7</v>
      </c>
    </row>
    <row r="365" spans="1:5">
      <c r="A365" s="38">
        <v>44674</v>
      </c>
      <c r="B365" s="12">
        <f>Indicadores!AH785</f>
        <v>5956860</v>
      </c>
      <c r="C365" s="34">
        <v>10960519</v>
      </c>
      <c r="D365" s="37">
        <f t="shared" si="133"/>
        <v>0.54348338796730333</v>
      </c>
      <c r="E365" s="35">
        <v>0.7</v>
      </c>
    </row>
    <row r="366" spans="1:5">
      <c r="A366" s="38">
        <v>44675</v>
      </c>
      <c r="B366" s="12">
        <f>Indicadores!AH786</f>
        <v>5957035</v>
      </c>
      <c r="C366" s="34">
        <v>10960519</v>
      </c>
      <c r="D366" s="37">
        <f t="shared" ref="D366:D368" si="134">(B366/C366)</f>
        <v>0.54349935436451502</v>
      </c>
      <c r="E366" s="35">
        <v>0.7</v>
      </c>
    </row>
    <row r="367" spans="1:5">
      <c r="A367" s="38">
        <v>44676</v>
      </c>
      <c r="B367" s="12">
        <f>Indicadores!AH787</f>
        <v>5957719</v>
      </c>
      <c r="C367" s="34">
        <v>10960519</v>
      </c>
      <c r="D367" s="37">
        <f t="shared" si="134"/>
        <v>0.5435617601684738</v>
      </c>
      <c r="E367" s="35">
        <v>0.7</v>
      </c>
    </row>
    <row r="368" spans="1:5">
      <c r="A368" s="38">
        <v>44677</v>
      </c>
      <c r="B368" s="12">
        <f>Indicadores!AH788</f>
        <v>5958758</v>
      </c>
      <c r="C368" s="34">
        <v>10960519</v>
      </c>
      <c r="D368" s="37">
        <f t="shared" si="134"/>
        <v>0.54365655494963327</v>
      </c>
      <c r="E368" s="35">
        <v>0.7</v>
      </c>
    </row>
    <row r="369" spans="1:5">
      <c r="A369" s="38">
        <v>44678</v>
      </c>
      <c r="B369" s="12">
        <f>Indicadores!AH789</f>
        <v>5959754</v>
      </c>
      <c r="C369" s="34">
        <v>10960519</v>
      </c>
      <c r="D369" s="37">
        <f t="shared" ref="D369:D371" si="135">(B369/C369)</f>
        <v>0.54374742655890651</v>
      </c>
      <c r="E369" s="35">
        <v>0.7</v>
      </c>
    </row>
    <row r="370" spans="1:5">
      <c r="A370" s="38">
        <v>44679</v>
      </c>
      <c r="B370" s="12">
        <f>Indicadores!AH790</f>
        <v>5960714</v>
      </c>
      <c r="C370" s="34">
        <v>10960519</v>
      </c>
      <c r="D370" s="37">
        <f t="shared" si="135"/>
        <v>0.54383501365218201</v>
      </c>
      <c r="E370" s="35">
        <v>0.7</v>
      </c>
    </row>
    <row r="371" spans="1:5">
      <c r="A371" s="38">
        <v>44680</v>
      </c>
      <c r="B371" s="12">
        <f>Indicadores!AH791</f>
        <v>5961599</v>
      </c>
      <c r="C371" s="34">
        <v>10960519</v>
      </c>
      <c r="D371" s="37">
        <f t="shared" si="135"/>
        <v>0.54391575800379521</v>
      </c>
      <c r="E371" s="35">
        <v>0.7</v>
      </c>
    </row>
    <row r="372" spans="1:5">
      <c r="A372" s="38">
        <v>44681</v>
      </c>
      <c r="B372" s="12">
        <f>Indicadores!AH792</f>
        <v>5961914</v>
      </c>
      <c r="C372" s="34">
        <v>10960519</v>
      </c>
      <c r="D372" s="37">
        <f t="shared" ref="D372:D379" si="136">(B372/C372)</f>
        <v>0.54394449751877627</v>
      </c>
      <c r="E372" s="35">
        <v>0.7</v>
      </c>
    </row>
    <row r="373" spans="1:5">
      <c r="A373" s="38">
        <v>44682</v>
      </c>
      <c r="B373" s="12">
        <f>Indicadores!AH793</f>
        <v>5962020</v>
      </c>
      <c r="C373" s="34">
        <v>10960519</v>
      </c>
      <c r="D373" s="37">
        <f t="shared" si="136"/>
        <v>0.54395416859365875</v>
      </c>
      <c r="E373" s="35">
        <v>0.7</v>
      </c>
    </row>
    <row r="374" spans="1:5">
      <c r="A374" s="38">
        <v>44683</v>
      </c>
      <c r="B374" s="12">
        <f>Indicadores!AH794</f>
        <v>5962137</v>
      </c>
      <c r="C374" s="34">
        <v>10960519</v>
      </c>
      <c r="D374" s="37">
        <f t="shared" si="136"/>
        <v>0.54396484327065164</v>
      </c>
      <c r="E374" s="35">
        <v>0.7</v>
      </c>
    </row>
    <row r="375" spans="1:5">
      <c r="A375" s="38">
        <v>44684</v>
      </c>
      <c r="B375" s="12">
        <f>Indicadores!AH795</f>
        <v>5962985</v>
      </c>
      <c r="C375" s="34">
        <v>10960519</v>
      </c>
      <c r="D375" s="37">
        <f t="shared" si="136"/>
        <v>0.54404221186971169</v>
      </c>
      <c r="E375" s="35">
        <v>0.7</v>
      </c>
    </row>
    <row r="376" spans="1:5">
      <c r="A376" s="38">
        <v>44685</v>
      </c>
      <c r="B376" s="12">
        <f>Indicadores!AH796</f>
        <v>5963983</v>
      </c>
      <c r="C376" s="34">
        <v>10960519</v>
      </c>
      <c r="D376" s="37">
        <f t="shared" si="136"/>
        <v>0.54413326595209588</v>
      </c>
      <c r="E376" s="35">
        <v>0.7</v>
      </c>
    </row>
    <row r="377" spans="1:5">
      <c r="A377" s="38">
        <v>44686</v>
      </c>
      <c r="B377" s="12">
        <f>Indicadores!AH797</f>
        <v>5964717</v>
      </c>
      <c r="C377" s="34">
        <v>10960519</v>
      </c>
      <c r="D377" s="37">
        <f t="shared" si="136"/>
        <v>0.54420023358382941</v>
      </c>
      <c r="E377" s="35">
        <v>0.7</v>
      </c>
    </row>
    <row r="378" spans="1:5">
      <c r="A378" s="38">
        <v>44687</v>
      </c>
      <c r="B378" s="12">
        <f>Indicadores!AH798</f>
        <v>5965404</v>
      </c>
      <c r="C378" s="34">
        <v>10960519</v>
      </c>
      <c r="D378" s="37">
        <f t="shared" si="136"/>
        <v>0.54426291309745456</v>
      </c>
      <c r="E378" s="35">
        <v>0.7</v>
      </c>
    </row>
    <row r="379" spans="1:5">
      <c r="A379" s="38">
        <v>44688</v>
      </c>
      <c r="B379" s="12">
        <f>Indicadores!AH799</f>
        <v>5965611</v>
      </c>
      <c r="C379" s="34">
        <v>10960519</v>
      </c>
      <c r="D379" s="37">
        <f t="shared" si="136"/>
        <v>0.54428179906444207</v>
      </c>
      <c r="E379" s="35">
        <v>0.7</v>
      </c>
    </row>
    <row r="380" spans="1:5">
      <c r="A380" s="38">
        <v>44689</v>
      </c>
      <c r="B380" s="12">
        <f>Indicadores!AH800</f>
        <v>5965763</v>
      </c>
      <c r="C380" s="34">
        <v>10960519</v>
      </c>
      <c r="D380" s="37">
        <f>(B380/C380)</f>
        <v>0.54429566702087739</v>
      </c>
      <c r="E380" s="35">
        <v>0.7</v>
      </c>
    </row>
    <row r="381" spans="1:5">
      <c r="A381" s="38">
        <v>44690</v>
      </c>
      <c r="B381" s="12">
        <f>Indicadores!AH801</f>
        <v>5966520</v>
      </c>
      <c r="C381" s="34">
        <v>10960520</v>
      </c>
      <c r="D381" s="37">
        <f t="shared" ref="D381:D384" si="137">(B381/C381)</f>
        <v>0.54436468342742861</v>
      </c>
      <c r="E381" s="35">
        <v>0.7</v>
      </c>
    </row>
    <row r="382" spans="1:5">
      <c r="A382" s="38">
        <v>44691</v>
      </c>
      <c r="B382" s="12">
        <f>Indicadores!AH802</f>
        <v>5967509</v>
      </c>
      <c r="C382" s="34">
        <v>10960521</v>
      </c>
      <c r="D382" s="37">
        <f t="shared" si="137"/>
        <v>0.54445486669839871</v>
      </c>
      <c r="E382" s="35">
        <v>0.7</v>
      </c>
    </row>
    <row r="383" spans="1:5">
      <c r="A383" s="38">
        <v>44692</v>
      </c>
      <c r="B383" s="12">
        <f>Indicadores!AH803</f>
        <v>5968453</v>
      </c>
      <c r="C383" s="34">
        <v>10960522</v>
      </c>
      <c r="D383" s="37">
        <f t="shared" si="137"/>
        <v>0.54454094430903932</v>
      </c>
      <c r="E383" s="35">
        <v>0.7</v>
      </c>
    </row>
    <row r="384" spans="1:5">
      <c r="A384" s="38">
        <v>44693</v>
      </c>
      <c r="B384" s="12">
        <f>Indicadores!AH804</f>
        <v>5969284</v>
      </c>
      <c r="C384" s="34">
        <v>10960523</v>
      </c>
      <c r="D384" s="37">
        <f t="shared" si="137"/>
        <v>0.5446167121769645</v>
      </c>
      <c r="E384" s="35">
        <v>0.7</v>
      </c>
    </row>
    <row r="385" spans="1:5">
      <c r="A385" s="38">
        <v>44694</v>
      </c>
      <c r="B385" s="12">
        <f>Indicadores!AH805</f>
        <v>5969938</v>
      </c>
      <c r="C385" s="34">
        <v>10960524</v>
      </c>
      <c r="D385" s="37">
        <f t="shared" ref="D385:D387" si="138">(B385/C385)</f>
        <v>0.54467633116810843</v>
      </c>
      <c r="E385" s="35">
        <v>0.7</v>
      </c>
    </row>
    <row r="386" spans="1:5">
      <c r="A386" s="38">
        <v>44695</v>
      </c>
      <c r="B386" s="12">
        <f>Indicadores!AH806</f>
        <v>5970287</v>
      </c>
      <c r="C386" s="34">
        <v>10960525</v>
      </c>
      <c r="D386" s="37">
        <f t="shared" si="138"/>
        <v>0.54470812301418048</v>
      </c>
      <c r="E386" s="35">
        <v>0.7</v>
      </c>
    </row>
    <row r="387" spans="1:5">
      <c r="A387" s="38">
        <v>44696</v>
      </c>
      <c r="B387" s="12">
        <f>Indicadores!AH807</f>
        <v>5970491</v>
      </c>
      <c r="C387" s="34">
        <v>10960526</v>
      </c>
      <c r="D387" s="37">
        <f t="shared" si="138"/>
        <v>0.54472668556235349</v>
      </c>
      <c r="E387" s="35">
        <v>0.7</v>
      </c>
    </row>
    <row r="388" spans="1:5">
      <c r="A388" s="38">
        <v>44697</v>
      </c>
      <c r="B388" s="12">
        <f>Indicadores!AH808</f>
        <v>5971168</v>
      </c>
      <c r="C388" s="34">
        <v>10960527</v>
      </c>
      <c r="D388" s="37">
        <f t="shared" ref="D388:D394" si="139">(B388/C388)</f>
        <v>0.5447884029663902</v>
      </c>
      <c r="E388" s="35">
        <v>0.7</v>
      </c>
    </row>
    <row r="389" spans="1:5">
      <c r="A389" s="38">
        <v>44698</v>
      </c>
      <c r="B389" s="12">
        <f>Indicadores!AH809</f>
        <v>5971960</v>
      </c>
      <c r="C389" s="34">
        <v>10960528</v>
      </c>
      <c r="D389" s="37">
        <f t="shared" si="139"/>
        <v>0.54486061255443163</v>
      </c>
      <c r="E389" s="35">
        <v>0.7</v>
      </c>
    </row>
    <row r="390" spans="1:5">
      <c r="A390" s="38">
        <v>44699</v>
      </c>
      <c r="B390" s="12">
        <f>Indicadores!AH810</f>
        <v>5972700</v>
      </c>
      <c r="C390" s="34">
        <v>10960529</v>
      </c>
      <c r="D390" s="37">
        <f t="shared" si="139"/>
        <v>0.54492807783273967</v>
      </c>
      <c r="E390" s="35">
        <v>0.7</v>
      </c>
    </row>
    <row r="391" spans="1:5">
      <c r="A391" s="38">
        <v>44700</v>
      </c>
      <c r="B391" s="12">
        <f>Indicadores!AH811</f>
        <v>5973542</v>
      </c>
      <c r="C391" s="34">
        <v>10960530</v>
      </c>
      <c r="D391" s="37">
        <f t="shared" si="139"/>
        <v>0.54500484921805792</v>
      </c>
      <c r="E391" s="35">
        <v>0.7</v>
      </c>
    </row>
    <row r="392" spans="1:5">
      <c r="A392" s="38">
        <v>44701</v>
      </c>
      <c r="B392" s="12">
        <f>Indicadores!AH812</f>
        <v>5974431</v>
      </c>
      <c r="C392" s="34">
        <v>10960531</v>
      </c>
      <c r="D392" s="37">
        <f t="shared" si="139"/>
        <v>0.54508590870278095</v>
      </c>
      <c r="E392" s="35">
        <v>0.7</v>
      </c>
    </row>
    <row r="393" spans="1:5">
      <c r="A393" s="38">
        <v>44702</v>
      </c>
      <c r="B393" s="12">
        <f>Indicadores!AH813</f>
        <v>5974769</v>
      </c>
      <c r="C393" s="34">
        <v>10960532</v>
      </c>
      <c r="D393" s="37">
        <f t="shared" si="139"/>
        <v>0.54511669689026043</v>
      </c>
      <c r="E393" s="35">
        <v>0.7</v>
      </c>
    </row>
    <row r="394" spans="1:5">
      <c r="A394" s="38">
        <v>44703</v>
      </c>
      <c r="B394" s="12">
        <f>Indicadores!AH814</f>
        <v>5974958</v>
      </c>
      <c r="C394" s="34">
        <v>10960533</v>
      </c>
      <c r="D394" s="37">
        <f t="shared" si="139"/>
        <v>0.54513389084271724</v>
      </c>
      <c r="E394" s="35">
        <v>0.7</v>
      </c>
    </row>
    <row r="395" spans="1:5">
      <c r="A395" s="38">
        <v>44704</v>
      </c>
      <c r="B395" s="12">
        <f>Indicadores!AH815</f>
        <v>5975774</v>
      </c>
      <c r="C395" s="34">
        <v>10960534</v>
      </c>
      <c r="D395" s="37">
        <f t="shared" ref="D395" si="140">(B395/C395)</f>
        <v>0.54520829003404392</v>
      </c>
      <c r="E395" s="35">
        <v>0.7</v>
      </c>
    </row>
    <row r="396" spans="1:5">
      <c r="A396" s="38">
        <v>44705</v>
      </c>
      <c r="B396" s="12">
        <f>Indicadores!AH816</f>
        <v>5976606</v>
      </c>
      <c r="C396" s="34">
        <v>10960535</v>
      </c>
      <c r="D396" s="37">
        <f t="shared" ref="D396:D399" si="141">(B396/C396)</f>
        <v>0.5452841489945518</v>
      </c>
      <c r="E396" s="35">
        <v>0.7</v>
      </c>
    </row>
    <row r="397" spans="1:5">
      <c r="A397" s="38">
        <v>44706</v>
      </c>
      <c r="B397" s="12">
        <f>Indicadores!AH817</f>
        <v>5977798</v>
      </c>
      <c r="C397" s="34">
        <v>10960536</v>
      </c>
      <c r="D397" s="37">
        <f t="shared" si="141"/>
        <v>0.54539285305025231</v>
      </c>
      <c r="E397" s="35">
        <v>0.7</v>
      </c>
    </row>
    <row r="398" spans="1:5">
      <c r="A398" s="38">
        <v>44707</v>
      </c>
      <c r="B398" s="12">
        <f>Indicadores!AH818</f>
        <v>5978500</v>
      </c>
      <c r="C398" s="34">
        <v>10960537</v>
      </c>
      <c r="D398" s="37">
        <f t="shared" si="141"/>
        <v>0.54545685124734311</v>
      </c>
      <c r="E398" s="35">
        <v>0.7</v>
      </c>
    </row>
    <row r="399" spans="1:5">
      <c r="A399" s="38">
        <v>44708</v>
      </c>
      <c r="B399" s="12">
        <f>Indicadores!AH819</f>
        <v>5979195</v>
      </c>
      <c r="C399" s="34">
        <v>10960538</v>
      </c>
      <c r="D399" s="37">
        <f t="shared" si="141"/>
        <v>0.54552021077797463</v>
      </c>
      <c r="E399" s="35">
        <v>0.7</v>
      </c>
    </row>
    <row r="400" spans="1:5">
      <c r="A400" s="38">
        <v>44709</v>
      </c>
      <c r="B400" s="12">
        <f>Indicadores!AH820</f>
        <v>5979582</v>
      </c>
      <c r="C400" s="34">
        <v>10960539</v>
      </c>
      <c r="D400" s="37">
        <f t="shared" ref="D400:D402" si="142">(B400/C400)</f>
        <v>0.54555546948922862</v>
      </c>
      <c r="E400" s="35">
        <v>0.7</v>
      </c>
    </row>
    <row r="401" spans="1:5">
      <c r="A401" s="38">
        <v>44710</v>
      </c>
      <c r="B401" s="12">
        <f>Indicadores!AH821</f>
        <v>5979686</v>
      </c>
      <c r="C401" s="34">
        <v>10960540</v>
      </c>
      <c r="D401" s="37">
        <f t="shared" si="142"/>
        <v>0.54556490829831372</v>
      </c>
      <c r="E401" s="35">
        <v>0.7</v>
      </c>
    </row>
    <row r="402" spans="1:5">
      <c r="A402" s="38">
        <v>44711</v>
      </c>
      <c r="B402" s="12">
        <f>Indicadores!AH822</f>
        <v>5980345</v>
      </c>
      <c r="C402" s="34">
        <v>10960541</v>
      </c>
      <c r="D402" s="37">
        <f t="shared" si="142"/>
        <v>0.54562498329233933</v>
      </c>
      <c r="E402" s="35">
        <v>0.7</v>
      </c>
    </row>
    <row r="403" spans="1:5">
      <c r="A403" s="38">
        <v>44712</v>
      </c>
      <c r="B403" s="12">
        <f>Indicadores!AH823</f>
        <v>5981218</v>
      </c>
      <c r="C403" s="34">
        <v>10960542</v>
      </c>
      <c r="D403" s="37">
        <f t="shared" ref="D403" si="143">(B403/C403)</f>
        <v>0.54570458285730761</v>
      </c>
      <c r="E403" s="35">
        <v>0.7</v>
      </c>
    </row>
    <row r="404" spans="1:5">
      <c r="A404" s="38">
        <v>44713</v>
      </c>
      <c r="B404" s="12">
        <f>Indicadores!AH824</f>
        <v>5982108</v>
      </c>
      <c r="C404" s="34">
        <v>10960543</v>
      </c>
      <c r="D404" s="37">
        <f t="shared" ref="D404:D407" si="144">(B404/C404)</f>
        <v>0.54578573342579839</v>
      </c>
      <c r="E404" s="35">
        <v>0.7</v>
      </c>
    </row>
    <row r="405" spans="1:5">
      <c r="A405" s="38">
        <v>44714</v>
      </c>
      <c r="B405" s="12">
        <f>Indicadores!AH825</f>
        <v>5982874</v>
      </c>
      <c r="C405" s="34">
        <v>10960544</v>
      </c>
      <c r="D405" s="37">
        <f t="shared" si="144"/>
        <v>0.54585557067240453</v>
      </c>
      <c r="E405" s="35">
        <v>0.7</v>
      </c>
    </row>
    <row r="406" spans="1:5">
      <c r="A406" s="38">
        <v>44715</v>
      </c>
      <c r="B406" s="12">
        <f>Indicadores!AH826</f>
        <v>5982874</v>
      </c>
      <c r="C406" s="34">
        <v>10960545</v>
      </c>
      <c r="D406" s="37">
        <f t="shared" si="144"/>
        <v>0.54585552087054068</v>
      </c>
      <c r="E406" s="35">
        <v>0.7</v>
      </c>
    </row>
    <row r="407" spans="1:5">
      <c r="A407" s="38">
        <v>44716</v>
      </c>
      <c r="B407" s="12">
        <f>Indicadores!AH827</f>
        <v>5983833</v>
      </c>
      <c r="C407" s="34">
        <v>10960546</v>
      </c>
      <c r="D407" s="37">
        <f t="shared" si="144"/>
        <v>0.54594296670987008</v>
      </c>
      <c r="E407" s="35">
        <v>0.7</v>
      </c>
    </row>
    <row r="408" spans="1:5">
      <c r="A408" s="38">
        <v>44717</v>
      </c>
      <c r="B408" s="12">
        <f>Indicadores!AH828</f>
        <v>5983972</v>
      </c>
      <c r="C408" s="34">
        <v>10960547</v>
      </c>
      <c r="D408" s="37">
        <f t="shared" ref="D408:D409" si="145">(B408/C408)</f>
        <v>0.54595559874885802</v>
      </c>
      <c r="E408" s="35">
        <v>0.7</v>
      </c>
    </row>
    <row r="409" spans="1:5">
      <c r="A409" s="38">
        <v>44718</v>
      </c>
      <c r="B409" s="12">
        <f>Indicadores!AH829</f>
        <v>5984678</v>
      </c>
      <c r="C409" s="34">
        <v>10960548</v>
      </c>
      <c r="D409" s="37">
        <f t="shared" si="145"/>
        <v>0.54601996177563383</v>
      </c>
      <c r="E409" s="35">
        <v>0.7</v>
      </c>
    </row>
    <row r="410" spans="1:5">
      <c r="A410" s="38">
        <v>44719</v>
      </c>
      <c r="B410" s="12">
        <f>Indicadores!AH830</f>
        <v>5985409</v>
      </c>
      <c r="C410" s="34">
        <v>10960549</v>
      </c>
      <c r="D410" s="37">
        <f t="shared" ref="D410:D414" si="146">(B410/C410)</f>
        <v>0.54608660569830947</v>
      </c>
      <c r="E410" s="35">
        <v>0.7</v>
      </c>
    </row>
    <row r="411" spans="1:5">
      <c r="A411" s="38">
        <v>44720</v>
      </c>
      <c r="B411" s="12">
        <f>Indicadores!AH831</f>
        <v>5986091</v>
      </c>
      <c r="C411" s="34">
        <v>10960550</v>
      </c>
      <c r="D411" s="37">
        <f t="shared" si="146"/>
        <v>0.54614877903024939</v>
      </c>
      <c r="E411" s="35">
        <v>0.7</v>
      </c>
    </row>
    <row r="412" spans="1:5">
      <c r="A412" s="38">
        <v>44721</v>
      </c>
      <c r="B412" s="12">
        <f>Indicadores!AH832</f>
        <v>5986828</v>
      </c>
      <c r="C412" s="34">
        <v>10960551</v>
      </c>
      <c r="D412" s="37">
        <f t="shared" si="146"/>
        <v>0.54621597034674629</v>
      </c>
      <c r="E412" s="35">
        <v>0.7</v>
      </c>
    </row>
    <row r="413" spans="1:5">
      <c r="A413" s="38">
        <v>44722</v>
      </c>
      <c r="B413" s="12">
        <f>Indicadores!AH833</f>
        <v>5987646</v>
      </c>
      <c r="C413" s="34">
        <v>10960552</v>
      </c>
      <c r="D413" s="37">
        <f t="shared" si="146"/>
        <v>0.54629055178972741</v>
      </c>
      <c r="E413" s="35">
        <v>0.7</v>
      </c>
    </row>
    <row r="414" spans="1:5">
      <c r="A414" s="38">
        <v>44723</v>
      </c>
      <c r="B414" s="12">
        <f>Indicadores!AH834</f>
        <v>5988041</v>
      </c>
      <c r="C414" s="34">
        <v>10960553</v>
      </c>
      <c r="D414" s="37">
        <f t="shared" si="146"/>
        <v>0.54632654027584193</v>
      </c>
      <c r="E414" s="35">
        <v>0.7</v>
      </c>
    </row>
    <row r="415" spans="1:5">
      <c r="A415" s="38">
        <v>44724</v>
      </c>
      <c r="B415" s="12">
        <f>Indicadores!AH835</f>
        <v>5988206</v>
      </c>
      <c r="C415" s="34">
        <v>10960554</v>
      </c>
      <c r="D415" s="37">
        <f t="shared" ref="D415" si="147">(B415/C415)</f>
        <v>0.54634154441463456</v>
      </c>
      <c r="E415" s="35">
        <v>0.7</v>
      </c>
    </row>
    <row r="416" spans="1:5">
      <c r="A416" s="38">
        <v>44725</v>
      </c>
      <c r="B416" s="12">
        <f>Indicadores!AH836</f>
        <v>5988937</v>
      </c>
      <c r="C416" s="34">
        <v>10960555</v>
      </c>
      <c r="D416" s="37">
        <f t="shared" ref="D416" si="148">(B416/C416)</f>
        <v>0.54640818827148807</v>
      </c>
      <c r="E416" s="35">
        <v>0.7</v>
      </c>
    </row>
    <row r="417" spans="1:5">
      <c r="A417" s="38">
        <v>44726</v>
      </c>
      <c r="B417" s="12">
        <f>Indicadores!AH837</f>
        <v>5989793</v>
      </c>
      <c r="C417" s="34">
        <v>10960556</v>
      </c>
      <c r="D417" s="37">
        <f t="shared" ref="D417:D420" si="149">(B417/C417)</f>
        <v>0.54648623664711904</v>
      </c>
      <c r="E417" s="35">
        <v>0.7</v>
      </c>
    </row>
    <row r="418" spans="1:5">
      <c r="A418" s="38">
        <v>44727</v>
      </c>
      <c r="B418" s="12">
        <f>Indicadores!AH838</f>
        <v>5990488</v>
      </c>
      <c r="C418" s="34">
        <v>10960557</v>
      </c>
      <c r="D418" s="37">
        <f t="shared" si="149"/>
        <v>0.54654959597400021</v>
      </c>
      <c r="E418" s="35">
        <v>0.7</v>
      </c>
    </row>
    <row r="419" spans="1:5">
      <c r="A419" s="38">
        <v>44728</v>
      </c>
      <c r="B419" s="12">
        <f>Indicadores!AH839</f>
        <v>5990488</v>
      </c>
      <c r="C419" s="34">
        <v>10960558</v>
      </c>
      <c r="D419" s="37">
        <f t="shared" si="149"/>
        <v>0.54654954610887507</v>
      </c>
      <c r="E419" s="35">
        <v>0.7</v>
      </c>
    </row>
    <row r="420" spans="1:5">
      <c r="A420" s="38">
        <v>44729</v>
      </c>
      <c r="B420" s="12">
        <f>Indicadores!AH840</f>
        <v>5991518</v>
      </c>
      <c r="C420" s="34">
        <v>10960559</v>
      </c>
      <c r="D420" s="37">
        <f t="shared" si="149"/>
        <v>0.54664346955296717</v>
      </c>
      <c r="E420" s="35">
        <v>0.7</v>
      </c>
    </row>
    <row r="421" spans="1:5">
      <c r="A421" s="38">
        <v>44730</v>
      </c>
      <c r="B421" s="12">
        <f>Indicadores!AH841</f>
        <v>5991859</v>
      </c>
      <c r="C421" s="34">
        <v>10960560</v>
      </c>
      <c r="D421" s="37">
        <f t="shared" ref="D421:D422" si="150">(B421/C421)</f>
        <v>0.54667453122833143</v>
      </c>
      <c r="E421" s="35">
        <v>0.7</v>
      </c>
    </row>
    <row r="422" spans="1:5">
      <c r="A422" s="38">
        <v>44731</v>
      </c>
      <c r="B422" s="12">
        <f>Indicadores!AH842</f>
        <v>5992001</v>
      </c>
      <c r="C422" s="34">
        <v>10960561</v>
      </c>
      <c r="D422" s="37">
        <f t="shared" si="150"/>
        <v>0.54668743689305688</v>
      </c>
      <c r="E422" s="35">
        <v>0.7</v>
      </c>
    </row>
    <row r="423" spans="1:5">
      <c r="A423" s="38">
        <v>44732</v>
      </c>
      <c r="B423" s="12">
        <f>Indicadores!AH843</f>
        <v>5992716</v>
      </c>
      <c r="C423" s="34">
        <v>10960562</v>
      </c>
      <c r="D423" s="37">
        <f t="shared" ref="D423:D428" si="151">(B423/C423)</f>
        <v>0.54675262089662924</v>
      </c>
      <c r="E423" s="35">
        <v>0.7</v>
      </c>
    </row>
    <row r="424" spans="1:5">
      <c r="A424" s="38">
        <v>44733</v>
      </c>
      <c r="B424" s="12">
        <f>Indicadores!AH844</f>
        <v>5993393</v>
      </c>
      <c r="C424" s="34">
        <v>10960563</v>
      </c>
      <c r="D424" s="37">
        <f t="shared" si="151"/>
        <v>0.54681433791311629</v>
      </c>
      <c r="E424" s="35">
        <v>0.7</v>
      </c>
    </row>
    <row r="425" spans="1:5">
      <c r="A425" s="38">
        <v>44734</v>
      </c>
      <c r="B425" s="12">
        <f>Indicadores!AH845</f>
        <v>5994493</v>
      </c>
      <c r="C425" s="34">
        <v>10960564</v>
      </c>
      <c r="D425" s="37">
        <f t="shared" si="151"/>
        <v>0.54691464782286747</v>
      </c>
      <c r="E425" s="35">
        <v>0.7</v>
      </c>
    </row>
    <row r="426" spans="1:5">
      <c r="A426" s="38">
        <v>44735</v>
      </c>
      <c r="B426" s="12">
        <f>Indicadores!AH846</f>
        <v>5994958</v>
      </c>
      <c r="C426" s="34">
        <v>10960565</v>
      </c>
      <c r="D426" s="37">
        <f t="shared" si="151"/>
        <v>0.54695702274472169</v>
      </c>
      <c r="E426" s="35">
        <v>0.7</v>
      </c>
    </row>
    <row r="427" spans="1:5">
      <c r="A427" s="38">
        <v>44736</v>
      </c>
      <c r="B427" s="12">
        <f>Indicadores!AH847</f>
        <v>5994958</v>
      </c>
      <c r="C427" s="34">
        <v>10960566</v>
      </c>
      <c r="D427" s="37">
        <f t="shared" si="151"/>
        <v>0.54695697284246092</v>
      </c>
      <c r="E427" s="35">
        <v>0.7</v>
      </c>
    </row>
    <row r="428" spans="1:5">
      <c r="A428" s="38">
        <v>44737</v>
      </c>
      <c r="B428" s="12">
        <f>Indicadores!AH848</f>
        <v>5996090</v>
      </c>
      <c r="C428" s="34">
        <v>10960567</v>
      </c>
      <c r="D428" s="37">
        <f t="shared" si="151"/>
        <v>0.54706020226873298</v>
      </c>
      <c r="E428" s="35">
        <v>0.7</v>
      </c>
    </row>
    <row r="429" spans="1:5">
      <c r="A429" s="38">
        <v>44738</v>
      </c>
      <c r="B429" s="12">
        <f>Indicadores!AH849</f>
        <v>5996244</v>
      </c>
      <c r="C429" s="34">
        <v>10960568</v>
      </c>
      <c r="D429" s="37">
        <f t="shared" ref="D429:D431" si="152">(B429/C429)</f>
        <v>0.54707420272380047</v>
      </c>
      <c r="E429" s="35">
        <v>0.7</v>
      </c>
    </row>
    <row r="430" spans="1:5">
      <c r="A430" s="38">
        <v>44739</v>
      </c>
      <c r="B430" s="12">
        <f>Indicadores!AH850</f>
        <v>5997095</v>
      </c>
      <c r="C430" s="34">
        <v>10960569</v>
      </c>
      <c r="D430" s="37">
        <f t="shared" si="152"/>
        <v>0.54715179476539955</v>
      </c>
      <c r="E430" s="35">
        <v>0.7</v>
      </c>
    </row>
    <row r="431" spans="1:5">
      <c r="A431" s="38">
        <v>44740</v>
      </c>
      <c r="B431" s="12">
        <f>Indicadores!AH851</f>
        <v>5997912</v>
      </c>
      <c r="C431" s="34">
        <v>10960570</v>
      </c>
      <c r="D431" s="37">
        <f t="shared" si="152"/>
        <v>0.54722628476438728</v>
      </c>
      <c r="E431" s="35">
        <v>0.7</v>
      </c>
    </row>
    <row r="432" spans="1:5">
      <c r="A432" s="38">
        <v>44741</v>
      </c>
      <c r="B432" s="12">
        <f>Indicadores!AH852</f>
        <v>5998771</v>
      </c>
      <c r="C432" s="34">
        <v>10960571</v>
      </c>
      <c r="D432" s="37">
        <f t="shared" ref="D432:D436" si="153">(B432/C432)</f>
        <v>0.5473046066669337</v>
      </c>
      <c r="E432" s="35">
        <v>0.7</v>
      </c>
    </row>
    <row r="433" spans="1:5">
      <c r="A433" s="38">
        <v>44742</v>
      </c>
      <c r="B433" s="12">
        <f>Indicadores!AH853</f>
        <v>5999469</v>
      </c>
      <c r="C433" s="34">
        <v>10960572</v>
      </c>
      <c r="D433" s="37">
        <f t="shared" si="153"/>
        <v>0.54736823954078306</v>
      </c>
      <c r="E433" s="35">
        <v>0.7</v>
      </c>
    </row>
    <row r="434" spans="1:5">
      <c r="A434" s="38">
        <v>44743</v>
      </c>
      <c r="B434" s="12">
        <f>Indicadores!AH854</f>
        <v>5999469</v>
      </c>
      <c r="C434" s="34">
        <v>10960573</v>
      </c>
      <c r="D434" s="37">
        <f t="shared" si="153"/>
        <v>0.54736818960103639</v>
      </c>
      <c r="E434" s="35">
        <v>0.7</v>
      </c>
    </row>
    <row r="435" spans="1:5">
      <c r="A435" s="38">
        <v>44744</v>
      </c>
      <c r="B435" s="12">
        <f>Indicadores!AH855</f>
        <v>6000578</v>
      </c>
      <c r="C435" s="34">
        <v>10960574</v>
      </c>
      <c r="D435" s="37">
        <f t="shared" si="153"/>
        <v>0.54746932049361652</v>
      </c>
      <c r="E435" s="35">
        <v>0.7</v>
      </c>
    </row>
    <row r="436" spans="1:5">
      <c r="A436" s="38">
        <v>44745</v>
      </c>
      <c r="B436" s="12">
        <f>Indicadores!AH856</f>
        <v>6000716</v>
      </c>
      <c r="C436" s="34">
        <v>10960575</v>
      </c>
      <c r="D436" s="37">
        <f t="shared" si="153"/>
        <v>0.54748186112498665</v>
      </c>
      <c r="E436" s="35">
        <v>0.7</v>
      </c>
    </row>
    <row r="437" spans="1:5">
      <c r="A437" s="38">
        <v>44746</v>
      </c>
      <c r="B437" s="12">
        <f>Indicadores!AH857</f>
        <v>6001407</v>
      </c>
      <c r="C437" s="34">
        <v>10960576</v>
      </c>
      <c r="D437" s="37">
        <f t="shared" ref="D437:D438" si="154">(B437/C437)</f>
        <v>0.54754485530687436</v>
      </c>
      <c r="E437" s="35">
        <v>0.7</v>
      </c>
    </row>
    <row r="438" spans="1:5">
      <c r="A438" s="38">
        <v>44747</v>
      </c>
      <c r="B438" s="12">
        <f>Indicadores!AH858</f>
        <v>6002122</v>
      </c>
      <c r="C438" s="34">
        <v>10960577</v>
      </c>
      <c r="D438" s="37">
        <f t="shared" si="154"/>
        <v>0.54761003914301232</v>
      </c>
      <c r="E438" s="35">
        <v>0.7</v>
      </c>
    </row>
    <row r="439" spans="1:5">
      <c r="A439" s="38">
        <v>44748</v>
      </c>
      <c r="B439" s="12">
        <f>Indicadores!AH859</f>
        <v>6002916</v>
      </c>
      <c r="C439" s="34">
        <v>10960578</v>
      </c>
      <c r="D439" s="37">
        <f t="shared" ref="D439:D440" si="155">(B439/C439)</f>
        <v>0.54768243061634159</v>
      </c>
      <c r="E439" s="35">
        <v>0.7</v>
      </c>
    </row>
    <row r="440" spans="1:5">
      <c r="A440" s="38">
        <v>44749</v>
      </c>
      <c r="B440" s="12">
        <f>Indicadores!AH860</f>
        <v>6002916</v>
      </c>
      <c r="C440" s="34">
        <v>10960579</v>
      </c>
      <c r="D440" s="37">
        <f t="shared" si="155"/>
        <v>0.5476823806479566</v>
      </c>
      <c r="E440" s="35">
        <v>0.7</v>
      </c>
    </row>
    <row r="441" spans="1:5">
      <c r="A441" s="38">
        <v>44750</v>
      </c>
      <c r="B441" s="12">
        <f>Indicadores!AH861</f>
        <v>6004280</v>
      </c>
      <c r="C441" s="34">
        <v>10960580</v>
      </c>
      <c r="D441" s="37">
        <f t="shared" ref="D441:D445" si="156">(B441/C441)</f>
        <v>0.54780677664868105</v>
      </c>
      <c r="E441" s="35">
        <v>0.7</v>
      </c>
    </row>
    <row r="442" spans="1:5">
      <c r="A442" s="38">
        <v>44751</v>
      </c>
      <c r="B442" s="12">
        <f>Indicadores!AH862</f>
        <v>6004703</v>
      </c>
      <c r="C442" s="34">
        <v>10960581</v>
      </c>
      <c r="D442" s="37">
        <f t="shared" si="156"/>
        <v>0.54784531951362803</v>
      </c>
      <c r="E442" s="35">
        <v>0.7</v>
      </c>
    </row>
    <row r="443" spans="1:5">
      <c r="A443" s="38">
        <v>44752</v>
      </c>
      <c r="B443" s="12">
        <f>Indicadores!AH863</f>
        <v>6004864</v>
      </c>
      <c r="C443" s="34">
        <v>10960582</v>
      </c>
      <c r="D443" s="37">
        <f t="shared" si="156"/>
        <v>0.54785995853139913</v>
      </c>
      <c r="E443" s="35">
        <v>0.7</v>
      </c>
    </row>
    <row r="444" spans="1:5">
      <c r="A444" s="38">
        <v>44753</v>
      </c>
      <c r="B444" s="12">
        <f>Indicadores!AH864</f>
        <v>6005579</v>
      </c>
      <c r="C444" s="34">
        <v>10960583</v>
      </c>
      <c r="D444" s="37">
        <f t="shared" si="156"/>
        <v>0.54792514230310563</v>
      </c>
      <c r="E444" s="35">
        <v>0.7</v>
      </c>
    </row>
    <row r="445" spans="1:5">
      <c r="A445" s="38">
        <v>44754</v>
      </c>
      <c r="B445" s="12">
        <f>Indicadores!AH865</f>
        <v>6006300</v>
      </c>
      <c r="C445" s="34">
        <v>10960584</v>
      </c>
      <c r="D445" s="37">
        <f t="shared" si="156"/>
        <v>0.54799087347900444</v>
      </c>
      <c r="E445" s="35">
        <v>0.7</v>
      </c>
    </row>
    <row r="446" spans="1:5">
      <c r="A446" s="38">
        <v>44755</v>
      </c>
      <c r="B446" s="12">
        <f>Indicadores!AH866</f>
        <v>6007000</v>
      </c>
      <c r="C446" s="34">
        <v>10960585</v>
      </c>
      <c r="D446" s="37">
        <f t="shared" ref="D446:D449" si="157">(B446/C446)</f>
        <v>0.54805468868678087</v>
      </c>
      <c r="E446" s="35">
        <v>0.7</v>
      </c>
    </row>
    <row r="447" spans="1:5">
      <c r="A447" s="38">
        <v>44756</v>
      </c>
      <c r="B447" s="12">
        <f>Indicadores!AH867</f>
        <v>6007724</v>
      </c>
      <c r="C447" s="34">
        <v>10960586</v>
      </c>
      <c r="D447" s="37">
        <f t="shared" si="157"/>
        <v>0.54812069354685966</v>
      </c>
      <c r="E447" s="35">
        <v>0.7</v>
      </c>
    </row>
    <row r="448" spans="1:5">
      <c r="A448" s="38">
        <v>44757</v>
      </c>
      <c r="B448" s="12">
        <f>Indicadores!AH868</f>
        <v>6008370</v>
      </c>
      <c r="C448" s="34">
        <v>10960587</v>
      </c>
      <c r="D448" s="37">
        <f t="shared" si="157"/>
        <v>0.54817958198771655</v>
      </c>
      <c r="E448" s="35">
        <v>0.7</v>
      </c>
    </row>
    <row r="449" spans="1:5">
      <c r="A449" s="38">
        <v>44758</v>
      </c>
      <c r="B449" s="12">
        <f>Indicadores!AH869</f>
        <v>6008762</v>
      </c>
      <c r="C449" s="34">
        <v>10960588</v>
      </c>
      <c r="D449" s="37">
        <f t="shared" si="157"/>
        <v>0.54821529647861955</v>
      </c>
      <c r="E449" s="35">
        <v>0.7</v>
      </c>
    </row>
    <row r="450" spans="1:5">
      <c r="A450" s="38">
        <v>44759</v>
      </c>
      <c r="B450" s="12">
        <f>Indicadores!AH870</f>
        <v>6008910</v>
      </c>
      <c r="C450" s="34">
        <v>10960589</v>
      </c>
      <c r="D450" s="37">
        <f t="shared" ref="D450" si="158">(B450/C450)</f>
        <v>0.54822874938563981</v>
      </c>
      <c r="E450" s="35">
        <v>0.7</v>
      </c>
    </row>
    <row r="451" spans="1:5">
      <c r="A451" s="38">
        <v>44760</v>
      </c>
      <c r="B451" s="12">
        <f>Indicadores!AH871</f>
        <v>6009544</v>
      </c>
      <c r="C451" s="34">
        <v>10960590</v>
      </c>
      <c r="D451" s="37">
        <f t="shared" ref="D451:D454" si="159">(B451/C451)</f>
        <v>0.54828654296894597</v>
      </c>
      <c r="E451" s="35">
        <v>0.7</v>
      </c>
    </row>
    <row r="452" spans="1:5">
      <c r="A452" s="38">
        <v>44761</v>
      </c>
      <c r="B452" s="12">
        <f>Indicadores!AH872</f>
        <v>6010308</v>
      </c>
      <c r="C452" s="34">
        <v>10960591</v>
      </c>
      <c r="D452" s="37">
        <f t="shared" si="159"/>
        <v>0.54835619721600781</v>
      </c>
      <c r="E452" s="35">
        <v>0.7</v>
      </c>
    </row>
    <row r="453" spans="1:5">
      <c r="A453" s="38">
        <v>44762</v>
      </c>
      <c r="B453" s="12">
        <f>Indicadores!AH873</f>
        <v>6010990</v>
      </c>
      <c r="C453" s="34">
        <v>10960592</v>
      </c>
      <c r="D453" s="37">
        <f t="shared" si="159"/>
        <v>0.54841837010263683</v>
      </c>
      <c r="E453" s="35">
        <v>0.7</v>
      </c>
    </row>
    <row r="454" spans="1:5">
      <c r="A454" s="38">
        <v>44763</v>
      </c>
      <c r="B454" s="12">
        <f>Indicadores!AH874</f>
        <v>6011634</v>
      </c>
      <c r="C454" s="34">
        <v>10960593</v>
      </c>
      <c r="D454" s="37">
        <f t="shared" si="159"/>
        <v>0.5484770760122194</v>
      </c>
      <c r="E454" s="35">
        <v>0.7</v>
      </c>
    </row>
    <row r="455" spans="1:5">
      <c r="A455" s="38">
        <v>44764</v>
      </c>
      <c r="B455" s="12">
        <f>Indicadores!AH875</f>
        <v>6011634</v>
      </c>
      <c r="C455" s="34">
        <v>10960594</v>
      </c>
      <c r="D455" s="37">
        <f t="shared" ref="D455:D461" si="160">(B455/C455)</f>
        <v>0.54847702597140269</v>
      </c>
      <c r="E455" s="35">
        <v>0.7</v>
      </c>
    </row>
    <row r="456" spans="1:5">
      <c r="A456" s="38">
        <v>44765</v>
      </c>
      <c r="B456" s="12">
        <f>Indicadores!AH876</f>
        <v>6012626</v>
      </c>
      <c r="C456" s="34">
        <v>10960595</v>
      </c>
      <c r="D456" s="37">
        <f t="shared" si="160"/>
        <v>0.54856748196607941</v>
      </c>
      <c r="E456" s="35">
        <v>0.7</v>
      </c>
    </row>
    <row r="457" spans="1:5">
      <c r="A457" s="38">
        <v>44766</v>
      </c>
      <c r="B457" s="12">
        <f>Indicadores!AH877</f>
        <v>6012759</v>
      </c>
      <c r="C457" s="34">
        <v>10960596</v>
      </c>
      <c r="D457" s="37">
        <f t="shared" si="160"/>
        <v>0.54857956629365778</v>
      </c>
      <c r="E457" s="35">
        <v>0.7</v>
      </c>
    </row>
    <row r="458" spans="1:5">
      <c r="A458" s="38">
        <v>44767</v>
      </c>
      <c r="B458" s="12">
        <f>Indicadores!AH878</f>
        <v>6012759</v>
      </c>
      <c r="C458" s="34">
        <v>10960597</v>
      </c>
      <c r="D458" s="37">
        <f t="shared" si="160"/>
        <v>0.54857951624350387</v>
      </c>
      <c r="E458" s="35">
        <v>0.7</v>
      </c>
    </row>
    <row r="459" spans="1:5">
      <c r="A459" s="38">
        <v>44768</v>
      </c>
      <c r="B459" s="12">
        <f>Indicadores!AH879</f>
        <v>6014146</v>
      </c>
      <c r="C459" s="34">
        <v>10960598</v>
      </c>
      <c r="D459" s="37">
        <f t="shared" si="160"/>
        <v>0.54870601038374001</v>
      </c>
      <c r="E459" s="35">
        <v>0.7</v>
      </c>
    </row>
    <row r="460" spans="1:5">
      <c r="A460" s="38">
        <v>44769</v>
      </c>
      <c r="B460" s="12">
        <f>Indicadores!AH880</f>
        <v>6014865</v>
      </c>
      <c r="C460" s="34">
        <v>10960599</v>
      </c>
      <c r="D460" s="37">
        <f t="shared" si="160"/>
        <v>0.54877155892666085</v>
      </c>
      <c r="E460" s="35">
        <v>0.7</v>
      </c>
    </row>
    <row r="461" spans="1:5">
      <c r="A461" s="38">
        <v>44770</v>
      </c>
      <c r="B461" s="12">
        <f>Indicadores!AH881</f>
        <v>6014865</v>
      </c>
      <c r="C461" s="34">
        <v>10960600</v>
      </c>
      <c r="D461" s="37">
        <f t="shared" si="160"/>
        <v>0.54877150885900405</v>
      </c>
      <c r="E461" s="35">
        <v>0.7</v>
      </c>
    </row>
    <row r="462" spans="1:5">
      <c r="A462" s="38">
        <v>44771</v>
      </c>
      <c r="B462" s="12">
        <f>Indicadores!AH882</f>
        <v>6014865</v>
      </c>
      <c r="C462" s="34">
        <v>10960601</v>
      </c>
      <c r="D462" s="37">
        <f t="shared" ref="D462:D463" si="161">(B462/C462)</f>
        <v>0.54877145879135647</v>
      </c>
      <c r="E462" s="35">
        <v>0.7</v>
      </c>
    </row>
    <row r="463" spans="1:5">
      <c r="A463" s="38">
        <v>44772</v>
      </c>
      <c r="B463" s="12">
        <f>Indicadores!AH883</f>
        <v>6014865</v>
      </c>
      <c r="C463" s="34">
        <v>10960602</v>
      </c>
      <c r="D463" s="37">
        <f t="shared" si="161"/>
        <v>0.54877140872371788</v>
      </c>
      <c r="E463" s="35">
        <v>0.7</v>
      </c>
    </row>
    <row r="464" spans="1:5">
      <c r="A464" s="38">
        <v>44773</v>
      </c>
      <c r="B464" s="12">
        <f>Indicadores!AH884</f>
        <v>6016739</v>
      </c>
      <c r="C464" s="34">
        <v>10960603</v>
      </c>
      <c r="D464" s="37">
        <f t="shared" ref="D464" si="162">(B464/C464)</f>
        <v>0.54894233465074871</v>
      </c>
      <c r="E464" s="35">
        <v>0.7</v>
      </c>
    </row>
    <row r="465" spans="1:5">
      <c r="A465" s="38">
        <v>44774</v>
      </c>
      <c r="B465" s="12">
        <f>Indicadores!AH885</f>
        <v>6017331</v>
      </c>
      <c r="C465" s="34">
        <v>10960604</v>
      </c>
      <c r="D465" s="37">
        <f t="shared" ref="D465:D469" si="163">(B465/C465)</f>
        <v>0.54899629618951651</v>
      </c>
      <c r="E465" s="35">
        <v>1.7</v>
      </c>
    </row>
    <row r="466" spans="1:5">
      <c r="A466" s="38">
        <v>44775</v>
      </c>
      <c r="B466" s="12">
        <f>Indicadores!AH886</f>
        <v>6017964</v>
      </c>
      <c r="C466" s="34">
        <v>10960605</v>
      </c>
      <c r="D466" s="37">
        <f t="shared" si="163"/>
        <v>0.54905399838786273</v>
      </c>
      <c r="E466" s="35">
        <v>2.7</v>
      </c>
    </row>
    <row r="467" spans="1:5">
      <c r="A467" s="38">
        <v>44776</v>
      </c>
      <c r="B467" s="12">
        <f>Indicadores!AH887</f>
        <v>6018632</v>
      </c>
      <c r="C467" s="34">
        <v>10960606</v>
      </c>
      <c r="D467" s="37">
        <f t="shared" si="163"/>
        <v>0.54911489382977552</v>
      </c>
      <c r="E467" s="35">
        <v>3.7</v>
      </c>
    </row>
    <row r="468" spans="1:5">
      <c r="A468" s="38">
        <v>44777</v>
      </c>
      <c r="B468" s="12">
        <f>Indicadores!AH888</f>
        <v>6019232</v>
      </c>
      <c r="C468" s="34">
        <v>10960607</v>
      </c>
      <c r="D468" s="37">
        <f t="shared" si="163"/>
        <v>0.5491695852246139</v>
      </c>
      <c r="E468" s="35">
        <v>4.7</v>
      </c>
    </row>
    <row r="469" spans="1:5">
      <c r="A469" s="38">
        <v>44778</v>
      </c>
      <c r="B469" s="12">
        <f>Indicadores!AH889</f>
        <v>6019826</v>
      </c>
      <c r="C469" s="34">
        <v>10960608</v>
      </c>
      <c r="D469" s="37">
        <f t="shared" si="163"/>
        <v>0.54922372919458484</v>
      </c>
      <c r="E469" s="35">
        <v>5.7</v>
      </c>
    </row>
    <row r="470" spans="1:5">
      <c r="A470" s="38">
        <v>44779</v>
      </c>
      <c r="B470" s="12">
        <f>Indicadores!AH890</f>
        <v>6020135</v>
      </c>
      <c r="C470" s="34">
        <v>10960609</v>
      </c>
      <c r="D470" s="37">
        <f t="shared" ref="D470:D479" si="164">(B470/C470)</f>
        <v>0.54925187094987149</v>
      </c>
      <c r="E470" s="35">
        <v>6.7</v>
      </c>
    </row>
    <row r="471" spans="1:5">
      <c r="A471" s="38">
        <v>44780</v>
      </c>
      <c r="B471" s="12">
        <f>Indicadores!AH891</f>
        <v>6020272</v>
      </c>
      <c r="C471" s="34">
        <v>10960610</v>
      </c>
      <c r="D471" s="37">
        <f t="shared" si="164"/>
        <v>0.54926432014276583</v>
      </c>
      <c r="E471" s="35">
        <v>7.7</v>
      </c>
    </row>
    <row r="472" spans="1:5">
      <c r="A472" s="38">
        <v>44781</v>
      </c>
      <c r="B472" s="12">
        <f>Indicadores!AH892</f>
        <v>6020860</v>
      </c>
      <c r="C472" s="34">
        <v>10960611</v>
      </c>
      <c r="D472" s="37">
        <f t="shared" si="164"/>
        <v>0.54931791667453578</v>
      </c>
      <c r="E472" s="35">
        <v>8.6999999999999993</v>
      </c>
    </row>
    <row r="473" spans="1:5">
      <c r="A473" s="38">
        <v>44782</v>
      </c>
      <c r="B473" s="12">
        <f>Indicadores!AH893</f>
        <v>6021536</v>
      </c>
      <c r="C473" s="34">
        <v>10960612</v>
      </c>
      <c r="D473" s="37">
        <f t="shared" si="164"/>
        <v>0.54937954194528549</v>
      </c>
      <c r="E473" s="35">
        <v>9.6999999999999993</v>
      </c>
    </row>
    <row r="474" spans="1:5">
      <c r="A474" s="38">
        <v>44783</v>
      </c>
      <c r="B474" s="12">
        <f>Indicadores!AH894</f>
        <v>6022276</v>
      </c>
      <c r="C474" s="34">
        <v>10960613</v>
      </c>
      <c r="D474" s="37">
        <f t="shared" si="164"/>
        <v>0.54944700629426479</v>
      </c>
      <c r="E474" s="35">
        <v>10.7</v>
      </c>
    </row>
    <row r="475" spans="1:5">
      <c r="A475" s="38">
        <v>44784</v>
      </c>
      <c r="B475" s="12">
        <f>Indicadores!AH895</f>
        <v>6023111</v>
      </c>
      <c r="C475" s="34">
        <v>10960614</v>
      </c>
      <c r="D475" s="37">
        <f t="shared" si="164"/>
        <v>0.54952313802858122</v>
      </c>
      <c r="E475" s="35">
        <v>11.7</v>
      </c>
    </row>
    <row r="476" spans="1:5">
      <c r="A476" s="38">
        <v>44785</v>
      </c>
      <c r="B476" s="12">
        <f>Indicadores!AH896</f>
        <v>6024023</v>
      </c>
      <c r="C476" s="34">
        <v>10960615</v>
      </c>
      <c r="D476" s="37">
        <f t="shared" si="164"/>
        <v>0.54960629490224777</v>
      </c>
      <c r="E476" s="35">
        <v>12.7</v>
      </c>
    </row>
    <row r="477" spans="1:5">
      <c r="A477" s="38">
        <v>44786</v>
      </c>
      <c r="B477" s="12">
        <f>Indicadores!AH897</f>
        <v>6024311</v>
      </c>
      <c r="C477" s="34">
        <v>10960616</v>
      </c>
      <c r="D477" s="37">
        <f t="shared" si="164"/>
        <v>0.54963252065394863</v>
      </c>
      <c r="E477" s="35">
        <v>13.7</v>
      </c>
    </row>
    <row r="478" spans="1:5">
      <c r="A478" s="38">
        <v>44787</v>
      </c>
      <c r="B478" s="12">
        <f>Indicadores!AH898</f>
        <v>6024452</v>
      </c>
      <c r="C478" s="34">
        <v>10960617</v>
      </c>
      <c r="D478" s="37">
        <f t="shared" si="164"/>
        <v>0.5496453347471224</v>
      </c>
      <c r="E478" s="35">
        <v>14.7</v>
      </c>
    </row>
    <row r="479" spans="1:5">
      <c r="A479" s="38">
        <v>44788</v>
      </c>
      <c r="B479" s="12">
        <f>Indicadores!AH899</f>
        <v>6025123</v>
      </c>
      <c r="C479" s="34">
        <v>10960618</v>
      </c>
      <c r="D479" s="37">
        <f t="shared" si="164"/>
        <v>0.54970650377560826</v>
      </c>
      <c r="E479" s="35">
        <v>15.7</v>
      </c>
    </row>
    <row r="480" spans="1:5">
      <c r="A480" s="38">
        <v>44789</v>
      </c>
      <c r="B480" s="12">
        <f>Indicadores!AH900</f>
        <v>6025393</v>
      </c>
      <c r="C480" s="34">
        <v>10960619</v>
      </c>
      <c r="D480" s="37">
        <f t="shared" ref="D480:D488" si="165">(B480/C480)</f>
        <v>0.54973108726797271</v>
      </c>
      <c r="E480" s="35">
        <v>16.7</v>
      </c>
    </row>
    <row r="481" spans="1:6">
      <c r="A481" s="38">
        <v>44790</v>
      </c>
      <c r="B481" s="12">
        <f>Indicadores!AH901</f>
        <v>6026042</v>
      </c>
      <c r="C481" s="34">
        <v>10960620</v>
      </c>
      <c r="D481" s="37">
        <f t="shared" si="165"/>
        <v>0.54979024909174845</v>
      </c>
      <c r="E481" s="35">
        <v>17.7</v>
      </c>
    </row>
    <row r="482" spans="1:6">
      <c r="A482" s="38">
        <v>44791</v>
      </c>
      <c r="B482" s="12">
        <f>Indicadores!AH902</f>
        <v>6026631</v>
      </c>
      <c r="C482" s="34">
        <v>10960621</v>
      </c>
      <c r="D482" s="37">
        <f t="shared" si="165"/>
        <v>0.54984393676234222</v>
      </c>
      <c r="E482" s="35">
        <v>18.7</v>
      </c>
    </row>
    <row r="483" spans="1:6">
      <c r="A483" s="38">
        <v>44792</v>
      </c>
      <c r="B483" s="12">
        <f>Indicadores!AH903</f>
        <v>6027243</v>
      </c>
      <c r="C483" s="34">
        <v>10960622</v>
      </c>
      <c r="D483" s="37">
        <f t="shared" si="165"/>
        <v>0.5498997228441963</v>
      </c>
      <c r="E483" s="35">
        <v>19.7</v>
      </c>
    </row>
    <row r="484" spans="1:6">
      <c r="A484" s="38">
        <v>44793</v>
      </c>
      <c r="B484" s="12">
        <f>Indicadores!AH904</f>
        <v>6027526</v>
      </c>
      <c r="C484" s="34">
        <v>10960623</v>
      </c>
      <c r="D484" s="37">
        <f t="shared" si="165"/>
        <v>0.54992549237392796</v>
      </c>
      <c r="E484" s="35">
        <v>20.7</v>
      </c>
    </row>
    <row r="485" spans="1:6">
      <c r="A485" s="38">
        <v>44794</v>
      </c>
      <c r="B485" s="12">
        <f>Indicadores!AH905</f>
        <v>6027660</v>
      </c>
      <c r="C485" s="34">
        <v>10960624</v>
      </c>
      <c r="D485" s="37">
        <f t="shared" si="165"/>
        <v>0.54993766778241826</v>
      </c>
      <c r="E485" s="35">
        <v>21.7</v>
      </c>
    </row>
    <row r="486" spans="1:6">
      <c r="A486" s="38">
        <v>44795</v>
      </c>
      <c r="B486" s="12">
        <f>Indicadores!AH906</f>
        <v>6028316</v>
      </c>
      <c r="C486" s="34">
        <v>10960625</v>
      </c>
      <c r="D486" s="37">
        <f t="shared" si="165"/>
        <v>0.54999746821007012</v>
      </c>
      <c r="E486" s="35">
        <v>22.7</v>
      </c>
    </row>
    <row r="487" spans="1:6">
      <c r="A487" s="38">
        <v>44796</v>
      </c>
      <c r="B487" s="12">
        <f>Indicadores!AH907</f>
        <v>6029044</v>
      </c>
      <c r="C487" s="34">
        <v>10960626</v>
      </c>
      <c r="D487" s="37">
        <f t="shared" si="165"/>
        <v>0.55006383759467758</v>
      </c>
      <c r="E487" s="35">
        <v>23.7</v>
      </c>
    </row>
    <row r="488" spans="1:6">
      <c r="A488" s="38">
        <v>44797</v>
      </c>
      <c r="B488" s="12">
        <f>Indicadores!AH908</f>
        <v>6029044</v>
      </c>
      <c r="C488" s="34">
        <v>10960627</v>
      </c>
      <c r="D488" s="37">
        <f t="shared" si="165"/>
        <v>0.55006378740924222</v>
      </c>
      <c r="E488" s="35">
        <v>24.7</v>
      </c>
    </row>
    <row r="489" spans="1:6">
      <c r="A489" s="38"/>
      <c r="B489" s="38"/>
      <c r="C489" s="38"/>
      <c r="D489" s="38"/>
      <c r="E489" s="38"/>
      <c r="F489" s="38"/>
    </row>
    <row r="490" spans="1:6">
      <c r="A490" s="38"/>
      <c r="B490" s="38"/>
      <c r="C490" s="38"/>
      <c r="D490" s="38"/>
      <c r="E490" s="38"/>
      <c r="F490" s="38"/>
    </row>
    <row r="491" spans="1:6">
      <c r="A491" s="38"/>
      <c r="B491" s="38"/>
      <c r="C491" s="38"/>
      <c r="D491" s="38"/>
      <c r="E491" s="38"/>
      <c r="F491" s="38"/>
    </row>
    <row r="492" spans="1:6">
      <c r="A492" s="38"/>
      <c r="B492" s="38"/>
      <c r="C492" s="38"/>
      <c r="D492" s="38"/>
      <c r="E492" s="38"/>
      <c r="F492" s="38"/>
    </row>
    <row r="493" spans="1:6">
      <c r="A493" s="38"/>
      <c r="B493" s="38"/>
      <c r="C493" s="38"/>
      <c r="D493" s="38"/>
      <c r="E493" s="38"/>
      <c r="F493" s="38"/>
    </row>
    <row r="494" spans="1:6">
      <c r="B494" s="38"/>
      <c r="C494" s="38"/>
      <c r="D494" s="38"/>
      <c r="E494" s="38"/>
      <c r="F494" s="38"/>
    </row>
    <row r="495" spans="1:6">
      <c r="B495" s="38"/>
      <c r="C495" s="38"/>
      <c r="D495" s="38"/>
      <c r="E495" s="38"/>
      <c r="F495" s="38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3"/>
  <sheetViews>
    <sheetView topLeftCell="F1" zoomScale="111" workbookViewId="0">
      <selection activeCell="I4" sqref="I4"/>
    </sheetView>
  </sheetViews>
  <sheetFormatPr defaultColWidth="10.6640625" defaultRowHeight="15.5"/>
  <cols>
    <col min="1" max="1" width="17.33203125" customWidth="1"/>
    <col min="2" max="2" width="11.83203125" customWidth="1"/>
    <col min="3" max="3" width="16" customWidth="1"/>
    <col min="4" max="4" width="9.1640625" customWidth="1"/>
    <col min="5" max="5" width="11.6640625" customWidth="1"/>
    <col min="6" max="6" width="14.5" customWidth="1"/>
    <col min="7" max="7" width="18" customWidth="1"/>
    <col min="8" max="8" width="16.5" customWidth="1"/>
    <col min="9" max="9" width="10.33203125" customWidth="1"/>
    <col min="10" max="10" width="23.1640625" hidden="1" customWidth="1"/>
    <col min="11" max="11" width="11.6640625" customWidth="1"/>
    <col min="12" max="12" width="5.33203125" hidden="1" customWidth="1"/>
    <col min="13" max="13" width="30.6640625" customWidth="1"/>
  </cols>
  <sheetData>
    <row r="1" spans="1:13">
      <c r="A1" s="42" t="s">
        <v>29</v>
      </c>
      <c r="B1" s="42" t="s">
        <v>226</v>
      </c>
      <c r="C1" s="42" t="s">
        <v>225</v>
      </c>
      <c r="D1" s="42" t="s">
        <v>227</v>
      </c>
      <c r="E1" s="42" t="s">
        <v>228</v>
      </c>
      <c r="F1" s="42" t="s">
        <v>231</v>
      </c>
      <c r="G1" s="42" t="s">
        <v>229</v>
      </c>
      <c r="H1" s="42" t="s">
        <v>230</v>
      </c>
      <c r="I1" s="42" t="s">
        <v>234</v>
      </c>
      <c r="J1" s="42" t="s">
        <v>240</v>
      </c>
      <c r="K1" s="42" t="s">
        <v>4</v>
      </c>
      <c r="L1" s="42" t="s">
        <v>243</v>
      </c>
      <c r="M1" s="42" t="s">
        <v>244</v>
      </c>
    </row>
    <row r="2" spans="1:13">
      <c r="A2" s="1" t="s">
        <v>33</v>
      </c>
      <c r="B2" s="2">
        <v>0</v>
      </c>
      <c r="C2" s="2">
        <v>10044125</v>
      </c>
      <c r="D2" s="2">
        <v>130463</v>
      </c>
      <c r="E2" s="2">
        <v>3796</v>
      </c>
      <c r="F2" s="2">
        <v>218302</v>
      </c>
      <c r="G2" s="2">
        <v>2836</v>
      </c>
      <c r="H2" s="2">
        <v>776264</v>
      </c>
      <c r="I2" s="2">
        <v>35716069</v>
      </c>
      <c r="J2" s="40">
        <v>9909866</v>
      </c>
      <c r="K2" s="2">
        <f t="shared" ref="K2:K13" si="0">C2-D2-E2</f>
        <v>9909866</v>
      </c>
      <c r="L2" s="40">
        <f>VLOOKUP($A2,'Calculos AL'!$65:$83,COUNTA('Calculos AL'!$1:$1),0)</f>
        <v>0</v>
      </c>
      <c r="M2" s="35">
        <f>L2</f>
        <v>0</v>
      </c>
    </row>
    <row r="3" spans="1:13">
      <c r="A3" s="1" t="s">
        <v>32</v>
      </c>
      <c r="B3" s="2">
        <v>62</v>
      </c>
      <c r="C3" s="2">
        <v>1194069</v>
      </c>
      <c r="D3" s="2">
        <v>22365</v>
      </c>
      <c r="E3" s="2">
        <v>12297</v>
      </c>
      <c r="F3" s="2">
        <v>99558</v>
      </c>
      <c r="G3" s="2">
        <v>1865</v>
      </c>
      <c r="H3" s="2">
        <v>225590</v>
      </c>
      <c r="I3" s="2">
        <v>2705422</v>
      </c>
      <c r="J3" s="40">
        <v>1159308</v>
      </c>
      <c r="K3" s="2">
        <f t="shared" si="0"/>
        <v>1159407</v>
      </c>
      <c r="L3" s="40">
        <f>VLOOKUP($A3,'Calculos AL'!$65:$83,COUNTA('Calculos AL'!$1:$1),0)</f>
        <v>0</v>
      </c>
      <c r="M3" s="35">
        <f t="shared" ref="M3:M20" si="1">L3</f>
        <v>0</v>
      </c>
    </row>
    <row r="4" spans="1:13">
      <c r="A4" s="1" t="s">
        <v>40</v>
      </c>
      <c r="B4" s="2">
        <v>0</v>
      </c>
      <c r="C4" s="2">
        <v>37076053</v>
      </c>
      <c r="D4" s="2">
        <v>699276</v>
      </c>
      <c r="E4" s="2">
        <v>127616</v>
      </c>
      <c r="F4" s="2">
        <v>172164</v>
      </c>
      <c r="G4" s="2">
        <v>3247</v>
      </c>
      <c r="H4" s="2">
        <v>296146</v>
      </c>
      <c r="I4" s="2">
        <v>63776166</v>
      </c>
      <c r="J4" s="40">
        <v>36249161</v>
      </c>
      <c r="K4" s="2">
        <f t="shared" si="0"/>
        <v>36249161</v>
      </c>
      <c r="L4" s="40">
        <f>VLOOKUP($A4,'Calculos AL'!$65:$83,COUNTA('Calculos AL'!$1:$1),0)</f>
        <v>0</v>
      </c>
      <c r="M4" s="41">
        <f t="shared" si="1"/>
        <v>0</v>
      </c>
    </row>
    <row r="5" spans="1:13">
      <c r="A5" s="1" t="s">
        <v>36</v>
      </c>
      <c r="B5" s="2">
        <v>2031</v>
      </c>
      <c r="C5" s="2">
        <v>5182360</v>
      </c>
      <c r="D5" s="2">
        <v>64247</v>
      </c>
      <c r="E5" s="2">
        <v>6800</v>
      </c>
      <c r="F5" s="2">
        <v>269211</v>
      </c>
      <c r="G5" s="2">
        <v>3337</v>
      </c>
      <c r="H5" s="2">
        <v>2520813</v>
      </c>
      <c r="I5" s="2">
        <v>48526135</v>
      </c>
      <c r="J5" s="40">
        <v>5111313</v>
      </c>
      <c r="K5" s="2">
        <f t="shared" si="0"/>
        <v>5111313</v>
      </c>
      <c r="L5" s="40">
        <f>VLOOKUP($A5,'Calculos AL'!$65:$83,COUNTA('Calculos AL'!$1:$1),0)</f>
        <v>0</v>
      </c>
      <c r="M5" s="35">
        <f t="shared" si="1"/>
        <v>0</v>
      </c>
    </row>
    <row r="6" spans="1:13">
      <c r="A6" s="1" t="s">
        <v>35</v>
      </c>
      <c r="B6" s="2">
        <v>0</v>
      </c>
      <c r="C6" s="2">
        <v>6360089</v>
      </c>
      <c r="D6" s="2">
        <v>142629</v>
      </c>
      <c r="E6" s="2">
        <v>33802</v>
      </c>
      <c r="F6" s="2">
        <v>123466</v>
      </c>
      <c r="G6" s="2">
        <v>2769</v>
      </c>
      <c r="H6" s="2">
        <v>717327</v>
      </c>
      <c r="I6" s="2">
        <v>36951507</v>
      </c>
      <c r="J6" s="40">
        <v>6183658</v>
      </c>
      <c r="K6" s="2">
        <f t="shared" si="0"/>
        <v>6183658</v>
      </c>
      <c r="L6" s="40">
        <f>VLOOKUP($A6,'Calculos AL'!$65:$83,COUNTA('Calculos AL'!$1:$1),0)</f>
        <v>0</v>
      </c>
      <c r="M6" s="35">
        <f t="shared" si="1"/>
        <v>0</v>
      </c>
    </row>
    <row r="7" spans="1:13">
      <c r="A7" s="1" t="s">
        <v>34</v>
      </c>
      <c r="B7" s="2">
        <v>0</v>
      </c>
      <c r="C7" s="2">
        <v>1057121</v>
      </c>
      <c r="D7" s="2">
        <v>36014</v>
      </c>
      <c r="E7" s="2">
        <v>543</v>
      </c>
      <c r="F7" s="2">
        <v>58361</v>
      </c>
      <c r="G7" s="2">
        <v>1988</v>
      </c>
      <c r="H7" s="2">
        <v>170173</v>
      </c>
      <c r="I7" s="2">
        <v>3082403</v>
      </c>
      <c r="J7" s="40">
        <v>1020564</v>
      </c>
      <c r="K7" s="2">
        <f t="shared" si="0"/>
        <v>1020564</v>
      </c>
      <c r="L7" s="40">
        <f>VLOOKUP($A7,'Calculos AL'!$65:$83,COUNTA('Calculos AL'!$1:$1),0)</f>
        <v>0</v>
      </c>
      <c r="M7" s="35">
        <f t="shared" si="1"/>
        <v>0</v>
      </c>
    </row>
    <row r="8" spans="1:13">
      <c r="A8" s="1" t="s">
        <v>31</v>
      </c>
      <c r="B8" s="2">
        <v>11</v>
      </c>
      <c r="C8" s="2">
        <v>1237575</v>
      </c>
      <c r="D8" s="2">
        <v>20178</v>
      </c>
      <c r="E8" s="2">
        <v>1047</v>
      </c>
      <c r="F8" s="2">
        <v>66593</v>
      </c>
      <c r="G8" s="2">
        <v>1086</v>
      </c>
      <c r="H8" s="2">
        <v>373892</v>
      </c>
      <c r="I8" s="2">
        <v>6948424</v>
      </c>
      <c r="J8" s="40">
        <v>1216350</v>
      </c>
      <c r="K8" s="2">
        <f t="shared" si="0"/>
        <v>1216350</v>
      </c>
      <c r="L8" s="40">
        <f>VLOOKUP($A8,'Calculos AL'!$65:$83,COUNTA('Calculos AL'!$1:$1),0)</f>
        <v>0</v>
      </c>
      <c r="M8" s="35">
        <f t="shared" si="1"/>
        <v>0</v>
      </c>
    </row>
    <row r="9" spans="1:13">
      <c r="A9" s="1" t="s">
        <v>30</v>
      </c>
      <c r="B9" s="2">
        <v>0</v>
      </c>
      <c r="C9" s="2">
        <v>472219</v>
      </c>
      <c r="D9" s="2">
        <v>11111</v>
      </c>
      <c r="E9" s="2">
        <v>0</v>
      </c>
      <c r="F9" s="2">
        <v>46200</v>
      </c>
      <c r="G9" s="2">
        <v>1087</v>
      </c>
      <c r="H9" s="2">
        <v>159984</v>
      </c>
      <c r="I9" s="2">
        <v>1635233</v>
      </c>
      <c r="J9" s="40"/>
      <c r="K9" s="2">
        <f t="shared" si="0"/>
        <v>461108</v>
      </c>
      <c r="L9" s="40">
        <f>VLOOKUP($A9,'Calculos AL'!$65:$83,COUNTA('Calculos AL'!$1:$1),0)</f>
        <v>0</v>
      </c>
      <c r="M9" s="35">
        <f t="shared" si="1"/>
        <v>0</v>
      </c>
    </row>
    <row r="10" spans="1:13">
      <c r="A10" s="1" t="s">
        <v>44</v>
      </c>
      <c r="B10" s="2">
        <v>525</v>
      </c>
      <c r="C10" s="2">
        <v>7470653</v>
      </c>
      <c r="D10" s="2">
        <v>333100</v>
      </c>
      <c r="E10" s="2">
        <v>430782</v>
      </c>
      <c r="F10" s="2">
        <v>56784</v>
      </c>
      <c r="G10" s="2">
        <v>2532</v>
      </c>
      <c r="H10" s="2">
        <v>148768</v>
      </c>
      <c r="I10" s="2">
        <v>19572325</v>
      </c>
      <c r="J10" s="40">
        <v>6706771</v>
      </c>
      <c r="K10" s="2">
        <f t="shared" si="0"/>
        <v>6706771</v>
      </c>
      <c r="L10" s="40">
        <f>VLOOKUP($A10,'Calculos AL'!$65:$83,COUNTA('Calculos AL'!$1:$1),0)</f>
        <v>0</v>
      </c>
      <c r="M10" s="35">
        <f t="shared" si="1"/>
        <v>0</v>
      </c>
    </row>
    <row r="11" spans="1:13">
      <c r="A11" s="1" t="s">
        <v>71</v>
      </c>
      <c r="B11" s="2">
        <v>458</v>
      </c>
      <c r="C11" s="2">
        <v>1031731</v>
      </c>
      <c r="D11" s="2">
        <v>8609</v>
      </c>
      <c r="E11" s="2">
        <v>598</v>
      </c>
      <c r="F11" s="2">
        <v>232008</v>
      </c>
      <c r="G11" s="2">
        <v>1936</v>
      </c>
      <c r="H11" s="2">
        <v>1697416</v>
      </c>
      <c r="I11" s="2">
        <v>7548346</v>
      </c>
      <c r="J11" s="40">
        <v>1022524</v>
      </c>
      <c r="K11" s="2">
        <f t="shared" si="0"/>
        <v>1022524</v>
      </c>
      <c r="L11" s="40">
        <f>VLOOKUP($A11,'Calculos AL'!$65:$83,COUNTA('Calculos AL'!$1:$1),0)</f>
        <v>0</v>
      </c>
      <c r="M11" s="35">
        <f t="shared" si="1"/>
        <v>0</v>
      </c>
    </row>
    <row r="12" spans="1:13">
      <c r="A12" s="1" t="s">
        <v>45</v>
      </c>
      <c r="B12" s="2">
        <v>0</v>
      </c>
      <c r="C12" s="2">
        <v>4486934</v>
      </c>
      <c r="D12" s="2">
        <v>219493</v>
      </c>
      <c r="E12" s="2">
        <v>2063</v>
      </c>
      <c r="F12" s="2">
        <v>133203</v>
      </c>
      <c r="G12" s="2">
        <v>6516</v>
      </c>
      <c r="H12" s="2">
        <v>1130783</v>
      </c>
      <c r="I12" s="2">
        <v>38089514</v>
      </c>
      <c r="J12" s="40">
        <v>4265276</v>
      </c>
      <c r="K12" s="2">
        <f t="shared" si="0"/>
        <v>4265378</v>
      </c>
      <c r="L12" s="40">
        <f>VLOOKUP($A12,'Calculos AL'!$65:$83,COUNTA('Calculos AL'!$1:$1),0)</f>
        <v>0</v>
      </c>
      <c r="M12" s="35">
        <f t="shared" si="1"/>
        <v>0</v>
      </c>
    </row>
    <row r="13" spans="1:13">
      <c r="A13" s="1" t="s">
        <v>99</v>
      </c>
      <c r="B13" s="2">
        <v>0</v>
      </c>
      <c r="C13" s="2">
        <v>201785</v>
      </c>
      <c r="D13" s="2">
        <v>4230</v>
      </c>
      <c r="E13" s="2">
        <v>18145</v>
      </c>
      <c r="F13" s="2">
        <v>30805</v>
      </c>
      <c r="G13" s="2">
        <v>646</v>
      </c>
      <c r="H13" s="2">
        <v>398467</v>
      </c>
      <c r="I13" s="2">
        <v>2610114</v>
      </c>
      <c r="J13" s="40">
        <v>179410</v>
      </c>
      <c r="K13" s="2">
        <f t="shared" si="0"/>
        <v>179410</v>
      </c>
      <c r="L13" s="40">
        <f>VLOOKUP($A13,'Calculos AL'!$65:$83,COUNTA('Calculos AL'!$1:$1),0)</f>
        <v>0</v>
      </c>
      <c r="M13" s="41">
        <f t="shared" si="1"/>
        <v>0</v>
      </c>
    </row>
    <row r="14" spans="1:13">
      <c r="A14" s="1" t="s">
        <v>66</v>
      </c>
      <c r="B14" s="2">
        <v>349</v>
      </c>
      <c r="C14" s="2">
        <v>651339</v>
      </c>
      <c r="D14" s="2">
        <v>4384</v>
      </c>
      <c r="E14" s="2">
        <v>1838</v>
      </c>
      <c r="F14" s="2">
        <v>59425.926819706299</v>
      </c>
      <c r="G14" s="2">
        <v>399</v>
      </c>
      <c r="H14" s="2">
        <v>341452.17028500198</v>
      </c>
      <c r="I14" s="2">
        <v>3742493</v>
      </c>
      <c r="J14" s="40">
        <v>645117</v>
      </c>
      <c r="K14" s="2">
        <f>C14-D14-E14</f>
        <v>645117</v>
      </c>
      <c r="L14" s="40">
        <f ca="1">B14/OFFSET(Indicadores!I:I,COUNTA(Indicadores!I:I)-1,0,1,1)</f>
        <v>8.0248332950103474E-2</v>
      </c>
      <c r="M14" s="35">
        <f t="shared" ca="1" si="1"/>
        <v>8.0248332950103474E-2</v>
      </c>
    </row>
    <row r="15" spans="1:13">
      <c r="A15" s="1" t="s">
        <v>96</v>
      </c>
      <c r="B15" s="2">
        <v>0</v>
      </c>
      <c r="C15" s="2">
        <v>1204164</v>
      </c>
      <c r="D15" s="2">
        <v>9230</v>
      </c>
      <c r="E15" s="2">
        <v>334223</v>
      </c>
      <c r="F15" s="2">
        <v>232358</v>
      </c>
      <c r="G15" s="2">
        <v>1781</v>
      </c>
      <c r="H15" s="2">
        <v>899158</v>
      </c>
      <c r="I15" s="2">
        <v>4659757</v>
      </c>
      <c r="J15" s="40">
        <v>860711</v>
      </c>
      <c r="K15" s="2">
        <f t="shared" ref="K15:K20" si="2">C15-D15-E15</f>
        <v>860711</v>
      </c>
      <c r="L15" s="40">
        <f>VLOOKUP($A15,'Calculos AL'!$65:$83,COUNTA('Calculos AL'!$1:$1),0)</f>
        <v>0</v>
      </c>
      <c r="M15" s="41">
        <f t="shared" si="1"/>
        <v>0</v>
      </c>
    </row>
    <row r="16" spans="1:13">
      <c r="A16" s="1" t="s">
        <v>159</v>
      </c>
      <c r="B16" s="2">
        <v>0</v>
      </c>
      <c r="C16" s="2">
        <v>1034303</v>
      </c>
      <c r="D16" s="2">
        <v>7617</v>
      </c>
      <c r="E16" s="2">
        <v>500</v>
      </c>
      <c r="F16" s="2">
        <v>295852</v>
      </c>
      <c r="G16" s="2">
        <v>2179</v>
      </c>
      <c r="H16" s="2">
        <v>1749083</v>
      </c>
      <c r="I16" s="2">
        <v>6114822</v>
      </c>
      <c r="J16" s="40">
        <v>1026186</v>
      </c>
      <c r="K16" s="2">
        <f t="shared" si="2"/>
        <v>1026186</v>
      </c>
      <c r="L16" s="40">
        <f>VLOOKUP($A16,'Calculos AL'!$65:$83,COUNTA('Calculos AL'!$1:$1),0)</f>
        <v>0</v>
      </c>
      <c r="M16" s="35">
        <f t="shared" si="1"/>
        <v>0</v>
      </c>
    </row>
    <row r="17" spans="1:13">
      <c r="A17" s="1" t="s">
        <v>95</v>
      </c>
      <c r="B17" s="2">
        <v>29</v>
      </c>
      <c r="C17" s="2">
        <v>552154</v>
      </c>
      <c r="D17" s="2">
        <v>5854</v>
      </c>
      <c r="E17" s="2">
        <v>379</v>
      </c>
      <c r="F17" s="2">
        <v>18866</v>
      </c>
      <c r="G17" s="2">
        <v>200</v>
      </c>
      <c r="H17" s="2">
        <v>114771</v>
      </c>
      <c r="I17" s="2">
        <v>3359014</v>
      </c>
      <c r="J17" s="40">
        <v>545921</v>
      </c>
      <c r="K17" s="2">
        <f t="shared" si="2"/>
        <v>545921</v>
      </c>
      <c r="L17" s="40">
        <f>VLOOKUP($A17,'Calculos AL'!$65:$83,COUNTA('Calculos AL'!$1:$1),0)</f>
        <v>0</v>
      </c>
      <c r="M17" s="35">
        <f t="shared" si="1"/>
        <v>0</v>
      </c>
    </row>
    <row r="18" spans="1:13">
      <c r="A18" s="1" t="s">
        <v>140</v>
      </c>
      <c r="B18" s="2">
        <v>6</v>
      </c>
      <c r="C18" s="2">
        <v>1112631</v>
      </c>
      <c r="D18" s="2">
        <v>8530</v>
      </c>
      <c r="E18" s="2">
        <v>90</v>
      </c>
      <c r="F18" s="2">
        <v>98414</v>
      </c>
      <c r="G18" s="2">
        <v>754</v>
      </c>
      <c r="H18" s="2">
        <v>1266588</v>
      </c>
      <c r="I18" s="2">
        <v>14319601</v>
      </c>
      <c r="J18" s="40">
        <v>1104011</v>
      </c>
      <c r="K18" s="2">
        <f t="shared" si="2"/>
        <v>1104011</v>
      </c>
      <c r="L18" s="40">
        <f>VLOOKUP($A18,'Calculos AL'!$65:$83,COUNTA('Calculos AL'!$1:$1),0)</f>
        <v>0</v>
      </c>
      <c r="M18" s="35">
        <f t="shared" si="1"/>
        <v>0</v>
      </c>
    </row>
    <row r="19" spans="1:13">
      <c r="A19" s="1" t="s">
        <v>114</v>
      </c>
      <c r="B19" s="2">
        <v>0</v>
      </c>
      <c r="C19" s="2">
        <v>34202</v>
      </c>
      <c r="D19" s="2">
        <v>860</v>
      </c>
      <c r="E19" s="2">
        <v>290</v>
      </c>
      <c r="F19" s="2">
        <v>2928</v>
      </c>
      <c r="G19" s="2">
        <v>74</v>
      </c>
      <c r="H19" s="2">
        <v>11337</v>
      </c>
      <c r="I19" s="2">
        <v>132422</v>
      </c>
      <c r="J19" s="40">
        <v>33052</v>
      </c>
      <c r="K19" s="2">
        <f t="shared" si="2"/>
        <v>33052</v>
      </c>
      <c r="L19" s="40">
        <f>VLOOKUP($A19,'Calculos AL'!$65:$83,COUNTA('Calculos AL'!$1:$1),0)</f>
        <v>0</v>
      </c>
      <c r="M19" s="41">
        <f t="shared" si="1"/>
        <v>0</v>
      </c>
    </row>
    <row r="20" spans="1:13">
      <c r="A20" s="1" t="s">
        <v>120</v>
      </c>
      <c r="B20" s="2">
        <v>0</v>
      </c>
      <c r="C20" s="2">
        <v>808401</v>
      </c>
      <c r="D20" s="2">
        <v>19878</v>
      </c>
      <c r="E20" s="2">
        <v>0</v>
      </c>
      <c r="F20" s="2">
        <v>110651</v>
      </c>
      <c r="G20" s="2">
        <v>2721</v>
      </c>
      <c r="H20" s="2">
        <v>363751</v>
      </c>
      <c r="I20" s="2">
        <v>2657506</v>
      </c>
      <c r="J20" s="40"/>
      <c r="K20" s="2">
        <f t="shared" si="2"/>
        <v>788523</v>
      </c>
      <c r="L20" s="40">
        <f>VLOOKUP($A20,'Calculos AL'!$65:$83,COUNTA('Calculos AL'!$1:$1),0)</f>
        <v>0</v>
      </c>
      <c r="M20" s="35">
        <f t="shared" si="1"/>
        <v>0</v>
      </c>
    </row>
    <row r="21" spans="1:13">
      <c r="E21" s="2"/>
    </row>
    <row r="23" spans="1:13">
      <c r="E23" s="2"/>
    </row>
  </sheetData>
  <conditionalFormatting sqref="M2:M20">
    <cfRule type="cellIs" dxfId="0" priority="1" operator="equal">
      <formula>0</formula>
    </cfRule>
  </conditionalFormatting>
  <pageMargins left="0.7" right="0.7" top="0.75" bottom="0.75" header="0.3" footer="0.3"/>
  <pageSetup orientation="portrait" horizontalDpi="4294967293" verticalDpi="429496729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79998168889431442"/>
  </sheetPr>
  <dimension ref="A1:AHQ84"/>
  <sheetViews>
    <sheetView zoomScale="75" zoomScaleNormal="70" workbookViewId="0">
      <pane xSplit="1" topLeftCell="AHH1" activePane="topRight" state="frozen"/>
      <selection activeCell="XS17" sqref="XS17"/>
      <selection pane="topRight" activeCell="AHQ23" sqref="AHQ23"/>
    </sheetView>
  </sheetViews>
  <sheetFormatPr defaultColWidth="10.6640625" defaultRowHeight="15.5"/>
  <cols>
    <col min="1" max="1" width="17.6640625" customWidth="1"/>
    <col min="2" max="2" width="10.83203125" customWidth="1"/>
    <col min="3" max="3" width="9.83203125" customWidth="1"/>
    <col min="4" max="4" width="9.33203125" customWidth="1"/>
    <col min="5" max="5" width="10.5" customWidth="1"/>
    <col min="6" max="8" width="9.33203125" customWidth="1"/>
    <col min="9" max="9" width="9.83203125" customWidth="1"/>
    <col min="10" max="24" width="9.33203125" customWidth="1"/>
    <col min="25" max="28" width="10.33203125" customWidth="1"/>
    <col min="29" max="42" width="10.6640625" customWidth="1"/>
    <col min="43" max="43" width="11.1640625" customWidth="1"/>
    <col min="44" max="46" width="10.6640625" customWidth="1"/>
    <col min="47" max="55" width="9.6640625" customWidth="1"/>
    <col min="56" max="60" width="10.6640625" customWidth="1"/>
    <col min="61" max="61" width="11.5" customWidth="1"/>
    <col min="62" max="63" width="10.6640625" customWidth="1"/>
    <col min="67" max="67" width="11.5" customWidth="1"/>
    <col min="76" max="76" width="9" customWidth="1"/>
    <col min="77" max="77" width="13.1640625" customWidth="1"/>
    <col min="78" max="85" width="10.5" customWidth="1"/>
    <col min="86" max="88" width="11.5" customWidth="1"/>
    <col min="99" max="99" width="11.5" customWidth="1"/>
    <col min="101" max="101" width="11.5" customWidth="1"/>
    <col min="140" max="140" width="9.6640625" customWidth="1"/>
    <col min="148" max="148" width="10.5" customWidth="1"/>
    <col min="159" max="159" width="10.5" customWidth="1"/>
    <col min="163" max="163" width="11.1640625" customWidth="1"/>
    <col min="171" max="171" width="13.33203125" customWidth="1"/>
    <col min="175" max="175" width="11.5" customWidth="1"/>
    <col min="176" max="176" width="9.83203125" customWidth="1"/>
    <col min="177" max="177" width="9.6640625" customWidth="1"/>
    <col min="178" max="178" width="10" customWidth="1"/>
    <col min="179" max="184" width="10.6640625" customWidth="1"/>
    <col min="185" max="185" width="9.83203125" customWidth="1"/>
    <col min="186" max="187" width="10.33203125" customWidth="1"/>
    <col min="201" max="201" width="7.83203125" customWidth="1"/>
    <col min="207" max="215" width="10" customWidth="1"/>
    <col min="220" max="220" width="11.1640625" customWidth="1"/>
    <col min="221" max="221" width="12" customWidth="1"/>
    <col min="248" max="248" width="8.83203125" customWidth="1"/>
    <col min="259" max="259" width="9.33203125" customWidth="1"/>
    <col min="261" max="261" width="8.83203125" customWidth="1"/>
    <col min="267" max="267" width="9.1640625" customWidth="1"/>
    <col min="268" max="271" width="9.83203125" customWidth="1"/>
    <col min="277" max="277" width="11" customWidth="1"/>
    <col min="313" max="313" width="10.5" customWidth="1"/>
    <col min="378" max="378" width="9.5" customWidth="1"/>
    <col min="382" max="382" width="11.5" customWidth="1"/>
    <col min="754" max="754" width="12.08203125" customWidth="1"/>
    <col min="755" max="756" width="13" customWidth="1"/>
    <col min="757" max="760" width="11.4140625" customWidth="1"/>
    <col min="761" max="765" width="13" customWidth="1"/>
    <col min="766" max="767" width="11.4140625" customWidth="1"/>
    <col min="768" max="768" width="13" customWidth="1"/>
    <col min="769" max="769" width="11.4140625" customWidth="1"/>
    <col min="770" max="770" width="13" customWidth="1"/>
    <col min="771" max="771" width="11.4140625" customWidth="1"/>
    <col min="772" max="772" width="13" customWidth="1"/>
    <col min="773" max="774" width="11.4140625" customWidth="1"/>
    <col min="775" max="775" width="13" customWidth="1"/>
  </cols>
  <sheetData>
    <row r="1" spans="1:901">
      <c r="A1" s="43" t="s">
        <v>239</v>
      </c>
      <c r="B1" s="38">
        <v>44091</v>
      </c>
      <c r="C1" s="38">
        <v>44092</v>
      </c>
      <c r="D1" s="38">
        <v>44093</v>
      </c>
      <c r="E1" s="38">
        <v>44094</v>
      </c>
      <c r="F1" s="38">
        <v>44095</v>
      </c>
      <c r="G1" s="38">
        <v>44096</v>
      </c>
      <c r="H1" s="38">
        <v>44097</v>
      </c>
      <c r="I1" s="38">
        <v>44098</v>
      </c>
      <c r="J1" s="38">
        <v>44099</v>
      </c>
      <c r="K1" s="38">
        <v>44100</v>
      </c>
      <c r="L1" s="38">
        <v>44101</v>
      </c>
      <c r="M1" s="38">
        <v>44102</v>
      </c>
      <c r="N1" s="38">
        <v>44103</v>
      </c>
      <c r="O1" s="38">
        <v>44104</v>
      </c>
      <c r="P1" s="38">
        <v>44105</v>
      </c>
      <c r="Q1" s="38">
        <v>44106</v>
      </c>
      <c r="R1" s="38">
        <v>44107</v>
      </c>
      <c r="S1" s="38">
        <v>44108</v>
      </c>
      <c r="T1" s="38">
        <v>44109</v>
      </c>
      <c r="U1" s="38">
        <v>44110</v>
      </c>
      <c r="V1" s="38">
        <v>44111</v>
      </c>
      <c r="W1" s="38">
        <v>44112</v>
      </c>
      <c r="X1" s="38">
        <v>44113</v>
      </c>
      <c r="Y1" s="38">
        <v>44114</v>
      </c>
      <c r="Z1" s="38">
        <v>44115</v>
      </c>
      <c r="AA1" s="38">
        <v>44116</v>
      </c>
      <c r="AB1" s="38">
        <v>44117</v>
      </c>
      <c r="AC1" s="38">
        <v>44118</v>
      </c>
      <c r="AD1" s="38">
        <v>44119</v>
      </c>
      <c r="AE1" s="38">
        <v>44120</v>
      </c>
      <c r="AF1" s="38">
        <v>44121</v>
      </c>
      <c r="AG1" s="38">
        <v>44122</v>
      </c>
      <c r="AH1" s="38">
        <v>44123</v>
      </c>
      <c r="AI1" s="38">
        <v>44124</v>
      </c>
      <c r="AJ1" s="38">
        <v>44125</v>
      </c>
      <c r="AK1" s="38">
        <v>44126</v>
      </c>
      <c r="AL1" s="38">
        <v>44127</v>
      </c>
      <c r="AM1" s="38">
        <v>44128</v>
      </c>
      <c r="AN1" s="38">
        <v>44129</v>
      </c>
      <c r="AO1" s="38">
        <v>44130</v>
      </c>
      <c r="AP1" s="38">
        <v>44131</v>
      </c>
      <c r="AQ1" s="38">
        <v>44132</v>
      </c>
      <c r="AR1" s="38">
        <v>44133</v>
      </c>
      <c r="AS1" s="38">
        <v>44134</v>
      </c>
      <c r="AT1" s="38">
        <v>44135</v>
      </c>
      <c r="AU1" s="38">
        <v>44136</v>
      </c>
      <c r="AV1" s="38">
        <v>44137</v>
      </c>
      <c r="AW1" s="38">
        <v>44138</v>
      </c>
      <c r="AX1" s="38">
        <v>44139</v>
      </c>
      <c r="AY1" s="38">
        <v>44140</v>
      </c>
      <c r="AZ1" s="38">
        <v>44141</v>
      </c>
      <c r="BA1" s="38">
        <v>44142</v>
      </c>
      <c r="BB1" s="38">
        <v>44143</v>
      </c>
      <c r="BC1" s="38">
        <v>44144</v>
      </c>
      <c r="BD1" s="38">
        <v>44145</v>
      </c>
      <c r="BE1" s="38">
        <v>44146</v>
      </c>
      <c r="BF1" s="38">
        <v>44147</v>
      </c>
      <c r="BG1" s="38">
        <v>44148</v>
      </c>
      <c r="BH1" s="38">
        <v>44149</v>
      </c>
      <c r="BI1" s="38">
        <v>44150</v>
      </c>
      <c r="BJ1" s="38">
        <v>44151</v>
      </c>
      <c r="BK1" s="38">
        <v>44152</v>
      </c>
      <c r="BL1" s="38">
        <v>44153</v>
      </c>
      <c r="BM1" s="38">
        <v>44154</v>
      </c>
      <c r="BN1" s="38">
        <v>44155</v>
      </c>
      <c r="BO1" s="38">
        <v>44156</v>
      </c>
      <c r="BP1" s="38">
        <v>44157</v>
      </c>
      <c r="BQ1" s="38">
        <v>44158</v>
      </c>
      <c r="BR1" s="38">
        <v>44159</v>
      </c>
      <c r="BS1" s="38">
        <v>44160</v>
      </c>
      <c r="BT1" s="38">
        <v>44161</v>
      </c>
      <c r="BU1" s="38">
        <v>44162</v>
      </c>
      <c r="BV1" s="38">
        <v>44163</v>
      </c>
      <c r="BW1" s="38">
        <v>44164</v>
      </c>
      <c r="BX1" s="38">
        <v>44165</v>
      </c>
      <c r="BY1" s="38">
        <v>44166</v>
      </c>
      <c r="BZ1" s="38">
        <v>44167</v>
      </c>
      <c r="CA1" s="38">
        <v>44168</v>
      </c>
      <c r="CB1" s="38">
        <v>44169</v>
      </c>
      <c r="CC1" s="38">
        <v>44170</v>
      </c>
      <c r="CD1" s="38">
        <v>44171</v>
      </c>
      <c r="CE1" s="38">
        <v>44172</v>
      </c>
      <c r="CF1" s="38">
        <v>44173</v>
      </c>
      <c r="CG1" s="38">
        <v>44174</v>
      </c>
      <c r="CH1" s="38">
        <v>44175</v>
      </c>
      <c r="CI1" s="38">
        <v>44176</v>
      </c>
      <c r="CJ1" s="38">
        <v>44177</v>
      </c>
      <c r="CK1" s="38">
        <v>44178</v>
      </c>
      <c r="CL1" s="38">
        <v>44179</v>
      </c>
      <c r="CM1" s="38">
        <v>44180</v>
      </c>
      <c r="CN1" s="38">
        <v>44181</v>
      </c>
      <c r="CO1" s="38">
        <v>44182</v>
      </c>
      <c r="CP1" s="38">
        <v>44183</v>
      </c>
      <c r="CQ1" s="38">
        <v>44184</v>
      </c>
      <c r="CR1" s="38">
        <v>44185</v>
      </c>
      <c r="CS1" s="38">
        <v>44186</v>
      </c>
      <c r="CT1" s="38">
        <v>44187</v>
      </c>
      <c r="CU1" s="38">
        <v>44188</v>
      </c>
      <c r="CV1" s="38">
        <v>44189</v>
      </c>
      <c r="CW1" s="38">
        <v>44190</v>
      </c>
      <c r="CX1" s="38">
        <v>44191</v>
      </c>
      <c r="CY1" s="38">
        <v>44192</v>
      </c>
      <c r="CZ1" s="38">
        <v>44193</v>
      </c>
      <c r="DA1" s="38">
        <v>44194</v>
      </c>
      <c r="DB1" s="38">
        <v>44195</v>
      </c>
      <c r="DC1" s="38">
        <v>44196</v>
      </c>
      <c r="DD1" s="38">
        <v>44197</v>
      </c>
      <c r="DE1" s="38">
        <v>44198</v>
      </c>
      <c r="DF1" s="38">
        <v>44199</v>
      </c>
      <c r="DG1" s="38">
        <v>44200</v>
      </c>
      <c r="DH1" s="38">
        <v>44201</v>
      </c>
      <c r="DI1" s="38">
        <v>44202</v>
      </c>
      <c r="DJ1" s="38">
        <v>44203</v>
      </c>
      <c r="DK1" s="38">
        <v>44204</v>
      </c>
      <c r="DL1" s="38">
        <v>44205</v>
      </c>
      <c r="DM1" s="38">
        <v>44206</v>
      </c>
      <c r="DN1" s="38">
        <v>44207</v>
      </c>
      <c r="DO1" s="38">
        <v>44208</v>
      </c>
      <c r="DP1" s="38">
        <v>44209</v>
      </c>
      <c r="DQ1" s="38">
        <v>44210</v>
      </c>
      <c r="DR1" s="38">
        <v>44211</v>
      </c>
      <c r="DS1" s="38">
        <v>44212</v>
      </c>
      <c r="DT1" s="38">
        <v>44213</v>
      </c>
      <c r="DU1" s="38">
        <v>44214</v>
      </c>
      <c r="DV1" s="38">
        <v>44215</v>
      </c>
      <c r="DW1" s="38">
        <v>44216</v>
      </c>
      <c r="DX1" s="38">
        <v>44217</v>
      </c>
      <c r="DY1" s="38">
        <v>44218</v>
      </c>
      <c r="DZ1" s="38">
        <v>44219</v>
      </c>
      <c r="EA1" s="38">
        <v>44220</v>
      </c>
      <c r="EB1" s="38">
        <v>44221</v>
      </c>
      <c r="EC1" s="38">
        <v>44222</v>
      </c>
      <c r="ED1" s="38">
        <v>44223</v>
      </c>
      <c r="EE1" s="38">
        <v>44224</v>
      </c>
      <c r="EF1" s="38">
        <v>44225</v>
      </c>
      <c r="EG1" s="38">
        <v>44226</v>
      </c>
      <c r="EH1" s="38">
        <v>44227</v>
      </c>
      <c r="EI1" s="38">
        <v>44228</v>
      </c>
      <c r="EJ1" s="38">
        <v>44229</v>
      </c>
      <c r="EK1" s="38">
        <v>44230</v>
      </c>
      <c r="EL1" s="38">
        <v>44231</v>
      </c>
      <c r="EM1" s="38">
        <v>44232</v>
      </c>
      <c r="EN1" s="38">
        <v>44233</v>
      </c>
      <c r="EO1" s="38">
        <v>44234</v>
      </c>
      <c r="EP1" s="38">
        <v>44235</v>
      </c>
      <c r="EQ1" s="38">
        <v>44236</v>
      </c>
      <c r="ER1" s="38">
        <v>44237</v>
      </c>
      <c r="ES1" s="38">
        <v>44238</v>
      </c>
      <c r="ET1" s="38">
        <v>44239</v>
      </c>
      <c r="EU1" s="38">
        <v>44240</v>
      </c>
      <c r="EV1" s="38">
        <v>44241</v>
      </c>
      <c r="EW1" s="38">
        <v>44242</v>
      </c>
      <c r="EX1" s="38">
        <v>44243</v>
      </c>
      <c r="EY1" s="38">
        <v>44244</v>
      </c>
      <c r="EZ1" s="38">
        <v>44245</v>
      </c>
      <c r="FA1" s="38">
        <v>44246</v>
      </c>
      <c r="FB1" s="38">
        <v>44247</v>
      </c>
      <c r="FC1" s="38">
        <v>44248</v>
      </c>
      <c r="FD1" s="38">
        <v>44249</v>
      </c>
      <c r="FE1" s="38">
        <v>44250</v>
      </c>
      <c r="FF1" s="38">
        <v>44251</v>
      </c>
      <c r="FG1" s="38">
        <v>44252</v>
      </c>
      <c r="FH1" s="38">
        <v>44253</v>
      </c>
      <c r="FI1" s="38">
        <v>44254</v>
      </c>
      <c r="FJ1" s="38">
        <v>44255</v>
      </c>
      <c r="FK1" s="38">
        <v>44256</v>
      </c>
      <c r="FL1" s="38">
        <v>44257</v>
      </c>
      <c r="FM1" s="38">
        <v>44258</v>
      </c>
      <c r="FN1" s="38">
        <v>44259</v>
      </c>
      <c r="FO1" s="38">
        <v>44260</v>
      </c>
      <c r="FP1" s="38">
        <v>44261</v>
      </c>
      <c r="FQ1" s="38">
        <v>44262</v>
      </c>
      <c r="FR1" s="38">
        <v>44263</v>
      </c>
      <c r="FS1" s="38">
        <v>44264</v>
      </c>
      <c r="FT1" s="38">
        <v>44265</v>
      </c>
      <c r="FU1" s="38">
        <v>44266</v>
      </c>
      <c r="FV1" s="38">
        <v>44267</v>
      </c>
      <c r="FW1" s="38">
        <v>44268</v>
      </c>
      <c r="FX1" s="38">
        <v>44269</v>
      </c>
      <c r="FY1" s="38">
        <v>44270</v>
      </c>
      <c r="FZ1" s="38">
        <v>44271</v>
      </c>
      <c r="GA1" s="38">
        <v>44272</v>
      </c>
      <c r="GB1" s="38">
        <v>44273</v>
      </c>
      <c r="GC1" s="38">
        <v>44274</v>
      </c>
      <c r="GD1" s="38">
        <v>44275</v>
      </c>
      <c r="GE1" s="38">
        <v>44276</v>
      </c>
      <c r="GF1" s="38">
        <v>44277</v>
      </c>
      <c r="GG1" s="38">
        <v>44278</v>
      </c>
      <c r="GH1" s="38">
        <v>44279</v>
      </c>
      <c r="GI1" s="38">
        <v>44280</v>
      </c>
      <c r="GJ1" s="38">
        <v>44281</v>
      </c>
      <c r="GK1" s="38">
        <v>44282</v>
      </c>
      <c r="GL1" s="38">
        <v>44283</v>
      </c>
      <c r="GM1" s="38">
        <v>44284</v>
      </c>
      <c r="GN1" s="38">
        <v>44285</v>
      </c>
      <c r="GO1" s="38">
        <v>44286</v>
      </c>
      <c r="GP1" s="38">
        <v>44287</v>
      </c>
      <c r="GQ1" s="38">
        <v>44288</v>
      </c>
      <c r="GR1" s="38">
        <v>44289</v>
      </c>
      <c r="GS1" s="38">
        <v>44290</v>
      </c>
      <c r="GT1" s="38">
        <v>44291</v>
      </c>
      <c r="GU1" s="38">
        <v>44292</v>
      </c>
      <c r="GV1" s="38">
        <v>44293</v>
      </c>
      <c r="GW1" s="38">
        <v>44294</v>
      </c>
      <c r="GX1" s="38">
        <v>44295</v>
      </c>
      <c r="GY1" s="38">
        <v>44296</v>
      </c>
      <c r="GZ1" s="38">
        <v>44297</v>
      </c>
      <c r="HA1" s="38">
        <v>44298</v>
      </c>
      <c r="HB1" s="38">
        <v>44299</v>
      </c>
      <c r="HC1" s="38">
        <v>44300</v>
      </c>
      <c r="HD1" s="38">
        <v>44301</v>
      </c>
      <c r="HE1" s="38">
        <v>44302</v>
      </c>
      <c r="HF1" s="38">
        <v>44303</v>
      </c>
      <c r="HG1" s="38">
        <v>44304</v>
      </c>
      <c r="HH1" s="38">
        <v>44305</v>
      </c>
      <c r="HI1" s="38">
        <v>44306</v>
      </c>
      <c r="HJ1" s="38">
        <v>44307</v>
      </c>
      <c r="HK1" s="38">
        <v>44308</v>
      </c>
      <c r="HL1" s="38">
        <v>44309</v>
      </c>
      <c r="HM1" s="38">
        <v>44310</v>
      </c>
      <c r="HN1" s="38">
        <v>44311</v>
      </c>
      <c r="HO1" s="38">
        <v>44312</v>
      </c>
      <c r="HP1" s="38">
        <v>44313</v>
      </c>
      <c r="HQ1" s="38">
        <v>44314</v>
      </c>
      <c r="HR1" s="38">
        <v>44315</v>
      </c>
      <c r="HS1" s="38">
        <v>44316</v>
      </c>
      <c r="HT1" s="38">
        <v>44317</v>
      </c>
      <c r="HU1" s="38">
        <v>44318</v>
      </c>
      <c r="HV1" s="38">
        <v>44319</v>
      </c>
      <c r="HW1" s="38">
        <v>44320</v>
      </c>
      <c r="HX1" s="38">
        <v>44321</v>
      </c>
      <c r="HY1" s="38">
        <v>44322</v>
      </c>
      <c r="HZ1" s="38">
        <v>44323</v>
      </c>
      <c r="IA1" s="38">
        <v>44324</v>
      </c>
      <c r="IB1" s="38">
        <v>44325</v>
      </c>
      <c r="IC1" s="38">
        <v>44326</v>
      </c>
      <c r="ID1" s="38">
        <v>44327</v>
      </c>
      <c r="IE1" s="38">
        <v>44328</v>
      </c>
      <c r="IF1" s="38">
        <v>44329</v>
      </c>
      <c r="IG1" s="38">
        <v>44330</v>
      </c>
      <c r="IH1" s="38">
        <v>44331</v>
      </c>
      <c r="II1" s="38">
        <v>44332</v>
      </c>
      <c r="IJ1" s="38">
        <v>44333</v>
      </c>
      <c r="IK1" s="38">
        <v>44334</v>
      </c>
      <c r="IL1" s="38">
        <v>44335</v>
      </c>
      <c r="IM1" s="38">
        <v>44336</v>
      </c>
      <c r="IN1" s="38">
        <v>44337</v>
      </c>
      <c r="IO1" s="38">
        <v>44338</v>
      </c>
      <c r="IP1" s="38">
        <v>44339</v>
      </c>
      <c r="IQ1" s="38">
        <v>44340</v>
      </c>
      <c r="IR1" s="38">
        <v>44341</v>
      </c>
      <c r="IS1" s="38">
        <v>44342</v>
      </c>
      <c r="IT1" s="38">
        <v>44343</v>
      </c>
      <c r="IU1" s="38">
        <v>44344</v>
      </c>
      <c r="IV1" s="38">
        <v>44345</v>
      </c>
      <c r="IW1" s="38">
        <v>44346</v>
      </c>
      <c r="IX1" s="38">
        <v>44347</v>
      </c>
      <c r="IY1" s="38">
        <v>44348</v>
      </c>
      <c r="IZ1" s="38">
        <v>44349</v>
      </c>
      <c r="JA1" s="38">
        <v>44350</v>
      </c>
      <c r="JB1" s="38">
        <v>44351</v>
      </c>
      <c r="JC1" s="38">
        <v>44352</v>
      </c>
      <c r="JD1" s="38">
        <v>44353</v>
      </c>
      <c r="JE1" s="38">
        <v>44354</v>
      </c>
      <c r="JF1" s="38">
        <v>44355</v>
      </c>
      <c r="JG1" s="38">
        <v>44356</v>
      </c>
      <c r="JH1" s="38">
        <v>44357</v>
      </c>
      <c r="JI1" s="38">
        <v>44358</v>
      </c>
      <c r="JJ1" s="38">
        <v>44359</v>
      </c>
      <c r="JK1" s="38">
        <v>44360</v>
      </c>
      <c r="JL1" s="38">
        <v>44361</v>
      </c>
      <c r="JM1" s="38">
        <v>44362</v>
      </c>
      <c r="JN1" s="38">
        <v>44363</v>
      </c>
      <c r="JO1" s="38">
        <v>44364</v>
      </c>
      <c r="JP1" s="38">
        <v>44365</v>
      </c>
      <c r="JQ1" s="38">
        <v>44366</v>
      </c>
      <c r="JR1" s="38">
        <v>44367</v>
      </c>
      <c r="JS1" s="38">
        <v>44368</v>
      </c>
      <c r="JT1" s="38">
        <v>44369</v>
      </c>
      <c r="JU1" s="38">
        <v>44370</v>
      </c>
      <c r="JV1" s="38">
        <v>44371</v>
      </c>
      <c r="JW1" s="38">
        <v>44372</v>
      </c>
      <c r="JX1" s="38">
        <v>44373</v>
      </c>
      <c r="JY1" s="38">
        <v>44374</v>
      </c>
      <c r="JZ1" s="38">
        <v>44375</v>
      </c>
      <c r="KA1" s="38">
        <v>44376</v>
      </c>
      <c r="KB1" s="38">
        <v>44377</v>
      </c>
      <c r="KC1" s="38">
        <v>44378</v>
      </c>
      <c r="KD1" s="38">
        <v>44379</v>
      </c>
      <c r="KE1" s="38">
        <v>44380</v>
      </c>
      <c r="KF1" s="38">
        <v>44381</v>
      </c>
      <c r="KG1" s="38">
        <v>44382</v>
      </c>
      <c r="KH1" s="38">
        <v>44383</v>
      </c>
      <c r="KI1" s="38">
        <v>44384</v>
      </c>
      <c r="KJ1" s="38">
        <v>44385</v>
      </c>
      <c r="KK1" s="38">
        <v>44386</v>
      </c>
      <c r="KL1" s="38">
        <v>44387</v>
      </c>
      <c r="KM1" s="38">
        <v>44388</v>
      </c>
      <c r="KN1" s="38">
        <v>44389</v>
      </c>
      <c r="KO1" s="38">
        <v>44390</v>
      </c>
      <c r="KP1" s="38">
        <v>44391</v>
      </c>
      <c r="KQ1" s="38">
        <v>44392</v>
      </c>
      <c r="KR1" s="38">
        <v>44393</v>
      </c>
      <c r="KS1" s="38">
        <v>44394</v>
      </c>
      <c r="KT1" s="38">
        <v>44395</v>
      </c>
      <c r="KU1" s="38">
        <v>44396</v>
      </c>
      <c r="KV1" s="38">
        <v>44397</v>
      </c>
      <c r="KW1" s="38">
        <v>44398</v>
      </c>
      <c r="KX1" s="38">
        <v>44399</v>
      </c>
      <c r="KY1" s="38">
        <v>44400</v>
      </c>
      <c r="KZ1" s="38">
        <v>44401</v>
      </c>
      <c r="LA1" s="38">
        <v>44402</v>
      </c>
      <c r="LB1" s="38">
        <v>44403</v>
      </c>
      <c r="LC1" s="38">
        <v>44404</v>
      </c>
      <c r="LD1" s="38">
        <v>44405</v>
      </c>
      <c r="LE1" s="38">
        <v>44406</v>
      </c>
      <c r="LF1" s="38">
        <v>44407</v>
      </c>
      <c r="LG1" s="38">
        <v>44408</v>
      </c>
      <c r="LH1" s="38">
        <v>44409</v>
      </c>
      <c r="LI1" s="38">
        <v>44410</v>
      </c>
      <c r="LJ1" s="38">
        <v>44411</v>
      </c>
      <c r="LK1" s="38">
        <v>44412</v>
      </c>
      <c r="LL1" s="38">
        <v>44413</v>
      </c>
      <c r="LM1" s="38">
        <v>44414</v>
      </c>
      <c r="LN1" s="38">
        <v>44415</v>
      </c>
      <c r="LO1" s="38">
        <v>44416</v>
      </c>
      <c r="LP1" s="38">
        <v>44417</v>
      </c>
      <c r="LQ1" s="38">
        <v>44418</v>
      </c>
      <c r="LR1" s="38">
        <v>44419</v>
      </c>
      <c r="LS1" s="38">
        <v>44420</v>
      </c>
      <c r="LT1" s="38">
        <v>44421</v>
      </c>
      <c r="LU1" s="38">
        <v>44422</v>
      </c>
      <c r="LV1" s="38">
        <v>44423</v>
      </c>
      <c r="LW1" s="38">
        <v>44424</v>
      </c>
      <c r="LX1" s="38">
        <v>44425</v>
      </c>
      <c r="LY1" s="38">
        <v>44426</v>
      </c>
      <c r="LZ1" s="38">
        <v>44427</v>
      </c>
      <c r="MA1" s="38">
        <v>44428</v>
      </c>
      <c r="MB1" s="38">
        <v>44429</v>
      </c>
      <c r="MC1" s="38">
        <v>44430</v>
      </c>
      <c r="MD1" s="38">
        <v>44431</v>
      </c>
      <c r="ME1" s="38">
        <v>44432</v>
      </c>
      <c r="MF1" s="38">
        <v>44433</v>
      </c>
      <c r="MG1" s="38">
        <v>44434</v>
      </c>
      <c r="MH1" s="38">
        <v>44435</v>
      </c>
      <c r="MI1" s="38">
        <v>44436</v>
      </c>
      <c r="MJ1" s="38">
        <v>44437</v>
      </c>
      <c r="MK1" s="38">
        <v>44438</v>
      </c>
      <c r="ML1" s="38">
        <v>44439</v>
      </c>
      <c r="MM1" s="38">
        <v>44440</v>
      </c>
      <c r="MN1" s="38">
        <v>44441</v>
      </c>
      <c r="MO1" s="38">
        <v>44442</v>
      </c>
      <c r="MP1" s="38">
        <v>44443</v>
      </c>
      <c r="MQ1" s="38">
        <v>44444</v>
      </c>
      <c r="MR1" s="38">
        <v>44445</v>
      </c>
      <c r="MS1" s="38">
        <v>44446</v>
      </c>
      <c r="MT1" s="38">
        <v>44447</v>
      </c>
      <c r="MU1" s="38">
        <v>44448</v>
      </c>
      <c r="MV1" s="38">
        <v>44449</v>
      </c>
      <c r="MW1" s="38">
        <v>44450</v>
      </c>
      <c r="MX1" s="38">
        <v>44451</v>
      </c>
      <c r="MY1" s="38">
        <v>44452</v>
      </c>
      <c r="MZ1" s="38">
        <v>44453</v>
      </c>
      <c r="NA1" s="38">
        <v>44454</v>
      </c>
      <c r="NB1" s="38">
        <v>44455</v>
      </c>
      <c r="NC1" s="38">
        <v>44456</v>
      </c>
      <c r="ND1" s="38">
        <v>44457</v>
      </c>
      <c r="NE1" s="38">
        <v>44458</v>
      </c>
      <c r="NF1" s="38">
        <v>44459</v>
      </c>
      <c r="NG1" s="38">
        <v>44460</v>
      </c>
      <c r="NH1" s="38">
        <v>44461</v>
      </c>
      <c r="NI1" s="38">
        <v>44462</v>
      </c>
      <c r="NJ1" s="38">
        <v>44463</v>
      </c>
      <c r="NK1" s="38">
        <v>44464</v>
      </c>
      <c r="NL1" s="38">
        <v>44465</v>
      </c>
      <c r="NM1" s="38">
        <v>44466</v>
      </c>
      <c r="NN1" s="38">
        <v>44467</v>
      </c>
      <c r="NO1" s="38">
        <v>44468</v>
      </c>
      <c r="NP1" s="38">
        <v>44469</v>
      </c>
      <c r="NQ1" s="38">
        <v>44470</v>
      </c>
      <c r="NR1" s="38">
        <v>44471</v>
      </c>
      <c r="NS1" s="38">
        <v>44472</v>
      </c>
      <c r="NT1" s="38">
        <v>44473</v>
      </c>
      <c r="NU1" s="38">
        <v>44474</v>
      </c>
      <c r="NV1" s="38">
        <v>44475</v>
      </c>
      <c r="NW1" s="38">
        <v>44476</v>
      </c>
      <c r="NX1" s="38">
        <v>44477</v>
      </c>
      <c r="NY1" s="38">
        <v>44478</v>
      </c>
      <c r="NZ1" s="38">
        <v>44479</v>
      </c>
      <c r="OA1" s="38">
        <v>44480</v>
      </c>
      <c r="OB1" s="38">
        <v>44481</v>
      </c>
      <c r="OC1" s="38">
        <v>44482</v>
      </c>
      <c r="OD1" s="38">
        <v>44483</v>
      </c>
      <c r="OE1" s="38">
        <v>44484</v>
      </c>
      <c r="OF1" s="38">
        <v>44485</v>
      </c>
      <c r="OG1" s="38">
        <v>44486</v>
      </c>
      <c r="OH1" s="38">
        <v>44487</v>
      </c>
      <c r="OI1" s="38">
        <v>44488</v>
      </c>
      <c r="OJ1" s="38">
        <v>44489</v>
      </c>
      <c r="OK1" s="38">
        <v>44490</v>
      </c>
      <c r="OL1" s="38">
        <v>44491</v>
      </c>
      <c r="OM1" s="38">
        <v>44492</v>
      </c>
      <c r="ON1" s="38">
        <v>44493</v>
      </c>
      <c r="OO1" s="38">
        <v>44494</v>
      </c>
      <c r="OP1" s="38">
        <v>44495</v>
      </c>
      <c r="OQ1" s="38">
        <v>44496</v>
      </c>
      <c r="OR1" s="38">
        <v>44497</v>
      </c>
      <c r="OS1" s="38">
        <v>44498</v>
      </c>
      <c r="OT1" s="38">
        <v>44499</v>
      </c>
      <c r="OU1" s="38">
        <v>44500</v>
      </c>
      <c r="OV1" s="38">
        <v>44501</v>
      </c>
      <c r="OW1" s="38">
        <v>44502</v>
      </c>
      <c r="OX1" s="38">
        <v>44503</v>
      </c>
      <c r="OY1" s="38">
        <v>44504</v>
      </c>
      <c r="OZ1" s="38">
        <v>44505</v>
      </c>
      <c r="PA1" s="38">
        <v>44506</v>
      </c>
      <c r="PB1" s="38">
        <v>44507</v>
      </c>
      <c r="PC1" s="38">
        <v>44508</v>
      </c>
      <c r="PD1" s="38">
        <v>44509</v>
      </c>
      <c r="PE1" s="38">
        <v>44510</v>
      </c>
      <c r="PF1" s="38">
        <v>44511</v>
      </c>
      <c r="PG1" s="38">
        <v>44512</v>
      </c>
      <c r="PH1" s="38">
        <v>44513</v>
      </c>
      <c r="PI1" s="38">
        <v>44514</v>
      </c>
      <c r="PJ1" s="38">
        <v>44515</v>
      </c>
      <c r="PK1" s="38">
        <v>44516</v>
      </c>
      <c r="PL1" s="38">
        <v>44517</v>
      </c>
      <c r="PM1" s="38">
        <v>44518</v>
      </c>
      <c r="PN1" s="38">
        <v>44519</v>
      </c>
      <c r="PO1" s="38">
        <v>44520</v>
      </c>
      <c r="PP1" s="38">
        <v>44521</v>
      </c>
      <c r="PQ1" s="38">
        <v>44522</v>
      </c>
      <c r="PR1" s="38">
        <v>44523</v>
      </c>
      <c r="PS1" s="38">
        <v>44524</v>
      </c>
      <c r="PT1" s="38">
        <v>44525</v>
      </c>
      <c r="PU1" s="38">
        <v>44526</v>
      </c>
      <c r="PV1" s="38">
        <v>44527</v>
      </c>
      <c r="PW1" s="38">
        <v>44528</v>
      </c>
      <c r="PX1" s="38">
        <v>44529</v>
      </c>
      <c r="PY1" s="38">
        <v>44530</v>
      </c>
      <c r="PZ1" s="38">
        <v>44531</v>
      </c>
      <c r="QA1" s="38">
        <v>44532</v>
      </c>
      <c r="QB1" s="38">
        <v>44533</v>
      </c>
      <c r="QC1" s="38">
        <v>44534</v>
      </c>
      <c r="QD1" s="38">
        <v>44535</v>
      </c>
      <c r="QE1" s="38">
        <v>44536</v>
      </c>
      <c r="QF1" s="38">
        <v>44537</v>
      </c>
      <c r="QG1" s="38">
        <v>44538</v>
      </c>
      <c r="QH1" s="38">
        <v>44539</v>
      </c>
      <c r="QI1" s="38">
        <v>44540</v>
      </c>
      <c r="QJ1" s="38">
        <v>44541</v>
      </c>
      <c r="QK1" s="38">
        <v>44542</v>
      </c>
      <c r="QL1" s="38">
        <v>44543</v>
      </c>
      <c r="QM1" s="38">
        <v>44544</v>
      </c>
      <c r="QN1" s="38">
        <v>44545</v>
      </c>
      <c r="QO1" s="38">
        <v>44546</v>
      </c>
      <c r="QP1" s="38">
        <v>44547</v>
      </c>
      <c r="QQ1" s="38">
        <v>44548</v>
      </c>
      <c r="QR1" s="38">
        <v>44549</v>
      </c>
      <c r="QS1" s="38">
        <v>44550</v>
      </c>
      <c r="QT1" s="38">
        <v>44551</v>
      </c>
      <c r="QU1" s="38">
        <v>44552</v>
      </c>
      <c r="QV1" s="38">
        <v>44553</v>
      </c>
      <c r="QW1" s="38">
        <v>44554</v>
      </c>
      <c r="QX1" s="38">
        <v>44555</v>
      </c>
      <c r="QY1" s="38">
        <v>44556</v>
      </c>
      <c r="QZ1" s="38">
        <v>44557</v>
      </c>
      <c r="RA1" s="38">
        <v>44558</v>
      </c>
      <c r="RB1" s="38">
        <v>44559</v>
      </c>
      <c r="RC1" s="38">
        <v>44560</v>
      </c>
      <c r="RD1" s="38">
        <v>44561</v>
      </c>
      <c r="RE1" s="38">
        <v>44562</v>
      </c>
      <c r="RF1" s="38">
        <v>44563</v>
      </c>
      <c r="RG1" s="38">
        <v>44564</v>
      </c>
      <c r="RH1" s="38">
        <v>44565</v>
      </c>
      <c r="RI1" s="38">
        <v>44566</v>
      </c>
      <c r="RJ1" s="38">
        <v>44567</v>
      </c>
      <c r="RK1" s="38">
        <v>44568</v>
      </c>
      <c r="RL1" s="38">
        <v>44569</v>
      </c>
      <c r="RM1" s="38">
        <v>44570</v>
      </c>
      <c r="RN1" s="38">
        <v>44571</v>
      </c>
      <c r="RO1" s="38">
        <v>44572</v>
      </c>
      <c r="RP1" s="38">
        <v>44573</v>
      </c>
      <c r="RQ1" s="38">
        <v>44574</v>
      </c>
      <c r="RR1" s="38">
        <v>44575</v>
      </c>
      <c r="RS1" s="38">
        <v>44576</v>
      </c>
      <c r="RT1" s="38">
        <v>44577</v>
      </c>
      <c r="RU1" s="38">
        <v>44578</v>
      </c>
      <c r="RV1" s="38">
        <v>44579</v>
      </c>
      <c r="RW1" s="38">
        <v>44580</v>
      </c>
      <c r="RX1" s="38">
        <v>44581</v>
      </c>
      <c r="RY1" s="38">
        <v>44582</v>
      </c>
      <c r="RZ1" s="38">
        <v>44583</v>
      </c>
      <c r="SA1" s="38">
        <v>44584</v>
      </c>
      <c r="SB1" s="38">
        <v>44585</v>
      </c>
      <c r="SC1" s="38">
        <v>44586</v>
      </c>
      <c r="SD1" s="38">
        <v>44587</v>
      </c>
      <c r="SE1" s="38">
        <v>44588</v>
      </c>
      <c r="SF1" s="38">
        <v>44589</v>
      </c>
      <c r="SG1" s="38">
        <v>44590</v>
      </c>
      <c r="SH1" s="38">
        <v>44591</v>
      </c>
      <c r="SI1" s="38">
        <v>44592</v>
      </c>
      <c r="SJ1" s="38">
        <v>44593</v>
      </c>
      <c r="SK1" s="38">
        <v>44594</v>
      </c>
      <c r="SL1" s="38">
        <v>44595</v>
      </c>
      <c r="SM1" s="38">
        <v>44596</v>
      </c>
      <c r="SN1" s="38">
        <v>44597</v>
      </c>
      <c r="SO1" s="38">
        <v>44598</v>
      </c>
      <c r="SP1" s="38">
        <v>44599</v>
      </c>
      <c r="SQ1" s="38">
        <v>44600</v>
      </c>
      <c r="SR1" s="38">
        <v>44601</v>
      </c>
      <c r="SS1" s="38">
        <v>44602</v>
      </c>
      <c r="ST1" s="38">
        <v>44603</v>
      </c>
      <c r="SU1" s="38">
        <v>44604</v>
      </c>
      <c r="SV1" s="38">
        <v>44605</v>
      </c>
      <c r="SW1" s="38">
        <v>44606</v>
      </c>
      <c r="SX1" s="38">
        <v>44607</v>
      </c>
      <c r="SY1" s="38">
        <v>44608</v>
      </c>
      <c r="SZ1" s="38">
        <v>44609</v>
      </c>
      <c r="TA1" s="38">
        <v>44610</v>
      </c>
      <c r="TB1" s="38">
        <v>44611</v>
      </c>
      <c r="TC1" s="38">
        <v>44612</v>
      </c>
      <c r="TD1" s="38">
        <v>44613</v>
      </c>
      <c r="TE1" s="38">
        <v>44614</v>
      </c>
      <c r="TF1" s="38">
        <v>44615</v>
      </c>
      <c r="TG1" s="38">
        <v>44616</v>
      </c>
      <c r="TH1" s="38">
        <v>44617</v>
      </c>
      <c r="TI1" s="38">
        <v>44618</v>
      </c>
      <c r="TJ1" s="38">
        <v>44619</v>
      </c>
      <c r="TK1" s="38">
        <v>44620</v>
      </c>
      <c r="TL1" s="38">
        <v>44621</v>
      </c>
      <c r="TM1" s="38">
        <v>44622</v>
      </c>
      <c r="TN1" s="38">
        <v>44623</v>
      </c>
      <c r="TO1" s="38">
        <v>44624</v>
      </c>
      <c r="TP1" s="38">
        <v>44625</v>
      </c>
      <c r="TQ1" s="38">
        <v>44626</v>
      </c>
      <c r="TR1" s="38">
        <v>44627</v>
      </c>
      <c r="TS1" s="38">
        <v>44628</v>
      </c>
      <c r="TT1" s="38">
        <v>44629</v>
      </c>
      <c r="TU1" s="38">
        <v>44630</v>
      </c>
      <c r="TV1" s="38">
        <v>44631</v>
      </c>
      <c r="TW1" s="38">
        <v>44632</v>
      </c>
      <c r="TX1" s="38">
        <v>44633</v>
      </c>
      <c r="TY1" s="38">
        <v>44634</v>
      </c>
      <c r="TZ1" s="38">
        <v>44635</v>
      </c>
      <c r="UA1" s="38">
        <v>44636</v>
      </c>
      <c r="UB1" s="38">
        <v>44637</v>
      </c>
      <c r="UC1" s="38">
        <v>44638</v>
      </c>
      <c r="UD1" s="38">
        <v>44639</v>
      </c>
      <c r="UE1" s="38">
        <v>44640</v>
      </c>
      <c r="UF1" s="38">
        <v>44641</v>
      </c>
      <c r="UG1" s="38">
        <v>44642</v>
      </c>
      <c r="UH1" s="38">
        <v>44643</v>
      </c>
      <c r="UI1" s="38">
        <v>44644</v>
      </c>
      <c r="UJ1" s="38">
        <v>44645</v>
      </c>
      <c r="UK1" s="38">
        <v>44646</v>
      </c>
      <c r="UL1" s="38">
        <v>44647</v>
      </c>
      <c r="UM1" s="38">
        <v>44648</v>
      </c>
      <c r="UN1" s="38">
        <v>44649</v>
      </c>
      <c r="UO1" s="38">
        <v>44650</v>
      </c>
      <c r="UP1" s="38">
        <v>44651</v>
      </c>
      <c r="UQ1" s="38">
        <v>44652</v>
      </c>
      <c r="UR1" s="38">
        <v>44653</v>
      </c>
      <c r="US1" s="38">
        <v>44654</v>
      </c>
      <c r="UT1" s="38">
        <v>44655</v>
      </c>
      <c r="UU1" s="38">
        <v>44656</v>
      </c>
      <c r="UV1" s="38">
        <v>44657</v>
      </c>
      <c r="UW1" s="38">
        <v>44658</v>
      </c>
      <c r="UX1" s="38">
        <v>44659</v>
      </c>
      <c r="UY1" s="38">
        <v>44660</v>
      </c>
      <c r="UZ1" s="38">
        <v>44661</v>
      </c>
      <c r="VA1" s="38">
        <v>44662</v>
      </c>
      <c r="VB1" s="38">
        <v>44663</v>
      </c>
      <c r="VC1" s="38">
        <v>44664</v>
      </c>
      <c r="VD1" s="38">
        <v>44665</v>
      </c>
      <c r="VE1" s="38">
        <v>44666</v>
      </c>
      <c r="VF1" s="38">
        <v>44667</v>
      </c>
      <c r="VG1" s="38">
        <v>44668</v>
      </c>
      <c r="VH1" s="38">
        <v>44669</v>
      </c>
      <c r="VI1" s="38">
        <v>44670</v>
      </c>
      <c r="VJ1" s="38">
        <v>44671</v>
      </c>
      <c r="VK1" s="38">
        <v>44672</v>
      </c>
      <c r="VL1" s="38">
        <v>44673</v>
      </c>
      <c r="VM1" s="38">
        <v>44674</v>
      </c>
      <c r="VN1" s="38">
        <v>44675</v>
      </c>
      <c r="VO1" s="38">
        <v>44676</v>
      </c>
      <c r="VP1" s="38">
        <v>44677</v>
      </c>
      <c r="VQ1" s="38">
        <v>44678</v>
      </c>
      <c r="VR1" s="38">
        <v>44679</v>
      </c>
      <c r="VS1" s="38">
        <v>44680</v>
      </c>
      <c r="VT1" s="38">
        <v>44681</v>
      </c>
      <c r="VU1" s="38">
        <v>44682</v>
      </c>
      <c r="VV1" s="38">
        <v>44683</v>
      </c>
      <c r="VW1" s="38">
        <v>44684</v>
      </c>
      <c r="VX1" s="38">
        <v>44685</v>
      </c>
      <c r="VY1" s="38">
        <v>44686</v>
      </c>
      <c r="VZ1" s="38">
        <v>44687</v>
      </c>
      <c r="WA1" s="38">
        <v>44688</v>
      </c>
      <c r="WB1" s="38">
        <v>44689</v>
      </c>
      <c r="WC1" s="38">
        <v>44690</v>
      </c>
      <c r="WD1" s="38">
        <v>44691</v>
      </c>
      <c r="WE1" s="38">
        <v>44692</v>
      </c>
      <c r="WF1" s="38">
        <v>44693</v>
      </c>
      <c r="WG1" s="38">
        <v>44694</v>
      </c>
      <c r="WH1" s="38">
        <v>44695</v>
      </c>
      <c r="WI1" s="38">
        <v>44696</v>
      </c>
      <c r="WJ1" s="38">
        <v>44697</v>
      </c>
      <c r="WK1" s="38">
        <v>44698</v>
      </c>
      <c r="WL1" s="38">
        <v>44699</v>
      </c>
      <c r="WM1" s="38">
        <v>44700</v>
      </c>
      <c r="WN1" s="38">
        <v>44701</v>
      </c>
      <c r="WO1" s="38">
        <v>44702</v>
      </c>
      <c r="WP1" s="38">
        <v>44703</v>
      </c>
      <c r="WQ1" s="38">
        <v>44704</v>
      </c>
      <c r="WR1" s="38">
        <v>44705</v>
      </c>
      <c r="WS1" s="38">
        <v>44706</v>
      </c>
      <c r="WT1" s="38">
        <v>44707</v>
      </c>
      <c r="WU1" s="38">
        <v>44708</v>
      </c>
      <c r="WV1" s="38">
        <v>44709</v>
      </c>
      <c r="WW1" s="38">
        <v>44710</v>
      </c>
      <c r="WX1" s="38">
        <v>44711</v>
      </c>
      <c r="WY1" s="38">
        <v>44712</v>
      </c>
      <c r="WZ1" s="38">
        <v>44713</v>
      </c>
      <c r="XA1" s="38">
        <v>44714</v>
      </c>
      <c r="XB1" s="38">
        <v>44715</v>
      </c>
      <c r="XC1" s="38">
        <v>44716</v>
      </c>
      <c r="XD1" s="38">
        <v>44717</v>
      </c>
      <c r="XE1" s="38">
        <v>44718</v>
      </c>
      <c r="XF1" s="38">
        <v>44719</v>
      </c>
      <c r="XG1" s="38">
        <v>44720</v>
      </c>
      <c r="XH1" s="38">
        <v>44721</v>
      </c>
      <c r="XI1" s="38">
        <v>44722</v>
      </c>
      <c r="XJ1" s="38">
        <v>44723</v>
      </c>
      <c r="XK1" s="38">
        <v>44724</v>
      </c>
      <c r="XL1" s="38">
        <v>44725</v>
      </c>
      <c r="XM1" s="38">
        <v>44726</v>
      </c>
      <c r="XN1" s="38">
        <v>44727</v>
      </c>
      <c r="XO1" s="38">
        <v>44728</v>
      </c>
      <c r="XP1" s="38">
        <v>44729</v>
      </c>
      <c r="XQ1" s="38">
        <v>44730</v>
      </c>
      <c r="XR1" s="38">
        <v>44731</v>
      </c>
      <c r="XS1" s="38">
        <v>44732</v>
      </c>
      <c r="XT1" s="38">
        <v>44733</v>
      </c>
      <c r="XU1" s="38">
        <v>44734</v>
      </c>
      <c r="XV1" s="38">
        <v>44735</v>
      </c>
      <c r="XW1" s="38">
        <v>44736</v>
      </c>
      <c r="XX1" s="38">
        <v>44737</v>
      </c>
      <c r="XY1" s="38">
        <v>44738</v>
      </c>
      <c r="XZ1" s="38">
        <v>44739</v>
      </c>
      <c r="YA1" s="38">
        <v>44740</v>
      </c>
      <c r="YB1" s="38">
        <v>44741</v>
      </c>
      <c r="YC1" s="38">
        <v>44742</v>
      </c>
      <c r="YD1" s="38">
        <v>44743</v>
      </c>
      <c r="YE1" s="38">
        <v>44744</v>
      </c>
      <c r="YF1" s="38">
        <v>44745</v>
      </c>
      <c r="YG1" s="38">
        <v>44746</v>
      </c>
      <c r="YH1" s="38">
        <v>44747</v>
      </c>
      <c r="YI1" s="38">
        <v>44748</v>
      </c>
      <c r="YJ1" s="38">
        <v>44749</v>
      </c>
      <c r="YK1" s="38">
        <v>44750</v>
      </c>
      <c r="YL1" s="38">
        <v>44751</v>
      </c>
      <c r="YM1" s="38">
        <v>44752</v>
      </c>
      <c r="YN1" s="38">
        <v>44753</v>
      </c>
      <c r="YO1" s="38">
        <v>44754</v>
      </c>
      <c r="YP1" s="38">
        <v>44755</v>
      </c>
      <c r="YQ1" s="38">
        <v>44756</v>
      </c>
      <c r="YR1" s="38">
        <v>44757</v>
      </c>
      <c r="YS1" s="38">
        <v>44758</v>
      </c>
      <c r="YT1" s="38">
        <v>44759</v>
      </c>
      <c r="YU1" s="38">
        <v>44760</v>
      </c>
      <c r="YV1" s="38">
        <v>44761</v>
      </c>
      <c r="YW1" s="38">
        <v>44762</v>
      </c>
      <c r="YX1" s="38">
        <v>44763</v>
      </c>
      <c r="YY1" s="38">
        <v>44764</v>
      </c>
      <c r="YZ1" s="38">
        <v>44765</v>
      </c>
      <c r="ZA1" s="38">
        <v>44766</v>
      </c>
      <c r="ZB1" s="38">
        <v>44767</v>
      </c>
      <c r="ZC1" s="38">
        <v>44768</v>
      </c>
      <c r="ZD1" s="38">
        <v>44769</v>
      </c>
      <c r="ZE1" s="38">
        <v>44770</v>
      </c>
      <c r="ZF1" s="38">
        <v>44771</v>
      </c>
      <c r="ZG1" s="38">
        <v>44772</v>
      </c>
      <c r="ZH1" s="38">
        <v>44774</v>
      </c>
      <c r="ZI1" s="38">
        <v>44775</v>
      </c>
      <c r="ZJ1" s="38">
        <v>44776</v>
      </c>
      <c r="ZK1" s="38">
        <v>44777</v>
      </c>
      <c r="ZL1" s="38">
        <v>44778</v>
      </c>
      <c r="ZM1" s="38">
        <v>44779</v>
      </c>
      <c r="ZN1" s="38">
        <v>44780</v>
      </c>
      <c r="ZO1" s="38">
        <v>44781</v>
      </c>
      <c r="ZP1" s="38">
        <v>44782</v>
      </c>
      <c r="ZQ1" s="38">
        <v>44783</v>
      </c>
      <c r="ZR1" s="38">
        <v>44784</v>
      </c>
      <c r="ZS1" s="38">
        <v>44785</v>
      </c>
      <c r="ZT1" s="38">
        <v>44786</v>
      </c>
      <c r="ZU1" s="38">
        <v>44787</v>
      </c>
      <c r="ZV1" s="38">
        <v>44788</v>
      </c>
      <c r="ZW1" s="38">
        <v>44789</v>
      </c>
      <c r="ZX1" s="38">
        <v>44790</v>
      </c>
      <c r="ZY1" s="38">
        <v>44791</v>
      </c>
      <c r="ZZ1" s="38">
        <v>44792</v>
      </c>
      <c r="AAA1" s="38">
        <v>44793</v>
      </c>
      <c r="AAB1" s="38">
        <v>44794</v>
      </c>
      <c r="AAC1" s="38">
        <v>44795</v>
      </c>
      <c r="AAD1" s="38">
        <v>44796</v>
      </c>
      <c r="AAE1" s="38">
        <v>44797</v>
      </c>
      <c r="AAF1" s="38">
        <v>44798</v>
      </c>
      <c r="AAG1" s="38">
        <v>44799</v>
      </c>
      <c r="AAH1" s="38">
        <v>44800</v>
      </c>
      <c r="AAI1" s="38">
        <v>44801</v>
      </c>
      <c r="AAJ1" s="38">
        <v>44802</v>
      </c>
      <c r="AAK1" s="38">
        <v>44803</v>
      </c>
      <c r="AAL1" s="38">
        <v>44804</v>
      </c>
      <c r="AAM1" s="38">
        <v>44805</v>
      </c>
      <c r="AAN1" s="38">
        <v>44806</v>
      </c>
      <c r="AAO1" s="38">
        <v>44807</v>
      </c>
      <c r="AAP1" s="38">
        <v>44808</v>
      </c>
      <c r="AAQ1" s="38">
        <v>44809</v>
      </c>
      <c r="AAR1" s="38">
        <v>44810</v>
      </c>
      <c r="AAS1" s="38">
        <v>44811</v>
      </c>
      <c r="AAT1" s="38">
        <v>44812</v>
      </c>
      <c r="AAU1" s="38">
        <v>44813</v>
      </c>
      <c r="AAV1" s="38">
        <v>44814</v>
      </c>
      <c r="AAW1" s="38">
        <v>44815</v>
      </c>
      <c r="AAX1" s="38">
        <v>44816</v>
      </c>
      <c r="AAY1" s="38">
        <v>44817</v>
      </c>
      <c r="AAZ1" s="38">
        <v>44818</v>
      </c>
      <c r="ABA1" s="38">
        <v>44819</v>
      </c>
      <c r="ABB1" s="38">
        <v>44820</v>
      </c>
      <c r="ABC1" s="38">
        <v>44821</v>
      </c>
      <c r="ABD1" s="38">
        <v>44822</v>
      </c>
      <c r="ABE1" s="38">
        <v>44823</v>
      </c>
      <c r="ABF1" s="38">
        <v>44824</v>
      </c>
      <c r="ABG1" s="38">
        <v>44825</v>
      </c>
      <c r="ABH1" s="38">
        <v>44826</v>
      </c>
      <c r="ABI1" s="38">
        <v>44827</v>
      </c>
      <c r="ABJ1" s="38">
        <v>44828</v>
      </c>
      <c r="ABK1" s="38">
        <v>44829</v>
      </c>
      <c r="ABL1" s="38">
        <v>44830</v>
      </c>
      <c r="ABM1" s="38">
        <v>44831</v>
      </c>
      <c r="ABN1" s="38">
        <v>44832</v>
      </c>
      <c r="ABO1" s="38">
        <v>44833</v>
      </c>
      <c r="ABP1" s="38">
        <v>44834</v>
      </c>
      <c r="ABQ1" s="38">
        <v>44835</v>
      </c>
      <c r="ABR1" s="38">
        <v>44836</v>
      </c>
      <c r="ABS1" s="38">
        <v>44837</v>
      </c>
      <c r="ABT1" s="38">
        <v>44838</v>
      </c>
      <c r="ABU1" s="38">
        <v>44839</v>
      </c>
      <c r="ABV1" s="38">
        <v>44840</v>
      </c>
      <c r="ABW1" s="38">
        <v>44841</v>
      </c>
      <c r="ABX1" s="38">
        <v>44842</v>
      </c>
      <c r="ABY1" s="38">
        <v>44843</v>
      </c>
      <c r="ABZ1" s="38">
        <v>44844</v>
      </c>
      <c r="ACA1" s="38">
        <v>44845</v>
      </c>
      <c r="ACB1" s="38">
        <v>44846</v>
      </c>
      <c r="ACC1" s="38">
        <v>44847</v>
      </c>
      <c r="ACD1" s="38">
        <v>44848</v>
      </c>
      <c r="ACE1" s="38">
        <v>44849</v>
      </c>
      <c r="ACF1" s="38">
        <v>44850</v>
      </c>
      <c r="ACG1" s="38">
        <v>44851</v>
      </c>
      <c r="ACH1" s="38">
        <v>44852</v>
      </c>
      <c r="ACI1" s="38">
        <v>44853</v>
      </c>
      <c r="ACJ1" s="38">
        <v>44854</v>
      </c>
      <c r="ACK1" s="38">
        <v>44855</v>
      </c>
      <c r="ACL1" s="38">
        <v>44856</v>
      </c>
      <c r="ACM1" s="38">
        <v>44857</v>
      </c>
      <c r="ACN1" s="38">
        <v>44858</v>
      </c>
      <c r="ACO1" s="38">
        <v>44859</v>
      </c>
      <c r="ACP1" s="38">
        <v>44860</v>
      </c>
      <c r="ACQ1" s="38">
        <v>44861</v>
      </c>
      <c r="ACR1" s="38">
        <v>44862</v>
      </c>
      <c r="ACS1" s="38">
        <v>44863</v>
      </c>
      <c r="ACT1" s="38">
        <v>44864</v>
      </c>
      <c r="ACU1" s="38">
        <v>44865</v>
      </c>
      <c r="ACV1" s="38">
        <v>44866</v>
      </c>
      <c r="ACW1" s="38">
        <v>44867</v>
      </c>
      <c r="ACX1" s="38">
        <v>44868</v>
      </c>
      <c r="ACY1" s="38">
        <v>44869</v>
      </c>
      <c r="ACZ1" s="38">
        <v>44870</v>
      </c>
      <c r="ADA1" s="38">
        <v>44871</v>
      </c>
      <c r="ADB1" s="38">
        <v>44872</v>
      </c>
      <c r="ADC1" s="38">
        <v>44873</v>
      </c>
      <c r="ADD1" s="38">
        <v>44874</v>
      </c>
      <c r="ADE1" s="38">
        <v>44875</v>
      </c>
      <c r="ADF1" s="38">
        <v>44876</v>
      </c>
      <c r="ADG1" s="38">
        <v>44877</v>
      </c>
      <c r="ADH1" s="38">
        <v>44878</v>
      </c>
      <c r="ADI1" s="38">
        <v>44879</v>
      </c>
      <c r="ADJ1" s="38">
        <v>44880</v>
      </c>
      <c r="ADK1" s="38">
        <v>44881</v>
      </c>
      <c r="ADL1" s="38">
        <v>44882</v>
      </c>
      <c r="ADM1" s="38">
        <v>44883</v>
      </c>
      <c r="ADN1" s="38">
        <v>44884</v>
      </c>
      <c r="ADO1" s="38">
        <v>44885</v>
      </c>
      <c r="ADP1" s="38">
        <v>44886</v>
      </c>
      <c r="ADQ1" s="38">
        <v>44887</v>
      </c>
      <c r="ADR1" s="38">
        <v>44888</v>
      </c>
      <c r="ADS1" s="38">
        <v>44889</v>
      </c>
      <c r="ADT1" s="38">
        <v>44890</v>
      </c>
      <c r="ADU1" s="38">
        <v>44891</v>
      </c>
      <c r="ADV1" s="38">
        <v>44892</v>
      </c>
      <c r="ADW1" s="38">
        <v>44893</v>
      </c>
      <c r="ADX1" s="38">
        <v>44894</v>
      </c>
      <c r="ADY1" s="38">
        <v>44895</v>
      </c>
      <c r="ADZ1" s="38">
        <v>44896</v>
      </c>
      <c r="AEA1" s="38">
        <v>44897</v>
      </c>
      <c r="AEB1" s="38">
        <v>44898</v>
      </c>
      <c r="AEC1" s="38">
        <v>44899</v>
      </c>
      <c r="AED1" s="38">
        <v>44900</v>
      </c>
      <c r="AEE1" s="38">
        <v>44901</v>
      </c>
      <c r="AEF1" s="38">
        <v>44902</v>
      </c>
      <c r="AEG1" s="38">
        <v>44903</v>
      </c>
      <c r="AEH1" s="38">
        <v>44904</v>
      </c>
      <c r="AEI1" s="38">
        <v>44905</v>
      </c>
      <c r="AEJ1" s="38">
        <v>44906</v>
      </c>
      <c r="AEK1" s="38">
        <v>44907</v>
      </c>
      <c r="AEL1" s="38">
        <v>44908</v>
      </c>
      <c r="AEM1" s="38">
        <v>44909</v>
      </c>
      <c r="AEN1" s="38">
        <v>44910</v>
      </c>
      <c r="AEO1" s="38">
        <v>44911</v>
      </c>
      <c r="AEP1" s="38">
        <v>44912</v>
      </c>
      <c r="AEQ1" s="38">
        <v>44913</v>
      </c>
      <c r="AER1" s="38">
        <v>44914</v>
      </c>
      <c r="AES1" s="38">
        <v>44915</v>
      </c>
      <c r="AET1" s="38">
        <v>44916</v>
      </c>
      <c r="AEU1" s="38">
        <v>44917</v>
      </c>
      <c r="AEV1" s="38">
        <v>44918</v>
      </c>
      <c r="AEW1" s="38">
        <v>44919</v>
      </c>
      <c r="AEX1" s="38">
        <v>44920</v>
      </c>
      <c r="AEY1" s="38">
        <v>44921</v>
      </c>
      <c r="AEZ1" s="38">
        <v>44922</v>
      </c>
      <c r="AFA1" s="38">
        <v>44923</v>
      </c>
      <c r="AFB1" s="38">
        <v>44924</v>
      </c>
      <c r="AFC1" s="38">
        <v>44925</v>
      </c>
      <c r="AFD1" s="38">
        <v>44926</v>
      </c>
      <c r="AFE1" s="38">
        <v>44927</v>
      </c>
      <c r="AFF1" s="38">
        <v>44928</v>
      </c>
      <c r="AFG1" s="38">
        <v>44929</v>
      </c>
      <c r="AFH1" s="38">
        <v>44930</v>
      </c>
      <c r="AFI1" s="38">
        <v>44931</v>
      </c>
      <c r="AFJ1" s="38">
        <v>44932</v>
      </c>
      <c r="AFK1" s="38">
        <v>44933</v>
      </c>
      <c r="AFL1" s="38">
        <v>44934</v>
      </c>
      <c r="AFM1" s="38">
        <v>44935</v>
      </c>
      <c r="AFN1" s="38">
        <v>44936</v>
      </c>
      <c r="AFO1" s="38">
        <v>44937</v>
      </c>
      <c r="AFP1" s="38">
        <v>44938</v>
      </c>
      <c r="AFQ1" s="38">
        <v>44939</v>
      </c>
      <c r="AFR1" s="38">
        <v>44940</v>
      </c>
      <c r="AFS1" s="38">
        <v>44941</v>
      </c>
      <c r="AFT1" s="38">
        <v>44942</v>
      </c>
      <c r="AFU1" s="38">
        <v>44943</v>
      </c>
      <c r="AFV1" s="38">
        <v>44944</v>
      </c>
      <c r="AFW1" s="38">
        <v>44945</v>
      </c>
      <c r="AFX1" s="38">
        <v>44946</v>
      </c>
      <c r="AFY1" s="38">
        <v>44947</v>
      </c>
      <c r="AFZ1" s="38">
        <v>44948</v>
      </c>
      <c r="AGA1" s="38">
        <v>44949</v>
      </c>
      <c r="AGB1" s="38">
        <v>44950</v>
      </c>
      <c r="AGC1" s="38">
        <v>44951</v>
      </c>
      <c r="AGD1" s="38">
        <v>44952</v>
      </c>
      <c r="AGE1" s="38">
        <v>44953</v>
      </c>
      <c r="AGF1" s="38">
        <v>44954</v>
      </c>
      <c r="AGG1" s="38">
        <v>44955</v>
      </c>
      <c r="AGH1" s="38">
        <v>44956</v>
      </c>
      <c r="AGI1" s="38">
        <v>44957</v>
      </c>
      <c r="AGJ1" s="38">
        <v>44958</v>
      </c>
      <c r="AGK1" s="38">
        <v>44959</v>
      </c>
      <c r="AGL1" s="38">
        <v>44960</v>
      </c>
      <c r="AGM1" s="38">
        <v>44961</v>
      </c>
      <c r="AGN1" s="38">
        <v>44962</v>
      </c>
      <c r="AGO1" s="38">
        <v>44963</v>
      </c>
      <c r="AGP1" s="38">
        <v>44964</v>
      </c>
      <c r="AGQ1" s="38">
        <v>44965</v>
      </c>
      <c r="AGR1" s="38">
        <v>44966</v>
      </c>
      <c r="AGS1" s="38">
        <v>44967</v>
      </c>
      <c r="AGT1" s="38">
        <v>44968</v>
      </c>
      <c r="AGU1" s="38">
        <v>44969</v>
      </c>
      <c r="AGV1" s="38">
        <v>44970</v>
      </c>
      <c r="AGW1" s="38">
        <v>44971</v>
      </c>
      <c r="AGX1" s="38">
        <v>44972</v>
      </c>
      <c r="AGY1" s="38">
        <v>44973</v>
      </c>
      <c r="AGZ1" s="38">
        <v>44974</v>
      </c>
      <c r="AHA1" s="38">
        <v>44975</v>
      </c>
      <c r="AHB1" s="38">
        <v>44976</v>
      </c>
      <c r="AHC1" s="38">
        <v>44977</v>
      </c>
      <c r="AHD1" s="38">
        <v>44978</v>
      </c>
      <c r="AHE1" s="38">
        <v>44979</v>
      </c>
      <c r="AHF1" s="38">
        <v>44980</v>
      </c>
      <c r="AHG1" s="38">
        <v>44981</v>
      </c>
      <c r="AHH1" s="38">
        <v>44982</v>
      </c>
      <c r="AHI1" s="38">
        <v>44983</v>
      </c>
      <c r="AHJ1" s="38">
        <v>44984</v>
      </c>
      <c r="AHK1" s="38">
        <v>44985</v>
      </c>
      <c r="AHL1" s="38">
        <v>44986</v>
      </c>
      <c r="AHM1" s="38">
        <v>44987</v>
      </c>
      <c r="AHN1" s="38">
        <v>44988</v>
      </c>
      <c r="AHO1" s="38">
        <v>44989</v>
      </c>
      <c r="AHP1" s="38">
        <v>44990</v>
      </c>
      <c r="AHQ1" s="49">
        <v>44991</v>
      </c>
    </row>
    <row r="2" spans="1:901">
      <c r="A2" s="1" t="s">
        <v>33</v>
      </c>
      <c r="B2" s="34">
        <v>11674</v>
      </c>
      <c r="C2" s="34">
        <v>12701</v>
      </c>
      <c r="D2">
        <v>11945</v>
      </c>
      <c r="E2">
        <v>9276</v>
      </c>
      <c r="F2">
        <v>8431</v>
      </c>
      <c r="G2">
        <v>8782</v>
      </c>
      <c r="H2">
        <v>12027</v>
      </c>
      <c r="I2">
        <v>12625</v>
      </c>
      <c r="J2">
        <v>13467</v>
      </c>
      <c r="K2">
        <v>12969</v>
      </c>
      <c r="L2">
        <v>8841</v>
      </c>
      <c r="M2">
        <v>11807</v>
      </c>
      <c r="N2">
        <v>13477</v>
      </c>
      <c r="O2">
        <v>14392</v>
      </c>
      <c r="P2">
        <v>14001</v>
      </c>
      <c r="Q2">
        <v>14687</v>
      </c>
      <c r="R2">
        <v>11129</v>
      </c>
      <c r="S2">
        <v>7668</v>
      </c>
      <c r="T2">
        <v>11242</v>
      </c>
      <c r="U2">
        <v>14740</v>
      </c>
      <c r="V2">
        <v>16447</v>
      </c>
      <c r="W2">
        <v>15454</v>
      </c>
      <c r="X2">
        <v>15099</v>
      </c>
      <c r="Y2">
        <v>12414</v>
      </c>
      <c r="Z2">
        <v>10324</v>
      </c>
      <c r="AA2">
        <v>9524</v>
      </c>
      <c r="AB2">
        <v>13305</v>
      </c>
      <c r="AC2">
        <v>14932</v>
      </c>
      <c r="AD2">
        <v>17096</v>
      </c>
      <c r="AE2">
        <v>16546</v>
      </c>
      <c r="AF2">
        <v>13510</v>
      </c>
      <c r="AG2">
        <v>10561</v>
      </c>
      <c r="AH2">
        <v>12982</v>
      </c>
      <c r="AI2">
        <v>16337</v>
      </c>
      <c r="AJ2">
        <v>18326</v>
      </c>
      <c r="AK2">
        <v>16325</v>
      </c>
      <c r="AL2">
        <v>15718</v>
      </c>
      <c r="AM2">
        <v>11968</v>
      </c>
      <c r="AN2">
        <v>9253</v>
      </c>
      <c r="AO2">
        <v>11712</v>
      </c>
      <c r="AP2">
        <v>14308</v>
      </c>
      <c r="AQ2">
        <v>13924</v>
      </c>
      <c r="AR2">
        <v>13267</v>
      </c>
      <c r="AS2">
        <v>13379</v>
      </c>
      <c r="AT2">
        <v>9745</v>
      </c>
      <c r="AU2">
        <v>6609</v>
      </c>
      <c r="AV2">
        <v>9598</v>
      </c>
      <c r="AW2">
        <v>12145</v>
      </c>
      <c r="AX2">
        <v>10652</v>
      </c>
      <c r="AY2">
        <v>11100</v>
      </c>
      <c r="AZ2">
        <v>11786</v>
      </c>
      <c r="BA2">
        <v>8037</v>
      </c>
      <c r="BB2">
        <v>5331</v>
      </c>
      <c r="BC2">
        <v>8317</v>
      </c>
      <c r="BD2">
        <v>11977</v>
      </c>
      <c r="BE2">
        <v>10880</v>
      </c>
      <c r="BF2">
        <v>11163</v>
      </c>
      <c r="BG2">
        <v>11859</v>
      </c>
      <c r="BH2">
        <v>8468</v>
      </c>
      <c r="BI2">
        <v>5645</v>
      </c>
      <c r="BJ2">
        <v>7893</v>
      </c>
      <c r="BK2">
        <v>10621</v>
      </c>
      <c r="BL2">
        <v>10332</v>
      </c>
      <c r="BM2">
        <v>10097</v>
      </c>
      <c r="BN2">
        <v>9608</v>
      </c>
      <c r="BO2">
        <v>7140</v>
      </c>
      <c r="BP2">
        <v>4184</v>
      </c>
      <c r="BQ2">
        <v>4265</v>
      </c>
      <c r="BR2">
        <v>7164</v>
      </c>
      <c r="BS2">
        <v>8593</v>
      </c>
      <c r="BT2">
        <v>9043</v>
      </c>
      <c r="BU2">
        <v>7846</v>
      </c>
      <c r="BV2">
        <v>6098</v>
      </c>
      <c r="BW2">
        <v>5432</v>
      </c>
      <c r="BX2">
        <v>5726</v>
      </c>
      <c r="BY2">
        <v>8037</v>
      </c>
      <c r="BZ2">
        <v>7533</v>
      </c>
      <c r="CA2">
        <v>7629</v>
      </c>
      <c r="CB2">
        <v>6899</v>
      </c>
      <c r="CC2">
        <v>5201</v>
      </c>
      <c r="CD2">
        <v>3278</v>
      </c>
      <c r="CE2">
        <v>3199</v>
      </c>
      <c r="CF2">
        <v>3610</v>
      </c>
      <c r="CG2">
        <v>5303</v>
      </c>
      <c r="CH2">
        <v>6994</v>
      </c>
      <c r="CI2">
        <v>7112</v>
      </c>
      <c r="CJ2">
        <v>5274</v>
      </c>
      <c r="CK2">
        <v>3558</v>
      </c>
      <c r="CL2">
        <v>5062</v>
      </c>
      <c r="CM2">
        <v>6981</v>
      </c>
      <c r="CN2">
        <v>6843</v>
      </c>
      <c r="CO2">
        <v>7326</v>
      </c>
      <c r="CP2">
        <v>7002</v>
      </c>
      <c r="CQ2">
        <v>5795</v>
      </c>
      <c r="CR2">
        <v>4116</v>
      </c>
      <c r="CS2">
        <v>5853</v>
      </c>
      <c r="CT2">
        <v>8141</v>
      </c>
      <c r="CU2">
        <v>8586</v>
      </c>
      <c r="CV2">
        <v>7815</v>
      </c>
      <c r="CW2">
        <v>2874</v>
      </c>
      <c r="CX2">
        <v>3713</v>
      </c>
      <c r="CY2">
        <v>5030</v>
      </c>
      <c r="CZ2">
        <v>7216</v>
      </c>
      <c r="DA2">
        <v>11650</v>
      </c>
      <c r="DB2">
        <v>11765</v>
      </c>
      <c r="DC2">
        <v>11586</v>
      </c>
      <c r="DD2">
        <v>4080</v>
      </c>
      <c r="DE2">
        <v>5240</v>
      </c>
      <c r="DF2">
        <v>5884</v>
      </c>
      <c r="DG2">
        <v>8222</v>
      </c>
      <c r="DH2">
        <v>13790</v>
      </c>
      <c r="DI2">
        <v>13441</v>
      </c>
      <c r="DJ2">
        <v>13835</v>
      </c>
      <c r="DK2">
        <v>13346</v>
      </c>
      <c r="DL2">
        <v>11057</v>
      </c>
      <c r="DM2">
        <v>7808</v>
      </c>
      <c r="DN2">
        <v>8704</v>
      </c>
      <c r="DO2">
        <v>13783</v>
      </c>
      <c r="DP2" t="e">
        <f>VLOOKUP(A2,#REF!,3,0)</f>
        <v>#REF!</v>
      </c>
      <c r="DQ2">
        <v>13286</v>
      </c>
      <c r="DR2">
        <v>12332</v>
      </c>
      <c r="DS2">
        <v>8932</v>
      </c>
      <c r="DT2">
        <v>7264</v>
      </c>
      <c r="DU2">
        <v>8185</v>
      </c>
      <c r="DV2">
        <v>12141</v>
      </c>
      <c r="DW2">
        <v>12112</v>
      </c>
      <c r="DX2">
        <v>11396</v>
      </c>
      <c r="DY2">
        <v>10753</v>
      </c>
      <c r="DZ2">
        <v>8362</v>
      </c>
      <c r="EA2">
        <v>5031</v>
      </c>
      <c r="EB2">
        <v>7578</v>
      </c>
      <c r="EC2">
        <v>10409</v>
      </c>
      <c r="ED2">
        <v>10843</v>
      </c>
      <c r="EE2">
        <v>9471</v>
      </c>
      <c r="EF2">
        <v>9838</v>
      </c>
      <c r="EG2">
        <v>6902</v>
      </c>
      <c r="EH2">
        <v>4975</v>
      </c>
      <c r="EI2">
        <v>6614</v>
      </c>
      <c r="EJ2">
        <v>9695</v>
      </c>
      <c r="EK2">
        <v>9196</v>
      </c>
      <c r="EL2">
        <v>8891</v>
      </c>
      <c r="EM2">
        <v>8374</v>
      </c>
      <c r="EN2">
        <v>6680</v>
      </c>
      <c r="EO2">
        <v>3658</v>
      </c>
      <c r="EP2">
        <v>5154</v>
      </c>
      <c r="EQ2">
        <v>7794</v>
      </c>
      <c r="ER2">
        <v>7739</v>
      </c>
      <c r="ES2">
        <v>7311</v>
      </c>
      <c r="ET2">
        <v>7151</v>
      </c>
      <c r="EU2">
        <v>6057</v>
      </c>
      <c r="EV2">
        <v>4245</v>
      </c>
      <c r="EW2">
        <v>3259</v>
      </c>
      <c r="EX2">
        <v>4003</v>
      </c>
      <c r="EY2">
        <v>6064</v>
      </c>
      <c r="EZ2">
        <v>7671</v>
      </c>
      <c r="FA2">
        <v>7886</v>
      </c>
      <c r="FB2">
        <v>5944</v>
      </c>
      <c r="FC2">
        <v>3709</v>
      </c>
      <c r="FD2">
        <v>5417</v>
      </c>
      <c r="FE2">
        <v>7477</v>
      </c>
      <c r="FF2">
        <v>8183</v>
      </c>
      <c r="FG2">
        <v>8234</v>
      </c>
      <c r="FH2">
        <v>5083</v>
      </c>
      <c r="FI2">
        <v>5469</v>
      </c>
      <c r="FJ2">
        <v>3168</v>
      </c>
      <c r="FK2">
        <v>4658</v>
      </c>
      <c r="FL2">
        <v>6653</v>
      </c>
      <c r="FM2">
        <v>7855</v>
      </c>
      <c r="FN2">
        <v>7432</v>
      </c>
      <c r="FO2">
        <v>7891</v>
      </c>
      <c r="FP2">
        <v>4860</v>
      </c>
      <c r="FQ2">
        <v>2922</v>
      </c>
      <c r="FR2">
        <v>5058</v>
      </c>
      <c r="FS2">
        <v>7307</v>
      </c>
      <c r="FT2">
        <v>7693</v>
      </c>
      <c r="FU2">
        <v>8204</v>
      </c>
      <c r="FV2">
        <v>7849</v>
      </c>
      <c r="FW2">
        <v>6278</v>
      </c>
      <c r="FX2">
        <v>3697</v>
      </c>
      <c r="FY2">
        <v>6164</v>
      </c>
      <c r="FZ2">
        <v>8235</v>
      </c>
      <c r="GA2">
        <v>8304</v>
      </c>
      <c r="GB2">
        <v>8328</v>
      </c>
      <c r="GC2">
        <v>8160</v>
      </c>
      <c r="GD2">
        <v>6826</v>
      </c>
      <c r="GE2">
        <v>4032</v>
      </c>
      <c r="GF2">
        <v>6401</v>
      </c>
      <c r="GG2">
        <v>9405</v>
      </c>
      <c r="GH2">
        <v>8300</v>
      </c>
      <c r="GI2">
        <v>8238</v>
      </c>
      <c r="GJ2">
        <v>12936</v>
      </c>
      <c r="GK2">
        <v>10338</v>
      </c>
      <c r="GL2">
        <v>7208</v>
      </c>
      <c r="GM2">
        <v>14014</v>
      </c>
      <c r="GN2">
        <v>10154</v>
      </c>
      <c r="GO2">
        <v>16056</v>
      </c>
      <c r="GP2">
        <v>14430</v>
      </c>
      <c r="GQ2">
        <v>9902</v>
      </c>
      <c r="GR2">
        <v>10384</v>
      </c>
      <c r="GS2">
        <v>9955</v>
      </c>
      <c r="GT2">
        <v>13667</v>
      </c>
      <c r="GU2">
        <v>20870</v>
      </c>
      <c r="GV2">
        <v>22039</v>
      </c>
      <c r="GW2">
        <v>23683</v>
      </c>
      <c r="GX2">
        <v>24130</v>
      </c>
      <c r="GY2">
        <v>19419</v>
      </c>
      <c r="GZ2">
        <v>15262</v>
      </c>
      <c r="HA2">
        <v>19437</v>
      </c>
      <c r="HB2">
        <v>27001</v>
      </c>
      <c r="HC2">
        <v>25157</v>
      </c>
      <c r="HD2">
        <v>24999</v>
      </c>
      <c r="HE2">
        <v>29472</v>
      </c>
      <c r="HF2">
        <v>19119</v>
      </c>
      <c r="HG2">
        <v>16267</v>
      </c>
      <c r="HH2">
        <v>20461</v>
      </c>
      <c r="HI2">
        <v>29145</v>
      </c>
      <c r="HJ2">
        <v>25932</v>
      </c>
      <c r="HK2">
        <v>27216</v>
      </c>
      <c r="HL2">
        <v>27884</v>
      </c>
      <c r="HM2">
        <v>21220</v>
      </c>
      <c r="HN2">
        <v>15012</v>
      </c>
      <c r="HO2">
        <v>18793</v>
      </c>
      <c r="HP2">
        <v>25495</v>
      </c>
      <c r="HQ2">
        <v>23718</v>
      </c>
      <c r="HR2">
        <v>26053</v>
      </c>
      <c r="HS2">
        <v>22420</v>
      </c>
      <c r="HT2">
        <v>16502</v>
      </c>
      <c r="HU2">
        <v>11394</v>
      </c>
      <c r="HV2">
        <v>15920</v>
      </c>
      <c r="HW2">
        <v>26238</v>
      </c>
      <c r="HX2">
        <v>24079</v>
      </c>
      <c r="HY2">
        <v>24086</v>
      </c>
      <c r="HZ2">
        <v>22552</v>
      </c>
      <c r="IA2">
        <v>18024</v>
      </c>
      <c r="IB2">
        <v>11582</v>
      </c>
      <c r="IC2">
        <v>17381</v>
      </c>
      <c r="ID2">
        <v>25976</v>
      </c>
      <c r="IE2">
        <v>24475</v>
      </c>
      <c r="IF2">
        <v>26531</v>
      </c>
      <c r="IG2">
        <v>27363</v>
      </c>
      <c r="IH2">
        <v>21469</v>
      </c>
      <c r="II2">
        <v>16350</v>
      </c>
      <c r="IJ2">
        <v>28680</v>
      </c>
      <c r="IK2">
        <v>35543</v>
      </c>
      <c r="IL2">
        <v>39652</v>
      </c>
      <c r="IM2">
        <v>35884</v>
      </c>
      <c r="IN2">
        <v>35468</v>
      </c>
      <c r="IO2">
        <v>32171</v>
      </c>
      <c r="IP2">
        <v>24801</v>
      </c>
      <c r="IQ2">
        <v>22651</v>
      </c>
      <c r="IR2">
        <v>24601</v>
      </c>
      <c r="IS2">
        <v>35399</v>
      </c>
      <c r="IT2">
        <v>41080</v>
      </c>
      <c r="IU2">
        <v>39207</v>
      </c>
      <c r="IV2">
        <v>29841</v>
      </c>
      <c r="IW2">
        <v>21346</v>
      </c>
      <c r="IX2">
        <v>28175</v>
      </c>
      <c r="IY2">
        <v>35355</v>
      </c>
      <c r="IZ2">
        <v>35017</v>
      </c>
      <c r="JA2">
        <v>32291</v>
      </c>
      <c r="JB2">
        <v>30950</v>
      </c>
      <c r="JC2">
        <v>23627</v>
      </c>
      <c r="JD2">
        <v>16415</v>
      </c>
      <c r="JE2">
        <v>22195</v>
      </c>
      <c r="JF2">
        <v>31137</v>
      </c>
      <c r="JG2">
        <v>29757</v>
      </c>
      <c r="JH2">
        <v>27628</v>
      </c>
      <c r="JI2">
        <v>26934</v>
      </c>
      <c r="JJ2">
        <v>18057</v>
      </c>
      <c r="JK2">
        <v>13043</v>
      </c>
      <c r="JL2">
        <v>21292</v>
      </c>
      <c r="JM2">
        <v>27260</v>
      </c>
      <c r="JN2">
        <v>25878</v>
      </c>
      <c r="JO2">
        <v>23780</v>
      </c>
      <c r="JP2">
        <v>20363</v>
      </c>
      <c r="JQ2">
        <v>15631</v>
      </c>
      <c r="JR2">
        <v>10395</v>
      </c>
      <c r="JS2">
        <v>8606</v>
      </c>
      <c r="JT2">
        <v>21387</v>
      </c>
      <c r="JU2">
        <v>27319</v>
      </c>
      <c r="JV2">
        <v>24463</v>
      </c>
      <c r="JW2">
        <v>24023</v>
      </c>
      <c r="JX2">
        <v>18555</v>
      </c>
      <c r="JY2">
        <v>12105</v>
      </c>
      <c r="JZ2">
        <v>18389</v>
      </c>
      <c r="KA2">
        <v>24065</v>
      </c>
      <c r="KB2">
        <v>22673</v>
      </c>
      <c r="KC2">
        <v>21177</v>
      </c>
      <c r="KD2">
        <v>20888</v>
      </c>
      <c r="KE2">
        <v>14034</v>
      </c>
      <c r="KF2">
        <v>9000</v>
      </c>
      <c r="KG2">
        <v>17277</v>
      </c>
      <c r="KH2">
        <v>21590</v>
      </c>
      <c r="KI2">
        <v>19423</v>
      </c>
      <c r="KJ2">
        <v>19256</v>
      </c>
      <c r="KK2">
        <v>14518</v>
      </c>
      <c r="KL2">
        <v>11561</v>
      </c>
      <c r="KM2">
        <v>8850</v>
      </c>
      <c r="KN2">
        <v>14989</v>
      </c>
      <c r="KO2">
        <v>20023</v>
      </c>
      <c r="KP2">
        <v>19697</v>
      </c>
      <c r="KQ2">
        <v>17295</v>
      </c>
      <c r="KR2">
        <v>17261</v>
      </c>
      <c r="KS2">
        <v>12230</v>
      </c>
      <c r="KT2">
        <v>6935</v>
      </c>
      <c r="KU2">
        <v>12764</v>
      </c>
      <c r="KV2">
        <v>15077</v>
      </c>
      <c r="KW2">
        <v>14632</v>
      </c>
      <c r="KX2">
        <v>13500</v>
      </c>
      <c r="KY2">
        <v>15622</v>
      </c>
      <c r="KZ2">
        <v>11136</v>
      </c>
      <c r="LA2">
        <v>7506</v>
      </c>
      <c r="LB2">
        <v>12555</v>
      </c>
      <c r="LC2">
        <v>16757</v>
      </c>
      <c r="LD2">
        <v>15883</v>
      </c>
      <c r="LE2">
        <v>14115</v>
      </c>
      <c r="LF2">
        <v>13483</v>
      </c>
      <c r="LG2">
        <v>10356</v>
      </c>
      <c r="LH2">
        <v>6083</v>
      </c>
      <c r="LI2">
        <v>11183</v>
      </c>
      <c r="LJ2">
        <v>14850</v>
      </c>
      <c r="LK2">
        <v>13736</v>
      </c>
      <c r="LL2">
        <v>13786</v>
      </c>
      <c r="LM2">
        <v>13549</v>
      </c>
      <c r="LN2">
        <v>9803</v>
      </c>
      <c r="LO2">
        <v>6141</v>
      </c>
      <c r="LP2">
        <v>10180</v>
      </c>
      <c r="LQ2">
        <v>12412</v>
      </c>
      <c r="LR2">
        <v>11397</v>
      </c>
      <c r="LS2">
        <v>13369</v>
      </c>
      <c r="LT2">
        <v>8472</v>
      </c>
      <c r="LU2">
        <v>6183</v>
      </c>
      <c r="LV2">
        <v>3727</v>
      </c>
      <c r="LW2">
        <v>3636</v>
      </c>
      <c r="LX2">
        <v>8172</v>
      </c>
      <c r="LY2">
        <v>9764</v>
      </c>
      <c r="LZ2">
        <v>10596</v>
      </c>
      <c r="MA2">
        <v>8160</v>
      </c>
      <c r="MB2">
        <v>5889</v>
      </c>
      <c r="MC2">
        <v>2979</v>
      </c>
      <c r="MD2">
        <v>6135</v>
      </c>
      <c r="ME2">
        <v>8119</v>
      </c>
      <c r="MF2">
        <v>6994</v>
      </c>
      <c r="MG2">
        <v>6847</v>
      </c>
      <c r="MH2">
        <v>5807</v>
      </c>
      <c r="MI2">
        <v>3725</v>
      </c>
      <c r="MJ2">
        <v>2073</v>
      </c>
      <c r="MK2">
        <v>5358</v>
      </c>
      <c r="ML2">
        <v>6731</v>
      </c>
      <c r="MM2">
        <v>5328</v>
      </c>
      <c r="MN2">
        <v>4653</v>
      </c>
      <c r="MO2">
        <v>4318</v>
      </c>
      <c r="MP2">
        <v>2486</v>
      </c>
      <c r="MQ2">
        <v>1397</v>
      </c>
      <c r="MR2">
        <v>3893</v>
      </c>
      <c r="MS2">
        <v>4106</v>
      </c>
      <c r="MT2">
        <v>3531</v>
      </c>
      <c r="MU2">
        <v>3661</v>
      </c>
      <c r="MV2">
        <v>2816</v>
      </c>
      <c r="MW2">
        <v>1795</v>
      </c>
      <c r="MX2">
        <v>930</v>
      </c>
      <c r="MY2">
        <v>2297</v>
      </c>
      <c r="MZ2">
        <v>3017</v>
      </c>
      <c r="NA2">
        <v>2510</v>
      </c>
      <c r="NB2">
        <v>2493</v>
      </c>
      <c r="NC2">
        <v>2308</v>
      </c>
      <c r="ND2">
        <v>1451</v>
      </c>
      <c r="NE2">
        <v>622</v>
      </c>
      <c r="NF2">
        <v>2162</v>
      </c>
      <c r="NG2">
        <v>1837</v>
      </c>
      <c r="NH2">
        <v>2034</v>
      </c>
      <c r="NI2">
        <v>1733</v>
      </c>
      <c r="NJ2">
        <f>IFERROR(VLOOKUP(A2,#REF!,3,0),0)</f>
        <v>0</v>
      </c>
      <c r="NK2">
        <v>993</v>
      </c>
      <c r="NL2">
        <v>562</v>
      </c>
      <c r="NM2">
        <v>1538</v>
      </c>
      <c r="NN2">
        <v>1825</v>
      </c>
      <c r="NO2">
        <v>1496</v>
      </c>
      <c r="NP2">
        <v>1641</v>
      </c>
      <c r="NQ2">
        <v>1564</v>
      </c>
      <c r="NR2">
        <v>886</v>
      </c>
      <c r="NS2">
        <v>386</v>
      </c>
      <c r="NT2">
        <v>981</v>
      </c>
      <c r="NU2">
        <v>1216</v>
      </c>
      <c r="NV2">
        <v>1284</v>
      </c>
      <c r="NW2">
        <v>1086</v>
      </c>
      <c r="NX2">
        <v>753</v>
      </c>
      <c r="NY2">
        <v>470</v>
      </c>
      <c r="NZ2">
        <v>331</v>
      </c>
      <c r="OA2">
        <v>416</v>
      </c>
      <c r="OB2">
        <v>1064</v>
      </c>
      <c r="OC2">
        <v>1314</v>
      </c>
      <c r="OD2">
        <v>1350</v>
      </c>
      <c r="OE2">
        <v>1358</v>
      </c>
      <c r="OF2">
        <v>790</v>
      </c>
      <c r="OG2">
        <v>400</v>
      </c>
      <c r="OH2">
        <v>912</v>
      </c>
      <c r="OI2">
        <v>1303</v>
      </c>
      <c r="OJ2">
        <v>1218</v>
      </c>
      <c r="OK2">
        <v>1541</v>
      </c>
      <c r="OL2">
        <v>1385</v>
      </c>
      <c r="OM2">
        <v>908</v>
      </c>
      <c r="ON2">
        <v>540</v>
      </c>
      <c r="OO2">
        <v>1227</v>
      </c>
      <c r="OP2">
        <v>1415</v>
      </c>
      <c r="OQ2">
        <v>1485</v>
      </c>
      <c r="OR2">
        <v>1589</v>
      </c>
      <c r="OS2" s="3">
        <v>1373</v>
      </c>
      <c r="OT2">
        <v>812</v>
      </c>
      <c r="OU2">
        <v>548</v>
      </c>
      <c r="OV2">
        <v>1138</v>
      </c>
      <c r="OW2">
        <v>1340</v>
      </c>
      <c r="OX2">
        <v>1264</v>
      </c>
      <c r="OY2">
        <v>1440</v>
      </c>
      <c r="OZ2">
        <v>1271</v>
      </c>
      <c r="PA2">
        <v>928</v>
      </c>
      <c r="PB2">
        <v>593</v>
      </c>
      <c r="PC2">
        <v>1288</v>
      </c>
      <c r="PD2">
        <v>1349</v>
      </c>
      <c r="PE2">
        <v>1567</v>
      </c>
      <c r="PF2">
        <v>1460</v>
      </c>
      <c r="PG2">
        <v>1614</v>
      </c>
      <c r="PH2">
        <v>1092</v>
      </c>
      <c r="PI2">
        <v>591</v>
      </c>
      <c r="PJ2">
        <v>1417</v>
      </c>
      <c r="PK2">
        <v>1622</v>
      </c>
      <c r="PL2">
        <v>1553</v>
      </c>
      <c r="PM2">
        <v>1755</v>
      </c>
      <c r="PN2">
        <v>1518</v>
      </c>
      <c r="PO2">
        <v>1095</v>
      </c>
      <c r="PP2">
        <v>646</v>
      </c>
      <c r="PQ2">
        <v>641</v>
      </c>
      <c r="PR2">
        <v>1644</v>
      </c>
      <c r="PS2">
        <v>2234</v>
      </c>
      <c r="PT2">
        <v>2260</v>
      </c>
      <c r="PU2">
        <v>1912</v>
      </c>
      <c r="PV2">
        <v>1521</v>
      </c>
      <c r="PW2">
        <v>888</v>
      </c>
      <c r="PX2">
        <v>1968</v>
      </c>
      <c r="PY2">
        <v>2332</v>
      </c>
      <c r="PZ2">
        <v>1881</v>
      </c>
      <c r="QA2">
        <v>2681</v>
      </c>
      <c r="QB2">
        <v>2382</v>
      </c>
      <c r="QC2">
        <v>1690</v>
      </c>
      <c r="QD2">
        <v>1294</v>
      </c>
      <c r="QE2">
        <v>2477</v>
      </c>
      <c r="QF2">
        <v>3089</v>
      </c>
      <c r="QG2">
        <v>1881</v>
      </c>
      <c r="QH2">
        <v>2744</v>
      </c>
      <c r="QI2">
        <v>3573</v>
      </c>
      <c r="QJ2">
        <v>2445</v>
      </c>
      <c r="QK2">
        <v>1570</v>
      </c>
      <c r="QL2">
        <v>3512</v>
      </c>
      <c r="QM2">
        <v>4555</v>
      </c>
      <c r="QN2">
        <v>4819</v>
      </c>
      <c r="QO2">
        <v>5301</v>
      </c>
      <c r="QP2">
        <v>5648</v>
      </c>
      <c r="QQ2">
        <v>4163</v>
      </c>
      <c r="QR2">
        <v>3254</v>
      </c>
      <c r="QS2">
        <v>5337</v>
      </c>
      <c r="QT2">
        <v>9336</v>
      </c>
      <c r="QU2">
        <v>11121</v>
      </c>
      <c r="QV2">
        <v>13456</v>
      </c>
      <c r="QW2">
        <v>16279</v>
      </c>
      <c r="QX2">
        <v>7183</v>
      </c>
      <c r="QY2">
        <v>7623</v>
      </c>
      <c r="QZ2">
        <v>20263</v>
      </c>
      <c r="RA2">
        <v>33902</v>
      </c>
      <c r="RB2">
        <v>42032</v>
      </c>
      <c r="RC2">
        <v>50506</v>
      </c>
      <c r="RD2">
        <v>47663</v>
      </c>
      <c r="RE2">
        <v>20020</v>
      </c>
      <c r="RF2">
        <v>20502</v>
      </c>
      <c r="RG2">
        <v>44396</v>
      </c>
      <c r="RH2">
        <v>81210</v>
      </c>
      <c r="RI2">
        <v>95159</v>
      </c>
      <c r="RJ2">
        <v>109608</v>
      </c>
      <c r="RK2">
        <v>110533</v>
      </c>
      <c r="RL2">
        <v>101689</v>
      </c>
      <c r="RM2">
        <v>73319</v>
      </c>
      <c r="RN2">
        <v>88352</v>
      </c>
      <c r="RO2">
        <v>134439</v>
      </c>
      <c r="RP2">
        <v>131082</v>
      </c>
      <c r="RQ2">
        <v>128402</v>
      </c>
      <c r="RR2">
        <v>139853</v>
      </c>
      <c r="RS2">
        <v>96652</v>
      </c>
      <c r="RT2">
        <v>65241</v>
      </c>
      <c r="RU2">
        <v>102458</v>
      </c>
      <c r="RV2">
        <v>120982</v>
      </c>
      <c r="RW2">
        <v>128321</v>
      </c>
      <c r="RX2">
        <v>129709</v>
      </c>
      <c r="RY2">
        <v>118171</v>
      </c>
      <c r="RZ2">
        <v>98146</v>
      </c>
      <c r="SA2">
        <v>69884</v>
      </c>
      <c r="SB2">
        <v>78121</v>
      </c>
      <c r="SC2">
        <v>100863</v>
      </c>
      <c r="SD2">
        <v>88503</v>
      </c>
      <c r="SE2">
        <v>77729</v>
      </c>
      <c r="SF2">
        <v>63884</v>
      </c>
      <c r="SG2">
        <v>41978</v>
      </c>
      <c r="SH2">
        <v>21570</v>
      </c>
      <c r="SI2">
        <v>43472</v>
      </c>
      <c r="SJ2">
        <v>49122</v>
      </c>
      <c r="SK2">
        <v>45070</v>
      </c>
      <c r="SL2">
        <v>42437</v>
      </c>
      <c r="SM2">
        <v>40094</v>
      </c>
      <c r="SN2">
        <v>21836</v>
      </c>
      <c r="SO2">
        <v>12664</v>
      </c>
      <c r="SP2">
        <v>25406</v>
      </c>
      <c r="SQ2">
        <v>32790</v>
      </c>
      <c r="SR2">
        <v>27252</v>
      </c>
      <c r="SS2">
        <v>25110</v>
      </c>
      <c r="ST2">
        <v>16503</v>
      </c>
      <c r="SU2">
        <v>11322</v>
      </c>
      <c r="SV2">
        <v>6289</v>
      </c>
      <c r="SW2">
        <v>13050</v>
      </c>
      <c r="SX2">
        <v>18573</v>
      </c>
      <c r="SY2">
        <v>17034</v>
      </c>
      <c r="SZ2">
        <v>16650</v>
      </c>
      <c r="TA2">
        <v>15389</v>
      </c>
      <c r="TB2">
        <v>7807</v>
      </c>
      <c r="TC2">
        <v>4450</v>
      </c>
      <c r="TD2">
        <v>11170</v>
      </c>
      <c r="TE2">
        <v>16950</v>
      </c>
      <c r="TF2">
        <v>12564</v>
      </c>
      <c r="TG2">
        <v>10298</v>
      </c>
      <c r="TH2">
        <v>9487</v>
      </c>
      <c r="TI2">
        <v>5595</v>
      </c>
      <c r="TJ2">
        <v>3610</v>
      </c>
      <c r="TK2">
        <v>3478</v>
      </c>
      <c r="TL2">
        <v>3520</v>
      </c>
      <c r="TM2">
        <v>8141</v>
      </c>
      <c r="TN2">
        <v>9219</v>
      </c>
      <c r="TO2">
        <v>8362</v>
      </c>
      <c r="TP2">
        <v>4430</v>
      </c>
      <c r="TQ2">
        <v>2274</v>
      </c>
      <c r="TR2">
        <v>6286</v>
      </c>
      <c r="TS2">
        <v>6474</v>
      </c>
      <c r="TT2">
        <v>6096</v>
      </c>
      <c r="TU2">
        <v>6137</v>
      </c>
      <c r="TV2">
        <v>5615</v>
      </c>
      <c r="TW2">
        <v>2986</v>
      </c>
      <c r="TX2">
        <v>1236</v>
      </c>
      <c r="TY2">
        <v>4647</v>
      </c>
      <c r="TZ2">
        <v>5076</v>
      </c>
      <c r="UA2">
        <v>4681</v>
      </c>
      <c r="UB2">
        <v>4577</v>
      </c>
      <c r="UC2">
        <v>1697</v>
      </c>
      <c r="UD2">
        <v>1697</v>
      </c>
      <c r="UE2">
        <v>1227</v>
      </c>
      <c r="UF2">
        <v>3614</v>
      </c>
      <c r="UG2">
        <v>4690</v>
      </c>
      <c r="UH2">
        <v>3603</v>
      </c>
      <c r="UI2">
        <v>1580</v>
      </c>
      <c r="UJ2">
        <v>2572</v>
      </c>
      <c r="UK2">
        <v>1445</v>
      </c>
      <c r="UL2">
        <v>818</v>
      </c>
      <c r="UM2">
        <v>2655</v>
      </c>
      <c r="UN2">
        <v>3432</v>
      </c>
      <c r="UO2">
        <v>2965</v>
      </c>
      <c r="UP2">
        <v>2784</v>
      </c>
      <c r="UQ2">
        <v>802</v>
      </c>
      <c r="UR2">
        <v>484</v>
      </c>
      <c r="US2">
        <v>484</v>
      </c>
      <c r="UT2">
        <v>1974</v>
      </c>
      <c r="UU2">
        <v>2228</v>
      </c>
      <c r="UV2">
        <v>2082</v>
      </c>
      <c r="UW2">
        <v>1842</v>
      </c>
      <c r="UX2">
        <v>1993</v>
      </c>
      <c r="UY2">
        <v>840</v>
      </c>
      <c r="UZ2">
        <v>453</v>
      </c>
      <c r="VA2">
        <v>1590</v>
      </c>
      <c r="VB2">
        <v>2077</v>
      </c>
      <c r="VC2">
        <v>1428</v>
      </c>
      <c r="VD2">
        <v>1428</v>
      </c>
      <c r="VE2">
        <v>551</v>
      </c>
      <c r="VF2">
        <v>428</v>
      </c>
      <c r="VG2">
        <v>428</v>
      </c>
      <c r="VH2">
        <v>0</v>
      </c>
      <c r="VI2">
        <v>0</v>
      </c>
      <c r="VJ2">
        <v>0</v>
      </c>
      <c r="VK2">
        <v>0</v>
      </c>
      <c r="VL2">
        <v>0</v>
      </c>
      <c r="VM2">
        <v>0</v>
      </c>
      <c r="VN2">
        <v>1616</v>
      </c>
      <c r="VO2">
        <v>0</v>
      </c>
      <c r="VP2">
        <v>0</v>
      </c>
      <c r="VQ2">
        <v>0</v>
      </c>
      <c r="VR2">
        <v>0</v>
      </c>
      <c r="VS2">
        <v>0</v>
      </c>
      <c r="VT2">
        <v>0</v>
      </c>
      <c r="VU2">
        <v>0</v>
      </c>
      <c r="VV2">
        <v>0</v>
      </c>
      <c r="VW2">
        <v>0</v>
      </c>
      <c r="VX2">
        <v>0</v>
      </c>
      <c r="VY2">
        <v>0</v>
      </c>
      <c r="VZ2">
        <v>0</v>
      </c>
      <c r="WA2">
        <v>0</v>
      </c>
      <c r="WB2">
        <v>0</v>
      </c>
      <c r="WC2">
        <v>0</v>
      </c>
      <c r="WD2">
        <v>0</v>
      </c>
      <c r="WE2">
        <v>0</v>
      </c>
      <c r="WF2">
        <v>0</v>
      </c>
      <c r="WG2">
        <v>4453</v>
      </c>
      <c r="WH2">
        <v>4453</v>
      </c>
      <c r="WI2">
        <v>4453</v>
      </c>
      <c r="WJ2">
        <v>0</v>
      </c>
      <c r="WK2">
        <v>0</v>
      </c>
      <c r="WL2">
        <v>0</v>
      </c>
      <c r="WM2">
        <v>0</v>
      </c>
      <c r="WN2">
        <v>6141</v>
      </c>
      <c r="WO2">
        <v>6141</v>
      </c>
      <c r="WP2">
        <v>6141</v>
      </c>
      <c r="WQ2">
        <v>0</v>
      </c>
      <c r="WR2">
        <v>0</v>
      </c>
      <c r="WS2">
        <v>0</v>
      </c>
      <c r="WT2">
        <v>0</v>
      </c>
      <c r="WU2">
        <v>0</v>
      </c>
      <c r="WV2">
        <v>0</v>
      </c>
      <c r="WW2">
        <v>0</v>
      </c>
      <c r="WX2">
        <v>0</v>
      </c>
      <c r="WY2">
        <v>0</v>
      </c>
      <c r="WZ2">
        <v>0</v>
      </c>
      <c r="XA2">
        <v>0</v>
      </c>
      <c r="XB2">
        <v>0</v>
      </c>
      <c r="XC2">
        <v>0</v>
      </c>
      <c r="XD2">
        <v>6570</v>
      </c>
      <c r="XE2">
        <v>0</v>
      </c>
      <c r="XF2">
        <v>0</v>
      </c>
      <c r="XG2">
        <v>0</v>
      </c>
      <c r="XH2">
        <v>0</v>
      </c>
      <c r="XI2">
        <v>0</v>
      </c>
      <c r="XJ2">
        <v>0</v>
      </c>
      <c r="XK2">
        <v>0</v>
      </c>
      <c r="XL2">
        <v>0</v>
      </c>
      <c r="XM2">
        <v>0</v>
      </c>
      <c r="XN2">
        <v>0</v>
      </c>
      <c r="XO2">
        <v>0</v>
      </c>
      <c r="XP2">
        <v>0</v>
      </c>
      <c r="XQ2">
        <v>0</v>
      </c>
      <c r="XR2">
        <v>3668</v>
      </c>
      <c r="XS2">
        <v>3668</v>
      </c>
      <c r="XT2">
        <v>3668</v>
      </c>
      <c r="XU2">
        <v>3668</v>
      </c>
      <c r="XV2">
        <v>3668</v>
      </c>
      <c r="XW2">
        <v>3668</v>
      </c>
      <c r="XX2">
        <v>3668</v>
      </c>
      <c r="XY2">
        <v>3672</v>
      </c>
      <c r="XZ2">
        <v>0</v>
      </c>
      <c r="YA2">
        <v>0</v>
      </c>
      <c r="YB2">
        <v>0</v>
      </c>
      <c r="YC2">
        <v>0</v>
      </c>
      <c r="YD2">
        <v>0</v>
      </c>
      <c r="YE2">
        <v>0</v>
      </c>
      <c r="YF2" s="1">
        <v>0</v>
      </c>
      <c r="YG2" s="1">
        <v>0</v>
      </c>
      <c r="YH2" s="1">
        <v>0</v>
      </c>
      <c r="YI2" s="1">
        <v>0</v>
      </c>
      <c r="YJ2">
        <v>0</v>
      </c>
      <c r="YK2">
        <v>4549</v>
      </c>
      <c r="YL2">
        <v>4551</v>
      </c>
      <c r="YM2">
        <v>0</v>
      </c>
      <c r="YN2">
        <v>0</v>
      </c>
      <c r="YO2">
        <v>0</v>
      </c>
      <c r="YP2">
        <v>0</v>
      </c>
      <c r="YQ2">
        <v>0</v>
      </c>
      <c r="YR2">
        <v>0</v>
      </c>
      <c r="YS2">
        <v>5665</v>
      </c>
      <c r="YT2">
        <v>5666</v>
      </c>
      <c r="YU2">
        <v>0</v>
      </c>
      <c r="YV2">
        <v>0</v>
      </c>
      <c r="YW2">
        <v>5962</v>
      </c>
      <c r="YX2">
        <v>5962</v>
      </c>
      <c r="YY2">
        <v>5962</v>
      </c>
      <c r="YZ2">
        <v>5962</v>
      </c>
      <c r="ZA2">
        <v>5963</v>
      </c>
      <c r="ZB2">
        <v>0</v>
      </c>
      <c r="ZC2">
        <v>0</v>
      </c>
      <c r="ZD2">
        <v>0</v>
      </c>
      <c r="ZE2">
        <v>0</v>
      </c>
      <c r="ZF2">
        <v>7535</v>
      </c>
      <c r="ZG2">
        <v>7535</v>
      </c>
      <c r="ZH2">
        <v>0</v>
      </c>
      <c r="ZI2">
        <v>0</v>
      </c>
      <c r="ZJ2">
        <v>0</v>
      </c>
      <c r="ZK2">
        <v>0</v>
      </c>
      <c r="ZL2">
        <v>0</v>
      </c>
      <c r="ZM2">
        <v>0</v>
      </c>
      <c r="ZN2">
        <v>0</v>
      </c>
      <c r="ZO2">
        <v>0</v>
      </c>
      <c r="ZP2">
        <v>0</v>
      </c>
      <c r="ZQ2">
        <v>0</v>
      </c>
      <c r="ZR2">
        <v>0</v>
      </c>
      <c r="ZS2">
        <v>0</v>
      </c>
      <c r="ZT2">
        <v>0</v>
      </c>
      <c r="ZU2">
        <v>4462</v>
      </c>
      <c r="ZV2">
        <v>0</v>
      </c>
      <c r="ZW2">
        <v>0</v>
      </c>
      <c r="ZX2">
        <v>0</v>
      </c>
      <c r="ZY2">
        <v>0</v>
      </c>
      <c r="ZZ2">
        <v>0</v>
      </c>
      <c r="AAA2">
        <v>0</v>
      </c>
      <c r="AAB2">
        <v>3527</v>
      </c>
      <c r="AAC2">
        <v>0</v>
      </c>
      <c r="AAD2">
        <v>0</v>
      </c>
      <c r="AAE2">
        <v>0</v>
      </c>
      <c r="AAF2">
        <v>0</v>
      </c>
      <c r="AAG2">
        <v>0</v>
      </c>
      <c r="AAH2">
        <v>0</v>
      </c>
      <c r="AAI2">
        <v>2836</v>
      </c>
      <c r="AAJ2">
        <v>0</v>
      </c>
      <c r="AAK2">
        <v>0</v>
      </c>
      <c r="AAL2">
        <v>0</v>
      </c>
      <c r="AAM2">
        <v>0</v>
      </c>
      <c r="AAN2">
        <v>0</v>
      </c>
      <c r="AAO2">
        <v>0</v>
      </c>
      <c r="AAP2">
        <v>0</v>
      </c>
      <c r="AAQ2">
        <v>0</v>
      </c>
      <c r="AAR2">
        <v>0</v>
      </c>
      <c r="AAS2">
        <v>0</v>
      </c>
      <c r="AAT2">
        <v>0</v>
      </c>
      <c r="AAU2">
        <v>0</v>
      </c>
      <c r="AAV2">
        <v>0</v>
      </c>
      <c r="AAW2">
        <v>1134</v>
      </c>
      <c r="AAX2">
        <v>0</v>
      </c>
      <c r="AAY2">
        <v>0</v>
      </c>
      <c r="AAZ2">
        <v>0</v>
      </c>
      <c r="ABA2">
        <v>0</v>
      </c>
      <c r="ABB2">
        <v>0</v>
      </c>
      <c r="ABC2">
        <v>883</v>
      </c>
      <c r="ABD2">
        <v>883</v>
      </c>
      <c r="ABE2">
        <v>0</v>
      </c>
      <c r="ABF2">
        <v>0</v>
      </c>
      <c r="ABG2">
        <v>0</v>
      </c>
      <c r="ABH2">
        <v>0</v>
      </c>
      <c r="ABI2">
        <v>0</v>
      </c>
      <c r="ABJ2">
        <v>0</v>
      </c>
      <c r="ABK2">
        <v>642</v>
      </c>
      <c r="ABL2">
        <v>0</v>
      </c>
      <c r="ABM2">
        <v>0</v>
      </c>
      <c r="ABN2">
        <v>0</v>
      </c>
      <c r="ABO2">
        <v>0</v>
      </c>
      <c r="ABP2">
        <v>0</v>
      </c>
      <c r="ABQ2">
        <v>421</v>
      </c>
      <c r="ABR2">
        <v>421</v>
      </c>
      <c r="ABS2">
        <v>0</v>
      </c>
      <c r="ABT2">
        <v>0</v>
      </c>
      <c r="ABU2">
        <v>0</v>
      </c>
      <c r="ABV2">
        <v>0</v>
      </c>
      <c r="ABW2">
        <v>325</v>
      </c>
      <c r="ABX2">
        <v>325</v>
      </c>
      <c r="ABY2">
        <v>325</v>
      </c>
      <c r="ABZ2">
        <v>325</v>
      </c>
      <c r="ACA2">
        <v>0</v>
      </c>
      <c r="ACB2">
        <v>268</v>
      </c>
      <c r="ACC2">
        <v>268</v>
      </c>
      <c r="ACD2">
        <v>268</v>
      </c>
      <c r="ACE2">
        <v>268</v>
      </c>
      <c r="ACF2">
        <v>268</v>
      </c>
      <c r="ACG2">
        <v>0</v>
      </c>
      <c r="ACH2">
        <v>0</v>
      </c>
      <c r="ACI2">
        <v>0</v>
      </c>
      <c r="ACJ2">
        <v>0</v>
      </c>
      <c r="ACK2">
        <v>2082</v>
      </c>
      <c r="ACL2">
        <v>2082</v>
      </c>
      <c r="ACM2">
        <v>2082</v>
      </c>
      <c r="ACN2">
        <v>0</v>
      </c>
      <c r="ACO2">
        <v>0</v>
      </c>
      <c r="ACP2">
        <v>0</v>
      </c>
      <c r="ACQ2">
        <v>0</v>
      </c>
      <c r="ACR2">
        <v>1329</v>
      </c>
      <c r="ACS2">
        <v>1329</v>
      </c>
      <c r="ACT2">
        <v>1329</v>
      </c>
      <c r="ACU2">
        <v>0</v>
      </c>
      <c r="ACV2">
        <v>1357</v>
      </c>
      <c r="ACW2">
        <v>1357</v>
      </c>
      <c r="ACX2">
        <v>1357</v>
      </c>
      <c r="ACY2">
        <v>1357</v>
      </c>
      <c r="ACZ2">
        <v>1357</v>
      </c>
      <c r="ADA2">
        <v>1357</v>
      </c>
      <c r="ADB2">
        <v>0</v>
      </c>
      <c r="ADC2">
        <v>0</v>
      </c>
      <c r="ADD2">
        <v>0</v>
      </c>
      <c r="ADE2">
        <v>0</v>
      </c>
      <c r="ADF2">
        <v>1486</v>
      </c>
      <c r="ADG2">
        <v>1486</v>
      </c>
      <c r="ADH2">
        <v>1486</v>
      </c>
      <c r="ADI2">
        <v>0</v>
      </c>
      <c r="ADJ2">
        <v>0</v>
      </c>
      <c r="ADK2">
        <v>0</v>
      </c>
      <c r="ADL2">
        <v>0</v>
      </c>
      <c r="ADM2">
        <v>0</v>
      </c>
      <c r="ADN2">
        <v>0</v>
      </c>
      <c r="ADO2">
        <v>0</v>
      </c>
      <c r="ADP2">
        <v>0</v>
      </c>
      <c r="ADQ2">
        <v>0</v>
      </c>
      <c r="ADR2">
        <v>3323</v>
      </c>
      <c r="ADS2">
        <v>3323</v>
      </c>
      <c r="ADT2">
        <v>3323</v>
      </c>
      <c r="ADU2">
        <v>3323</v>
      </c>
      <c r="ADV2">
        <v>3323</v>
      </c>
      <c r="ADW2">
        <v>0</v>
      </c>
      <c r="ADX2">
        <v>0</v>
      </c>
      <c r="ADY2">
        <v>12609</v>
      </c>
      <c r="ADZ2">
        <v>12609</v>
      </c>
      <c r="AEA2">
        <v>12609</v>
      </c>
      <c r="AEB2">
        <v>12609</v>
      </c>
      <c r="AEC2">
        <v>12609</v>
      </c>
      <c r="AED2">
        <v>27119</v>
      </c>
      <c r="AEE2">
        <v>27119</v>
      </c>
      <c r="AEF2">
        <v>27119</v>
      </c>
      <c r="AEG2">
        <v>27119</v>
      </c>
      <c r="AEH2">
        <v>27119</v>
      </c>
      <c r="AEI2">
        <v>27119</v>
      </c>
      <c r="AEJ2">
        <v>27119</v>
      </c>
      <c r="AEK2">
        <v>0</v>
      </c>
      <c r="AEL2">
        <v>0</v>
      </c>
      <c r="AEM2">
        <v>0</v>
      </c>
      <c r="AEN2">
        <v>0</v>
      </c>
      <c r="AEO2">
        <v>0</v>
      </c>
      <c r="AEP2">
        <v>0</v>
      </c>
      <c r="AEQ2">
        <v>0</v>
      </c>
      <c r="AER2">
        <v>0</v>
      </c>
      <c r="AES2">
        <v>0</v>
      </c>
      <c r="AET2">
        <v>0</v>
      </c>
      <c r="AEU2">
        <v>0</v>
      </c>
      <c r="AEV2">
        <v>0</v>
      </c>
      <c r="AEW2">
        <v>0</v>
      </c>
      <c r="AEX2">
        <v>0</v>
      </c>
      <c r="AEY2">
        <v>0</v>
      </c>
      <c r="AEZ2">
        <v>0</v>
      </c>
      <c r="AFA2">
        <v>0</v>
      </c>
      <c r="AFB2">
        <v>0</v>
      </c>
      <c r="AFC2">
        <v>0</v>
      </c>
      <c r="AFD2">
        <v>0</v>
      </c>
      <c r="AFE2">
        <v>0</v>
      </c>
      <c r="AFF2">
        <v>0</v>
      </c>
      <c r="AFG2">
        <v>0</v>
      </c>
      <c r="AFH2">
        <v>0</v>
      </c>
      <c r="AFI2">
        <v>0</v>
      </c>
      <c r="AFJ2">
        <v>0</v>
      </c>
      <c r="AFK2">
        <v>0</v>
      </c>
      <c r="AFL2">
        <v>0</v>
      </c>
      <c r="AFM2">
        <v>0</v>
      </c>
      <c r="AFN2">
        <v>0</v>
      </c>
      <c r="AFO2">
        <v>0</v>
      </c>
      <c r="AFP2">
        <v>0</v>
      </c>
      <c r="AFQ2">
        <v>0</v>
      </c>
      <c r="AFR2">
        <v>0</v>
      </c>
      <c r="AFS2">
        <v>0</v>
      </c>
      <c r="AFT2">
        <v>0</v>
      </c>
      <c r="AFU2">
        <v>0</v>
      </c>
      <c r="AFV2">
        <v>0</v>
      </c>
      <c r="AFW2">
        <v>0</v>
      </c>
      <c r="AFX2">
        <v>0</v>
      </c>
      <c r="AFY2">
        <v>0</v>
      </c>
      <c r="AFZ2">
        <v>0</v>
      </c>
      <c r="AGA2">
        <v>0</v>
      </c>
      <c r="AGB2">
        <v>0</v>
      </c>
      <c r="AGC2">
        <v>0</v>
      </c>
      <c r="AGD2">
        <v>0</v>
      </c>
      <c r="AGE2">
        <v>0</v>
      </c>
      <c r="AGF2">
        <v>0</v>
      </c>
      <c r="AGG2">
        <v>0</v>
      </c>
      <c r="AGH2">
        <v>0</v>
      </c>
      <c r="AGI2">
        <v>0</v>
      </c>
      <c r="AGJ2">
        <v>0</v>
      </c>
      <c r="AGK2">
        <v>0</v>
      </c>
      <c r="AGL2">
        <v>0</v>
      </c>
      <c r="AGM2">
        <v>0</v>
      </c>
      <c r="AGN2">
        <v>0</v>
      </c>
      <c r="AGO2">
        <v>0</v>
      </c>
      <c r="AGP2">
        <v>0</v>
      </c>
      <c r="AGQ2">
        <v>0</v>
      </c>
      <c r="AGR2">
        <v>0</v>
      </c>
      <c r="AGS2">
        <v>0</v>
      </c>
      <c r="AGT2">
        <v>0</v>
      </c>
      <c r="AGU2">
        <v>0</v>
      </c>
      <c r="AGV2">
        <v>0</v>
      </c>
      <c r="AGW2">
        <v>0</v>
      </c>
      <c r="AGX2">
        <v>0</v>
      </c>
      <c r="AGY2">
        <v>0</v>
      </c>
      <c r="AGZ2">
        <v>0</v>
      </c>
      <c r="AHA2">
        <v>0</v>
      </c>
      <c r="AHB2">
        <v>0</v>
      </c>
      <c r="AHC2">
        <v>0</v>
      </c>
      <c r="AHD2">
        <v>0</v>
      </c>
      <c r="AHE2">
        <v>0</v>
      </c>
      <c r="AHF2">
        <v>0</v>
      </c>
      <c r="AHG2">
        <v>0</v>
      </c>
      <c r="AHH2">
        <v>0</v>
      </c>
      <c r="AHI2">
        <v>0</v>
      </c>
      <c r="AHJ2">
        <v>0</v>
      </c>
      <c r="AHK2">
        <v>0</v>
      </c>
      <c r="AHL2">
        <v>0</v>
      </c>
      <c r="AHM2">
        <v>0</v>
      </c>
      <c r="AHN2">
        <v>0</v>
      </c>
      <c r="AHO2">
        <v>0</v>
      </c>
      <c r="AHP2">
        <v>0</v>
      </c>
      <c r="AHQ2">
        <v>0</v>
      </c>
    </row>
    <row r="3" spans="1:901">
      <c r="A3" s="1" t="s">
        <v>32</v>
      </c>
      <c r="B3">
        <v>667</v>
      </c>
      <c r="C3">
        <v>586</v>
      </c>
      <c r="D3">
        <v>547</v>
      </c>
      <c r="E3">
        <v>632</v>
      </c>
      <c r="F3">
        <v>419</v>
      </c>
      <c r="G3">
        <v>206</v>
      </c>
      <c r="H3">
        <v>310</v>
      </c>
      <c r="I3">
        <v>467</v>
      </c>
      <c r="J3">
        <v>537</v>
      </c>
      <c r="K3">
        <v>628</v>
      </c>
      <c r="L3">
        <v>370</v>
      </c>
      <c r="M3">
        <v>309</v>
      </c>
      <c r="N3">
        <v>322</v>
      </c>
      <c r="O3">
        <v>418</v>
      </c>
      <c r="P3">
        <v>670</v>
      </c>
      <c r="Q3">
        <v>405</v>
      </c>
      <c r="R3">
        <v>503</v>
      </c>
      <c r="S3">
        <v>350</v>
      </c>
      <c r="T3">
        <v>299</v>
      </c>
      <c r="U3">
        <v>239</v>
      </c>
      <c r="V3">
        <v>361</v>
      </c>
      <c r="W3">
        <v>238</v>
      </c>
      <c r="X3">
        <v>263</v>
      </c>
      <c r="Y3">
        <v>257</v>
      </c>
      <c r="Z3">
        <v>237</v>
      </c>
      <c r="AA3">
        <v>111</v>
      </c>
      <c r="AB3">
        <v>121</v>
      </c>
      <c r="AC3">
        <v>227</v>
      </c>
      <c r="AD3">
        <v>219</v>
      </c>
      <c r="AE3">
        <v>178</v>
      </c>
      <c r="AF3">
        <v>243</v>
      </c>
      <c r="AG3">
        <v>148</v>
      </c>
      <c r="AH3">
        <v>61</v>
      </c>
      <c r="AI3">
        <v>119</v>
      </c>
      <c r="AJ3">
        <v>147</v>
      </c>
      <c r="AK3">
        <v>191</v>
      </c>
      <c r="AL3">
        <v>217</v>
      </c>
      <c r="AM3">
        <v>167</v>
      </c>
      <c r="AN3">
        <v>167</v>
      </c>
      <c r="AO3">
        <v>74</v>
      </c>
      <c r="AP3">
        <v>99</v>
      </c>
      <c r="AQ3">
        <v>172</v>
      </c>
      <c r="AR3">
        <v>197</v>
      </c>
      <c r="AS3">
        <v>163</v>
      </c>
      <c r="AT3">
        <v>147</v>
      </c>
      <c r="AU3">
        <v>126</v>
      </c>
      <c r="AV3">
        <v>76</v>
      </c>
      <c r="AW3">
        <v>34</v>
      </c>
      <c r="AX3">
        <v>69</v>
      </c>
      <c r="AY3">
        <v>126</v>
      </c>
      <c r="AZ3">
        <v>139</v>
      </c>
      <c r="BA3">
        <v>142</v>
      </c>
      <c r="BB3">
        <v>84</v>
      </c>
      <c r="BC3">
        <v>48</v>
      </c>
      <c r="BD3">
        <v>86</v>
      </c>
      <c r="BE3">
        <v>103</v>
      </c>
      <c r="BF3">
        <v>112</v>
      </c>
      <c r="BG3">
        <v>113</v>
      </c>
      <c r="BH3">
        <v>180</v>
      </c>
      <c r="BI3">
        <v>112</v>
      </c>
      <c r="BJ3">
        <v>65</v>
      </c>
      <c r="BK3">
        <v>125</v>
      </c>
      <c r="BL3">
        <v>102</v>
      </c>
      <c r="BM3">
        <v>96</v>
      </c>
      <c r="BN3">
        <v>187</v>
      </c>
      <c r="BO3">
        <v>98</v>
      </c>
      <c r="BP3">
        <v>68</v>
      </c>
      <c r="BQ3">
        <v>56</v>
      </c>
      <c r="BR3">
        <v>56</v>
      </c>
      <c r="BS3">
        <v>113</v>
      </c>
      <c r="BT3">
        <v>129</v>
      </c>
      <c r="BU3">
        <v>114</v>
      </c>
      <c r="BV3">
        <v>104</v>
      </c>
      <c r="BW3">
        <v>98</v>
      </c>
      <c r="BX3">
        <v>30</v>
      </c>
      <c r="BY3">
        <v>86</v>
      </c>
      <c r="BZ3">
        <v>102</v>
      </c>
      <c r="CA3">
        <v>184</v>
      </c>
      <c r="CB3">
        <v>192</v>
      </c>
      <c r="CC3">
        <v>139</v>
      </c>
      <c r="CD3">
        <v>167</v>
      </c>
      <c r="CE3">
        <v>68</v>
      </c>
      <c r="CF3">
        <v>97</v>
      </c>
      <c r="CG3">
        <v>189</v>
      </c>
      <c r="CH3">
        <v>214</v>
      </c>
      <c r="CI3">
        <v>325</v>
      </c>
      <c r="CJ3">
        <v>312</v>
      </c>
      <c r="CK3">
        <v>333</v>
      </c>
      <c r="CL3">
        <v>120</v>
      </c>
      <c r="CM3">
        <v>195</v>
      </c>
      <c r="CN3">
        <v>371</v>
      </c>
      <c r="CO3">
        <v>498</v>
      </c>
      <c r="CP3">
        <v>451</v>
      </c>
      <c r="CQ3">
        <v>484</v>
      </c>
      <c r="CR3">
        <v>621</v>
      </c>
      <c r="CS3">
        <v>253</v>
      </c>
      <c r="CT3">
        <v>362</v>
      </c>
      <c r="CU3">
        <v>674</v>
      </c>
      <c r="CV3">
        <v>1005</v>
      </c>
      <c r="CW3">
        <v>1057</v>
      </c>
      <c r="CX3">
        <v>469</v>
      </c>
      <c r="CY3">
        <v>759</v>
      </c>
      <c r="CZ3">
        <v>494</v>
      </c>
      <c r="DA3">
        <v>751</v>
      </c>
      <c r="DB3">
        <v>1293</v>
      </c>
      <c r="DC3">
        <v>1485</v>
      </c>
      <c r="DD3">
        <v>1752</v>
      </c>
      <c r="DE3">
        <v>861</v>
      </c>
      <c r="DF3">
        <v>1070</v>
      </c>
      <c r="DG3">
        <v>606</v>
      </c>
      <c r="DH3">
        <v>1010</v>
      </c>
      <c r="DI3">
        <v>1597</v>
      </c>
      <c r="DJ3">
        <v>1713</v>
      </c>
      <c r="DK3">
        <v>1910</v>
      </c>
      <c r="DL3">
        <v>2263</v>
      </c>
      <c r="DM3">
        <v>1644</v>
      </c>
      <c r="DN3">
        <v>1098</v>
      </c>
      <c r="DO3">
        <v>1392</v>
      </c>
      <c r="DP3">
        <v>1473</v>
      </c>
      <c r="DQ3">
        <v>2057</v>
      </c>
      <c r="DR3">
        <v>2198</v>
      </c>
      <c r="DS3">
        <v>2573</v>
      </c>
      <c r="DT3">
        <v>2091</v>
      </c>
      <c r="DU3">
        <v>1503</v>
      </c>
      <c r="DV3">
        <v>1550</v>
      </c>
      <c r="DW3">
        <v>2357</v>
      </c>
      <c r="DX3">
        <v>2655</v>
      </c>
      <c r="DY3">
        <v>2648</v>
      </c>
      <c r="DZ3">
        <v>1864</v>
      </c>
      <c r="EA3">
        <v>1732</v>
      </c>
      <c r="EB3">
        <v>1048</v>
      </c>
      <c r="EC3">
        <v>1781</v>
      </c>
      <c r="ED3">
        <v>2390</v>
      </c>
      <c r="EE3">
        <v>2866</v>
      </c>
      <c r="EF3">
        <v>2652</v>
      </c>
      <c r="EG3">
        <v>2666</v>
      </c>
      <c r="EH3">
        <v>2005</v>
      </c>
      <c r="EI3">
        <v>1438</v>
      </c>
      <c r="EJ3">
        <v>1464</v>
      </c>
      <c r="EK3">
        <v>2127</v>
      </c>
      <c r="EL3">
        <v>2021</v>
      </c>
      <c r="EM3">
        <v>1787</v>
      </c>
      <c r="EN3">
        <v>1676</v>
      </c>
      <c r="EO3">
        <v>1218</v>
      </c>
      <c r="EP3">
        <v>839</v>
      </c>
      <c r="EQ3">
        <v>1220</v>
      </c>
      <c r="ER3">
        <v>1544</v>
      </c>
      <c r="ES3">
        <v>1771</v>
      </c>
      <c r="ET3">
        <v>1352</v>
      </c>
      <c r="EU3">
        <v>1244</v>
      </c>
      <c r="EV3">
        <v>938</v>
      </c>
      <c r="EW3">
        <v>696</v>
      </c>
      <c r="EX3">
        <v>412</v>
      </c>
      <c r="EY3">
        <v>562</v>
      </c>
      <c r="EZ3">
        <v>789</v>
      </c>
      <c r="FA3">
        <v>1029</v>
      </c>
      <c r="FB3">
        <v>1152</v>
      </c>
      <c r="FC3">
        <v>1095</v>
      </c>
      <c r="FD3">
        <v>521</v>
      </c>
      <c r="FE3">
        <v>884</v>
      </c>
      <c r="FF3">
        <v>1204</v>
      </c>
      <c r="FG3">
        <v>1339</v>
      </c>
      <c r="FH3">
        <v>1103</v>
      </c>
      <c r="FI3">
        <v>1069</v>
      </c>
      <c r="FJ3">
        <v>656</v>
      </c>
      <c r="FK3">
        <v>463</v>
      </c>
      <c r="FL3">
        <v>757</v>
      </c>
      <c r="FM3">
        <v>790</v>
      </c>
      <c r="FN3">
        <v>834</v>
      </c>
      <c r="FO3">
        <v>969</v>
      </c>
      <c r="FP3">
        <v>937</v>
      </c>
      <c r="FQ3">
        <v>653</v>
      </c>
      <c r="FR3">
        <v>323</v>
      </c>
      <c r="FS3">
        <v>463</v>
      </c>
      <c r="FT3">
        <v>885</v>
      </c>
      <c r="FU3">
        <v>841</v>
      </c>
      <c r="FV3">
        <v>778</v>
      </c>
      <c r="FW3">
        <v>1084</v>
      </c>
      <c r="FX3">
        <v>680</v>
      </c>
      <c r="FY3">
        <v>385</v>
      </c>
      <c r="FZ3">
        <v>670</v>
      </c>
      <c r="GA3">
        <v>929</v>
      </c>
      <c r="GB3">
        <v>1068</v>
      </c>
      <c r="GC3">
        <v>885</v>
      </c>
      <c r="GD3">
        <v>867</v>
      </c>
      <c r="GE3">
        <v>603</v>
      </c>
      <c r="GF3">
        <v>223</v>
      </c>
      <c r="GG3">
        <v>573</v>
      </c>
      <c r="GH3">
        <v>879</v>
      </c>
      <c r="GI3">
        <v>973</v>
      </c>
      <c r="GJ3">
        <v>774</v>
      </c>
      <c r="GK3">
        <v>878</v>
      </c>
      <c r="GL3">
        <v>591</v>
      </c>
      <c r="GM3">
        <v>326</v>
      </c>
      <c r="GN3">
        <v>719</v>
      </c>
      <c r="GO3">
        <v>1072</v>
      </c>
      <c r="GP3">
        <v>992</v>
      </c>
      <c r="GQ3">
        <v>916</v>
      </c>
      <c r="GR3">
        <v>620</v>
      </c>
      <c r="GS3">
        <v>520</v>
      </c>
      <c r="GT3">
        <v>467</v>
      </c>
      <c r="GU3">
        <v>458</v>
      </c>
      <c r="GV3">
        <v>1498</v>
      </c>
      <c r="GW3">
        <v>1076</v>
      </c>
      <c r="GX3">
        <v>1241</v>
      </c>
      <c r="GY3">
        <v>1442</v>
      </c>
      <c r="GZ3">
        <v>921</v>
      </c>
      <c r="HA3">
        <v>525</v>
      </c>
      <c r="HB3">
        <v>989</v>
      </c>
      <c r="HC3">
        <v>1099</v>
      </c>
      <c r="HD3">
        <v>1108</v>
      </c>
      <c r="HE3">
        <v>823</v>
      </c>
      <c r="HF3">
        <v>1246</v>
      </c>
      <c r="HG3">
        <v>1185</v>
      </c>
      <c r="HH3">
        <v>521</v>
      </c>
      <c r="HI3">
        <v>1296</v>
      </c>
      <c r="HJ3">
        <v>1313</v>
      </c>
      <c r="HK3">
        <v>1386</v>
      </c>
      <c r="HL3">
        <v>1330</v>
      </c>
      <c r="HM3">
        <v>1501</v>
      </c>
      <c r="HN3">
        <v>1293</v>
      </c>
      <c r="HO3">
        <v>474</v>
      </c>
      <c r="HP3">
        <v>1119</v>
      </c>
      <c r="HQ3">
        <v>1480</v>
      </c>
      <c r="HR3">
        <v>1573</v>
      </c>
      <c r="HS3">
        <v>1901</v>
      </c>
      <c r="HT3">
        <v>1862</v>
      </c>
      <c r="HU3">
        <v>933</v>
      </c>
      <c r="HV3">
        <v>1034</v>
      </c>
      <c r="HW3">
        <v>1423</v>
      </c>
      <c r="HX3">
        <v>1588</v>
      </c>
      <c r="HY3">
        <v>1835</v>
      </c>
      <c r="HZ3">
        <v>1783</v>
      </c>
      <c r="IA3">
        <v>1963</v>
      </c>
      <c r="IB3">
        <v>1394</v>
      </c>
      <c r="IC3">
        <v>1063</v>
      </c>
      <c r="ID3">
        <v>1599</v>
      </c>
      <c r="IE3">
        <v>2369</v>
      </c>
      <c r="IF3">
        <v>2290</v>
      </c>
      <c r="IG3">
        <v>2356</v>
      </c>
      <c r="IH3">
        <v>2509</v>
      </c>
      <c r="II3">
        <v>1783</v>
      </c>
      <c r="IJ3">
        <v>1051</v>
      </c>
      <c r="IK3">
        <v>2257</v>
      </c>
      <c r="IL3">
        <v>2617</v>
      </c>
      <c r="IM3">
        <v>2766</v>
      </c>
      <c r="IN3">
        <v>2858</v>
      </c>
      <c r="IO3">
        <v>3005</v>
      </c>
      <c r="IP3">
        <v>2117</v>
      </c>
      <c r="IQ3">
        <v>1466</v>
      </c>
      <c r="IR3">
        <v>2517</v>
      </c>
      <c r="IS3">
        <v>3179</v>
      </c>
      <c r="IT3">
        <v>3213</v>
      </c>
      <c r="IU3">
        <v>3018</v>
      </c>
      <c r="IV3">
        <v>2990</v>
      </c>
      <c r="IW3">
        <v>2144</v>
      </c>
      <c r="IX3">
        <v>1760</v>
      </c>
      <c r="IY3">
        <v>2805</v>
      </c>
      <c r="IZ3">
        <v>3439</v>
      </c>
      <c r="JA3">
        <v>3310</v>
      </c>
      <c r="JB3">
        <v>2429</v>
      </c>
      <c r="JC3">
        <v>3000</v>
      </c>
      <c r="JD3">
        <v>2277</v>
      </c>
      <c r="JE3">
        <v>1428</v>
      </c>
      <c r="JF3">
        <v>2832</v>
      </c>
      <c r="JG3">
        <v>2981</v>
      </c>
      <c r="JH3">
        <v>3839</v>
      </c>
      <c r="JI3">
        <v>3233</v>
      </c>
      <c r="JJ3">
        <v>3244</v>
      </c>
      <c r="JK3">
        <v>2056</v>
      </c>
      <c r="JL3">
        <v>1607</v>
      </c>
      <c r="JM3">
        <v>2152</v>
      </c>
      <c r="JN3">
        <v>2571</v>
      </c>
      <c r="JO3">
        <v>2836</v>
      </c>
      <c r="JP3">
        <v>2682</v>
      </c>
      <c r="JQ3">
        <v>2118</v>
      </c>
      <c r="JR3">
        <v>1648</v>
      </c>
      <c r="JS3">
        <v>1086</v>
      </c>
      <c r="JT3">
        <v>764</v>
      </c>
      <c r="JU3">
        <v>1667</v>
      </c>
      <c r="JV3">
        <v>2270</v>
      </c>
      <c r="JW3">
        <v>2430</v>
      </c>
      <c r="JX3">
        <v>2182</v>
      </c>
      <c r="JY3">
        <v>1653</v>
      </c>
      <c r="JZ3">
        <v>922</v>
      </c>
      <c r="KA3">
        <v>1633</v>
      </c>
      <c r="KB3">
        <v>2055</v>
      </c>
      <c r="KC3">
        <v>2001</v>
      </c>
      <c r="KD3">
        <v>1662</v>
      </c>
      <c r="KE3">
        <v>1598</v>
      </c>
      <c r="KF3">
        <v>1206</v>
      </c>
      <c r="KG3">
        <v>878</v>
      </c>
      <c r="KH3">
        <v>1394</v>
      </c>
      <c r="KI3">
        <v>1851</v>
      </c>
      <c r="KJ3">
        <v>1474</v>
      </c>
      <c r="KK3">
        <v>1537</v>
      </c>
      <c r="KL3">
        <v>1452</v>
      </c>
      <c r="KM3">
        <v>919</v>
      </c>
      <c r="KN3">
        <v>646</v>
      </c>
      <c r="KO3">
        <v>1195</v>
      </c>
      <c r="KP3">
        <v>1379</v>
      </c>
      <c r="KQ3">
        <v>1397</v>
      </c>
      <c r="KR3">
        <v>1367</v>
      </c>
      <c r="KS3">
        <v>1239</v>
      </c>
      <c r="KT3">
        <v>896</v>
      </c>
      <c r="KU3">
        <v>440</v>
      </c>
      <c r="KV3">
        <v>971</v>
      </c>
      <c r="KW3">
        <v>1052</v>
      </c>
      <c r="KX3">
        <v>1174</v>
      </c>
      <c r="KY3">
        <v>967</v>
      </c>
      <c r="KZ3">
        <v>1025</v>
      </c>
      <c r="LA3">
        <v>632</v>
      </c>
      <c r="LB3">
        <v>448</v>
      </c>
      <c r="LC3">
        <v>759</v>
      </c>
      <c r="LD3">
        <v>842</v>
      </c>
      <c r="LE3">
        <v>905</v>
      </c>
      <c r="LF3">
        <v>1029</v>
      </c>
      <c r="LG3">
        <v>855</v>
      </c>
      <c r="LH3">
        <v>693</v>
      </c>
      <c r="LI3">
        <v>393</v>
      </c>
      <c r="LJ3">
        <v>639</v>
      </c>
      <c r="LK3">
        <v>727</v>
      </c>
      <c r="LL3">
        <v>832</v>
      </c>
      <c r="LM3">
        <v>698</v>
      </c>
      <c r="LN3">
        <v>467</v>
      </c>
      <c r="LO3">
        <v>434</v>
      </c>
      <c r="LP3">
        <v>367</v>
      </c>
      <c r="LQ3">
        <v>608</v>
      </c>
      <c r="LR3">
        <v>788</v>
      </c>
      <c r="LS3">
        <v>770</v>
      </c>
      <c r="LT3">
        <v>717</v>
      </c>
      <c r="LU3">
        <v>685</v>
      </c>
      <c r="LV3">
        <v>500</v>
      </c>
      <c r="LW3">
        <v>297</v>
      </c>
      <c r="LX3">
        <v>597</v>
      </c>
      <c r="LY3">
        <v>706</v>
      </c>
      <c r="LZ3">
        <v>715</v>
      </c>
      <c r="MA3">
        <v>738</v>
      </c>
      <c r="MB3">
        <v>742</v>
      </c>
      <c r="MC3">
        <v>468</v>
      </c>
      <c r="MD3">
        <v>249</v>
      </c>
      <c r="ME3">
        <v>488</v>
      </c>
      <c r="MF3">
        <v>590</v>
      </c>
      <c r="MG3">
        <v>682</v>
      </c>
      <c r="MH3">
        <v>530</v>
      </c>
      <c r="MI3">
        <v>514</v>
      </c>
      <c r="MJ3">
        <v>355</v>
      </c>
      <c r="MK3">
        <v>254</v>
      </c>
      <c r="ML3">
        <v>411</v>
      </c>
      <c r="MM3">
        <v>412</v>
      </c>
      <c r="MN3">
        <v>461</v>
      </c>
      <c r="MO3">
        <v>419</v>
      </c>
      <c r="MP3">
        <v>461</v>
      </c>
      <c r="MQ3">
        <v>289</v>
      </c>
      <c r="MR3">
        <v>171</v>
      </c>
      <c r="MS3">
        <v>435</v>
      </c>
      <c r="MT3">
        <v>403</v>
      </c>
      <c r="MU3">
        <v>396</v>
      </c>
      <c r="MV3">
        <v>379</v>
      </c>
      <c r="MW3">
        <v>371</v>
      </c>
      <c r="MX3">
        <v>230</v>
      </c>
      <c r="MY3">
        <v>141</v>
      </c>
      <c r="MZ3">
        <v>237</v>
      </c>
      <c r="NA3">
        <v>340</v>
      </c>
      <c r="NB3">
        <v>420</v>
      </c>
      <c r="NC3">
        <v>322</v>
      </c>
      <c r="ND3">
        <v>346</v>
      </c>
      <c r="NE3">
        <v>250</v>
      </c>
      <c r="NF3">
        <v>150</v>
      </c>
      <c r="NG3">
        <v>286</v>
      </c>
      <c r="NH3">
        <v>290</v>
      </c>
      <c r="NI3">
        <v>308</v>
      </c>
      <c r="NJ3">
        <f>IFERROR(VLOOKUP(A3,#REF!,3,0),0)</f>
        <v>0</v>
      </c>
      <c r="NK3">
        <v>264</v>
      </c>
      <c r="NL3">
        <v>195</v>
      </c>
      <c r="NM3">
        <v>105</v>
      </c>
      <c r="NN3">
        <v>307</v>
      </c>
      <c r="NO3">
        <v>446</v>
      </c>
      <c r="NP3">
        <v>442</v>
      </c>
      <c r="NQ3">
        <v>355</v>
      </c>
      <c r="NR3">
        <v>378</v>
      </c>
      <c r="NS3">
        <v>356</v>
      </c>
      <c r="NT3">
        <v>183</v>
      </c>
      <c r="NU3">
        <v>254</v>
      </c>
      <c r="NV3">
        <v>431</v>
      </c>
      <c r="NW3">
        <v>503</v>
      </c>
      <c r="NX3">
        <v>472</v>
      </c>
      <c r="NY3">
        <v>410</v>
      </c>
      <c r="NZ3">
        <v>303</v>
      </c>
      <c r="OA3">
        <v>187</v>
      </c>
      <c r="OB3">
        <v>199</v>
      </c>
      <c r="OC3">
        <v>480</v>
      </c>
      <c r="OD3">
        <v>556</v>
      </c>
      <c r="OE3">
        <v>542</v>
      </c>
      <c r="OF3">
        <v>451</v>
      </c>
      <c r="OG3">
        <v>327</v>
      </c>
      <c r="OH3">
        <v>177</v>
      </c>
      <c r="OI3">
        <v>480</v>
      </c>
      <c r="OJ3">
        <v>549</v>
      </c>
      <c r="OK3">
        <v>483</v>
      </c>
      <c r="OL3">
        <v>536</v>
      </c>
      <c r="OM3">
        <v>574</v>
      </c>
      <c r="ON3">
        <v>433</v>
      </c>
      <c r="OO3">
        <v>210</v>
      </c>
      <c r="OP3">
        <v>551</v>
      </c>
      <c r="OQ3">
        <v>677</v>
      </c>
      <c r="OR3">
        <v>707</v>
      </c>
      <c r="OS3" s="3">
        <v>606</v>
      </c>
      <c r="OT3">
        <v>652</v>
      </c>
      <c r="OU3">
        <v>472</v>
      </c>
      <c r="OV3">
        <v>226</v>
      </c>
      <c r="OW3">
        <v>482</v>
      </c>
      <c r="OX3">
        <v>387</v>
      </c>
      <c r="OY3">
        <v>694</v>
      </c>
      <c r="OZ3">
        <v>880</v>
      </c>
      <c r="PA3">
        <v>976</v>
      </c>
      <c r="PB3">
        <v>673</v>
      </c>
      <c r="PC3">
        <v>364</v>
      </c>
      <c r="PD3">
        <v>604</v>
      </c>
      <c r="PE3">
        <v>799</v>
      </c>
      <c r="PF3">
        <v>884</v>
      </c>
      <c r="PG3">
        <v>965</v>
      </c>
      <c r="PH3">
        <v>1012</v>
      </c>
      <c r="PI3">
        <v>614</v>
      </c>
      <c r="PJ3">
        <v>341</v>
      </c>
      <c r="PK3">
        <v>776</v>
      </c>
      <c r="PL3">
        <v>926</v>
      </c>
      <c r="PM3">
        <v>1119</v>
      </c>
      <c r="PN3">
        <v>1074</v>
      </c>
      <c r="PO3">
        <v>1027</v>
      </c>
      <c r="PP3">
        <v>668</v>
      </c>
      <c r="PQ3">
        <v>411</v>
      </c>
      <c r="PR3">
        <v>883</v>
      </c>
      <c r="PS3">
        <v>1059</v>
      </c>
      <c r="PT3">
        <v>1203</v>
      </c>
      <c r="PU3">
        <v>1125</v>
      </c>
      <c r="PV3">
        <v>1359</v>
      </c>
      <c r="PW3">
        <v>642</v>
      </c>
      <c r="PX3">
        <v>715</v>
      </c>
      <c r="PY3">
        <v>1087</v>
      </c>
      <c r="PZ3">
        <v>1088</v>
      </c>
      <c r="QA3">
        <v>1115</v>
      </c>
      <c r="QB3">
        <v>1107</v>
      </c>
      <c r="QC3">
        <v>1220</v>
      </c>
      <c r="QD3">
        <v>770</v>
      </c>
      <c r="QE3">
        <v>531</v>
      </c>
      <c r="QF3">
        <v>1276</v>
      </c>
      <c r="QG3">
        <v>1489</v>
      </c>
      <c r="QH3">
        <v>1737</v>
      </c>
      <c r="QI3">
        <v>1746</v>
      </c>
      <c r="QJ3">
        <v>1878</v>
      </c>
      <c r="QK3">
        <v>1070</v>
      </c>
      <c r="QL3">
        <v>522</v>
      </c>
      <c r="QM3">
        <v>1891</v>
      </c>
      <c r="QN3">
        <v>1766</v>
      </c>
      <c r="QO3">
        <v>1800</v>
      </c>
      <c r="QP3">
        <v>2119</v>
      </c>
      <c r="QQ3">
        <v>1954</v>
      </c>
      <c r="QR3">
        <v>1220</v>
      </c>
      <c r="QS3">
        <v>889</v>
      </c>
      <c r="QT3">
        <v>1844</v>
      </c>
      <c r="QU3">
        <v>2376</v>
      </c>
      <c r="QV3">
        <v>1909</v>
      </c>
      <c r="QW3">
        <v>2242</v>
      </c>
      <c r="QX3">
        <v>2129</v>
      </c>
      <c r="QY3">
        <v>1355</v>
      </c>
      <c r="QZ3">
        <v>1206</v>
      </c>
      <c r="RA3">
        <v>2882</v>
      </c>
      <c r="RB3">
        <v>4934</v>
      </c>
      <c r="RC3">
        <v>6149</v>
      </c>
      <c r="RD3">
        <v>7980</v>
      </c>
      <c r="RE3">
        <v>7728</v>
      </c>
      <c r="RF3">
        <v>3550</v>
      </c>
      <c r="RG3">
        <v>3910</v>
      </c>
      <c r="RH3">
        <v>7371</v>
      </c>
      <c r="RI3">
        <v>9242</v>
      </c>
      <c r="RJ3">
        <v>10263</v>
      </c>
      <c r="RK3">
        <v>11002</v>
      </c>
      <c r="RL3">
        <v>11190</v>
      </c>
      <c r="RM3">
        <v>7823</v>
      </c>
      <c r="RN3">
        <v>5334</v>
      </c>
      <c r="RO3">
        <v>8857</v>
      </c>
      <c r="RP3">
        <v>11213</v>
      </c>
      <c r="RQ3">
        <v>14063</v>
      </c>
      <c r="RR3">
        <v>14160</v>
      </c>
      <c r="RS3">
        <v>14461</v>
      </c>
      <c r="RT3">
        <v>9150</v>
      </c>
      <c r="RU3">
        <v>5265</v>
      </c>
      <c r="RV3">
        <v>9057</v>
      </c>
      <c r="RW3">
        <v>10835</v>
      </c>
      <c r="RX3">
        <v>10867</v>
      </c>
      <c r="RY3">
        <v>9993</v>
      </c>
      <c r="RZ3">
        <v>9590</v>
      </c>
      <c r="SA3">
        <v>5551</v>
      </c>
      <c r="SB3">
        <v>3381</v>
      </c>
      <c r="SC3">
        <v>6974</v>
      </c>
      <c r="SD3">
        <v>7649</v>
      </c>
      <c r="SE3">
        <v>6938</v>
      </c>
      <c r="SF3">
        <v>6587</v>
      </c>
      <c r="SG3">
        <v>5423</v>
      </c>
      <c r="SH3">
        <v>3017</v>
      </c>
      <c r="SI3">
        <v>2083</v>
      </c>
      <c r="SJ3">
        <v>3425</v>
      </c>
      <c r="SK3">
        <v>3825</v>
      </c>
      <c r="SL3">
        <v>4145</v>
      </c>
      <c r="SM3">
        <v>3396</v>
      </c>
      <c r="SN3">
        <v>2821</v>
      </c>
      <c r="SO3">
        <v>1857</v>
      </c>
      <c r="SP3">
        <v>1062</v>
      </c>
      <c r="SQ3">
        <v>2095</v>
      </c>
      <c r="SR3">
        <v>2233</v>
      </c>
      <c r="SS3">
        <v>1783</v>
      </c>
      <c r="ST3">
        <v>1969</v>
      </c>
      <c r="SU3">
        <v>1758</v>
      </c>
      <c r="SV3">
        <v>733</v>
      </c>
      <c r="SW3">
        <v>352</v>
      </c>
      <c r="SX3">
        <v>1270</v>
      </c>
      <c r="SY3">
        <v>1104</v>
      </c>
      <c r="SZ3">
        <v>981</v>
      </c>
      <c r="TA3">
        <v>1086</v>
      </c>
      <c r="TB3">
        <v>1336</v>
      </c>
      <c r="TC3">
        <v>0</v>
      </c>
      <c r="TD3">
        <v>236</v>
      </c>
      <c r="TE3">
        <v>673</v>
      </c>
      <c r="TF3">
        <v>692</v>
      </c>
      <c r="TG3">
        <v>739</v>
      </c>
      <c r="TH3">
        <v>686</v>
      </c>
      <c r="TI3">
        <v>511</v>
      </c>
      <c r="TJ3">
        <v>175</v>
      </c>
      <c r="TK3">
        <v>107</v>
      </c>
      <c r="TL3">
        <v>65</v>
      </c>
      <c r="TM3">
        <v>117</v>
      </c>
      <c r="TN3">
        <v>263</v>
      </c>
      <c r="TO3">
        <v>425</v>
      </c>
      <c r="TP3">
        <v>351</v>
      </c>
      <c r="TQ3">
        <v>416</v>
      </c>
      <c r="TR3">
        <v>131</v>
      </c>
      <c r="TS3">
        <v>326</v>
      </c>
      <c r="TT3">
        <v>430</v>
      </c>
      <c r="TU3">
        <v>461</v>
      </c>
      <c r="TV3">
        <v>429</v>
      </c>
      <c r="TW3">
        <v>354</v>
      </c>
      <c r="TX3">
        <v>287</v>
      </c>
      <c r="TY3">
        <v>104</v>
      </c>
      <c r="TZ3">
        <v>481</v>
      </c>
      <c r="UA3">
        <v>494</v>
      </c>
      <c r="UB3">
        <v>477</v>
      </c>
      <c r="UC3">
        <v>307</v>
      </c>
      <c r="UD3">
        <v>307</v>
      </c>
      <c r="UE3">
        <v>173</v>
      </c>
      <c r="UF3">
        <v>90</v>
      </c>
      <c r="UG3">
        <v>212</v>
      </c>
      <c r="UH3">
        <v>261</v>
      </c>
      <c r="UI3">
        <v>297</v>
      </c>
      <c r="UJ3">
        <v>288</v>
      </c>
      <c r="UK3">
        <v>263</v>
      </c>
      <c r="UL3">
        <v>184</v>
      </c>
      <c r="UM3">
        <v>75</v>
      </c>
      <c r="UN3">
        <v>220</v>
      </c>
      <c r="UO3">
        <v>165</v>
      </c>
      <c r="UP3">
        <v>191</v>
      </c>
      <c r="UQ3">
        <v>181</v>
      </c>
      <c r="UR3">
        <v>132</v>
      </c>
      <c r="US3">
        <v>132</v>
      </c>
      <c r="UT3">
        <v>49</v>
      </c>
      <c r="UU3">
        <v>108</v>
      </c>
      <c r="UV3">
        <v>144</v>
      </c>
      <c r="UW3">
        <v>171</v>
      </c>
      <c r="UX3">
        <v>142</v>
      </c>
      <c r="UY3">
        <v>182</v>
      </c>
      <c r="UZ3">
        <v>62</v>
      </c>
      <c r="VA3">
        <v>90</v>
      </c>
      <c r="VB3">
        <v>81</v>
      </c>
      <c r="VC3">
        <v>93</v>
      </c>
      <c r="VD3">
        <v>93</v>
      </c>
      <c r="VE3">
        <v>52</v>
      </c>
      <c r="VF3">
        <v>60</v>
      </c>
      <c r="VG3">
        <v>60</v>
      </c>
      <c r="VH3">
        <v>20</v>
      </c>
      <c r="VI3">
        <v>121</v>
      </c>
      <c r="VJ3">
        <v>97</v>
      </c>
      <c r="VK3">
        <v>86</v>
      </c>
      <c r="VL3">
        <v>0</v>
      </c>
      <c r="VM3">
        <v>152</v>
      </c>
      <c r="VN3">
        <v>152</v>
      </c>
      <c r="VO3">
        <v>33</v>
      </c>
      <c r="VP3">
        <v>97</v>
      </c>
      <c r="VQ3">
        <v>81</v>
      </c>
      <c r="VR3">
        <v>101</v>
      </c>
      <c r="VS3">
        <v>91</v>
      </c>
      <c r="VT3">
        <v>33</v>
      </c>
      <c r="VU3">
        <v>23</v>
      </c>
      <c r="VV3">
        <v>23</v>
      </c>
      <c r="VW3">
        <v>23</v>
      </c>
      <c r="VX3">
        <v>53</v>
      </c>
      <c r="VY3">
        <v>60</v>
      </c>
      <c r="VZ3">
        <v>83</v>
      </c>
      <c r="WA3">
        <v>83</v>
      </c>
      <c r="WB3">
        <v>73</v>
      </c>
      <c r="WC3">
        <v>25</v>
      </c>
      <c r="WD3">
        <v>77</v>
      </c>
      <c r="WE3">
        <v>125</v>
      </c>
      <c r="WF3">
        <v>165</v>
      </c>
      <c r="WG3">
        <v>89</v>
      </c>
      <c r="WH3">
        <v>89</v>
      </c>
      <c r="WI3">
        <v>89</v>
      </c>
      <c r="WJ3">
        <v>75</v>
      </c>
      <c r="WK3">
        <v>112</v>
      </c>
      <c r="WL3">
        <v>129</v>
      </c>
      <c r="WM3">
        <v>135</v>
      </c>
      <c r="WN3">
        <v>211</v>
      </c>
      <c r="WO3">
        <v>211</v>
      </c>
      <c r="WP3">
        <v>211</v>
      </c>
      <c r="WQ3">
        <v>302</v>
      </c>
      <c r="WR3">
        <v>302</v>
      </c>
      <c r="WS3">
        <v>302</v>
      </c>
      <c r="WT3">
        <v>302</v>
      </c>
      <c r="WU3">
        <v>246</v>
      </c>
      <c r="WV3">
        <v>246</v>
      </c>
      <c r="WW3">
        <v>246</v>
      </c>
      <c r="WX3">
        <v>203</v>
      </c>
      <c r="WY3">
        <v>203</v>
      </c>
      <c r="WZ3">
        <v>248</v>
      </c>
      <c r="XA3">
        <v>286</v>
      </c>
      <c r="XB3">
        <v>286</v>
      </c>
      <c r="XC3">
        <v>215</v>
      </c>
      <c r="XD3">
        <v>215</v>
      </c>
      <c r="XE3">
        <v>94</v>
      </c>
      <c r="XF3">
        <v>400</v>
      </c>
      <c r="XG3">
        <v>400</v>
      </c>
      <c r="XH3">
        <v>400</v>
      </c>
      <c r="XI3">
        <v>400</v>
      </c>
      <c r="XJ3">
        <v>400</v>
      </c>
      <c r="XK3">
        <v>237</v>
      </c>
      <c r="XL3">
        <v>201</v>
      </c>
      <c r="XM3">
        <v>575</v>
      </c>
      <c r="XN3">
        <v>575</v>
      </c>
      <c r="XO3">
        <v>575</v>
      </c>
      <c r="XP3">
        <v>575</v>
      </c>
      <c r="XQ3">
        <v>575</v>
      </c>
      <c r="XR3">
        <v>1186</v>
      </c>
      <c r="XS3">
        <v>1186</v>
      </c>
      <c r="XT3">
        <v>1186</v>
      </c>
      <c r="XU3">
        <v>1186</v>
      </c>
      <c r="XV3">
        <v>1186</v>
      </c>
      <c r="XW3">
        <v>1186</v>
      </c>
      <c r="XX3">
        <v>1186</v>
      </c>
      <c r="XY3">
        <v>858</v>
      </c>
      <c r="XZ3">
        <v>509</v>
      </c>
      <c r="YA3">
        <v>1017</v>
      </c>
      <c r="YB3">
        <v>1402</v>
      </c>
      <c r="YC3">
        <v>1732</v>
      </c>
      <c r="YD3">
        <v>1094</v>
      </c>
      <c r="YE3">
        <v>629</v>
      </c>
      <c r="YF3" s="1">
        <v>1782</v>
      </c>
      <c r="YG3" s="1">
        <v>1782</v>
      </c>
      <c r="YH3" s="1">
        <v>1782</v>
      </c>
      <c r="YI3" s="1">
        <v>2280</v>
      </c>
      <c r="YJ3">
        <v>2467</v>
      </c>
      <c r="YK3">
        <v>2695</v>
      </c>
      <c r="YL3">
        <v>1979</v>
      </c>
      <c r="YM3">
        <v>1332</v>
      </c>
      <c r="YN3">
        <v>3037</v>
      </c>
      <c r="YO3">
        <v>3037</v>
      </c>
      <c r="YP3">
        <v>3801</v>
      </c>
      <c r="YQ3">
        <v>4150</v>
      </c>
      <c r="YR3">
        <v>4479</v>
      </c>
      <c r="YS3">
        <v>4479</v>
      </c>
      <c r="YT3">
        <v>2954</v>
      </c>
      <c r="YU3">
        <v>1440</v>
      </c>
      <c r="YV3">
        <v>4353</v>
      </c>
      <c r="YW3">
        <v>5935</v>
      </c>
      <c r="YX3">
        <v>5935</v>
      </c>
      <c r="YY3">
        <v>5935</v>
      </c>
      <c r="YZ3">
        <v>5935</v>
      </c>
      <c r="ZA3">
        <v>3598</v>
      </c>
      <c r="ZB3">
        <v>2187</v>
      </c>
      <c r="ZC3">
        <v>4519</v>
      </c>
      <c r="ZD3">
        <v>6333</v>
      </c>
      <c r="ZE3">
        <v>6426</v>
      </c>
      <c r="ZF3">
        <v>5331</v>
      </c>
      <c r="ZG3">
        <v>3570</v>
      </c>
      <c r="ZH3">
        <v>1907</v>
      </c>
      <c r="ZI3">
        <v>4339</v>
      </c>
      <c r="ZJ3">
        <v>5359</v>
      </c>
      <c r="ZK3">
        <v>4832</v>
      </c>
      <c r="ZL3">
        <v>4348</v>
      </c>
      <c r="ZM3">
        <v>4106</v>
      </c>
      <c r="ZN3">
        <v>2288</v>
      </c>
      <c r="ZO3">
        <v>1633</v>
      </c>
      <c r="ZP3">
        <v>2933</v>
      </c>
      <c r="ZQ3">
        <v>3183</v>
      </c>
      <c r="ZR3">
        <v>3072</v>
      </c>
      <c r="ZS3">
        <v>3222</v>
      </c>
      <c r="ZT3">
        <v>2556</v>
      </c>
      <c r="ZU3">
        <v>1835</v>
      </c>
      <c r="ZV3">
        <v>1046</v>
      </c>
      <c r="ZW3">
        <v>1761</v>
      </c>
      <c r="ZX3">
        <v>2334</v>
      </c>
      <c r="ZY3">
        <v>1944</v>
      </c>
      <c r="ZZ3">
        <v>1706</v>
      </c>
      <c r="AAA3">
        <v>1052</v>
      </c>
      <c r="AAB3">
        <v>1052</v>
      </c>
      <c r="AAC3">
        <v>698</v>
      </c>
      <c r="AAD3">
        <v>1067</v>
      </c>
      <c r="AAE3">
        <v>1338</v>
      </c>
      <c r="AAF3">
        <v>1221</v>
      </c>
      <c r="AAG3">
        <v>1183</v>
      </c>
      <c r="AAH3">
        <v>1007</v>
      </c>
      <c r="AAI3">
        <v>684</v>
      </c>
      <c r="AAJ3">
        <v>394</v>
      </c>
      <c r="AAK3">
        <v>708</v>
      </c>
      <c r="AAL3">
        <v>832</v>
      </c>
      <c r="AAM3">
        <v>725</v>
      </c>
      <c r="AAN3">
        <v>548</v>
      </c>
      <c r="AAO3">
        <v>333</v>
      </c>
      <c r="AAP3">
        <v>333</v>
      </c>
      <c r="AAQ3">
        <v>213</v>
      </c>
      <c r="AAR3">
        <v>319</v>
      </c>
      <c r="AAS3">
        <v>437</v>
      </c>
      <c r="AAT3">
        <v>378</v>
      </c>
      <c r="AAU3">
        <v>307</v>
      </c>
      <c r="AAV3">
        <v>223</v>
      </c>
      <c r="AAW3">
        <v>223</v>
      </c>
      <c r="AAX3">
        <v>107</v>
      </c>
      <c r="AAY3">
        <v>177</v>
      </c>
      <c r="AAZ3">
        <v>219</v>
      </c>
      <c r="ABA3">
        <v>192</v>
      </c>
      <c r="ABB3">
        <v>149</v>
      </c>
      <c r="ABC3">
        <v>90</v>
      </c>
      <c r="ABD3">
        <v>90</v>
      </c>
      <c r="ABE3">
        <v>62</v>
      </c>
      <c r="ABF3">
        <v>119</v>
      </c>
      <c r="ABG3">
        <v>136</v>
      </c>
      <c r="ABH3">
        <v>127</v>
      </c>
      <c r="ABI3">
        <v>93</v>
      </c>
      <c r="ABJ3">
        <v>93</v>
      </c>
      <c r="ABK3">
        <v>71</v>
      </c>
      <c r="ABL3">
        <v>55</v>
      </c>
      <c r="ABM3">
        <v>55</v>
      </c>
      <c r="ABN3">
        <v>92</v>
      </c>
      <c r="ABO3">
        <v>74</v>
      </c>
      <c r="ABP3">
        <v>66</v>
      </c>
      <c r="ABQ3">
        <v>54</v>
      </c>
      <c r="ABR3">
        <v>54</v>
      </c>
      <c r="ABS3">
        <v>31</v>
      </c>
      <c r="ABT3">
        <v>68</v>
      </c>
      <c r="ABU3">
        <v>57</v>
      </c>
      <c r="ABV3">
        <v>55</v>
      </c>
      <c r="ABW3">
        <v>44</v>
      </c>
      <c r="ABX3">
        <v>44</v>
      </c>
      <c r="ABY3">
        <v>44</v>
      </c>
      <c r="ABZ3">
        <v>44</v>
      </c>
      <c r="ACA3">
        <v>66</v>
      </c>
      <c r="ACB3">
        <v>30</v>
      </c>
      <c r="ACC3">
        <v>30</v>
      </c>
      <c r="ACD3">
        <v>30</v>
      </c>
      <c r="ACE3">
        <v>30</v>
      </c>
      <c r="ACF3">
        <v>30</v>
      </c>
      <c r="ACG3">
        <v>18</v>
      </c>
      <c r="ACH3">
        <v>41</v>
      </c>
      <c r="ACI3">
        <v>48</v>
      </c>
      <c r="ACJ3">
        <v>38</v>
      </c>
      <c r="ACK3">
        <v>26</v>
      </c>
      <c r="ACL3">
        <v>26</v>
      </c>
      <c r="ACM3">
        <v>26</v>
      </c>
      <c r="ACN3">
        <v>25</v>
      </c>
      <c r="ACO3">
        <v>25</v>
      </c>
      <c r="ACP3">
        <v>0</v>
      </c>
      <c r="ACQ3">
        <v>0</v>
      </c>
      <c r="ACR3">
        <v>20</v>
      </c>
      <c r="ACS3">
        <v>20</v>
      </c>
      <c r="ACT3">
        <v>20</v>
      </c>
      <c r="ACU3">
        <v>14</v>
      </c>
      <c r="ACV3">
        <v>20</v>
      </c>
      <c r="ACW3">
        <v>20</v>
      </c>
      <c r="ACX3">
        <v>20</v>
      </c>
      <c r="ACY3">
        <v>20</v>
      </c>
      <c r="ACZ3">
        <v>20</v>
      </c>
      <c r="ADA3">
        <v>20</v>
      </c>
      <c r="ADB3">
        <v>12</v>
      </c>
      <c r="ADC3">
        <v>39</v>
      </c>
      <c r="ADD3">
        <v>40</v>
      </c>
      <c r="ADE3">
        <v>40</v>
      </c>
      <c r="ADF3">
        <v>25</v>
      </c>
      <c r="ADG3">
        <v>25</v>
      </c>
      <c r="ADH3">
        <v>25</v>
      </c>
      <c r="ADI3">
        <v>59</v>
      </c>
      <c r="ADJ3">
        <v>59</v>
      </c>
      <c r="ADK3">
        <v>59</v>
      </c>
      <c r="ADL3">
        <v>66</v>
      </c>
      <c r="ADM3">
        <v>66</v>
      </c>
      <c r="ADN3">
        <v>66</v>
      </c>
      <c r="ADO3">
        <v>66</v>
      </c>
      <c r="ADP3">
        <v>66</v>
      </c>
      <c r="ADQ3">
        <v>66</v>
      </c>
      <c r="ADR3">
        <v>93</v>
      </c>
      <c r="ADS3">
        <v>93</v>
      </c>
      <c r="ADT3">
        <v>93</v>
      </c>
      <c r="ADU3">
        <v>93</v>
      </c>
      <c r="ADV3">
        <v>93</v>
      </c>
      <c r="ADW3">
        <v>111</v>
      </c>
      <c r="ADX3">
        <v>111</v>
      </c>
      <c r="ADY3">
        <v>283</v>
      </c>
      <c r="ADZ3">
        <v>283</v>
      </c>
      <c r="AEA3">
        <v>283</v>
      </c>
      <c r="AEB3">
        <v>283</v>
      </c>
      <c r="AEC3">
        <v>283</v>
      </c>
      <c r="AED3">
        <v>956</v>
      </c>
      <c r="AEE3">
        <v>956</v>
      </c>
      <c r="AEF3">
        <v>956</v>
      </c>
      <c r="AEG3">
        <v>956</v>
      </c>
      <c r="AEH3">
        <v>956</v>
      </c>
      <c r="AEI3">
        <v>956</v>
      </c>
      <c r="AEJ3">
        <v>956</v>
      </c>
      <c r="AEK3">
        <v>1512</v>
      </c>
      <c r="AEL3">
        <v>1512</v>
      </c>
      <c r="AEM3">
        <v>1512</v>
      </c>
      <c r="AEN3">
        <v>1512</v>
      </c>
      <c r="AEO3">
        <v>1512</v>
      </c>
      <c r="AEP3">
        <v>1512</v>
      </c>
      <c r="AEQ3">
        <v>1512</v>
      </c>
      <c r="AER3">
        <v>2070</v>
      </c>
      <c r="AES3">
        <v>2070</v>
      </c>
      <c r="AET3">
        <v>2070</v>
      </c>
      <c r="AEU3">
        <v>2070</v>
      </c>
      <c r="AEV3">
        <v>2070</v>
      </c>
      <c r="AEW3">
        <v>2070</v>
      </c>
      <c r="AEX3">
        <v>2070</v>
      </c>
      <c r="AEY3">
        <v>2070</v>
      </c>
      <c r="AEZ3">
        <v>2070</v>
      </c>
      <c r="AFA3">
        <v>2070</v>
      </c>
      <c r="AFB3">
        <v>2070</v>
      </c>
      <c r="AFC3">
        <v>2070</v>
      </c>
      <c r="AFD3">
        <v>2070</v>
      </c>
      <c r="AFE3">
        <v>705</v>
      </c>
      <c r="AFF3">
        <v>705</v>
      </c>
      <c r="AFG3">
        <v>705</v>
      </c>
      <c r="AFH3">
        <v>705</v>
      </c>
      <c r="AFI3">
        <v>705</v>
      </c>
      <c r="AFJ3">
        <v>705</v>
      </c>
      <c r="AFK3">
        <v>705</v>
      </c>
      <c r="AFL3">
        <v>705</v>
      </c>
      <c r="AFM3">
        <v>705</v>
      </c>
      <c r="AFN3">
        <v>695</v>
      </c>
      <c r="AFO3">
        <v>695</v>
      </c>
      <c r="AFP3">
        <v>695</v>
      </c>
      <c r="AFQ3">
        <v>695</v>
      </c>
      <c r="AFR3">
        <v>695</v>
      </c>
      <c r="AFS3">
        <v>695</v>
      </c>
      <c r="AFT3">
        <v>0</v>
      </c>
      <c r="AFU3">
        <v>0</v>
      </c>
      <c r="AFV3">
        <v>0</v>
      </c>
      <c r="AFW3">
        <v>0</v>
      </c>
      <c r="AFX3">
        <v>0</v>
      </c>
      <c r="AFY3">
        <v>0</v>
      </c>
      <c r="AFZ3">
        <v>0</v>
      </c>
      <c r="AGA3">
        <v>216</v>
      </c>
      <c r="AGB3">
        <v>216</v>
      </c>
      <c r="AGC3">
        <v>216</v>
      </c>
      <c r="AGD3">
        <v>216</v>
      </c>
      <c r="AGE3">
        <v>216</v>
      </c>
      <c r="AGF3">
        <v>216</v>
      </c>
      <c r="AGG3">
        <v>216</v>
      </c>
      <c r="AGH3">
        <v>216</v>
      </c>
      <c r="AGI3">
        <v>216</v>
      </c>
      <c r="AGJ3">
        <v>216</v>
      </c>
      <c r="AGK3">
        <v>216</v>
      </c>
      <c r="AGL3">
        <v>216</v>
      </c>
      <c r="AGM3">
        <v>216</v>
      </c>
      <c r="AGN3">
        <v>216</v>
      </c>
      <c r="AGO3">
        <v>0</v>
      </c>
      <c r="AGP3">
        <v>0</v>
      </c>
      <c r="AGQ3">
        <v>0</v>
      </c>
      <c r="AGR3">
        <v>0</v>
      </c>
      <c r="AGS3">
        <v>0</v>
      </c>
      <c r="AGT3">
        <v>0</v>
      </c>
      <c r="AGU3">
        <v>0</v>
      </c>
      <c r="AGV3">
        <v>0</v>
      </c>
      <c r="AGW3">
        <v>0</v>
      </c>
      <c r="AGX3">
        <v>0</v>
      </c>
      <c r="AGY3">
        <v>0</v>
      </c>
      <c r="AGZ3">
        <v>0</v>
      </c>
      <c r="AHA3">
        <v>0</v>
      </c>
      <c r="AHB3">
        <v>0</v>
      </c>
      <c r="AHC3">
        <v>45</v>
      </c>
      <c r="AHD3">
        <v>45</v>
      </c>
      <c r="AHE3">
        <v>45</v>
      </c>
      <c r="AHF3">
        <v>45</v>
      </c>
      <c r="AHG3">
        <v>45</v>
      </c>
      <c r="AHH3">
        <v>45</v>
      </c>
      <c r="AHI3">
        <v>45</v>
      </c>
      <c r="AHJ3">
        <v>45</v>
      </c>
      <c r="AHK3">
        <v>62</v>
      </c>
      <c r="AHL3">
        <v>62</v>
      </c>
      <c r="AHM3">
        <v>62</v>
      </c>
      <c r="AHN3">
        <v>62</v>
      </c>
      <c r="AHO3">
        <v>62</v>
      </c>
      <c r="AHP3">
        <v>62</v>
      </c>
      <c r="AHQ3">
        <v>62</v>
      </c>
    </row>
    <row r="4" spans="1:901">
      <c r="A4" s="1" t="s">
        <v>40</v>
      </c>
      <c r="B4">
        <v>37787</v>
      </c>
      <c r="C4">
        <v>35757</v>
      </c>
      <c r="D4">
        <v>39991</v>
      </c>
      <c r="E4">
        <v>30913</v>
      </c>
      <c r="F4">
        <v>16282</v>
      </c>
      <c r="G4">
        <v>15454</v>
      </c>
      <c r="H4">
        <v>35252</v>
      </c>
      <c r="I4">
        <v>32445</v>
      </c>
      <c r="J4">
        <v>32129</v>
      </c>
      <c r="K4">
        <v>32670</v>
      </c>
      <c r="L4">
        <v>14194</v>
      </c>
      <c r="M4">
        <v>16018</v>
      </c>
      <c r="N4">
        <v>31990</v>
      </c>
      <c r="O4">
        <v>33269</v>
      </c>
      <c r="P4">
        <v>35643</v>
      </c>
      <c r="Q4">
        <v>33002</v>
      </c>
      <c r="R4">
        <v>24602</v>
      </c>
      <c r="S4">
        <v>8456</v>
      </c>
      <c r="T4">
        <v>25210</v>
      </c>
      <c r="U4">
        <v>30454</v>
      </c>
      <c r="V4">
        <v>31404</v>
      </c>
      <c r="W4">
        <v>27182</v>
      </c>
      <c r="X4">
        <v>27651</v>
      </c>
      <c r="Y4">
        <v>34650</v>
      </c>
      <c r="Z4">
        <v>3139</v>
      </c>
      <c r="AA4">
        <v>8429</v>
      </c>
      <c r="AB4">
        <v>11415</v>
      </c>
      <c r="AC4">
        <v>26675</v>
      </c>
      <c r="AD4">
        <v>29498</v>
      </c>
      <c r="AE4">
        <v>30574</v>
      </c>
      <c r="AF4">
        <v>22792</v>
      </c>
      <c r="AG4">
        <v>10982</v>
      </c>
      <c r="AH4">
        <v>15783</v>
      </c>
      <c r="AI4">
        <v>23690</v>
      </c>
      <c r="AJ4">
        <v>25832</v>
      </c>
      <c r="AK4">
        <v>31985</v>
      </c>
      <c r="AL4">
        <v>23016</v>
      </c>
      <c r="AM4">
        <v>25574</v>
      </c>
      <c r="AN4">
        <v>12904</v>
      </c>
      <c r="AO4">
        <v>17422</v>
      </c>
      <c r="AP4">
        <v>29353</v>
      </c>
      <c r="AQ4">
        <v>28852</v>
      </c>
      <c r="AR4">
        <v>26647</v>
      </c>
      <c r="AS4">
        <v>23126</v>
      </c>
      <c r="AT4">
        <v>16077</v>
      </c>
      <c r="AU4">
        <v>10100</v>
      </c>
      <c r="AV4">
        <v>8501</v>
      </c>
      <c r="AW4">
        <v>12920</v>
      </c>
      <c r="AX4">
        <v>23815</v>
      </c>
      <c r="AY4">
        <v>23317</v>
      </c>
      <c r="AZ4">
        <v>18247</v>
      </c>
      <c r="BA4">
        <v>21056</v>
      </c>
      <c r="BB4">
        <v>10554</v>
      </c>
      <c r="BC4">
        <v>11651</v>
      </c>
      <c r="BD4">
        <v>25517</v>
      </c>
      <c r="BE4">
        <v>47724</v>
      </c>
      <c r="BF4">
        <v>34640</v>
      </c>
      <c r="BG4">
        <v>35849</v>
      </c>
      <c r="BH4">
        <v>29463</v>
      </c>
      <c r="BI4">
        <v>14134</v>
      </c>
      <c r="BJ4">
        <v>13647</v>
      </c>
      <c r="BK4">
        <v>35018</v>
      </c>
      <c r="BL4">
        <v>35645</v>
      </c>
      <c r="BM4">
        <v>35686</v>
      </c>
      <c r="BN4">
        <v>37075</v>
      </c>
      <c r="BO4">
        <v>32622</v>
      </c>
      <c r="BP4">
        <v>18615</v>
      </c>
      <c r="BQ4">
        <v>16603</v>
      </c>
      <c r="BR4">
        <v>33445</v>
      </c>
      <c r="BS4">
        <v>45449</v>
      </c>
      <c r="BT4">
        <v>37672</v>
      </c>
      <c r="BU4">
        <v>33780</v>
      </c>
      <c r="BV4">
        <v>51922</v>
      </c>
      <c r="BW4">
        <v>24468</v>
      </c>
      <c r="BX4">
        <v>21538</v>
      </c>
      <c r="BY4">
        <v>52248</v>
      </c>
      <c r="BZ4">
        <v>48124</v>
      </c>
      <c r="CA4">
        <v>50866</v>
      </c>
      <c r="CB4">
        <v>47435</v>
      </c>
      <c r="CC4">
        <v>42226</v>
      </c>
      <c r="CD4">
        <v>26363</v>
      </c>
      <c r="CE4">
        <v>24525</v>
      </c>
      <c r="CF4">
        <v>47850</v>
      </c>
      <c r="CG4">
        <v>54203</v>
      </c>
      <c r="CH4">
        <v>53425</v>
      </c>
      <c r="CI4">
        <v>52770</v>
      </c>
      <c r="CJ4">
        <v>44282</v>
      </c>
      <c r="CK4">
        <v>21395</v>
      </c>
      <c r="CL4">
        <v>27419</v>
      </c>
      <c r="CM4">
        <v>44849</v>
      </c>
      <c r="CN4">
        <v>68437</v>
      </c>
      <c r="CO4">
        <v>68832</v>
      </c>
      <c r="CP4">
        <v>52385</v>
      </c>
      <c r="CQ4">
        <v>49243</v>
      </c>
      <c r="CR4">
        <v>25445</v>
      </c>
      <c r="CS4">
        <v>25621</v>
      </c>
      <c r="CT4">
        <v>55799</v>
      </c>
      <c r="CU4">
        <v>46657</v>
      </c>
      <c r="CV4">
        <v>58916</v>
      </c>
      <c r="CW4">
        <v>22967</v>
      </c>
      <c r="CX4">
        <v>17246</v>
      </c>
      <c r="CY4">
        <v>18479</v>
      </c>
      <c r="CZ4">
        <v>22605</v>
      </c>
      <c r="DA4">
        <v>57227</v>
      </c>
      <c r="DB4">
        <v>55853</v>
      </c>
      <c r="DC4">
        <v>56003</v>
      </c>
      <c r="DD4">
        <v>24605</v>
      </c>
      <c r="DE4">
        <v>15827</v>
      </c>
      <c r="DF4">
        <v>17341</v>
      </c>
      <c r="DG4">
        <v>20814</v>
      </c>
      <c r="DH4">
        <v>57447</v>
      </c>
      <c r="DI4">
        <v>62532</v>
      </c>
      <c r="DJ4">
        <v>87134</v>
      </c>
      <c r="DK4">
        <v>54247</v>
      </c>
      <c r="DL4">
        <v>60078</v>
      </c>
      <c r="DM4">
        <v>29792</v>
      </c>
      <c r="DN4">
        <v>28043</v>
      </c>
      <c r="DO4">
        <v>61804</v>
      </c>
      <c r="DP4">
        <v>61822</v>
      </c>
      <c r="DQ4">
        <v>68656</v>
      </c>
      <c r="DR4">
        <v>68138</v>
      </c>
      <c r="DS4">
        <v>62452</v>
      </c>
      <c r="DT4">
        <v>31394</v>
      </c>
      <c r="DU4">
        <v>24139</v>
      </c>
      <c r="DV4">
        <v>63504</v>
      </c>
      <c r="DW4">
        <v>64126</v>
      </c>
      <c r="DX4">
        <v>59946</v>
      </c>
      <c r="DY4">
        <v>55319</v>
      </c>
      <c r="DZ4">
        <v>61121</v>
      </c>
      <c r="EA4">
        <v>28346</v>
      </c>
      <c r="EB4">
        <v>28364</v>
      </c>
      <c r="EC4">
        <v>63626</v>
      </c>
      <c r="ED4">
        <v>63895</v>
      </c>
      <c r="EE4">
        <v>60301</v>
      </c>
      <c r="EF4">
        <v>58691</v>
      </c>
      <c r="EG4">
        <v>57498</v>
      </c>
      <c r="EH4">
        <v>27756</v>
      </c>
      <c r="EI4">
        <v>25285</v>
      </c>
      <c r="EJ4">
        <v>56240</v>
      </c>
      <c r="EK4">
        <v>53665</v>
      </c>
      <c r="EL4">
        <v>57848</v>
      </c>
      <c r="EM4">
        <v>51319</v>
      </c>
      <c r="EN4">
        <v>48707</v>
      </c>
      <c r="EO4">
        <v>26845</v>
      </c>
      <c r="EP4">
        <v>25661</v>
      </c>
      <c r="EQ4">
        <v>51733</v>
      </c>
      <c r="ER4">
        <v>60271</v>
      </c>
      <c r="ES4">
        <v>53993</v>
      </c>
      <c r="ET4">
        <v>49396</v>
      </c>
      <c r="EU4">
        <v>45561</v>
      </c>
      <c r="EV4">
        <v>23258</v>
      </c>
      <c r="EW4">
        <v>32197</v>
      </c>
      <c r="EX4">
        <v>55271</v>
      </c>
      <c r="EY4">
        <v>57295</v>
      </c>
      <c r="EZ4">
        <v>51350</v>
      </c>
      <c r="FA4">
        <v>51067</v>
      </c>
      <c r="FB4">
        <v>57455</v>
      </c>
      <c r="FC4">
        <v>29026</v>
      </c>
      <c r="FD4">
        <v>29357</v>
      </c>
      <c r="FE4">
        <v>63090</v>
      </c>
      <c r="FF4">
        <v>65387</v>
      </c>
      <c r="FG4">
        <v>67878</v>
      </c>
      <c r="FH4">
        <v>63908</v>
      </c>
      <c r="FI4">
        <v>59438</v>
      </c>
      <c r="FJ4">
        <v>34027</v>
      </c>
      <c r="FK4">
        <v>38349</v>
      </c>
      <c r="FL4">
        <v>58237</v>
      </c>
      <c r="FM4">
        <v>74376</v>
      </c>
      <c r="FN4">
        <v>74285</v>
      </c>
      <c r="FO4">
        <v>75337</v>
      </c>
      <c r="FP4">
        <v>67477</v>
      </c>
      <c r="FQ4">
        <v>80024</v>
      </c>
      <c r="FR4">
        <v>36136</v>
      </c>
      <c r="FS4">
        <v>69537</v>
      </c>
      <c r="FT4">
        <v>80955</v>
      </c>
      <c r="FU4">
        <v>78297</v>
      </c>
      <c r="FV4">
        <v>84047</v>
      </c>
      <c r="FW4">
        <v>70934</v>
      </c>
      <c r="FX4">
        <v>44120</v>
      </c>
      <c r="FY4">
        <v>42107</v>
      </c>
      <c r="FZ4">
        <v>84124</v>
      </c>
      <c r="GA4">
        <v>90830</v>
      </c>
      <c r="GB4">
        <v>87169</v>
      </c>
      <c r="GC4">
        <v>89409</v>
      </c>
      <c r="GD4">
        <v>73450</v>
      </c>
      <c r="GE4">
        <v>47774</v>
      </c>
      <c r="GF4">
        <v>53386</v>
      </c>
      <c r="GG4">
        <v>84996</v>
      </c>
      <c r="GH4">
        <v>90564</v>
      </c>
      <c r="GI4">
        <v>97586</v>
      </c>
      <c r="GJ4">
        <v>82558</v>
      </c>
      <c r="GK4">
        <v>83039</v>
      </c>
      <c r="GL4">
        <v>44326</v>
      </c>
      <c r="GM4">
        <v>42666</v>
      </c>
      <c r="GN4">
        <v>86704</v>
      </c>
      <c r="GO4">
        <v>89200</v>
      </c>
      <c r="GP4">
        <v>89459</v>
      </c>
      <c r="GQ4">
        <v>69662</v>
      </c>
      <c r="GR4">
        <v>41218</v>
      </c>
      <c r="GS4">
        <v>31359</v>
      </c>
      <c r="GT4">
        <v>38233</v>
      </c>
      <c r="GU4">
        <v>82869</v>
      </c>
      <c r="GV4">
        <v>90973</v>
      </c>
      <c r="GW4">
        <v>89293</v>
      </c>
      <c r="GX4">
        <v>89090</v>
      </c>
      <c r="GY4">
        <v>69592</v>
      </c>
      <c r="GZ4">
        <v>37537</v>
      </c>
      <c r="HA4">
        <v>38866</v>
      </c>
      <c r="HB4">
        <v>80157</v>
      </c>
      <c r="HC4">
        <v>75998</v>
      </c>
      <c r="HD4">
        <v>80529</v>
      </c>
      <c r="HE4">
        <v>76249</v>
      </c>
      <c r="HF4">
        <v>65792</v>
      </c>
      <c r="HG4">
        <v>42937</v>
      </c>
      <c r="HH4">
        <v>34642</v>
      </c>
      <c r="HI4">
        <v>73172</v>
      </c>
      <c r="HJ4">
        <v>71910</v>
      </c>
      <c r="HK4">
        <v>49344</v>
      </c>
      <c r="HL4">
        <v>65971</v>
      </c>
      <c r="HM4">
        <v>70105</v>
      </c>
      <c r="HN4">
        <v>32572</v>
      </c>
      <c r="HO4">
        <v>29669</v>
      </c>
      <c r="HP4">
        <v>76085</v>
      </c>
      <c r="HQ4">
        <v>77266</v>
      </c>
      <c r="HR4">
        <v>69079</v>
      </c>
      <c r="HS4">
        <v>73076</v>
      </c>
      <c r="HT4">
        <v>60013</v>
      </c>
      <c r="HU4">
        <v>28935</v>
      </c>
      <c r="HV4">
        <v>36524</v>
      </c>
      <c r="HW4">
        <v>69378</v>
      </c>
      <c r="HX4">
        <v>75652</v>
      </c>
      <c r="HY4">
        <v>72559</v>
      </c>
      <c r="HZ4">
        <v>78337</v>
      </c>
      <c r="IA4">
        <v>63268</v>
      </c>
      <c r="IB4">
        <v>34162</v>
      </c>
      <c r="IC4">
        <v>29240</v>
      </c>
      <c r="ID4">
        <v>71018</v>
      </c>
      <c r="IE4">
        <v>76638</v>
      </c>
      <c r="IF4">
        <v>75141</v>
      </c>
      <c r="IG4">
        <v>84486</v>
      </c>
      <c r="IH4">
        <v>69300</v>
      </c>
      <c r="II4">
        <v>36862</v>
      </c>
      <c r="IJ4">
        <v>33631</v>
      </c>
      <c r="IK4">
        <v>74379</v>
      </c>
      <c r="IL4">
        <v>79706</v>
      </c>
      <c r="IM4">
        <v>83367</v>
      </c>
      <c r="IN4">
        <v>77598</v>
      </c>
      <c r="IO4">
        <v>71283</v>
      </c>
      <c r="IP4">
        <v>36134</v>
      </c>
      <c r="IQ4">
        <v>37563</v>
      </c>
      <c r="IR4">
        <v>74845</v>
      </c>
      <c r="IS4">
        <v>79459</v>
      </c>
      <c r="IT4">
        <v>66722</v>
      </c>
      <c r="IU4">
        <v>50495</v>
      </c>
      <c r="IV4">
        <v>78943</v>
      </c>
      <c r="IW4">
        <v>43520</v>
      </c>
      <c r="IX4">
        <v>32554</v>
      </c>
      <c r="IY4">
        <v>77898</v>
      </c>
      <c r="IZ4">
        <v>94509</v>
      </c>
      <c r="JA4">
        <v>83391</v>
      </c>
      <c r="JB4">
        <v>38482</v>
      </c>
      <c r="JC4">
        <v>65471</v>
      </c>
      <c r="JD4">
        <v>39637</v>
      </c>
      <c r="JE4">
        <v>38750</v>
      </c>
      <c r="JF4">
        <v>52448</v>
      </c>
      <c r="JG4">
        <v>87097</v>
      </c>
      <c r="JH4">
        <v>89802</v>
      </c>
      <c r="JI4">
        <v>86061</v>
      </c>
      <c r="JJ4">
        <v>75778</v>
      </c>
      <c r="JK4">
        <v>36998</v>
      </c>
      <c r="JL4">
        <v>40865</v>
      </c>
      <c r="JM4">
        <v>88992</v>
      </c>
      <c r="JN4">
        <v>85861</v>
      </c>
      <c r="JO4">
        <v>74327</v>
      </c>
      <c r="JP4">
        <v>98135</v>
      </c>
      <c r="JQ4">
        <v>81574</v>
      </c>
      <c r="JR4">
        <v>44178</v>
      </c>
      <c r="JS4">
        <v>41878</v>
      </c>
      <c r="JT4">
        <v>86833</v>
      </c>
      <c r="JU4">
        <v>114139</v>
      </c>
      <c r="JV4">
        <v>72705</v>
      </c>
      <c r="JW4">
        <v>79277</v>
      </c>
      <c r="JX4">
        <v>64134</v>
      </c>
      <c r="JY4">
        <v>33704</v>
      </c>
      <c r="JZ4">
        <v>27804</v>
      </c>
      <c r="KA4">
        <v>64903</v>
      </c>
      <c r="KB4">
        <v>45859</v>
      </c>
      <c r="KC4">
        <v>63140</v>
      </c>
      <c r="KD4">
        <v>65165</v>
      </c>
      <c r="KE4">
        <v>54556</v>
      </c>
      <c r="KF4">
        <v>27783</v>
      </c>
      <c r="KG4">
        <v>22703</v>
      </c>
      <c r="KH4">
        <v>62504</v>
      </c>
      <c r="KI4">
        <v>54022</v>
      </c>
      <c r="KJ4">
        <v>53749</v>
      </c>
      <c r="KK4">
        <v>57713</v>
      </c>
      <c r="KL4">
        <v>48504</v>
      </c>
      <c r="KM4">
        <v>20937</v>
      </c>
      <c r="KN4">
        <v>17031</v>
      </c>
      <c r="KO4">
        <v>45094</v>
      </c>
      <c r="KP4">
        <v>57664</v>
      </c>
      <c r="KQ4">
        <v>52789</v>
      </c>
      <c r="KR4">
        <v>45591</v>
      </c>
      <c r="KS4">
        <v>34339</v>
      </c>
      <c r="KT4">
        <v>34126</v>
      </c>
      <c r="KU4">
        <v>15271</v>
      </c>
      <c r="KV4">
        <v>27896</v>
      </c>
      <c r="KW4">
        <v>54748</v>
      </c>
      <c r="KX4">
        <v>49603</v>
      </c>
      <c r="KY4">
        <v>45460</v>
      </c>
      <c r="KZ4">
        <v>38091</v>
      </c>
      <c r="LA4">
        <v>18129</v>
      </c>
      <c r="LB4">
        <v>18999</v>
      </c>
      <c r="LC4">
        <v>41411</v>
      </c>
      <c r="LD4">
        <v>48443</v>
      </c>
      <c r="LE4">
        <v>41853</v>
      </c>
      <c r="LF4">
        <v>40904</v>
      </c>
      <c r="LG4">
        <v>37582</v>
      </c>
      <c r="LH4">
        <v>20503</v>
      </c>
      <c r="LI4">
        <v>15143</v>
      </c>
      <c r="LJ4">
        <v>32572</v>
      </c>
      <c r="LK4">
        <v>40460</v>
      </c>
      <c r="LL4">
        <v>40054</v>
      </c>
      <c r="LM4">
        <v>42159</v>
      </c>
      <c r="LN4">
        <v>43033</v>
      </c>
      <c r="LO4">
        <v>13893</v>
      </c>
      <c r="LP4">
        <v>12471</v>
      </c>
      <c r="LQ4">
        <v>35245</v>
      </c>
      <c r="LR4">
        <v>35788</v>
      </c>
      <c r="LS4">
        <v>35891</v>
      </c>
      <c r="LT4">
        <v>33933</v>
      </c>
      <c r="LU4">
        <v>31142</v>
      </c>
      <c r="LV4">
        <v>13957</v>
      </c>
      <c r="LW4">
        <v>14887</v>
      </c>
      <c r="LX4">
        <v>38218</v>
      </c>
      <c r="LY4">
        <v>41017</v>
      </c>
      <c r="LZ4">
        <v>35991</v>
      </c>
      <c r="MA4">
        <v>33887</v>
      </c>
      <c r="MB4">
        <v>28388</v>
      </c>
      <c r="MC4">
        <v>14404</v>
      </c>
      <c r="MD4">
        <v>13103</v>
      </c>
      <c r="ME4">
        <v>31014</v>
      </c>
      <c r="MF4">
        <v>30529</v>
      </c>
      <c r="MG4">
        <v>31024</v>
      </c>
      <c r="MH4">
        <v>27345</v>
      </c>
      <c r="MI4">
        <v>24699</v>
      </c>
      <c r="MJ4">
        <v>13210</v>
      </c>
      <c r="MK4">
        <v>10466</v>
      </c>
      <c r="ML4">
        <v>25586</v>
      </c>
      <c r="MM4">
        <v>26348</v>
      </c>
      <c r="MN4">
        <v>26497</v>
      </c>
      <c r="MO4">
        <v>25348</v>
      </c>
      <c r="MP4">
        <v>21804</v>
      </c>
      <c r="MQ4">
        <v>12915</v>
      </c>
      <c r="MR4">
        <v>9154</v>
      </c>
      <c r="MS4">
        <v>13645</v>
      </c>
      <c r="MT4">
        <v>14430</v>
      </c>
      <c r="MU4">
        <v>30891</v>
      </c>
      <c r="MV4">
        <v>15951</v>
      </c>
      <c r="MW4">
        <v>14314</v>
      </c>
      <c r="MX4">
        <v>10615</v>
      </c>
      <c r="MY4">
        <v>6645</v>
      </c>
      <c r="MZ4">
        <v>13406</v>
      </c>
      <c r="NA4">
        <v>14780</v>
      </c>
      <c r="NB4">
        <v>34407</v>
      </c>
      <c r="NC4">
        <v>33519</v>
      </c>
      <c r="ND4">
        <v>22789</v>
      </c>
      <c r="NE4">
        <v>9458</v>
      </c>
      <c r="NF4">
        <v>7884</v>
      </c>
      <c r="NG4">
        <v>12582</v>
      </c>
      <c r="NH4">
        <v>36473</v>
      </c>
      <c r="NI4">
        <v>24611</v>
      </c>
      <c r="NJ4">
        <f>IFERROR(VLOOKUP(A4,#REF!,3,0),0)</f>
        <v>0</v>
      </c>
      <c r="NK4">
        <v>15688</v>
      </c>
      <c r="NL4">
        <v>8668</v>
      </c>
      <c r="NM4">
        <v>14423</v>
      </c>
      <c r="NN4">
        <v>15395</v>
      </c>
      <c r="NO4">
        <v>17756</v>
      </c>
      <c r="NP4">
        <v>27527</v>
      </c>
      <c r="NQ4">
        <v>18578</v>
      </c>
      <c r="NR4">
        <v>13466</v>
      </c>
      <c r="NS4">
        <v>9004</v>
      </c>
      <c r="NT4">
        <v>10425</v>
      </c>
      <c r="NU4">
        <v>20528</v>
      </c>
      <c r="NV4">
        <v>18440</v>
      </c>
      <c r="NW4">
        <v>15044</v>
      </c>
      <c r="NX4">
        <v>18172</v>
      </c>
      <c r="NY4">
        <v>16451</v>
      </c>
      <c r="NZ4">
        <v>8639</v>
      </c>
      <c r="OA4">
        <v>6918</v>
      </c>
      <c r="OB4">
        <v>7359</v>
      </c>
      <c r="OC4">
        <v>7852</v>
      </c>
      <c r="OD4">
        <v>14288</v>
      </c>
      <c r="OE4">
        <v>15239</v>
      </c>
      <c r="OF4">
        <v>11250</v>
      </c>
      <c r="OG4">
        <v>5738</v>
      </c>
      <c r="OH4">
        <v>7446</v>
      </c>
      <c r="OI4">
        <v>12969</v>
      </c>
      <c r="OJ4">
        <v>15610</v>
      </c>
      <c r="OK4">
        <v>16852</v>
      </c>
      <c r="OL4">
        <v>14502</v>
      </c>
      <c r="OM4">
        <v>11716</v>
      </c>
      <c r="ON4">
        <v>6204</v>
      </c>
      <c r="OO4">
        <v>5797</v>
      </c>
      <c r="OP4">
        <v>13424</v>
      </c>
      <c r="OQ4">
        <v>17184</v>
      </c>
      <c r="OR4">
        <v>15268</v>
      </c>
      <c r="OS4" s="3">
        <v>11965</v>
      </c>
      <c r="OT4">
        <v>10693</v>
      </c>
      <c r="OU4">
        <v>6761</v>
      </c>
      <c r="OV4">
        <v>3838</v>
      </c>
      <c r="OW4">
        <v>6431</v>
      </c>
      <c r="OX4">
        <v>14661</v>
      </c>
      <c r="OY4">
        <v>13352</v>
      </c>
      <c r="OZ4">
        <v>13321</v>
      </c>
      <c r="PA4">
        <v>11866</v>
      </c>
      <c r="PB4">
        <v>6115</v>
      </c>
      <c r="PC4">
        <v>5638</v>
      </c>
      <c r="PD4">
        <v>10948</v>
      </c>
      <c r="PE4">
        <v>14357</v>
      </c>
      <c r="PF4">
        <v>15144</v>
      </c>
      <c r="PG4">
        <v>14424</v>
      </c>
      <c r="PH4">
        <v>12888</v>
      </c>
      <c r="PI4">
        <v>4129</v>
      </c>
      <c r="PJ4">
        <v>2799</v>
      </c>
      <c r="PK4">
        <v>4918</v>
      </c>
      <c r="PL4">
        <v>11977</v>
      </c>
      <c r="PM4">
        <v>12301</v>
      </c>
      <c r="PN4">
        <v>13355</v>
      </c>
      <c r="PO4">
        <v>8833</v>
      </c>
      <c r="PP4">
        <v>5126</v>
      </c>
      <c r="PQ4">
        <v>2594</v>
      </c>
      <c r="PR4">
        <v>18861</v>
      </c>
      <c r="PS4">
        <v>4686</v>
      </c>
      <c r="PT4">
        <v>12191</v>
      </c>
      <c r="PU4">
        <v>12022</v>
      </c>
      <c r="PV4">
        <v>9233</v>
      </c>
      <c r="PW4">
        <v>4043</v>
      </c>
      <c r="PX4">
        <v>3843</v>
      </c>
      <c r="PY4">
        <v>9710</v>
      </c>
      <c r="PZ4">
        <v>11413</v>
      </c>
      <c r="QA4">
        <v>12910</v>
      </c>
      <c r="QB4">
        <v>10627</v>
      </c>
      <c r="QC4">
        <v>8838</v>
      </c>
      <c r="QD4">
        <v>4844</v>
      </c>
      <c r="QE4">
        <v>4385</v>
      </c>
      <c r="QF4">
        <v>10250</v>
      </c>
      <c r="QG4">
        <v>10055</v>
      </c>
      <c r="QH4">
        <v>9278</v>
      </c>
      <c r="QI4">
        <v>7765</v>
      </c>
      <c r="QJ4">
        <v>3355</v>
      </c>
      <c r="QK4">
        <v>1688</v>
      </c>
      <c r="QL4">
        <v>2082</v>
      </c>
      <c r="QM4">
        <v>3826</v>
      </c>
      <c r="QN4">
        <v>5446</v>
      </c>
      <c r="QO4">
        <v>3720</v>
      </c>
      <c r="QP4">
        <v>4079</v>
      </c>
      <c r="QQ4">
        <v>3323</v>
      </c>
      <c r="QR4">
        <v>1419</v>
      </c>
      <c r="QS4">
        <v>2094</v>
      </c>
      <c r="QT4">
        <v>3621</v>
      </c>
      <c r="QU4">
        <v>3451</v>
      </c>
      <c r="QV4">
        <v>3645</v>
      </c>
      <c r="QW4">
        <v>4164</v>
      </c>
      <c r="QX4">
        <v>3889</v>
      </c>
      <c r="QY4">
        <v>4810</v>
      </c>
      <c r="QZ4">
        <v>6840</v>
      </c>
      <c r="RA4">
        <v>8430</v>
      </c>
      <c r="RB4">
        <v>9128</v>
      </c>
      <c r="RC4">
        <v>13405</v>
      </c>
      <c r="RD4">
        <v>10282</v>
      </c>
      <c r="RE4">
        <v>3986</v>
      </c>
      <c r="RF4">
        <v>1721</v>
      </c>
      <c r="RG4">
        <v>11850</v>
      </c>
      <c r="RH4">
        <v>18759</v>
      </c>
      <c r="RI4">
        <v>27267</v>
      </c>
      <c r="RJ4">
        <v>44218</v>
      </c>
      <c r="RK4">
        <v>54900</v>
      </c>
      <c r="RL4">
        <v>49303</v>
      </c>
      <c r="RM4">
        <v>24382</v>
      </c>
      <c r="RN4">
        <v>34788</v>
      </c>
      <c r="RO4">
        <v>71447</v>
      </c>
      <c r="RP4">
        <v>88464</v>
      </c>
      <c r="RQ4">
        <v>97221</v>
      </c>
      <c r="RR4">
        <v>111376</v>
      </c>
      <c r="RS4">
        <v>48520</v>
      </c>
      <c r="RT4">
        <v>31229</v>
      </c>
      <c r="RU4">
        <v>76345</v>
      </c>
      <c r="RV4">
        <v>132254</v>
      </c>
      <c r="RW4">
        <v>205310</v>
      </c>
      <c r="RX4">
        <v>168060</v>
      </c>
      <c r="RY4">
        <v>168820</v>
      </c>
      <c r="RZ4">
        <v>202466</v>
      </c>
      <c r="SA4">
        <v>84230</v>
      </c>
      <c r="SB4">
        <v>90509</v>
      </c>
      <c r="SC4">
        <v>199126</v>
      </c>
      <c r="SD4">
        <v>219878</v>
      </c>
      <c r="SE4">
        <v>228972</v>
      </c>
      <c r="SF4">
        <v>257239</v>
      </c>
      <c r="SG4">
        <v>207316</v>
      </c>
      <c r="SH4">
        <v>104012</v>
      </c>
      <c r="SI4">
        <v>102616</v>
      </c>
      <c r="SJ4">
        <v>171028</v>
      </c>
      <c r="SK4">
        <v>188552</v>
      </c>
      <c r="SL4">
        <v>286050</v>
      </c>
      <c r="SM4">
        <v>219298</v>
      </c>
      <c r="SN4">
        <v>154240</v>
      </c>
      <c r="SO4">
        <v>63324</v>
      </c>
      <c r="SP4">
        <v>68540</v>
      </c>
      <c r="SQ4">
        <v>171483</v>
      </c>
      <c r="SR4">
        <v>183533</v>
      </c>
      <c r="SS4">
        <v>165359</v>
      </c>
      <c r="ST4">
        <v>166003</v>
      </c>
      <c r="SU4">
        <v>134228</v>
      </c>
      <c r="SV4">
        <v>57288</v>
      </c>
      <c r="SW4">
        <v>58100</v>
      </c>
      <c r="SX4">
        <v>123827</v>
      </c>
      <c r="SY4">
        <v>147252</v>
      </c>
      <c r="SZ4">
        <v>129266</v>
      </c>
      <c r="TA4">
        <v>122748</v>
      </c>
      <c r="TB4">
        <v>103363</v>
      </c>
      <c r="TC4">
        <v>40625</v>
      </c>
      <c r="TD4">
        <v>42379</v>
      </c>
      <c r="TE4">
        <v>101285</v>
      </c>
      <c r="TF4">
        <v>133626</v>
      </c>
      <c r="TG4">
        <v>95493</v>
      </c>
      <c r="TH4">
        <v>90199</v>
      </c>
      <c r="TI4">
        <v>72856</v>
      </c>
      <c r="TJ4">
        <v>24054</v>
      </c>
      <c r="TK4">
        <v>19516</v>
      </c>
      <c r="TL4">
        <v>23545</v>
      </c>
      <c r="TM4">
        <v>30995</v>
      </c>
      <c r="TN4">
        <v>64054</v>
      </c>
      <c r="TO4">
        <v>68101</v>
      </c>
      <c r="TP4">
        <v>58737</v>
      </c>
      <c r="TQ4">
        <v>15961</v>
      </c>
      <c r="TR4">
        <v>20456</v>
      </c>
      <c r="TS4">
        <v>75495</v>
      </c>
      <c r="TT4">
        <v>49078</v>
      </c>
      <c r="TU4">
        <v>55861</v>
      </c>
      <c r="TV4">
        <v>55211</v>
      </c>
      <c r="TW4">
        <v>45265</v>
      </c>
      <c r="TX4">
        <v>18397</v>
      </c>
      <c r="TY4">
        <v>13420</v>
      </c>
      <c r="TZ4">
        <v>50078</v>
      </c>
      <c r="UA4">
        <v>45765</v>
      </c>
      <c r="UB4">
        <v>49601</v>
      </c>
      <c r="UC4">
        <v>40869</v>
      </c>
      <c r="UD4">
        <v>40869</v>
      </c>
      <c r="UE4">
        <v>13218</v>
      </c>
      <c r="UF4">
        <v>11364</v>
      </c>
      <c r="UG4">
        <v>41838</v>
      </c>
      <c r="UH4">
        <v>46305</v>
      </c>
      <c r="UI4">
        <v>37690</v>
      </c>
      <c r="UJ4">
        <v>34576</v>
      </c>
      <c r="UK4">
        <v>29922</v>
      </c>
      <c r="UL4">
        <v>10239</v>
      </c>
      <c r="UM4">
        <v>9923</v>
      </c>
      <c r="UN4">
        <v>30056</v>
      </c>
      <c r="UO4">
        <v>33937</v>
      </c>
      <c r="UP4">
        <v>31561</v>
      </c>
      <c r="UQ4">
        <v>20473</v>
      </c>
      <c r="UR4">
        <v>4178</v>
      </c>
      <c r="US4">
        <v>4178</v>
      </c>
      <c r="UT4">
        <v>12982</v>
      </c>
      <c r="UU4">
        <v>27331</v>
      </c>
      <c r="UV4">
        <v>27120</v>
      </c>
      <c r="UW4">
        <v>27139</v>
      </c>
      <c r="UX4">
        <v>29575</v>
      </c>
      <c r="UY4">
        <v>21229</v>
      </c>
      <c r="UZ4">
        <v>7210</v>
      </c>
      <c r="VA4">
        <v>8803</v>
      </c>
      <c r="VB4">
        <v>22724</v>
      </c>
      <c r="VC4">
        <v>23171</v>
      </c>
      <c r="VD4">
        <v>23171</v>
      </c>
      <c r="VE4">
        <v>2775</v>
      </c>
      <c r="VF4">
        <v>2541</v>
      </c>
      <c r="VG4">
        <v>2541</v>
      </c>
      <c r="VH4">
        <v>8470</v>
      </c>
      <c r="VI4">
        <v>18182</v>
      </c>
      <c r="VJ4">
        <v>32699</v>
      </c>
      <c r="VK4">
        <v>18660</v>
      </c>
      <c r="VL4">
        <v>6957</v>
      </c>
      <c r="VM4">
        <v>3809</v>
      </c>
      <c r="VN4">
        <v>3809</v>
      </c>
      <c r="VO4">
        <v>6456</v>
      </c>
      <c r="VP4">
        <v>22142</v>
      </c>
      <c r="VQ4">
        <v>20943</v>
      </c>
      <c r="VR4">
        <v>19916</v>
      </c>
      <c r="VS4">
        <v>15194</v>
      </c>
      <c r="VT4">
        <v>6507</v>
      </c>
      <c r="VU4">
        <v>21432</v>
      </c>
      <c r="VV4">
        <v>21432</v>
      </c>
      <c r="VW4">
        <v>21432</v>
      </c>
      <c r="VX4">
        <v>20072</v>
      </c>
      <c r="VY4">
        <v>19725</v>
      </c>
      <c r="VZ4">
        <v>14622</v>
      </c>
      <c r="WA4">
        <v>14622</v>
      </c>
      <c r="WB4">
        <v>6006</v>
      </c>
      <c r="WC4">
        <v>9709</v>
      </c>
      <c r="WD4">
        <v>20143</v>
      </c>
      <c r="WE4">
        <v>23398</v>
      </c>
      <c r="WF4">
        <v>21344</v>
      </c>
      <c r="WG4">
        <v>17355</v>
      </c>
      <c r="WH4">
        <v>17355</v>
      </c>
      <c r="WI4">
        <v>17355</v>
      </c>
      <c r="WJ4">
        <v>13510</v>
      </c>
      <c r="WK4">
        <v>26386</v>
      </c>
      <c r="WL4">
        <v>13525</v>
      </c>
      <c r="WM4">
        <v>10415</v>
      </c>
      <c r="WN4">
        <v>11192</v>
      </c>
      <c r="WO4">
        <v>11192</v>
      </c>
      <c r="WP4">
        <v>11192</v>
      </c>
      <c r="WQ4">
        <v>9787</v>
      </c>
      <c r="WR4">
        <v>9787</v>
      </c>
      <c r="WS4">
        <v>9787</v>
      </c>
      <c r="WT4">
        <v>9787</v>
      </c>
      <c r="WU4">
        <v>24239</v>
      </c>
      <c r="WV4">
        <v>24239</v>
      </c>
      <c r="WW4">
        <v>24239</v>
      </c>
      <c r="WX4">
        <v>41377</v>
      </c>
      <c r="WY4">
        <v>41377</v>
      </c>
      <c r="WZ4">
        <v>40979</v>
      </c>
      <c r="XA4">
        <v>15590</v>
      </c>
      <c r="XB4">
        <v>15590</v>
      </c>
      <c r="XC4">
        <v>696</v>
      </c>
      <c r="XD4">
        <v>696</v>
      </c>
      <c r="XE4">
        <v>41353</v>
      </c>
      <c r="XF4">
        <v>32332</v>
      </c>
      <c r="XG4">
        <v>32332</v>
      </c>
      <c r="XH4">
        <v>32332</v>
      </c>
      <c r="XI4">
        <v>32332</v>
      </c>
      <c r="XJ4">
        <v>32332</v>
      </c>
      <c r="XK4">
        <v>7192</v>
      </c>
      <c r="XL4">
        <v>40173</v>
      </c>
      <c r="XM4">
        <v>20127</v>
      </c>
      <c r="XN4">
        <v>20127</v>
      </c>
      <c r="XO4">
        <v>20127</v>
      </c>
      <c r="XP4">
        <v>20127</v>
      </c>
      <c r="XQ4">
        <v>20127</v>
      </c>
      <c r="XR4">
        <v>31230</v>
      </c>
      <c r="XS4">
        <v>31230</v>
      </c>
      <c r="XT4">
        <v>31230</v>
      </c>
      <c r="XU4">
        <v>31230</v>
      </c>
      <c r="XV4">
        <v>31230</v>
      </c>
      <c r="XW4">
        <v>31230</v>
      </c>
      <c r="XX4">
        <v>31230</v>
      </c>
      <c r="XY4">
        <v>16679</v>
      </c>
      <c r="XZ4">
        <v>58278</v>
      </c>
      <c r="YA4">
        <v>70166</v>
      </c>
      <c r="YB4">
        <v>76263</v>
      </c>
      <c r="YC4">
        <v>42720</v>
      </c>
      <c r="YD4">
        <v>25549</v>
      </c>
      <c r="YE4">
        <v>33833</v>
      </c>
      <c r="YF4" s="1">
        <v>74528</v>
      </c>
      <c r="YG4" s="1">
        <v>74528</v>
      </c>
      <c r="YH4" s="1">
        <v>74528</v>
      </c>
      <c r="YI4" s="1">
        <v>76850</v>
      </c>
      <c r="YJ4">
        <v>73365</v>
      </c>
      <c r="YK4">
        <v>40905</v>
      </c>
      <c r="YL4">
        <v>21963</v>
      </c>
      <c r="YM4">
        <v>44043</v>
      </c>
      <c r="YN4">
        <v>64771</v>
      </c>
      <c r="YO4">
        <v>64771</v>
      </c>
      <c r="YP4">
        <v>71501</v>
      </c>
      <c r="YQ4">
        <v>107959</v>
      </c>
      <c r="YR4">
        <v>40149</v>
      </c>
      <c r="YS4">
        <v>40149</v>
      </c>
      <c r="YT4">
        <v>10852</v>
      </c>
      <c r="YU4">
        <v>38697</v>
      </c>
      <c r="YV4">
        <v>58225</v>
      </c>
      <c r="YW4">
        <v>26007</v>
      </c>
      <c r="YX4">
        <v>26007</v>
      </c>
      <c r="YY4">
        <v>26007</v>
      </c>
      <c r="YZ4">
        <v>26007</v>
      </c>
      <c r="ZA4">
        <v>9823</v>
      </c>
      <c r="ZB4">
        <v>30609</v>
      </c>
      <c r="ZC4">
        <v>38643</v>
      </c>
      <c r="ZD4">
        <v>46461</v>
      </c>
      <c r="ZE4">
        <v>45307</v>
      </c>
      <c r="ZF4">
        <v>24259</v>
      </c>
      <c r="ZG4">
        <v>14449</v>
      </c>
      <c r="ZH4">
        <v>22905</v>
      </c>
      <c r="ZI4">
        <v>33623</v>
      </c>
      <c r="ZJ4">
        <v>36900</v>
      </c>
      <c r="ZK4">
        <v>37166</v>
      </c>
      <c r="ZL4">
        <v>29976</v>
      </c>
      <c r="ZM4">
        <v>16703</v>
      </c>
      <c r="ZN4">
        <v>7198</v>
      </c>
      <c r="ZO4">
        <v>17409</v>
      </c>
      <c r="ZP4">
        <v>30220</v>
      </c>
      <c r="ZQ4">
        <v>30935</v>
      </c>
      <c r="ZR4">
        <v>27644</v>
      </c>
      <c r="ZS4">
        <v>23552</v>
      </c>
      <c r="ZT4">
        <v>16760</v>
      </c>
      <c r="ZU4">
        <v>6753</v>
      </c>
      <c r="ZV4">
        <v>6596</v>
      </c>
      <c r="ZW4">
        <v>23040</v>
      </c>
      <c r="ZX4">
        <v>21927</v>
      </c>
      <c r="ZY4">
        <v>22167</v>
      </c>
      <c r="ZZ4">
        <v>18863</v>
      </c>
      <c r="AAA4">
        <v>5079</v>
      </c>
      <c r="AAB4">
        <v>5079</v>
      </c>
      <c r="AAC4">
        <v>6218</v>
      </c>
      <c r="AAD4">
        <v>20241</v>
      </c>
      <c r="AAE4">
        <v>18277</v>
      </c>
      <c r="AAF4">
        <v>21039</v>
      </c>
      <c r="AAG4">
        <v>18270</v>
      </c>
      <c r="AAH4">
        <v>12386</v>
      </c>
      <c r="AAI4">
        <v>3452</v>
      </c>
      <c r="AAJ4">
        <v>12458</v>
      </c>
      <c r="AAK4">
        <v>16806</v>
      </c>
      <c r="AAL4">
        <v>58668</v>
      </c>
      <c r="AAM4">
        <v>19492</v>
      </c>
      <c r="AAN4">
        <v>10080</v>
      </c>
      <c r="AAO4">
        <v>2339</v>
      </c>
      <c r="AAP4">
        <v>2339</v>
      </c>
      <c r="AAQ4">
        <v>7668</v>
      </c>
      <c r="AAR4">
        <v>13444</v>
      </c>
      <c r="AAS4">
        <v>6934</v>
      </c>
      <c r="AAT4">
        <v>4099</v>
      </c>
      <c r="AAU4">
        <v>14005</v>
      </c>
      <c r="AAV4">
        <v>2285</v>
      </c>
      <c r="AAW4">
        <v>2285</v>
      </c>
      <c r="AAX4">
        <v>5647</v>
      </c>
      <c r="AAY4">
        <v>10950</v>
      </c>
      <c r="AAZ4">
        <v>11300</v>
      </c>
      <c r="ABA4">
        <v>7928</v>
      </c>
      <c r="ABB4">
        <v>5609</v>
      </c>
      <c r="ABC4">
        <v>2669</v>
      </c>
      <c r="ABD4">
        <v>2669</v>
      </c>
      <c r="ABE4">
        <v>6972</v>
      </c>
      <c r="ABF4">
        <v>7676</v>
      </c>
      <c r="ABG4">
        <v>7335</v>
      </c>
      <c r="ABH4">
        <v>7784</v>
      </c>
      <c r="ABI4">
        <v>6834</v>
      </c>
      <c r="ABJ4">
        <v>6834</v>
      </c>
      <c r="ABK4">
        <v>1201</v>
      </c>
      <c r="ABL4">
        <v>6809</v>
      </c>
      <c r="ABM4">
        <v>6832</v>
      </c>
      <c r="ABN4">
        <v>8800</v>
      </c>
      <c r="ABO4">
        <v>9894</v>
      </c>
      <c r="ABP4">
        <v>8392</v>
      </c>
      <c r="ABQ4">
        <v>791</v>
      </c>
      <c r="ABR4">
        <v>791</v>
      </c>
      <c r="ABS4">
        <v>5278</v>
      </c>
      <c r="ABT4">
        <v>9036</v>
      </c>
      <c r="ABU4">
        <v>8056</v>
      </c>
      <c r="ABV4">
        <v>6510</v>
      </c>
      <c r="ABW4">
        <v>1801</v>
      </c>
      <c r="ABX4">
        <v>1801</v>
      </c>
      <c r="ABY4">
        <v>1801</v>
      </c>
      <c r="ABZ4">
        <v>1801</v>
      </c>
      <c r="ACA4">
        <v>7311</v>
      </c>
      <c r="ACB4">
        <v>616</v>
      </c>
      <c r="ACC4">
        <v>616</v>
      </c>
      <c r="ACD4">
        <v>616</v>
      </c>
      <c r="ACE4">
        <v>616</v>
      </c>
      <c r="ACF4">
        <v>616</v>
      </c>
      <c r="ACG4">
        <v>3826</v>
      </c>
      <c r="ACH4">
        <v>8856</v>
      </c>
      <c r="ACI4">
        <v>8610</v>
      </c>
      <c r="ACJ4">
        <v>5096</v>
      </c>
      <c r="ACK4">
        <v>1836</v>
      </c>
      <c r="ACL4">
        <v>1836</v>
      </c>
      <c r="ACM4">
        <v>1836</v>
      </c>
      <c r="ACN4">
        <v>6479</v>
      </c>
      <c r="ACO4">
        <v>6479</v>
      </c>
      <c r="ACP4">
        <v>8580</v>
      </c>
      <c r="ACQ4">
        <v>8580</v>
      </c>
      <c r="ACR4">
        <v>1445</v>
      </c>
      <c r="ACS4">
        <v>1445</v>
      </c>
      <c r="ACT4">
        <v>1445</v>
      </c>
      <c r="ACU4">
        <v>8271</v>
      </c>
      <c r="ACV4">
        <v>737</v>
      </c>
      <c r="ACW4">
        <v>737</v>
      </c>
      <c r="ACX4">
        <v>737</v>
      </c>
      <c r="ACY4">
        <v>737</v>
      </c>
      <c r="ACZ4">
        <v>737</v>
      </c>
      <c r="ADA4">
        <v>737</v>
      </c>
      <c r="ADB4">
        <v>4639</v>
      </c>
      <c r="ADC4">
        <v>11970</v>
      </c>
      <c r="ADD4">
        <v>9485</v>
      </c>
      <c r="ADE4">
        <v>9485</v>
      </c>
      <c r="ADF4">
        <v>1140</v>
      </c>
      <c r="ADG4">
        <v>1140</v>
      </c>
      <c r="ADH4">
        <v>1140</v>
      </c>
      <c r="ADI4">
        <v>16089</v>
      </c>
      <c r="ADJ4">
        <v>16089</v>
      </c>
      <c r="ADK4">
        <v>16089</v>
      </c>
      <c r="ADL4">
        <v>27931</v>
      </c>
      <c r="ADM4">
        <v>27931</v>
      </c>
      <c r="ADN4">
        <v>27931</v>
      </c>
      <c r="ADO4">
        <v>27931</v>
      </c>
      <c r="ADP4">
        <v>27931</v>
      </c>
      <c r="ADQ4">
        <v>27931</v>
      </c>
      <c r="ADR4">
        <v>5667</v>
      </c>
      <c r="ADS4">
        <v>5667</v>
      </c>
      <c r="ADT4">
        <v>5667</v>
      </c>
      <c r="ADU4">
        <v>5667</v>
      </c>
      <c r="ADV4">
        <v>5667</v>
      </c>
      <c r="ADW4">
        <v>38510</v>
      </c>
      <c r="ADX4">
        <v>38510</v>
      </c>
      <c r="ADY4">
        <v>8693</v>
      </c>
      <c r="ADZ4">
        <v>8693</v>
      </c>
      <c r="AEA4">
        <v>8693</v>
      </c>
      <c r="AEB4">
        <v>8693</v>
      </c>
      <c r="AEC4">
        <v>8693</v>
      </c>
      <c r="AED4">
        <v>12369</v>
      </c>
      <c r="AEE4">
        <v>12369</v>
      </c>
      <c r="AEF4">
        <v>12369</v>
      </c>
      <c r="AEG4">
        <v>12369</v>
      </c>
      <c r="AEH4">
        <v>12369</v>
      </c>
      <c r="AEI4">
        <v>12369</v>
      </c>
      <c r="AEJ4">
        <v>12369</v>
      </c>
      <c r="AEK4">
        <v>11716</v>
      </c>
      <c r="AEL4">
        <v>11716</v>
      </c>
      <c r="AEM4">
        <v>11716</v>
      </c>
      <c r="AEN4">
        <v>11716</v>
      </c>
      <c r="AEO4">
        <v>11716</v>
      </c>
      <c r="AEP4">
        <v>11716</v>
      </c>
      <c r="AEQ4">
        <v>11716</v>
      </c>
      <c r="AER4">
        <v>10569</v>
      </c>
      <c r="AES4">
        <v>10569</v>
      </c>
      <c r="AET4">
        <v>10569</v>
      </c>
      <c r="AEU4">
        <v>10569</v>
      </c>
      <c r="AEV4">
        <v>10569</v>
      </c>
      <c r="AEW4">
        <v>10569</v>
      </c>
      <c r="AEX4">
        <v>10569</v>
      </c>
      <c r="AEY4">
        <v>10569</v>
      </c>
      <c r="AEZ4">
        <v>10569</v>
      </c>
      <c r="AFA4">
        <v>10569</v>
      </c>
      <c r="AFB4">
        <v>10569</v>
      </c>
      <c r="AFC4">
        <v>10569</v>
      </c>
      <c r="AFD4">
        <v>10569</v>
      </c>
      <c r="AFE4">
        <v>11752</v>
      </c>
      <c r="AFF4">
        <v>11752</v>
      </c>
      <c r="AFG4">
        <v>11752</v>
      </c>
      <c r="AFH4">
        <v>11752</v>
      </c>
      <c r="AFI4">
        <v>11752</v>
      </c>
      <c r="AFJ4">
        <v>11752</v>
      </c>
      <c r="AFK4">
        <v>11752</v>
      </c>
      <c r="AFL4">
        <v>11752</v>
      </c>
      <c r="AFM4">
        <v>11752</v>
      </c>
      <c r="AFN4">
        <v>4287</v>
      </c>
      <c r="AFO4">
        <v>4287</v>
      </c>
      <c r="AFP4">
        <v>4287</v>
      </c>
      <c r="AFQ4">
        <v>4287</v>
      </c>
      <c r="AFR4">
        <v>4287</v>
      </c>
      <c r="AFS4">
        <v>4287</v>
      </c>
      <c r="AFT4">
        <v>1073</v>
      </c>
      <c r="AFU4">
        <v>1073</v>
      </c>
      <c r="AFV4">
        <v>1073</v>
      </c>
      <c r="AFW4">
        <v>1073</v>
      </c>
      <c r="AFX4">
        <v>1073</v>
      </c>
      <c r="AFY4">
        <v>1073</v>
      </c>
      <c r="AFZ4">
        <v>1073</v>
      </c>
      <c r="AGA4">
        <v>727</v>
      </c>
      <c r="AGB4">
        <v>727</v>
      </c>
      <c r="AGC4">
        <v>727</v>
      </c>
      <c r="AGD4">
        <v>727</v>
      </c>
      <c r="AGE4">
        <v>727</v>
      </c>
      <c r="AGF4">
        <v>727</v>
      </c>
      <c r="AGG4">
        <v>727</v>
      </c>
      <c r="AGH4">
        <v>727</v>
      </c>
      <c r="AGI4">
        <v>727</v>
      </c>
      <c r="AGJ4">
        <v>727</v>
      </c>
      <c r="AGK4">
        <v>727</v>
      </c>
      <c r="AGL4">
        <v>727</v>
      </c>
      <c r="AGM4">
        <v>727</v>
      </c>
      <c r="AGN4">
        <v>727</v>
      </c>
      <c r="AGO4">
        <v>0</v>
      </c>
      <c r="AGP4">
        <v>0</v>
      </c>
      <c r="AGQ4">
        <v>0</v>
      </c>
      <c r="AGR4">
        <v>0</v>
      </c>
      <c r="AGS4">
        <v>0</v>
      </c>
      <c r="AGT4">
        <v>0</v>
      </c>
      <c r="AGU4">
        <v>0</v>
      </c>
      <c r="AGV4">
        <v>0</v>
      </c>
      <c r="AGW4">
        <v>0</v>
      </c>
      <c r="AGX4">
        <v>0</v>
      </c>
      <c r="AGY4">
        <v>0</v>
      </c>
      <c r="AGZ4">
        <v>0</v>
      </c>
      <c r="AHA4">
        <v>0</v>
      </c>
      <c r="AHB4">
        <v>0</v>
      </c>
      <c r="AHC4">
        <v>13813</v>
      </c>
      <c r="AHD4">
        <v>13813</v>
      </c>
      <c r="AHE4">
        <v>13813</v>
      </c>
      <c r="AHF4">
        <v>13813</v>
      </c>
      <c r="AHG4">
        <v>13813</v>
      </c>
      <c r="AHH4">
        <v>13813</v>
      </c>
      <c r="AHI4">
        <v>13813</v>
      </c>
      <c r="AHJ4">
        <v>13813</v>
      </c>
      <c r="AHK4">
        <v>0</v>
      </c>
      <c r="AHL4">
        <v>0</v>
      </c>
      <c r="AHM4">
        <v>0</v>
      </c>
      <c r="AHN4">
        <v>0</v>
      </c>
      <c r="AHO4">
        <v>0</v>
      </c>
      <c r="AHP4">
        <v>0</v>
      </c>
      <c r="AHQ4">
        <v>0</v>
      </c>
    </row>
    <row r="5" spans="1:901">
      <c r="A5" s="1" t="s">
        <v>36</v>
      </c>
      <c r="B5">
        <v>1304</v>
      </c>
      <c r="C5">
        <v>1863</v>
      </c>
      <c r="D5">
        <v>1677</v>
      </c>
      <c r="E5">
        <v>1847</v>
      </c>
      <c r="F5">
        <v>1600</v>
      </c>
      <c r="G5">
        <v>1194</v>
      </c>
      <c r="H5">
        <v>1055</v>
      </c>
      <c r="I5">
        <v>1380</v>
      </c>
      <c r="J5">
        <v>1743</v>
      </c>
      <c r="K5">
        <v>2222</v>
      </c>
      <c r="L5">
        <v>1922</v>
      </c>
      <c r="M5">
        <v>1770</v>
      </c>
      <c r="N5">
        <v>1629</v>
      </c>
      <c r="O5">
        <v>1691</v>
      </c>
      <c r="P5">
        <v>1759</v>
      </c>
      <c r="Q5">
        <v>1840</v>
      </c>
      <c r="R5">
        <v>1881</v>
      </c>
      <c r="S5">
        <v>1708</v>
      </c>
      <c r="T5">
        <v>1567</v>
      </c>
      <c r="U5">
        <v>1560</v>
      </c>
      <c r="V5">
        <v>1134</v>
      </c>
      <c r="W5">
        <v>1576</v>
      </c>
      <c r="X5">
        <v>1753</v>
      </c>
      <c r="Y5">
        <v>1826</v>
      </c>
      <c r="Z5">
        <v>1776</v>
      </c>
      <c r="AA5">
        <v>1517</v>
      </c>
      <c r="AB5">
        <v>1392</v>
      </c>
      <c r="AC5">
        <v>1092</v>
      </c>
      <c r="AD5">
        <v>1124</v>
      </c>
      <c r="AE5">
        <v>1694</v>
      </c>
      <c r="AF5">
        <v>1813</v>
      </c>
      <c r="AG5">
        <v>1757</v>
      </c>
      <c r="AH5">
        <v>1545</v>
      </c>
      <c r="AI5">
        <v>1099</v>
      </c>
      <c r="AJ5">
        <v>1159</v>
      </c>
      <c r="AK5">
        <v>1494</v>
      </c>
      <c r="AL5">
        <v>1780</v>
      </c>
      <c r="AM5">
        <v>1612</v>
      </c>
      <c r="AN5">
        <v>1540</v>
      </c>
      <c r="AO5">
        <v>1535</v>
      </c>
      <c r="AP5">
        <v>927</v>
      </c>
      <c r="AQ5">
        <v>1005</v>
      </c>
      <c r="AR5">
        <v>1520</v>
      </c>
      <c r="AS5">
        <v>1521</v>
      </c>
      <c r="AT5">
        <v>1685</v>
      </c>
      <c r="AU5">
        <v>1608</v>
      </c>
      <c r="AV5">
        <v>1324</v>
      </c>
      <c r="AW5">
        <v>1014</v>
      </c>
      <c r="AX5">
        <v>840</v>
      </c>
      <c r="AY5">
        <v>1540</v>
      </c>
      <c r="AZ5">
        <v>1827</v>
      </c>
      <c r="BA5">
        <v>1568</v>
      </c>
      <c r="BB5">
        <v>1581</v>
      </c>
      <c r="BC5">
        <v>1321</v>
      </c>
      <c r="BD5">
        <v>1028</v>
      </c>
      <c r="BE5">
        <v>897</v>
      </c>
      <c r="BF5">
        <v>1634</v>
      </c>
      <c r="BG5">
        <v>1592</v>
      </c>
      <c r="BH5">
        <v>1646</v>
      </c>
      <c r="BI5">
        <v>1597</v>
      </c>
      <c r="BJ5">
        <v>1331</v>
      </c>
      <c r="BK5">
        <v>1006</v>
      </c>
      <c r="BL5">
        <v>948</v>
      </c>
      <c r="BM5">
        <v>1454</v>
      </c>
      <c r="BN5">
        <v>1573</v>
      </c>
      <c r="BO5">
        <v>1558</v>
      </c>
      <c r="BP5">
        <v>1497</v>
      </c>
      <c r="BQ5">
        <v>1440</v>
      </c>
      <c r="BR5">
        <v>1007</v>
      </c>
      <c r="BS5">
        <v>1005</v>
      </c>
      <c r="BT5">
        <v>1570</v>
      </c>
      <c r="BU5">
        <v>1561</v>
      </c>
      <c r="BV5">
        <v>1718</v>
      </c>
      <c r="BW5">
        <v>1489</v>
      </c>
      <c r="BX5">
        <v>1313</v>
      </c>
      <c r="BY5">
        <v>1121</v>
      </c>
      <c r="BZ5">
        <v>1034</v>
      </c>
      <c r="CA5">
        <v>1508</v>
      </c>
      <c r="CB5">
        <v>1729</v>
      </c>
      <c r="CC5">
        <v>1533</v>
      </c>
      <c r="CD5">
        <v>1714</v>
      </c>
      <c r="CE5">
        <v>1760</v>
      </c>
      <c r="CF5">
        <v>1392</v>
      </c>
      <c r="CG5">
        <v>1244</v>
      </c>
      <c r="CH5">
        <v>1662</v>
      </c>
      <c r="CI5">
        <v>1534</v>
      </c>
      <c r="CJ5">
        <v>1807</v>
      </c>
      <c r="CK5">
        <v>2138</v>
      </c>
      <c r="CL5">
        <v>1911</v>
      </c>
      <c r="CM5">
        <v>1499</v>
      </c>
      <c r="CN5">
        <v>1402</v>
      </c>
      <c r="CO5">
        <v>2001</v>
      </c>
      <c r="CP5">
        <v>2403</v>
      </c>
      <c r="CQ5">
        <v>2219</v>
      </c>
      <c r="CR5">
        <v>2191</v>
      </c>
      <c r="CS5">
        <v>1943</v>
      </c>
      <c r="CT5">
        <v>1701</v>
      </c>
      <c r="CU5">
        <v>1725</v>
      </c>
      <c r="CV5">
        <v>2396</v>
      </c>
      <c r="CW5">
        <v>2521</v>
      </c>
      <c r="CX5">
        <v>2563</v>
      </c>
      <c r="CY5">
        <v>1711</v>
      </c>
      <c r="CZ5">
        <v>1923</v>
      </c>
      <c r="DA5">
        <v>1958</v>
      </c>
      <c r="DB5">
        <v>1964</v>
      </c>
      <c r="DC5">
        <v>3023</v>
      </c>
      <c r="DD5">
        <v>3591</v>
      </c>
      <c r="DE5">
        <v>3338</v>
      </c>
      <c r="DF5">
        <v>2289</v>
      </c>
      <c r="DG5">
        <v>2450</v>
      </c>
      <c r="DH5">
        <v>2460</v>
      </c>
      <c r="DI5">
        <v>2382</v>
      </c>
      <c r="DJ5">
        <v>3693</v>
      </c>
      <c r="DK5">
        <v>4205</v>
      </c>
      <c r="DL5">
        <v>4361</v>
      </c>
      <c r="DM5">
        <v>4181</v>
      </c>
      <c r="DN5">
        <v>3969</v>
      </c>
      <c r="DO5">
        <v>3243</v>
      </c>
      <c r="DP5">
        <v>3390</v>
      </c>
      <c r="DQ5">
        <v>4187</v>
      </c>
      <c r="DR5">
        <v>4468</v>
      </c>
      <c r="DS5">
        <v>4313</v>
      </c>
      <c r="DT5">
        <v>4339</v>
      </c>
      <c r="DU5">
        <v>3918</v>
      </c>
      <c r="DV5">
        <v>3401</v>
      </c>
      <c r="DW5">
        <v>3589</v>
      </c>
      <c r="DX5">
        <v>4367</v>
      </c>
      <c r="DY5">
        <v>4959</v>
      </c>
      <c r="DZ5">
        <v>4581</v>
      </c>
      <c r="EA5">
        <v>4463</v>
      </c>
      <c r="EB5">
        <v>4068</v>
      </c>
      <c r="EC5">
        <v>3322</v>
      </c>
      <c r="ED5">
        <v>3388</v>
      </c>
      <c r="EE5">
        <v>4255</v>
      </c>
      <c r="EF5">
        <v>4606</v>
      </c>
      <c r="EG5">
        <v>4151</v>
      </c>
      <c r="EH5">
        <v>4209</v>
      </c>
      <c r="EI5">
        <v>3779</v>
      </c>
      <c r="EJ5">
        <v>3147</v>
      </c>
      <c r="EK5">
        <v>2610</v>
      </c>
      <c r="EL5">
        <v>3592</v>
      </c>
      <c r="EM5">
        <v>3782</v>
      </c>
      <c r="EN5">
        <v>4063</v>
      </c>
      <c r="EO5">
        <v>3804</v>
      </c>
      <c r="EP5">
        <v>3464</v>
      </c>
      <c r="EQ5">
        <v>2839</v>
      </c>
      <c r="ER5">
        <v>2387</v>
      </c>
      <c r="ES5">
        <v>3731</v>
      </c>
      <c r="ET5">
        <v>4164</v>
      </c>
      <c r="EU5">
        <v>3924</v>
      </c>
      <c r="EV5">
        <v>3814</v>
      </c>
      <c r="EW5">
        <v>3332</v>
      </c>
      <c r="EX5">
        <v>2498</v>
      </c>
      <c r="EY5">
        <v>2275</v>
      </c>
      <c r="EZ5">
        <v>3828</v>
      </c>
      <c r="FA5">
        <v>3797</v>
      </c>
      <c r="FB5">
        <v>3906</v>
      </c>
      <c r="FC5">
        <v>3615</v>
      </c>
      <c r="FD5">
        <v>3549</v>
      </c>
      <c r="FE5">
        <v>2308</v>
      </c>
      <c r="FF5">
        <v>2555</v>
      </c>
      <c r="FG5">
        <v>4472</v>
      </c>
      <c r="FH5">
        <v>4585</v>
      </c>
      <c r="FI5">
        <v>4489</v>
      </c>
      <c r="FJ5">
        <v>4207</v>
      </c>
      <c r="FK5">
        <v>4145</v>
      </c>
      <c r="FL5">
        <v>2742</v>
      </c>
      <c r="FM5">
        <v>3040</v>
      </c>
      <c r="FN5">
        <v>4567</v>
      </c>
      <c r="FO5">
        <v>5331</v>
      </c>
      <c r="FP5">
        <v>5033</v>
      </c>
      <c r="FQ5">
        <v>5302</v>
      </c>
      <c r="FR5">
        <v>4748</v>
      </c>
      <c r="FS5">
        <v>3531</v>
      </c>
      <c r="FT5">
        <v>3885</v>
      </c>
      <c r="FU5">
        <v>5563</v>
      </c>
      <c r="FV5">
        <v>5973</v>
      </c>
      <c r="FW5">
        <v>5894</v>
      </c>
      <c r="FX5">
        <v>5731</v>
      </c>
      <c r="FY5">
        <v>5121</v>
      </c>
      <c r="FZ5">
        <v>4551</v>
      </c>
      <c r="GA5">
        <v>4430</v>
      </c>
      <c r="GB5">
        <v>6257</v>
      </c>
      <c r="GC5">
        <v>6584</v>
      </c>
      <c r="GD5">
        <v>7036</v>
      </c>
      <c r="GE5">
        <v>6850</v>
      </c>
      <c r="GF5">
        <v>6155</v>
      </c>
      <c r="GG5">
        <v>4864</v>
      </c>
      <c r="GH5">
        <v>4825</v>
      </c>
      <c r="GI5">
        <v>6979</v>
      </c>
      <c r="GJ5">
        <v>7559</v>
      </c>
      <c r="GK5">
        <v>7592</v>
      </c>
      <c r="GL5">
        <v>7330</v>
      </c>
      <c r="GM5">
        <v>7241</v>
      </c>
      <c r="GN5">
        <v>5008</v>
      </c>
      <c r="GO5">
        <v>6046</v>
      </c>
      <c r="GP5">
        <v>7868</v>
      </c>
      <c r="GQ5">
        <v>8079</v>
      </c>
      <c r="GR5">
        <v>7993</v>
      </c>
      <c r="GS5">
        <v>7307</v>
      </c>
      <c r="GT5">
        <v>5827</v>
      </c>
      <c r="GU5">
        <v>5168</v>
      </c>
      <c r="GV5">
        <v>5242</v>
      </c>
      <c r="GW5">
        <v>8248</v>
      </c>
      <c r="GX5">
        <v>9151</v>
      </c>
      <c r="GY5">
        <v>8101</v>
      </c>
      <c r="GZ5">
        <v>7945</v>
      </c>
      <c r="HA5">
        <v>6421</v>
      </c>
      <c r="HB5">
        <v>5790</v>
      </c>
      <c r="HC5">
        <v>5557</v>
      </c>
      <c r="HD5">
        <v>7431</v>
      </c>
      <c r="HE5">
        <v>7613</v>
      </c>
      <c r="HF5">
        <v>8037</v>
      </c>
      <c r="HG5">
        <v>7370</v>
      </c>
      <c r="HH5">
        <v>6622</v>
      </c>
      <c r="HI5">
        <v>5095</v>
      </c>
      <c r="HJ5">
        <v>4968</v>
      </c>
      <c r="HK5">
        <v>6917</v>
      </c>
      <c r="HL5">
        <v>7582</v>
      </c>
      <c r="HM5">
        <v>6909</v>
      </c>
      <c r="HN5">
        <v>6725</v>
      </c>
      <c r="HO5">
        <v>6078</v>
      </c>
      <c r="HP5">
        <v>4158</v>
      </c>
      <c r="HQ5">
        <v>4499</v>
      </c>
      <c r="HR5">
        <v>6720</v>
      </c>
      <c r="HS5">
        <v>7254</v>
      </c>
      <c r="HT5">
        <v>6510</v>
      </c>
      <c r="HU5">
        <v>6165</v>
      </c>
      <c r="HV5">
        <v>4895</v>
      </c>
      <c r="HW5">
        <v>3249</v>
      </c>
      <c r="HX5">
        <v>3885</v>
      </c>
      <c r="HY5">
        <v>6299</v>
      </c>
      <c r="HZ5">
        <v>6530</v>
      </c>
      <c r="IA5">
        <v>6198</v>
      </c>
      <c r="IB5">
        <v>5493</v>
      </c>
      <c r="IC5">
        <v>5339</v>
      </c>
      <c r="ID5">
        <v>3738</v>
      </c>
      <c r="IE5">
        <v>3902</v>
      </c>
      <c r="IF5">
        <v>6153</v>
      </c>
      <c r="IG5">
        <v>6915</v>
      </c>
      <c r="IH5">
        <v>6736</v>
      </c>
      <c r="II5">
        <v>6296</v>
      </c>
      <c r="IJ5">
        <v>5548</v>
      </c>
      <c r="IK5">
        <v>3766</v>
      </c>
      <c r="IL5">
        <v>4767</v>
      </c>
      <c r="IM5">
        <v>7682</v>
      </c>
      <c r="IN5">
        <v>7602</v>
      </c>
      <c r="IO5">
        <v>7500</v>
      </c>
      <c r="IP5">
        <v>6505</v>
      </c>
      <c r="IQ5">
        <v>5343</v>
      </c>
      <c r="IR5">
        <v>4160</v>
      </c>
      <c r="IS5">
        <v>5197</v>
      </c>
      <c r="IT5">
        <v>8105</v>
      </c>
      <c r="IU5">
        <v>8658</v>
      </c>
      <c r="IV5">
        <v>8375</v>
      </c>
      <c r="IW5">
        <v>7751</v>
      </c>
      <c r="IX5">
        <v>6839</v>
      </c>
      <c r="IY5">
        <v>5011</v>
      </c>
      <c r="IZ5">
        <v>5616</v>
      </c>
      <c r="JA5">
        <v>8128</v>
      </c>
      <c r="JB5">
        <v>8245</v>
      </c>
      <c r="JC5">
        <v>8920</v>
      </c>
      <c r="JD5">
        <v>7690</v>
      </c>
      <c r="JE5">
        <v>6928</v>
      </c>
      <c r="JF5">
        <v>5533</v>
      </c>
      <c r="JG5">
        <v>5353</v>
      </c>
      <c r="JH5">
        <v>7708</v>
      </c>
      <c r="JI5">
        <v>7941</v>
      </c>
      <c r="JJ5">
        <v>7573</v>
      </c>
      <c r="JK5">
        <v>7481</v>
      </c>
      <c r="JL5">
        <v>6190</v>
      </c>
      <c r="JM5">
        <v>4576</v>
      </c>
      <c r="JN5">
        <v>4322</v>
      </c>
      <c r="JO5">
        <v>6670</v>
      </c>
      <c r="JP5">
        <v>6770</v>
      </c>
      <c r="JQ5">
        <v>6274</v>
      </c>
      <c r="JR5">
        <v>5743</v>
      </c>
      <c r="JS5">
        <v>5205</v>
      </c>
      <c r="JT5">
        <v>3440</v>
      </c>
      <c r="JU5">
        <v>2746</v>
      </c>
      <c r="JV5">
        <v>3463</v>
      </c>
      <c r="JW5">
        <v>5599</v>
      </c>
      <c r="JX5">
        <v>5171</v>
      </c>
      <c r="JY5">
        <v>4461</v>
      </c>
      <c r="JZ5">
        <v>4034</v>
      </c>
      <c r="KA5">
        <v>2637</v>
      </c>
      <c r="KB5">
        <v>2128</v>
      </c>
      <c r="KC5">
        <v>2655</v>
      </c>
      <c r="KD5">
        <v>4056</v>
      </c>
      <c r="KE5">
        <v>3848</v>
      </c>
      <c r="KF5">
        <v>3323</v>
      </c>
      <c r="KG5">
        <v>2824</v>
      </c>
      <c r="KH5">
        <v>1857</v>
      </c>
      <c r="KI5">
        <v>1871</v>
      </c>
      <c r="KJ5">
        <v>3255</v>
      </c>
      <c r="KK5">
        <v>2800</v>
      </c>
      <c r="KL5">
        <v>2769</v>
      </c>
      <c r="KM5">
        <v>2318</v>
      </c>
      <c r="KN5">
        <v>2145</v>
      </c>
      <c r="KO5">
        <v>1264</v>
      </c>
      <c r="KP5">
        <v>1243</v>
      </c>
      <c r="KQ5">
        <v>2366</v>
      </c>
      <c r="KR5">
        <v>2053</v>
      </c>
      <c r="KS5">
        <v>1932</v>
      </c>
      <c r="KT5">
        <v>1398</v>
      </c>
      <c r="KU5">
        <v>1004</v>
      </c>
      <c r="KV5">
        <v>975</v>
      </c>
      <c r="KW5">
        <v>996</v>
      </c>
      <c r="KX5">
        <v>1859</v>
      </c>
      <c r="KY5">
        <v>1645</v>
      </c>
      <c r="KZ5">
        <v>1391</v>
      </c>
      <c r="LA5">
        <v>1428</v>
      </c>
      <c r="LB5">
        <v>1168</v>
      </c>
      <c r="LC5">
        <v>745</v>
      </c>
      <c r="LD5">
        <v>827</v>
      </c>
      <c r="LE5">
        <v>1371</v>
      </c>
      <c r="LF5">
        <v>1341</v>
      </c>
      <c r="LG5">
        <v>1142</v>
      </c>
      <c r="LH5">
        <v>1171</v>
      </c>
      <c r="LI5">
        <v>910</v>
      </c>
      <c r="LJ5">
        <v>605</v>
      </c>
      <c r="LK5">
        <v>726</v>
      </c>
      <c r="LL5">
        <v>1206</v>
      </c>
      <c r="LM5">
        <v>1182</v>
      </c>
      <c r="LN5">
        <v>938</v>
      </c>
      <c r="LO5">
        <v>854</v>
      </c>
      <c r="LP5">
        <v>953</v>
      </c>
      <c r="LQ5">
        <v>507</v>
      </c>
      <c r="LR5">
        <v>633</v>
      </c>
      <c r="LS5">
        <v>1138</v>
      </c>
      <c r="LT5">
        <v>834</v>
      </c>
      <c r="LU5">
        <v>865</v>
      </c>
      <c r="LV5">
        <v>899</v>
      </c>
      <c r="LW5">
        <v>740</v>
      </c>
      <c r="LX5">
        <v>398</v>
      </c>
      <c r="LY5">
        <v>501</v>
      </c>
      <c r="LZ5">
        <v>858</v>
      </c>
      <c r="MA5">
        <v>752</v>
      </c>
      <c r="MB5">
        <v>712</v>
      </c>
      <c r="MC5">
        <v>663</v>
      </c>
      <c r="MD5">
        <v>578</v>
      </c>
      <c r="ME5">
        <v>380</v>
      </c>
      <c r="MF5">
        <v>399</v>
      </c>
      <c r="MG5">
        <v>785</v>
      </c>
      <c r="MH5">
        <v>669</v>
      </c>
      <c r="MI5">
        <v>607</v>
      </c>
      <c r="MJ5">
        <v>595</v>
      </c>
      <c r="MK5">
        <v>501</v>
      </c>
      <c r="ML5">
        <v>345</v>
      </c>
      <c r="MM5">
        <v>448</v>
      </c>
      <c r="MN5">
        <v>575</v>
      </c>
      <c r="MO5">
        <v>494</v>
      </c>
      <c r="MP5">
        <v>474</v>
      </c>
      <c r="MQ5">
        <v>425</v>
      </c>
      <c r="MR5">
        <v>435</v>
      </c>
      <c r="MS5">
        <v>265</v>
      </c>
      <c r="MT5">
        <v>355</v>
      </c>
      <c r="MU5">
        <v>500</v>
      </c>
      <c r="MV5">
        <v>510</v>
      </c>
      <c r="MW5">
        <v>474</v>
      </c>
      <c r="MX5">
        <v>441</v>
      </c>
      <c r="MY5">
        <v>469</v>
      </c>
      <c r="MZ5">
        <v>292</v>
      </c>
      <c r="NA5">
        <v>401</v>
      </c>
      <c r="NB5">
        <v>587</v>
      </c>
      <c r="NC5">
        <v>583</v>
      </c>
      <c r="ND5">
        <v>591</v>
      </c>
      <c r="NE5">
        <v>475</v>
      </c>
      <c r="NF5">
        <v>277</v>
      </c>
      <c r="NG5">
        <v>280</v>
      </c>
      <c r="NH5">
        <v>524</v>
      </c>
      <c r="NI5">
        <v>859</v>
      </c>
      <c r="NJ5">
        <f>IFERROR(VLOOKUP(A5,#REF!,3,0),0)</f>
        <v>0</v>
      </c>
      <c r="NK5">
        <v>747</v>
      </c>
      <c r="NL5">
        <v>765</v>
      </c>
      <c r="NM5">
        <v>614</v>
      </c>
      <c r="NN5">
        <v>431</v>
      </c>
      <c r="NO5">
        <v>611</v>
      </c>
      <c r="NP5">
        <v>858</v>
      </c>
      <c r="NQ5">
        <v>807</v>
      </c>
      <c r="NR5">
        <v>813</v>
      </c>
      <c r="NS5">
        <v>718</v>
      </c>
      <c r="NT5">
        <v>654</v>
      </c>
      <c r="NU5">
        <v>493</v>
      </c>
      <c r="NV5">
        <v>695</v>
      </c>
      <c r="NW5">
        <v>942</v>
      </c>
      <c r="NX5">
        <v>986</v>
      </c>
      <c r="NY5">
        <v>998</v>
      </c>
      <c r="NZ5">
        <v>1063</v>
      </c>
      <c r="OA5">
        <v>950</v>
      </c>
      <c r="OB5">
        <v>609</v>
      </c>
      <c r="OC5">
        <v>733</v>
      </c>
      <c r="OD5">
        <v>1191</v>
      </c>
      <c r="OE5">
        <v>1631</v>
      </c>
      <c r="OF5">
        <v>1689</v>
      </c>
      <c r="OG5">
        <v>1514</v>
      </c>
      <c r="OH5">
        <v>1315</v>
      </c>
      <c r="OI5">
        <v>933</v>
      </c>
      <c r="OJ5">
        <v>1228</v>
      </c>
      <c r="OK5">
        <v>1793</v>
      </c>
      <c r="OL5">
        <v>2004</v>
      </c>
      <c r="OM5">
        <v>1994</v>
      </c>
      <c r="ON5">
        <v>1811</v>
      </c>
      <c r="OO5">
        <v>1623</v>
      </c>
      <c r="OP5">
        <v>1157</v>
      </c>
      <c r="OQ5">
        <v>1710</v>
      </c>
      <c r="OR5">
        <v>2136</v>
      </c>
      <c r="OS5" s="3">
        <v>2281</v>
      </c>
      <c r="OT5">
        <v>2142</v>
      </c>
      <c r="OU5">
        <v>2171</v>
      </c>
      <c r="OV5">
        <v>1738</v>
      </c>
      <c r="OW5">
        <v>1341</v>
      </c>
      <c r="OX5">
        <v>1300</v>
      </c>
      <c r="OY5">
        <v>1889</v>
      </c>
      <c r="OZ5">
        <v>2510</v>
      </c>
      <c r="PA5">
        <v>2796</v>
      </c>
      <c r="PB5">
        <v>2567</v>
      </c>
      <c r="PC5">
        <v>2253</v>
      </c>
      <c r="PD5">
        <v>1746</v>
      </c>
      <c r="PE5">
        <v>2164</v>
      </c>
      <c r="PF5">
        <v>2733</v>
      </c>
      <c r="PG5">
        <v>2940</v>
      </c>
      <c r="PH5">
        <v>2703</v>
      </c>
      <c r="PI5">
        <v>2753</v>
      </c>
      <c r="PJ5">
        <v>2286</v>
      </c>
      <c r="PK5">
        <v>1689</v>
      </c>
      <c r="PL5">
        <v>2120</v>
      </c>
      <c r="PM5">
        <v>2611</v>
      </c>
      <c r="PN5">
        <v>2698</v>
      </c>
      <c r="PO5">
        <v>2611</v>
      </c>
      <c r="PP5">
        <v>2641</v>
      </c>
      <c r="PQ5">
        <v>2168</v>
      </c>
      <c r="PR5">
        <v>1760</v>
      </c>
      <c r="PS5">
        <v>2034</v>
      </c>
      <c r="PT5">
        <v>2670</v>
      </c>
      <c r="PU5">
        <v>2674</v>
      </c>
      <c r="PV5">
        <v>2634</v>
      </c>
      <c r="PW5">
        <v>2328</v>
      </c>
      <c r="PX5">
        <v>1960</v>
      </c>
      <c r="PY5">
        <v>1386</v>
      </c>
      <c r="PZ5">
        <v>1523</v>
      </c>
      <c r="QA5">
        <v>2219</v>
      </c>
      <c r="QB5">
        <v>2091</v>
      </c>
      <c r="QC5">
        <v>2036</v>
      </c>
      <c r="QD5">
        <v>1927</v>
      </c>
      <c r="QE5">
        <v>1501</v>
      </c>
      <c r="QF5">
        <v>1164</v>
      </c>
      <c r="QG5">
        <v>1387</v>
      </c>
      <c r="QH5">
        <v>1771</v>
      </c>
      <c r="QI5">
        <v>1495</v>
      </c>
      <c r="QJ5">
        <v>1362</v>
      </c>
      <c r="QK5">
        <v>1577</v>
      </c>
      <c r="QL5">
        <v>1361</v>
      </c>
      <c r="QM5">
        <v>959</v>
      </c>
      <c r="QN5">
        <v>1060</v>
      </c>
      <c r="QO5">
        <v>1492</v>
      </c>
      <c r="QP5">
        <v>1433</v>
      </c>
      <c r="QQ5">
        <v>1415</v>
      </c>
      <c r="QR5">
        <v>1252</v>
      </c>
      <c r="QS5">
        <v>1126</v>
      </c>
      <c r="QT5">
        <v>884</v>
      </c>
      <c r="QU5">
        <v>964</v>
      </c>
      <c r="QV5">
        <v>1482</v>
      </c>
      <c r="QW5">
        <v>1399</v>
      </c>
      <c r="QX5">
        <v>1494</v>
      </c>
      <c r="QY5">
        <v>1155</v>
      </c>
      <c r="QZ5">
        <v>753</v>
      </c>
      <c r="RA5">
        <v>762</v>
      </c>
      <c r="RB5">
        <v>1096</v>
      </c>
      <c r="RC5">
        <v>1791</v>
      </c>
      <c r="RD5">
        <v>1812</v>
      </c>
      <c r="RE5">
        <v>1904</v>
      </c>
      <c r="RF5">
        <v>1904</v>
      </c>
      <c r="RG5">
        <v>995</v>
      </c>
      <c r="RH5">
        <v>1051</v>
      </c>
      <c r="RI5">
        <v>1840</v>
      </c>
      <c r="RJ5">
        <v>3112</v>
      </c>
      <c r="RK5">
        <v>3771</v>
      </c>
      <c r="RL5">
        <v>4346</v>
      </c>
      <c r="RM5">
        <v>4020</v>
      </c>
      <c r="RN5">
        <v>4041</v>
      </c>
      <c r="RO5">
        <v>3912</v>
      </c>
      <c r="RP5">
        <v>4828</v>
      </c>
      <c r="RQ5">
        <v>7247</v>
      </c>
      <c r="RR5">
        <v>8299</v>
      </c>
      <c r="RS5">
        <v>9337</v>
      </c>
      <c r="RT5">
        <v>9509</v>
      </c>
      <c r="RU5">
        <v>8930</v>
      </c>
      <c r="RV5">
        <v>7575</v>
      </c>
      <c r="RW5">
        <v>9542</v>
      </c>
      <c r="RX5">
        <v>13865</v>
      </c>
      <c r="RY5">
        <v>17682</v>
      </c>
      <c r="RZ5">
        <v>15471</v>
      </c>
      <c r="SA5">
        <v>15718</v>
      </c>
      <c r="SB5">
        <v>18797</v>
      </c>
      <c r="SC5">
        <v>17156</v>
      </c>
      <c r="SD5">
        <v>18736</v>
      </c>
      <c r="SE5">
        <v>27139</v>
      </c>
      <c r="SF5">
        <v>29461</v>
      </c>
      <c r="SG5">
        <v>30826</v>
      </c>
      <c r="SH5">
        <v>30477</v>
      </c>
      <c r="SI5">
        <v>28629</v>
      </c>
      <c r="SJ5">
        <v>23063</v>
      </c>
      <c r="SK5">
        <v>31376</v>
      </c>
      <c r="SL5">
        <v>36436</v>
      </c>
      <c r="SM5">
        <v>39493</v>
      </c>
      <c r="SN5">
        <v>38768</v>
      </c>
      <c r="SO5">
        <v>37104</v>
      </c>
      <c r="SP5">
        <v>31063</v>
      </c>
      <c r="SQ5">
        <v>25861</v>
      </c>
      <c r="SR5">
        <v>33362</v>
      </c>
      <c r="SS5">
        <v>39840</v>
      </c>
      <c r="ST5">
        <v>39720</v>
      </c>
      <c r="SU5">
        <v>39296</v>
      </c>
      <c r="SV5">
        <v>38248</v>
      </c>
      <c r="SW5">
        <v>28076</v>
      </c>
      <c r="SX5">
        <v>24036</v>
      </c>
      <c r="SY5">
        <v>32880</v>
      </c>
      <c r="SZ5">
        <v>35789</v>
      </c>
      <c r="TA5">
        <v>36136</v>
      </c>
      <c r="TB5">
        <v>35507</v>
      </c>
      <c r="TC5">
        <v>30398</v>
      </c>
      <c r="TD5">
        <v>24350</v>
      </c>
      <c r="TE5">
        <v>18380</v>
      </c>
      <c r="TF5">
        <v>27289</v>
      </c>
      <c r="TG5">
        <v>33518</v>
      </c>
      <c r="TH5">
        <v>31153</v>
      </c>
      <c r="TI5">
        <v>29688</v>
      </c>
      <c r="TJ5">
        <v>25292</v>
      </c>
      <c r="TK5">
        <v>19491</v>
      </c>
      <c r="TL5">
        <v>15348</v>
      </c>
      <c r="TM5">
        <v>21697</v>
      </c>
      <c r="TN5">
        <v>24895</v>
      </c>
      <c r="TO5">
        <v>23132</v>
      </c>
      <c r="TP5">
        <v>21661</v>
      </c>
      <c r="TQ5">
        <v>19353</v>
      </c>
      <c r="TR5">
        <v>14114</v>
      </c>
      <c r="TS5">
        <v>11764</v>
      </c>
      <c r="TT5">
        <v>16467</v>
      </c>
      <c r="TU5">
        <v>19943</v>
      </c>
      <c r="TV5">
        <v>18326</v>
      </c>
      <c r="TW5">
        <v>17414</v>
      </c>
      <c r="TX5">
        <v>15271</v>
      </c>
      <c r="TY5">
        <v>12861</v>
      </c>
      <c r="TZ5">
        <v>8716</v>
      </c>
      <c r="UA5">
        <v>14200</v>
      </c>
      <c r="UB5">
        <v>16655</v>
      </c>
      <c r="UC5">
        <v>12357</v>
      </c>
      <c r="UD5">
        <v>13182</v>
      </c>
      <c r="UE5">
        <v>10472</v>
      </c>
      <c r="UF5">
        <v>7555</v>
      </c>
      <c r="UG5">
        <v>5395</v>
      </c>
      <c r="UH5">
        <v>8769</v>
      </c>
      <c r="UI5">
        <v>9414</v>
      </c>
      <c r="UJ5">
        <v>9423</v>
      </c>
      <c r="UK5">
        <v>7448</v>
      </c>
      <c r="UL5">
        <v>7076</v>
      </c>
      <c r="UM5">
        <v>4463</v>
      </c>
      <c r="UN5">
        <v>3439</v>
      </c>
      <c r="UO5">
        <v>5926</v>
      </c>
      <c r="UP5">
        <v>6511</v>
      </c>
      <c r="UQ5">
        <v>5261</v>
      </c>
      <c r="UR5">
        <v>4478</v>
      </c>
      <c r="US5">
        <v>4478</v>
      </c>
      <c r="UT5">
        <v>3260</v>
      </c>
      <c r="UU5">
        <v>2049</v>
      </c>
      <c r="UV5">
        <v>4038</v>
      </c>
      <c r="UW5">
        <v>4432</v>
      </c>
      <c r="UX5">
        <v>4113</v>
      </c>
      <c r="UY5">
        <v>3773</v>
      </c>
      <c r="UZ5">
        <v>3464</v>
      </c>
      <c r="VA5">
        <v>2271</v>
      </c>
      <c r="VB5">
        <v>1587</v>
      </c>
      <c r="VC5">
        <v>3622</v>
      </c>
      <c r="VD5">
        <v>3622</v>
      </c>
      <c r="VE5">
        <v>2781</v>
      </c>
      <c r="VF5">
        <v>1632</v>
      </c>
      <c r="VG5">
        <v>1632</v>
      </c>
      <c r="VH5">
        <v>1271</v>
      </c>
      <c r="VI5">
        <v>1120</v>
      </c>
      <c r="VJ5">
        <v>2885</v>
      </c>
      <c r="VK5">
        <v>3309</v>
      </c>
      <c r="VL5">
        <v>2671</v>
      </c>
      <c r="VM5">
        <v>2030</v>
      </c>
      <c r="VN5">
        <v>2030</v>
      </c>
      <c r="VO5">
        <v>1484</v>
      </c>
      <c r="VP5">
        <v>1350</v>
      </c>
      <c r="VQ5">
        <v>2056</v>
      </c>
      <c r="VR5">
        <v>2573</v>
      </c>
      <c r="VS5">
        <v>2298</v>
      </c>
      <c r="VT5">
        <v>1505</v>
      </c>
      <c r="VU5">
        <v>1129</v>
      </c>
      <c r="VV5">
        <v>1129</v>
      </c>
      <c r="VW5">
        <v>1129</v>
      </c>
      <c r="VX5">
        <v>2533</v>
      </c>
      <c r="VY5">
        <v>3325</v>
      </c>
      <c r="VZ5">
        <v>3322</v>
      </c>
      <c r="WA5">
        <v>3322</v>
      </c>
      <c r="WB5">
        <v>3210</v>
      </c>
      <c r="WC5">
        <v>2025</v>
      </c>
      <c r="WD5">
        <v>1853</v>
      </c>
      <c r="WE5">
        <v>3295</v>
      </c>
      <c r="WF5">
        <v>4575</v>
      </c>
      <c r="WG5">
        <v>4928</v>
      </c>
      <c r="WH5">
        <v>4928</v>
      </c>
      <c r="WI5">
        <v>4928</v>
      </c>
      <c r="WJ5">
        <v>3816</v>
      </c>
      <c r="WK5">
        <v>2475</v>
      </c>
      <c r="WL5">
        <v>5137</v>
      </c>
      <c r="WM5">
        <v>6939</v>
      </c>
      <c r="WN5">
        <v>6143</v>
      </c>
      <c r="WO5">
        <v>6143</v>
      </c>
      <c r="WP5">
        <v>6143</v>
      </c>
      <c r="WQ5">
        <v>6112</v>
      </c>
      <c r="WR5">
        <v>6112</v>
      </c>
      <c r="WS5">
        <v>6112</v>
      </c>
      <c r="WT5">
        <v>6112</v>
      </c>
      <c r="WU5">
        <v>9500</v>
      </c>
      <c r="WV5">
        <v>9500</v>
      </c>
      <c r="WW5">
        <v>9500</v>
      </c>
      <c r="WX5">
        <v>4274</v>
      </c>
      <c r="WY5">
        <v>4274</v>
      </c>
      <c r="WZ5">
        <v>7580</v>
      </c>
      <c r="XA5">
        <v>9890</v>
      </c>
      <c r="XB5">
        <v>9890</v>
      </c>
      <c r="XC5">
        <v>8823</v>
      </c>
      <c r="XD5">
        <v>8823</v>
      </c>
      <c r="XE5">
        <v>7601</v>
      </c>
      <c r="XF5">
        <v>12061</v>
      </c>
      <c r="XG5">
        <v>12061</v>
      </c>
      <c r="XH5">
        <v>12061</v>
      </c>
      <c r="XI5">
        <v>12061</v>
      </c>
      <c r="XJ5">
        <v>12061</v>
      </c>
      <c r="XK5">
        <v>11039</v>
      </c>
      <c r="XL5">
        <v>9110</v>
      </c>
      <c r="XM5">
        <v>11678</v>
      </c>
      <c r="XN5">
        <v>11678</v>
      </c>
      <c r="XO5">
        <v>11678</v>
      </c>
      <c r="XP5">
        <v>11678</v>
      </c>
      <c r="XQ5">
        <v>11678</v>
      </c>
      <c r="XR5">
        <v>12637</v>
      </c>
      <c r="XS5">
        <v>12637</v>
      </c>
      <c r="XT5">
        <v>12637</v>
      </c>
      <c r="XU5">
        <v>12637</v>
      </c>
      <c r="XV5">
        <v>12637</v>
      </c>
      <c r="XW5">
        <v>12637</v>
      </c>
      <c r="XX5">
        <v>12637</v>
      </c>
      <c r="XY5">
        <v>11313</v>
      </c>
      <c r="XZ5">
        <v>8449</v>
      </c>
      <c r="YA5">
        <v>5517</v>
      </c>
      <c r="YB5">
        <v>6506</v>
      </c>
      <c r="YC5">
        <v>11365</v>
      </c>
      <c r="YD5">
        <v>9794</v>
      </c>
      <c r="YE5">
        <v>6570</v>
      </c>
      <c r="YF5" s="1">
        <v>5112</v>
      </c>
      <c r="YG5" s="1">
        <v>5112</v>
      </c>
      <c r="YH5" s="1">
        <v>5112</v>
      </c>
      <c r="YI5" s="1">
        <v>9232</v>
      </c>
      <c r="YJ5">
        <v>11082</v>
      </c>
      <c r="YK5">
        <v>9655</v>
      </c>
      <c r="YL5">
        <v>8775</v>
      </c>
      <c r="YM5">
        <v>6215</v>
      </c>
      <c r="YN5">
        <v>4573</v>
      </c>
      <c r="YO5">
        <v>4573</v>
      </c>
      <c r="YP5">
        <v>8494</v>
      </c>
      <c r="YQ5">
        <v>9113</v>
      </c>
      <c r="YR5">
        <v>7831</v>
      </c>
      <c r="YS5">
        <v>7831</v>
      </c>
      <c r="YT5">
        <v>6920</v>
      </c>
      <c r="YU5">
        <v>4626</v>
      </c>
      <c r="YV5">
        <v>3674</v>
      </c>
      <c r="YW5">
        <v>7963</v>
      </c>
      <c r="YX5">
        <v>7963</v>
      </c>
      <c r="YY5">
        <v>7963</v>
      </c>
      <c r="YZ5">
        <v>7963</v>
      </c>
      <c r="ZA5">
        <v>7730</v>
      </c>
      <c r="ZB5">
        <v>6100</v>
      </c>
      <c r="ZC5">
        <v>4433</v>
      </c>
      <c r="ZD5">
        <v>9044</v>
      </c>
      <c r="ZE5">
        <v>9945</v>
      </c>
      <c r="ZF5">
        <v>9188</v>
      </c>
      <c r="ZG5">
        <v>7997</v>
      </c>
      <c r="ZH5">
        <v>6502</v>
      </c>
      <c r="ZI5">
        <v>5008</v>
      </c>
      <c r="ZJ5">
        <v>9860</v>
      </c>
      <c r="ZK5">
        <v>11697</v>
      </c>
      <c r="ZL5">
        <v>11603</v>
      </c>
      <c r="ZM5">
        <v>10928</v>
      </c>
      <c r="ZN5">
        <v>9811</v>
      </c>
      <c r="ZO5">
        <v>7504</v>
      </c>
      <c r="ZP5">
        <v>5714</v>
      </c>
      <c r="ZQ5">
        <v>11243</v>
      </c>
      <c r="ZR5">
        <v>13494</v>
      </c>
      <c r="ZS5">
        <v>12908</v>
      </c>
      <c r="ZT5">
        <v>11888</v>
      </c>
      <c r="ZU5">
        <v>10442</v>
      </c>
      <c r="ZV5">
        <v>7583</v>
      </c>
      <c r="ZW5">
        <v>5513</v>
      </c>
      <c r="ZX5">
        <v>6164</v>
      </c>
      <c r="ZY5">
        <v>10465</v>
      </c>
      <c r="ZZ5">
        <v>11942</v>
      </c>
      <c r="AAA5">
        <v>9487</v>
      </c>
      <c r="AAB5">
        <v>9487</v>
      </c>
      <c r="AAC5">
        <v>6943</v>
      </c>
      <c r="AAD5">
        <v>4541</v>
      </c>
      <c r="AAE5">
        <v>8312</v>
      </c>
      <c r="AAF5">
        <v>9249</v>
      </c>
      <c r="AAG5">
        <v>8526</v>
      </c>
      <c r="AAH5">
        <v>7809</v>
      </c>
      <c r="AAI5">
        <v>6951</v>
      </c>
      <c r="AAJ5">
        <v>4819</v>
      </c>
      <c r="AAK5">
        <v>3451</v>
      </c>
      <c r="AAL5">
        <v>5748</v>
      </c>
      <c r="AAM5">
        <v>6948</v>
      </c>
      <c r="AAN5">
        <v>5238</v>
      </c>
      <c r="AAO5">
        <v>5029</v>
      </c>
      <c r="AAP5">
        <v>5029</v>
      </c>
      <c r="AAQ5">
        <v>3818</v>
      </c>
      <c r="AAR5">
        <v>2478</v>
      </c>
      <c r="AAS5">
        <v>5124</v>
      </c>
      <c r="AAT5">
        <v>5945</v>
      </c>
      <c r="AAU5">
        <v>5326</v>
      </c>
      <c r="AAV5">
        <v>4006</v>
      </c>
      <c r="AAW5">
        <v>4006</v>
      </c>
      <c r="AAX5">
        <v>2741</v>
      </c>
      <c r="AAY5">
        <v>1947</v>
      </c>
      <c r="AAZ5">
        <v>3855</v>
      </c>
      <c r="ABA5">
        <v>4423</v>
      </c>
      <c r="ABB5">
        <v>3185</v>
      </c>
      <c r="ABC5">
        <v>1896</v>
      </c>
      <c r="ABD5">
        <v>1896</v>
      </c>
      <c r="ABE5">
        <v>1602</v>
      </c>
      <c r="ABF5">
        <v>1381</v>
      </c>
      <c r="ABG5">
        <v>1888</v>
      </c>
      <c r="ABH5">
        <v>4098</v>
      </c>
      <c r="ABI5">
        <v>4335</v>
      </c>
      <c r="ABJ5">
        <v>4335</v>
      </c>
      <c r="ABK5">
        <v>4052</v>
      </c>
      <c r="ABL5">
        <v>2787</v>
      </c>
      <c r="ABM5">
        <v>1925</v>
      </c>
      <c r="ABN5">
        <v>4016</v>
      </c>
      <c r="ABO5">
        <v>4083</v>
      </c>
      <c r="ABP5">
        <v>3930</v>
      </c>
      <c r="ABQ5">
        <v>3012</v>
      </c>
      <c r="ABR5">
        <v>3012</v>
      </c>
      <c r="ABS5">
        <v>2193</v>
      </c>
      <c r="ABT5">
        <v>1761</v>
      </c>
      <c r="ABU5">
        <v>3349</v>
      </c>
      <c r="ABV5">
        <v>3795</v>
      </c>
      <c r="ABW5">
        <v>3428</v>
      </c>
      <c r="ABX5">
        <v>3428</v>
      </c>
      <c r="ABY5">
        <v>3428</v>
      </c>
      <c r="ABZ5">
        <v>3428</v>
      </c>
      <c r="ACA5">
        <v>1784</v>
      </c>
      <c r="ACB5">
        <v>4271</v>
      </c>
      <c r="ACC5">
        <v>4271</v>
      </c>
      <c r="ACD5">
        <v>4271</v>
      </c>
      <c r="ACE5">
        <v>4271</v>
      </c>
      <c r="ACF5">
        <v>4271</v>
      </c>
      <c r="ACG5">
        <v>3423</v>
      </c>
      <c r="ACH5">
        <v>2703</v>
      </c>
      <c r="ACI5">
        <v>5743</v>
      </c>
      <c r="ACJ5">
        <v>6375</v>
      </c>
      <c r="ACK5">
        <v>6228</v>
      </c>
      <c r="ACL5">
        <v>6228</v>
      </c>
      <c r="ACM5">
        <v>6228</v>
      </c>
      <c r="ACN5">
        <v>3219</v>
      </c>
      <c r="ACO5">
        <v>3219</v>
      </c>
      <c r="ACP5">
        <v>8274</v>
      </c>
      <c r="ACQ5">
        <v>8274</v>
      </c>
      <c r="ACR5">
        <v>5431</v>
      </c>
      <c r="ACS5">
        <v>5431</v>
      </c>
      <c r="ACT5">
        <v>5431</v>
      </c>
      <c r="ACU5">
        <v>2587</v>
      </c>
      <c r="ACV5">
        <v>7704</v>
      </c>
      <c r="ACW5">
        <v>7704</v>
      </c>
      <c r="ACX5">
        <v>7704</v>
      </c>
      <c r="ACY5">
        <v>7704</v>
      </c>
      <c r="ACZ5">
        <v>7704</v>
      </c>
      <c r="ADA5">
        <v>7704</v>
      </c>
      <c r="ADB5">
        <v>5319</v>
      </c>
      <c r="ADC5">
        <v>4030</v>
      </c>
      <c r="ADD5">
        <v>8225</v>
      </c>
      <c r="ADE5">
        <v>8225</v>
      </c>
      <c r="ADF5">
        <v>5820</v>
      </c>
      <c r="ADG5">
        <v>5820</v>
      </c>
      <c r="ADH5">
        <v>5820</v>
      </c>
      <c r="ADI5">
        <v>6589</v>
      </c>
      <c r="ADJ5">
        <v>6589</v>
      </c>
      <c r="ADK5">
        <v>6589</v>
      </c>
      <c r="ADL5">
        <v>2698</v>
      </c>
      <c r="ADM5">
        <v>2698</v>
      </c>
      <c r="ADN5">
        <v>2698</v>
      </c>
      <c r="ADO5">
        <v>2698</v>
      </c>
      <c r="ADP5">
        <v>2698</v>
      </c>
      <c r="ADQ5">
        <v>2698</v>
      </c>
      <c r="ADR5">
        <v>4343</v>
      </c>
      <c r="ADS5">
        <v>4343</v>
      </c>
      <c r="ADT5">
        <v>4343</v>
      </c>
      <c r="ADU5">
        <v>4343</v>
      </c>
      <c r="ADV5">
        <v>4343</v>
      </c>
      <c r="ADW5">
        <v>2329</v>
      </c>
      <c r="ADX5">
        <v>2329</v>
      </c>
      <c r="ADY5">
        <v>3522</v>
      </c>
      <c r="ADZ5">
        <v>3522</v>
      </c>
      <c r="AEA5">
        <v>3522</v>
      </c>
      <c r="AEB5">
        <v>3522</v>
      </c>
      <c r="AEC5">
        <v>3522</v>
      </c>
      <c r="AED5">
        <v>3280</v>
      </c>
      <c r="AEE5">
        <v>3280</v>
      </c>
      <c r="AEF5">
        <v>3280</v>
      </c>
      <c r="AEG5">
        <v>3280</v>
      </c>
      <c r="AEH5">
        <v>3280</v>
      </c>
      <c r="AEI5">
        <v>3280</v>
      </c>
      <c r="AEJ5">
        <v>3280</v>
      </c>
      <c r="AEK5">
        <v>3459</v>
      </c>
      <c r="AEL5">
        <v>3459</v>
      </c>
      <c r="AEM5">
        <v>3459</v>
      </c>
      <c r="AEN5">
        <v>3459</v>
      </c>
      <c r="AEO5">
        <v>3459</v>
      </c>
      <c r="AEP5">
        <v>3459</v>
      </c>
      <c r="AEQ5">
        <v>3459</v>
      </c>
      <c r="AER5">
        <v>5175</v>
      </c>
      <c r="AES5">
        <v>5175</v>
      </c>
      <c r="AET5">
        <v>5175</v>
      </c>
      <c r="AEU5">
        <v>5175</v>
      </c>
      <c r="AEV5">
        <v>5175</v>
      </c>
      <c r="AEW5">
        <v>5175</v>
      </c>
      <c r="AEX5">
        <v>5175</v>
      </c>
      <c r="AEY5">
        <v>5175</v>
      </c>
      <c r="AEZ5">
        <v>5175</v>
      </c>
      <c r="AFA5">
        <v>5175</v>
      </c>
      <c r="AFB5">
        <v>5175</v>
      </c>
      <c r="AFC5">
        <v>5175</v>
      </c>
      <c r="AFD5">
        <v>5175</v>
      </c>
      <c r="AFE5">
        <v>2523</v>
      </c>
      <c r="AFF5">
        <v>2523</v>
      </c>
      <c r="AFG5">
        <v>2523</v>
      </c>
      <c r="AFH5">
        <v>2523</v>
      </c>
      <c r="AFI5">
        <v>2523</v>
      </c>
      <c r="AFJ5">
        <v>2523</v>
      </c>
      <c r="AFK5">
        <v>2523</v>
      </c>
      <c r="AFL5">
        <v>2523</v>
      </c>
      <c r="AFM5">
        <v>2523</v>
      </c>
      <c r="AFN5">
        <v>2577</v>
      </c>
      <c r="AFO5">
        <v>2577</v>
      </c>
      <c r="AFP5">
        <v>2577</v>
      </c>
      <c r="AFQ5">
        <v>2577</v>
      </c>
      <c r="AFR5">
        <v>2577</v>
      </c>
      <c r="AFS5">
        <v>2577</v>
      </c>
      <c r="AFT5">
        <v>2075</v>
      </c>
      <c r="AFU5">
        <v>2075</v>
      </c>
      <c r="AFV5">
        <v>2075</v>
      </c>
      <c r="AFW5">
        <v>2075</v>
      </c>
      <c r="AFX5">
        <v>2075</v>
      </c>
      <c r="AFY5">
        <v>2075</v>
      </c>
      <c r="AFZ5">
        <v>2075</v>
      </c>
      <c r="AGA5">
        <v>1473</v>
      </c>
      <c r="AGB5">
        <v>1473</v>
      </c>
      <c r="AGC5">
        <v>1473</v>
      </c>
      <c r="AGD5">
        <v>1473</v>
      </c>
      <c r="AGE5">
        <v>1473</v>
      </c>
      <c r="AGF5">
        <v>1473</v>
      </c>
      <c r="AGG5">
        <v>1473</v>
      </c>
      <c r="AGH5">
        <v>1473</v>
      </c>
      <c r="AGI5">
        <v>1473</v>
      </c>
      <c r="AGJ5">
        <v>1473</v>
      </c>
      <c r="AGK5">
        <v>1473</v>
      </c>
      <c r="AGL5">
        <v>1473</v>
      </c>
      <c r="AGM5">
        <v>1473</v>
      </c>
      <c r="AGN5">
        <v>1473</v>
      </c>
      <c r="AGO5">
        <v>1618</v>
      </c>
      <c r="AGP5">
        <v>1618</v>
      </c>
      <c r="AGQ5">
        <v>1618</v>
      </c>
      <c r="AGR5">
        <v>1618</v>
      </c>
      <c r="AGS5">
        <v>1618</v>
      </c>
      <c r="AGT5">
        <v>1618</v>
      </c>
      <c r="AGU5">
        <v>1618</v>
      </c>
      <c r="AGV5">
        <v>1618</v>
      </c>
      <c r="AGW5">
        <v>1618</v>
      </c>
      <c r="AGX5">
        <v>1618</v>
      </c>
      <c r="AGY5">
        <v>1618</v>
      </c>
      <c r="AGZ5">
        <v>1618</v>
      </c>
      <c r="AHA5">
        <v>1618</v>
      </c>
      <c r="AHB5">
        <v>1618</v>
      </c>
      <c r="AHC5">
        <v>1606</v>
      </c>
      <c r="AHD5">
        <v>1606</v>
      </c>
      <c r="AHE5">
        <v>1606</v>
      </c>
      <c r="AHF5">
        <v>1606</v>
      </c>
      <c r="AHG5">
        <v>1606</v>
      </c>
      <c r="AHH5">
        <v>1606</v>
      </c>
      <c r="AHI5">
        <v>1606</v>
      </c>
      <c r="AHJ5">
        <v>1606</v>
      </c>
      <c r="AHK5">
        <v>2031</v>
      </c>
      <c r="AHL5">
        <v>2031</v>
      </c>
      <c r="AHM5">
        <v>2031</v>
      </c>
      <c r="AHN5">
        <v>2031</v>
      </c>
      <c r="AHO5">
        <v>2031</v>
      </c>
      <c r="AHP5">
        <v>2031</v>
      </c>
      <c r="AHQ5">
        <v>2031</v>
      </c>
    </row>
    <row r="6" spans="1:901">
      <c r="A6" s="1" t="s">
        <v>35</v>
      </c>
      <c r="B6">
        <v>7787</v>
      </c>
      <c r="C6">
        <v>7568</v>
      </c>
      <c r="D6">
        <v>6526</v>
      </c>
      <c r="E6">
        <v>7927</v>
      </c>
      <c r="F6">
        <v>6678</v>
      </c>
      <c r="G6">
        <v>5359</v>
      </c>
      <c r="H6">
        <v>7102</v>
      </c>
      <c r="I6">
        <v>6731</v>
      </c>
      <c r="J6">
        <v>6555</v>
      </c>
      <c r="K6">
        <v>7494</v>
      </c>
      <c r="L6">
        <v>7018</v>
      </c>
      <c r="M6">
        <v>5147</v>
      </c>
      <c r="N6">
        <v>5839</v>
      </c>
      <c r="O6">
        <v>5637</v>
      </c>
      <c r="P6">
        <v>5660</v>
      </c>
      <c r="Q6">
        <v>6192</v>
      </c>
      <c r="R6">
        <v>6616</v>
      </c>
      <c r="S6">
        <v>6905</v>
      </c>
      <c r="T6">
        <v>7106</v>
      </c>
      <c r="U6">
        <v>7650</v>
      </c>
      <c r="V6">
        <v>7875</v>
      </c>
      <c r="W6">
        <v>8496</v>
      </c>
      <c r="X6">
        <v>8121</v>
      </c>
      <c r="Y6">
        <v>8447</v>
      </c>
      <c r="Z6">
        <v>8569</v>
      </c>
      <c r="AA6">
        <v>7767</v>
      </c>
      <c r="AB6">
        <v>5015</v>
      </c>
      <c r="AC6">
        <v>6061</v>
      </c>
      <c r="AD6">
        <v>6823</v>
      </c>
      <c r="AE6">
        <v>8372</v>
      </c>
      <c r="AF6">
        <v>7017</v>
      </c>
      <c r="AG6">
        <v>7201</v>
      </c>
      <c r="AH6">
        <v>6311</v>
      </c>
      <c r="AI6">
        <v>8256</v>
      </c>
      <c r="AJ6">
        <v>7561</v>
      </c>
      <c r="AK6">
        <v>8570</v>
      </c>
      <c r="AL6">
        <v>8672</v>
      </c>
      <c r="AM6">
        <v>8769</v>
      </c>
      <c r="AN6">
        <v>8174</v>
      </c>
      <c r="AO6">
        <v>9167</v>
      </c>
      <c r="AP6">
        <v>8166</v>
      </c>
      <c r="AQ6">
        <v>8717</v>
      </c>
      <c r="AR6">
        <v>11187</v>
      </c>
      <c r="AS6">
        <v>10029</v>
      </c>
      <c r="AT6">
        <v>11033</v>
      </c>
      <c r="AU6">
        <v>9137</v>
      </c>
      <c r="AV6">
        <v>9935</v>
      </c>
      <c r="AW6">
        <v>6136</v>
      </c>
      <c r="AX6">
        <v>8692</v>
      </c>
      <c r="AY6">
        <v>9893</v>
      </c>
      <c r="AZ6">
        <v>9756</v>
      </c>
      <c r="BA6">
        <v>8714</v>
      </c>
      <c r="BB6">
        <v>7440</v>
      </c>
      <c r="BC6">
        <v>5176</v>
      </c>
      <c r="BD6">
        <v>7612</v>
      </c>
      <c r="BE6">
        <v>8651</v>
      </c>
      <c r="BF6">
        <v>8686</v>
      </c>
      <c r="BG6">
        <v>8685</v>
      </c>
      <c r="BH6">
        <v>8307</v>
      </c>
      <c r="BI6">
        <v>7742</v>
      </c>
      <c r="BJ6">
        <v>6471</v>
      </c>
      <c r="BK6">
        <v>5911</v>
      </c>
      <c r="BL6">
        <v>6875</v>
      </c>
      <c r="BM6">
        <v>7487</v>
      </c>
      <c r="BN6">
        <v>7954</v>
      </c>
      <c r="BO6">
        <v>7049</v>
      </c>
      <c r="BP6">
        <v>7924</v>
      </c>
      <c r="BQ6">
        <v>6562</v>
      </c>
      <c r="BR6">
        <v>7515</v>
      </c>
      <c r="BS6">
        <v>8497</v>
      </c>
      <c r="BT6">
        <v>9496</v>
      </c>
      <c r="BU6">
        <v>10023</v>
      </c>
      <c r="BV6">
        <v>9103</v>
      </c>
      <c r="BW6">
        <v>8763</v>
      </c>
      <c r="BX6">
        <v>8430</v>
      </c>
      <c r="BY6">
        <v>7986</v>
      </c>
      <c r="BZ6">
        <v>9297</v>
      </c>
      <c r="CA6">
        <v>9233</v>
      </c>
      <c r="CB6">
        <v>9285</v>
      </c>
      <c r="CC6">
        <v>9642</v>
      </c>
      <c r="CD6">
        <v>8854</v>
      </c>
      <c r="CE6">
        <v>5997</v>
      </c>
      <c r="CF6">
        <v>7510</v>
      </c>
      <c r="CG6">
        <v>7523</v>
      </c>
      <c r="CH6">
        <v>7778</v>
      </c>
      <c r="CI6">
        <v>8998</v>
      </c>
      <c r="CJ6">
        <v>8163</v>
      </c>
      <c r="CK6">
        <v>8702</v>
      </c>
      <c r="CL6">
        <v>8742</v>
      </c>
      <c r="CM6">
        <v>10130</v>
      </c>
      <c r="CN6">
        <v>11953</v>
      </c>
      <c r="CO6">
        <v>12196</v>
      </c>
      <c r="CP6">
        <v>13277</v>
      </c>
      <c r="CQ6">
        <v>13990</v>
      </c>
      <c r="CR6">
        <v>11160</v>
      </c>
      <c r="CS6">
        <v>10845</v>
      </c>
      <c r="CT6">
        <v>12526</v>
      </c>
      <c r="CU6">
        <v>14233</v>
      </c>
      <c r="CV6">
        <v>14940</v>
      </c>
      <c r="CW6">
        <v>14941</v>
      </c>
      <c r="CX6">
        <v>10196</v>
      </c>
      <c r="CY6">
        <v>9594</v>
      </c>
      <c r="CZ6">
        <v>9310</v>
      </c>
      <c r="DA6">
        <v>11015</v>
      </c>
      <c r="DB6">
        <v>11639</v>
      </c>
      <c r="DC6">
        <v>16314</v>
      </c>
      <c r="DD6">
        <v>12105</v>
      </c>
      <c r="DE6">
        <v>11528</v>
      </c>
      <c r="DF6">
        <v>9412</v>
      </c>
      <c r="DG6">
        <v>10311</v>
      </c>
      <c r="DH6">
        <v>16835</v>
      </c>
      <c r="DI6">
        <v>16805</v>
      </c>
      <c r="DJ6">
        <v>17576</v>
      </c>
      <c r="DK6">
        <v>18221</v>
      </c>
      <c r="DL6">
        <v>15795</v>
      </c>
      <c r="DM6">
        <v>15537</v>
      </c>
      <c r="DN6">
        <v>15003</v>
      </c>
      <c r="DO6">
        <v>14179</v>
      </c>
      <c r="DP6">
        <v>15898</v>
      </c>
      <c r="DQ6">
        <v>17121</v>
      </c>
      <c r="DR6">
        <v>21078</v>
      </c>
      <c r="DS6">
        <v>20855</v>
      </c>
      <c r="DT6">
        <v>17379</v>
      </c>
      <c r="DU6">
        <v>14719</v>
      </c>
      <c r="DV6">
        <v>15939</v>
      </c>
      <c r="DW6">
        <v>17908</v>
      </c>
      <c r="DX6">
        <v>15366</v>
      </c>
      <c r="DY6">
        <v>15073</v>
      </c>
      <c r="DZ6">
        <v>15551</v>
      </c>
      <c r="EA6">
        <v>12516</v>
      </c>
      <c r="EB6">
        <v>12261</v>
      </c>
      <c r="EC6">
        <v>13606</v>
      </c>
      <c r="ED6">
        <v>13953</v>
      </c>
      <c r="EE6">
        <v>12270</v>
      </c>
      <c r="EF6">
        <v>10058</v>
      </c>
      <c r="EG6">
        <v>9173</v>
      </c>
      <c r="EH6">
        <v>8078</v>
      </c>
      <c r="EI6">
        <v>9622</v>
      </c>
      <c r="EJ6">
        <v>10091</v>
      </c>
      <c r="EK6">
        <v>11025</v>
      </c>
      <c r="EL6">
        <v>9790</v>
      </c>
      <c r="EM6">
        <v>7248</v>
      </c>
      <c r="EN6">
        <v>8547</v>
      </c>
      <c r="EO6">
        <v>6009</v>
      </c>
      <c r="EP6">
        <v>4246</v>
      </c>
      <c r="EQ6">
        <v>5442</v>
      </c>
      <c r="ER6">
        <v>6443</v>
      </c>
      <c r="ES6">
        <v>6294</v>
      </c>
      <c r="ET6">
        <v>5528</v>
      </c>
      <c r="EU6">
        <v>4947</v>
      </c>
      <c r="EV6">
        <v>4923</v>
      </c>
      <c r="EW6">
        <v>3510</v>
      </c>
      <c r="EX6">
        <v>4049</v>
      </c>
      <c r="EY6">
        <v>5103</v>
      </c>
      <c r="EZ6">
        <v>4824</v>
      </c>
      <c r="FA6">
        <v>4476</v>
      </c>
      <c r="FB6">
        <v>5017</v>
      </c>
      <c r="FC6">
        <v>4244</v>
      </c>
      <c r="FD6">
        <v>3401</v>
      </c>
      <c r="FE6">
        <v>3926</v>
      </c>
      <c r="FF6">
        <v>3953</v>
      </c>
      <c r="FG6">
        <v>3683</v>
      </c>
      <c r="FH6">
        <v>3567</v>
      </c>
      <c r="FI6">
        <v>3343</v>
      </c>
      <c r="FJ6">
        <v>3555</v>
      </c>
      <c r="FK6">
        <v>3570</v>
      </c>
      <c r="FL6">
        <v>4339</v>
      </c>
      <c r="FM6">
        <v>3047</v>
      </c>
      <c r="FN6">
        <v>3565</v>
      </c>
      <c r="FO6">
        <v>3371</v>
      </c>
      <c r="FP6">
        <v>3663</v>
      </c>
      <c r="FQ6">
        <v>3411</v>
      </c>
      <c r="FR6">
        <v>2205</v>
      </c>
      <c r="FS6">
        <v>3511</v>
      </c>
      <c r="FT6">
        <v>3588</v>
      </c>
      <c r="FU6">
        <v>4579</v>
      </c>
      <c r="FV6">
        <v>4078</v>
      </c>
      <c r="FW6">
        <v>4465</v>
      </c>
      <c r="FX6">
        <v>4062</v>
      </c>
      <c r="FY6">
        <v>2740</v>
      </c>
      <c r="FZ6">
        <v>3716</v>
      </c>
      <c r="GA6">
        <v>4554</v>
      </c>
      <c r="GB6">
        <v>5139</v>
      </c>
      <c r="GC6">
        <v>5133</v>
      </c>
      <c r="GD6">
        <v>6761</v>
      </c>
      <c r="GE6">
        <v>5963</v>
      </c>
      <c r="GF6">
        <v>5128</v>
      </c>
      <c r="GG6">
        <v>4946</v>
      </c>
      <c r="GH6">
        <v>5986</v>
      </c>
      <c r="GI6">
        <v>6732</v>
      </c>
      <c r="GJ6">
        <v>7395</v>
      </c>
      <c r="GK6">
        <v>8254</v>
      </c>
      <c r="GL6">
        <v>7139</v>
      </c>
      <c r="GM6">
        <v>7049</v>
      </c>
      <c r="GN6">
        <v>7952</v>
      </c>
      <c r="GO6">
        <v>8646</v>
      </c>
      <c r="GP6">
        <v>11449</v>
      </c>
      <c r="GQ6">
        <v>10222</v>
      </c>
      <c r="GR6">
        <v>9149</v>
      </c>
      <c r="GS6">
        <v>9022</v>
      </c>
      <c r="GT6">
        <v>10190</v>
      </c>
      <c r="GU6">
        <v>11827</v>
      </c>
      <c r="GV6">
        <v>11381</v>
      </c>
      <c r="GW6">
        <v>12464</v>
      </c>
      <c r="GX6">
        <v>12125</v>
      </c>
      <c r="GY6">
        <v>14509</v>
      </c>
      <c r="GZ6">
        <v>17483</v>
      </c>
      <c r="HA6">
        <v>16739</v>
      </c>
      <c r="HB6">
        <v>16377</v>
      </c>
      <c r="HC6">
        <v>16487</v>
      </c>
      <c r="HD6">
        <v>16918</v>
      </c>
      <c r="HE6">
        <v>16703</v>
      </c>
      <c r="HF6">
        <v>16654</v>
      </c>
      <c r="HG6">
        <v>16871</v>
      </c>
      <c r="HH6">
        <v>14189</v>
      </c>
      <c r="HI6">
        <v>16965</v>
      </c>
      <c r="HJ6">
        <v>17212</v>
      </c>
      <c r="HK6">
        <v>19306</v>
      </c>
      <c r="HL6">
        <v>19925</v>
      </c>
      <c r="HM6">
        <v>16730</v>
      </c>
      <c r="HN6">
        <v>17190</v>
      </c>
      <c r="HO6">
        <v>12839</v>
      </c>
      <c r="HP6">
        <v>17578</v>
      </c>
      <c r="HQ6">
        <v>19745</v>
      </c>
      <c r="HR6">
        <v>17308</v>
      </c>
      <c r="HS6">
        <v>17790</v>
      </c>
      <c r="HT6">
        <v>18022</v>
      </c>
      <c r="HU6">
        <v>15909</v>
      </c>
      <c r="HV6">
        <v>11599</v>
      </c>
      <c r="HW6">
        <v>14551</v>
      </c>
      <c r="HX6">
        <v>14806</v>
      </c>
      <c r="HY6">
        <v>16490</v>
      </c>
      <c r="HZ6">
        <v>17525</v>
      </c>
      <c r="IA6">
        <v>16910</v>
      </c>
      <c r="IB6">
        <v>17222</v>
      </c>
      <c r="IC6">
        <v>12543</v>
      </c>
      <c r="ID6">
        <v>16425</v>
      </c>
      <c r="IE6">
        <v>16993</v>
      </c>
      <c r="IF6">
        <v>19160</v>
      </c>
      <c r="IG6">
        <v>16581</v>
      </c>
      <c r="IH6">
        <v>18873</v>
      </c>
      <c r="II6">
        <v>15093</v>
      </c>
      <c r="IJ6">
        <v>12984</v>
      </c>
      <c r="IK6">
        <v>13137</v>
      </c>
      <c r="IL6">
        <v>16579</v>
      </c>
      <c r="IM6">
        <v>16086</v>
      </c>
      <c r="IN6">
        <v>14838</v>
      </c>
      <c r="IO6">
        <v>18737</v>
      </c>
      <c r="IP6">
        <v>21669</v>
      </c>
      <c r="IQ6">
        <v>16977</v>
      </c>
      <c r="IR6">
        <v>21181</v>
      </c>
      <c r="IS6">
        <v>23487</v>
      </c>
      <c r="IT6">
        <v>25092</v>
      </c>
      <c r="IU6">
        <v>23374</v>
      </c>
      <c r="IV6">
        <v>20494</v>
      </c>
      <c r="IW6">
        <v>20218</v>
      </c>
      <c r="IX6">
        <v>23177</v>
      </c>
      <c r="IY6">
        <v>25966</v>
      </c>
      <c r="IZ6">
        <v>27000</v>
      </c>
      <c r="JA6">
        <v>28624</v>
      </c>
      <c r="JB6">
        <v>30000</v>
      </c>
      <c r="JC6">
        <v>28971</v>
      </c>
      <c r="JD6">
        <v>24050</v>
      </c>
      <c r="JE6">
        <v>21949</v>
      </c>
      <c r="JF6">
        <v>18586</v>
      </c>
      <c r="JG6">
        <v>24233</v>
      </c>
      <c r="JH6">
        <v>29302</v>
      </c>
      <c r="JI6">
        <v>29570</v>
      </c>
      <c r="JJ6">
        <v>29998</v>
      </c>
      <c r="JK6">
        <v>28519</v>
      </c>
      <c r="JL6">
        <v>24376</v>
      </c>
      <c r="JM6">
        <v>24452</v>
      </c>
      <c r="JN6">
        <v>27827</v>
      </c>
      <c r="JO6">
        <v>29945</v>
      </c>
      <c r="JP6">
        <v>28790</v>
      </c>
      <c r="JQ6">
        <v>28734</v>
      </c>
      <c r="JR6">
        <v>27818</v>
      </c>
      <c r="JS6">
        <v>23239</v>
      </c>
      <c r="JT6">
        <v>28616</v>
      </c>
      <c r="JU6">
        <v>29995</v>
      </c>
      <c r="JV6">
        <v>32997</v>
      </c>
      <c r="JW6">
        <v>32733</v>
      </c>
      <c r="JX6">
        <v>33594</v>
      </c>
      <c r="JY6">
        <v>32376</v>
      </c>
      <c r="JZ6">
        <v>28478</v>
      </c>
      <c r="KA6">
        <v>25880</v>
      </c>
      <c r="KB6">
        <v>27908</v>
      </c>
      <c r="KC6">
        <v>28315</v>
      </c>
      <c r="KD6">
        <v>28005</v>
      </c>
      <c r="KE6">
        <v>26928</v>
      </c>
      <c r="KF6">
        <v>26265</v>
      </c>
      <c r="KG6">
        <v>25366</v>
      </c>
      <c r="KH6">
        <v>26721</v>
      </c>
      <c r="KI6">
        <v>24229</v>
      </c>
      <c r="KJ6">
        <v>23275</v>
      </c>
      <c r="KK6">
        <v>21536</v>
      </c>
      <c r="KL6">
        <v>20915</v>
      </c>
      <c r="KM6">
        <v>19423</v>
      </c>
      <c r="KN6">
        <v>18650</v>
      </c>
      <c r="KO6">
        <v>17532</v>
      </c>
      <c r="KP6">
        <v>17230</v>
      </c>
      <c r="KQ6">
        <v>18070</v>
      </c>
      <c r="KR6">
        <v>17893</v>
      </c>
      <c r="KS6">
        <v>19925</v>
      </c>
      <c r="KT6">
        <v>18206</v>
      </c>
      <c r="KU6">
        <v>16455</v>
      </c>
      <c r="KV6">
        <v>12829</v>
      </c>
      <c r="KW6">
        <v>11244</v>
      </c>
      <c r="KX6">
        <v>12576</v>
      </c>
      <c r="KY6">
        <v>13164</v>
      </c>
      <c r="KZ6">
        <v>11064</v>
      </c>
      <c r="LA6">
        <v>11048</v>
      </c>
      <c r="LB6">
        <v>8503</v>
      </c>
      <c r="LC6">
        <v>11426</v>
      </c>
      <c r="LD6">
        <v>9364</v>
      </c>
      <c r="LE6">
        <v>9690</v>
      </c>
      <c r="LF6">
        <v>9462</v>
      </c>
      <c r="LG6">
        <v>9029</v>
      </c>
      <c r="LH6">
        <v>9094</v>
      </c>
      <c r="LI6">
        <v>6636</v>
      </c>
      <c r="LJ6">
        <v>6929</v>
      </c>
      <c r="LK6">
        <v>7084</v>
      </c>
      <c r="LL6">
        <v>6540</v>
      </c>
      <c r="LM6">
        <v>6980</v>
      </c>
      <c r="LN6">
        <v>6051</v>
      </c>
      <c r="LO6">
        <v>4350</v>
      </c>
      <c r="LP6">
        <v>4023</v>
      </c>
      <c r="LQ6">
        <v>3948</v>
      </c>
      <c r="LR6">
        <v>5368</v>
      </c>
      <c r="LS6">
        <v>4272</v>
      </c>
      <c r="LT6">
        <v>4027</v>
      </c>
      <c r="LU6">
        <v>4007</v>
      </c>
      <c r="LV6">
        <v>3132</v>
      </c>
      <c r="LW6">
        <v>3161</v>
      </c>
      <c r="LX6">
        <v>3247</v>
      </c>
      <c r="LY6">
        <v>3154</v>
      </c>
      <c r="LZ6">
        <v>3193</v>
      </c>
      <c r="MA6">
        <v>3416</v>
      </c>
      <c r="MB6">
        <v>2965</v>
      </c>
      <c r="MC6">
        <v>2640</v>
      </c>
      <c r="MD6">
        <v>2698</v>
      </c>
      <c r="ME6">
        <v>2467</v>
      </c>
      <c r="MF6">
        <v>2448</v>
      </c>
      <c r="MG6">
        <v>1935</v>
      </c>
      <c r="MH6">
        <v>2078</v>
      </c>
      <c r="MI6">
        <v>2141</v>
      </c>
      <c r="MJ6">
        <v>1954</v>
      </c>
      <c r="MK6">
        <v>2006</v>
      </c>
      <c r="ML6">
        <v>1822</v>
      </c>
      <c r="MM6">
        <v>1996</v>
      </c>
      <c r="MN6">
        <v>1949</v>
      </c>
      <c r="MO6">
        <v>1850</v>
      </c>
      <c r="MP6">
        <v>2099</v>
      </c>
      <c r="MQ6">
        <v>1669</v>
      </c>
      <c r="MR6">
        <v>1124</v>
      </c>
      <c r="MS6">
        <v>1637</v>
      </c>
      <c r="MT6">
        <v>1787</v>
      </c>
      <c r="MU6">
        <v>1803</v>
      </c>
      <c r="MV6">
        <v>1772</v>
      </c>
      <c r="MW6">
        <v>1806</v>
      </c>
      <c r="MX6">
        <v>1671</v>
      </c>
      <c r="MY6">
        <v>1314</v>
      </c>
      <c r="MZ6">
        <v>1435</v>
      </c>
      <c r="NA6">
        <v>1570</v>
      </c>
      <c r="NB6">
        <v>1484</v>
      </c>
      <c r="NC6">
        <v>1544</v>
      </c>
      <c r="ND6">
        <v>1655</v>
      </c>
      <c r="NE6">
        <v>1813</v>
      </c>
      <c r="NF6">
        <v>1185</v>
      </c>
      <c r="NG6">
        <v>1373</v>
      </c>
      <c r="NH6">
        <v>1581</v>
      </c>
      <c r="NI6">
        <v>1608</v>
      </c>
      <c r="NJ6">
        <v>1702</v>
      </c>
      <c r="NK6">
        <v>1740</v>
      </c>
      <c r="NL6">
        <v>1422</v>
      </c>
      <c r="NM6">
        <v>1015</v>
      </c>
      <c r="NN6">
        <v>1686</v>
      </c>
      <c r="NO6">
        <v>1472</v>
      </c>
      <c r="NP6">
        <v>1429</v>
      </c>
      <c r="NQ6">
        <v>1867</v>
      </c>
      <c r="NR6">
        <v>1497</v>
      </c>
      <c r="NS6">
        <v>1413</v>
      </c>
      <c r="NT6">
        <v>1189</v>
      </c>
      <c r="NU6">
        <v>1211</v>
      </c>
      <c r="NV6">
        <v>1393</v>
      </c>
      <c r="NW6">
        <v>1677</v>
      </c>
      <c r="NX6">
        <v>1607</v>
      </c>
      <c r="NY6">
        <v>1587</v>
      </c>
      <c r="NZ6">
        <v>1518</v>
      </c>
      <c r="OA6">
        <v>1089</v>
      </c>
      <c r="OB6">
        <v>1075</v>
      </c>
      <c r="OC6">
        <v>1256</v>
      </c>
      <c r="OD6">
        <v>1387</v>
      </c>
      <c r="OE6">
        <v>1646</v>
      </c>
      <c r="OF6">
        <v>1544</v>
      </c>
      <c r="OG6">
        <v>1299</v>
      </c>
      <c r="OH6">
        <v>1043</v>
      </c>
      <c r="OI6">
        <v>952</v>
      </c>
      <c r="OJ6">
        <v>1224</v>
      </c>
      <c r="OK6">
        <v>1498</v>
      </c>
      <c r="OL6">
        <v>1772</v>
      </c>
      <c r="OM6">
        <v>1660</v>
      </c>
      <c r="ON6">
        <v>1369</v>
      </c>
      <c r="OO6">
        <v>1536</v>
      </c>
      <c r="OP6">
        <v>1428</v>
      </c>
      <c r="OQ6">
        <v>1680</v>
      </c>
      <c r="OR6">
        <v>1750</v>
      </c>
      <c r="OS6" s="3">
        <v>1604</v>
      </c>
      <c r="OT6">
        <v>1629</v>
      </c>
      <c r="OU6">
        <v>1710</v>
      </c>
      <c r="OV6">
        <v>1590</v>
      </c>
      <c r="OW6">
        <v>1425</v>
      </c>
      <c r="OX6">
        <v>1697</v>
      </c>
      <c r="OY6">
        <v>1908</v>
      </c>
      <c r="OZ6">
        <v>1975</v>
      </c>
      <c r="PA6">
        <v>1999</v>
      </c>
      <c r="PB6">
        <v>2061</v>
      </c>
      <c r="PC6">
        <v>1917</v>
      </c>
      <c r="PD6">
        <v>2199</v>
      </c>
      <c r="PE6">
        <v>2461</v>
      </c>
      <c r="PF6">
        <v>2644</v>
      </c>
      <c r="PG6">
        <v>2559</v>
      </c>
      <c r="PH6">
        <v>2513</v>
      </c>
      <c r="PI6">
        <v>2610</v>
      </c>
      <c r="PJ6">
        <v>2321</v>
      </c>
      <c r="PK6">
        <v>2021</v>
      </c>
      <c r="PL6">
        <v>2257</v>
      </c>
      <c r="PM6">
        <v>2121</v>
      </c>
      <c r="PN6">
        <v>2157</v>
      </c>
      <c r="PO6">
        <v>2590</v>
      </c>
      <c r="PP6">
        <v>2649</v>
      </c>
      <c r="PQ6">
        <v>2194</v>
      </c>
      <c r="PR6">
        <v>2478</v>
      </c>
      <c r="PS6">
        <v>2520</v>
      </c>
      <c r="PT6">
        <v>2644</v>
      </c>
      <c r="PU6">
        <v>2660</v>
      </c>
      <c r="PV6">
        <v>2620</v>
      </c>
      <c r="PW6">
        <v>2196</v>
      </c>
      <c r="PX6">
        <v>1975</v>
      </c>
      <c r="PY6">
        <v>2296</v>
      </c>
      <c r="PZ6">
        <v>2173</v>
      </c>
      <c r="QA6">
        <v>2262</v>
      </c>
      <c r="QB6">
        <v>2299</v>
      </c>
      <c r="QC6">
        <v>2609</v>
      </c>
      <c r="QD6">
        <v>2077</v>
      </c>
      <c r="QE6">
        <v>1698</v>
      </c>
      <c r="QF6">
        <v>1704</v>
      </c>
      <c r="QG6">
        <v>1915</v>
      </c>
      <c r="QH6">
        <v>1627</v>
      </c>
      <c r="QI6">
        <v>1687</v>
      </c>
      <c r="QJ6">
        <v>1813</v>
      </c>
      <c r="QK6">
        <v>2026</v>
      </c>
      <c r="QL6">
        <v>2287</v>
      </c>
      <c r="QM6">
        <v>1859</v>
      </c>
      <c r="QN6">
        <v>2066</v>
      </c>
      <c r="QO6">
        <v>1720</v>
      </c>
      <c r="QP6">
        <v>1803</v>
      </c>
      <c r="QQ6">
        <v>2016</v>
      </c>
      <c r="QR6">
        <v>2038</v>
      </c>
      <c r="QS6">
        <v>1699</v>
      </c>
      <c r="QT6">
        <v>1766</v>
      </c>
      <c r="QU6">
        <v>1931</v>
      </c>
      <c r="QV6">
        <v>2475</v>
      </c>
      <c r="QW6">
        <v>3060</v>
      </c>
      <c r="QX6">
        <v>3414</v>
      </c>
      <c r="QY6">
        <v>3022</v>
      </c>
      <c r="QZ6">
        <v>3281</v>
      </c>
      <c r="RA6">
        <v>4306</v>
      </c>
      <c r="RB6">
        <v>6326</v>
      </c>
      <c r="RC6">
        <v>8436</v>
      </c>
      <c r="RD6">
        <v>10401</v>
      </c>
      <c r="RE6">
        <v>12415</v>
      </c>
      <c r="RF6">
        <v>11318</v>
      </c>
      <c r="RG6">
        <v>9848</v>
      </c>
      <c r="RH6">
        <v>12353</v>
      </c>
      <c r="RI6">
        <v>16259</v>
      </c>
      <c r="RJ6">
        <v>23039</v>
      </c>
      <c r="RK6">
        <v>26190</v>
      </c>
      <c r="RL6">
        <v>31170</v>
      </c>
      <c r="RM6">
        <v>30630</v>
      </c>
      <c r="RN6">
        <v>27105</v>
      </c>
      <c r="RO6">
        <v>23074</v>
      </c>
      <c r="RP6">
        <v>29857</v>
      </c>
      <c r="RQ6">
        <v>30283</v>
      </c>
      <c r="RR6">
        <v>34923</v>
      </c>
      <c r="RS6">
        <v>35575</v>
      </c>
      <c r="RT6">
        <v>32317</v>
      </c>
      <c r="RU6">
        <v>24272</v>
      </c>
      <c r="RV6">
        <v>28849</v>
      </c>
      <c r="RW6">
        <v>27603</v>
      </c>
      <c r="RX6">
        <v>30506</v>
      </c>
      <c r="RY6">
        <v>31039</v>
      </c>
      <c r="RZ6">
        <v>28027</v>
      </c>
      <c r="SA6">
        <v>26087</v>
      </c>
      <c r="SB6">
        <v>21219</v>
      </c>
      <c r="SC6">
        <v>19512</v>
      </c>
      <c r="SD6">
        <v>17889</v>
      </c>
      <c r="SE6">
        <v>17663</v>
      </c>
      <c r="SF6">
        <v>20946</v>
      </c>
      <c r="SG6">
        <v>18450</v>
      </c>
      <c r="SH6">
        <v>16119</v>
      </c>
      <c r="SI6">
        <v>15284</v>
      </c>
      <c r="SJ6">
        <v>14454</v>
      </c>
      <c r="SK6">
        <v>15110</v>
      </c>
      <c r="SL6">
        <v>13568</v>
      </c>
      <c r="SM6">
        <v>13390</v>
      </c>
      <c r="SN6">
        <v>12567</v>
      </c>
      <c r="SO6">
        <v>10356</v>
      </c>
      <c r="SP6">
        <v>9080</v>
      </c>
      <c r="SQ6">
        <v>9730</v>
      </c>
      <c r="SR6">
        <v>8785</v>
      </c>
      <c r="SS6">
        <v>8269</v>
      </c>
      <c r="ST6">
        <v>5421</v>
      </c>
      <c r="SU6">
        <v>6572</v>
      </c>
      <c r="SV6">
        <v>5532</v>
      </c>
      <c r="SW6">
        <v>3162</v>
      </c>
      <c r="SX6">
        <v>3731</v>
      </c>
      <c r="SY6">
        <v>4142</v>
      </c>
      <c r="SZ6">
        <v>4013</v>
      </c>
      <c r="TA6">
        <v>4020</v>
      </c>
      <c r="TB6">
        <v>4498</v>
      </c>
      <c r="TC6">
        <v>3381</v>
      </c>
      <c r="TD6">
        <v>2910</v>
      </c>
      <c r="TE6">
        <v>2174</v>
      </c>
      <c r="TF6">
        <v>2181</v>
      </c>
      <c r="TG6">
        <v>2249</v>
      </c>
      <c r="TH6">
        <v>2159</v>
      </c>
      <c r="TI6">
        <v>2078</v>
      </c>
      <c r="TJ6">
        <v>1908</v>
      </c>
      <c r="TK6">
        <v>1882</v>
      </c>
      <c r="TL6">
        <v>1218</v>
      </c>
      <c r="TM6">
        <v>1222</v>
      </c>
      <c r="TN6">
        <v>1051</v>
      </c>
      <c r="TO6">
        <v>1351</v>
      </c>
      <c r="TP6">
        <v>1191</v>
      </c>
      <c r="TQ6">
        <v>1088</v>
      </c>
      <c r="TR6">
        <v>952</v>
      </c>
      <c r="TS6">
        <v>760</v>
      </c>
      <c r="TT6">
        <v>739</v>
      </c>
      <c r="TU6">
        <v>719</v>
      </c>
      <c r="TV6">
        <v>782</v>
      </c>
      <c r="TW6">
        <v>677</v>
      </c>
      <c r="TX6">
        <v>486</v>
      </c>
      <c r="TY6">
        <v>469</v>
      </c>
      <c r="TZ6">
        <v>573</v>
      </c>
      <c r="UA6">
        <v>626</v>
      </c>
      <c r="UB6">
        <v>744</v>
      </c>
      <c r="UC6">
        <v>693</v>
      </c>
      <c r="UD6">
        <v>693</v>
      </c>
      <c r="UE6">
        <v>542</v>
      </c>
      <c r="UF6">
        <v>508</v>
      </c>
      <c r="UG6">
        <v>294</v>
      </c>
      <c r="UH6">
        <v>293</v>
      </c>
      <c r="UI6">
        <v>351</v>
      </c>
      <c r="UJ6">
        <v>366</v>
      </c>
      <c r="UK6">
        <v>348</v>
      </c>
      <c r="UL6">
        <v>352</v>
      </c>
      <c r="UM6">
        <v>296</v>
      </c>
      <c r="UN6">
        <v>301</v>
      </c>
      <c r="UO6">
        <v>311</v>
      </c>
      <c r="UP6">
        <v>365</v>
      </c>
      <c r="UQ6">
        <v>348</v>
      </c>
      <c r="UR6">
        <v>308</v>
      </c>
      <c r="US6">
        <v>308</v>
      </c>
      <c r="UT6">
        <v>307</v>
      </c>
      <c r="UU6">
        <v>251</v>
      </c>
      <c r="UV6">
        <v>327</v>
      </c>
      <c r="UW6">
        <v>312</v>
      </c>
      <c r="UX6">
        <v>320</v>
      </c>
      <c r="UY6">
        <v>294</v>
      </c>
      <c r="UZ6">
        <v>297</v>
      </c>
      <c r="VA6">
        <v>301</v>
      </c>
      <c r="VB6">
        <v>284</v>
      </c>
      <c r="VC6">
        <v>264</v>
      </c>
      <c r="VD6">
        <v>264</v>
      </c>
      <c r="VE6">
        <v>159</v>
      </c>
      <c r="VF6">
        <v>122</v>
      </c>
      <c r="VG6">
        <v>122</v>
      </c>
      <c r="VH6">
        <v>129</v>
      </c>
      <c r="VI6">
        <v>207</v>
      </c>
      <c r="VJ6">
        <v>248</v>
      </c>
      <c r="VK6">
        <v>274</v>
      </c>
      <c r="VL6">
        <v>291</v>
      </c>
      <c r="VM6">
        <v>249</v>
      </c>
      <c r="VN6">
        <v>249</v>
      </c>
      <c r="VO6">
        <v>208</v>
      </c>
      <c r="VP6">
        <v>202</v>
      </c>
      <c r="VQ6">
        <v>206</v>
      </c>
      <c r="VR6">
        <v>208</v>
      </c>
      <c r="VS6">
        <v>264</v>
      </c>
      <c r="VT6">
        <v>0</v>
      </c>
      <c r="VU6">
        <v>0</v>
      </c>
      <c r="VV6">
        <v>0</v>
      </c>
      <c r="VW6">
        <v>0</v>
      </c>
      <c r="VX6">
        <v>0</v>
      </c>
      <c r="VY6">
        <v>0</v>
      </c>
      <c r="VZ6">
        <v>0</v>
      </c>
      <c r="WA6">
        <v>0</v>
      </c>
      <c r="WB6">
        <v>0</v>
      </c>
      <c r="WC6">
        <v>0</v>
      </c>
      <c r="WD6">
        <v>0</v>
      </c>
      <c r="WE6">
        <v>0</v>
      </c>
      <c r="WF6">
        <v>1671</v>
      </c>
      <c r="WG6">
        <v>0</v>
      </c>
      <c r="WH6">
        <v>0</v>
      </c>
      <c r="WI6">
        <v>0</v>
      </c>
      <c r="WJ6">
        <v>0</v>
      </c>
      <c r="WK6">
        <v>0</v>
      </c>
      <c r="WL6">
        <v>0</v>
      </c>
      <c r="WM6">
        <v>543</v>
      </c>
      <c r="WN6">
        <v>0</v>
      </c>
      <c r="WO6">
        <v>0</v>
      </c>
      <c r="WP6">
        <v>0</v>
      </c>
      <c r="WQ6">
        <v>638</v>
      </c>
      <c r="WR6">
        <v>638</v>
      </c>
      <c r="WS6">
        <v>638</v>
      </c>
      <c r="WT6">
        <v>638</v>
      </c>
      <c r="WU6">
        <v>0</v>
      </c>
      <c r="WV6">
        <v>0</v>
      </c>
      <c r="WW6">
        <v>0</v>
      </c>
      <c r="WX6">
        <v>0</v>
      </c>
      <c r="WY6">
        <v>0</v>
      </c>
      <c r="WZ6">
        <v>0</v>
      </c>
      <c r="XA6">
        <v>0</v>
      </c>
      <c r="XB6">
        <v>0</v>
      </c>
      <c r="XC6">
        <v>0</v>
      </c>
      <c r="XD6">
        <v>0</v>
      </c>
      <c r="XE6">
        <v>0</v>
      </c>
      <c r="XF6">
        <v>0</v>
      </c>
      <c r="XG6">
        <v>0</v>
      </c>
      <c r="XH6">
        <v>0</v>
      </c>
      <c r="XI6">
        <v>0</v>
      </c>
      <c r="XJ6">
        <v>0</v>
      </c>
      <c r="XK6">
        <v>0</v>
      </c>
      <c r="XL6">
        <v>0</v>
      </c>
      <c r="XM6">
        <v>0</v>
      </c>
      <c r="XN6">
        <v>0</v>
      </c>
      <c r="XO6">
        <v>0</v>
      </c>
      <c r="XP6">
        <v>0</v>
      </c>
      <c r="XQ6">
        <v>0</v>
      </c>
      <c r="XR6">
        <v>0</v>
      </c>
      <c r="XS6">
        <v>0</v>
      </c>
      <c r="XT6">
        <v>0</v>
      </c>
      <c r="XU6">
        <v>0</v>
      </c>
      <c r="XV6">
        <v>0</v>
      </c>
      <c r="XW6">
        <v>0</v>
      </c>
      <c r="XX6">
        <v>0</v>
      </c>
      <c r="XY6">
        <v>0</v>
      </c>
      <c r="XZ6">
        <v>0</v>
      </c>
      <c r="YA6">
        <v>0</v>
      </c>
      <c r="YB6">
        <v>0</v>
      </c>
      <c r="YC6">
        <v>0</v>
      </c>
      <c r="YD6">
        <v>0</v>
      </c>
      <c r="YE6">
        <v>0</v>
      </c>
      <c r="YF6" s="1">
        <v>0</v>
      </c>
      <c r="YG6" s="1">
        <v>0</v>
      </c>
      <c r="YH6" s="1">
        <v>0</v>
      </c>
      <c r="YI6" s="1">
        <v>0</v>
      </c>
      <c r="YJ6">
        <v>3381</v>
      </c>
      <c r="YK6">
        <v>0</v>
      </c>
      <c r="YL6">
        <v>0</v>
      </c>
      <c r="YM6">
        <v>0</v>
      </c>
      <c r="YN6">
        <v>0</v>
      </c>
      <c r="YO6">
        <v>0</v>
      </c>
      <c r="YP6">
        <v>0</v>
      </c>
      <c r="YQ6">
        <v>0</v>
      </c>
      <c r="YR6">
        <v>0</v>
      </c>
      <c r="YS6">
        <v>0</v>
      </c>
      <c r="YT6">
        <v>0</v>
      </c>
      <c r="YU6">
        <v>0</v>
      </c>
      <c r="YV6">
        <v>0</v>
      </c>
      <c r="YW6">
        <v>0</v>
      </c>
      <c r="YX6">
        <v>0</v>
      </c>
      <c r="YY6">
        <v>0</v>
      </c>
      <c r="YZ6">
        <v>0</v>
      </c>
      <c r="ZA6">
        <v>0</v>
      </c>
      <c r="ZB6">
        <v>0</v>
      </c>
      <c r="ZC6">
        <v>0</v>
      </c>
      <c r="ZD6">
        <v>2594</v>
      </c>
      <c r="ZE6">
        <v>2594</v>
      </c>
      <c r="ZF6">
        <v>0</v>
      </c>
      <c r="ZG6">
        <v>0</v>
      </c>
      <c r="ZH6">
        <v>0</v>
      </c>
      <c r="ZI6">
        <v>0</v>
      </c>
      <c r="ZJ6">
        <v>0</v>
      </c>
      <c r="ZK6">
        <v>1890</v>
      </c>
      <c r="ZL6">
        <v>0</v>
      </c>
      <c r="ZM6">
        <v>0</v>
      </c>
      <c r="ZN6">
        <v>0</v>
      </c>
      <c r="ZO6">
        <v>0</v>
      </c>
      <c r="ZP6">
        <v>0</v>
      </c>
      <c r="ZQ6">
        <v>0</v>
      </c>
      <c r="ZR6">
        <v>1058</v>
      </c>
      <c r="ZS6">
        <v>0</v>
      </c>
      <c r="ZT6">
        <v>0</v>
      </c>
      <c r="ZU6">
        <v>0</v>
      </c>
      <c r="ZV6">
        <v>0</v>
      </c>
      <c r="ZW6">
        <v>0</v>
      </c>
      <c r="ZX6">
        <v>0</v>
      </c>
      <c r="ZY6">
        <v>886</v>
      </c>
      <c r="ZZ6">
        <v>0</v>
      </c>
      <c r="AAA6">
        <v>0</v>
      </c>
      <c r="AAB6">
        <v>0</v>
      </c>
      <c r="AAC6">
        <v>0</v>
      </c>
      <c r="AAD6">
        <v>0</v>
      </c>
      <c r="AAE6">
        <v>0</v>
      </c>
      <c r="AAF6">
        <v>927</v>
      </c>
      <c r="AAG6">
        <v>0</v>
      </c>
      <c r="AAH6">
        <v>0</v>
      </c>
      <c r="AAI6">
        <v>0</v>
      </c>
      <c r="AAJ6">
        <v>0</v>
      </c>
      <c r="AAK6">
        <v>0</v>
      </c>
      <c r="AAL6">
        <v>0</v>
      </c>
      <c r="AAM6">
        <v>460</v>
      </c>
      <c r="AAN6">
        <v>0</v>
      </c>
      <c r="AAO6">
        <v>0</v>
      </c>
      <c r="AAP6">
        <v>0</v>
      </c>
      <c r="AAQ6">
        <v>0</v>
      </c>
      <c r="AAR6">
        <v>0</v>
      </c>
      <c r="AAS6">
        <v>0</v>
      </c>
      <c r="AAT6">
        <v>1508</v>
      </c>
      <c r="AAU6">
        <v>0</v>
      </c>
      <c r="AAV6">
        <v>0</v>
      </c>
      <c r="AAW6">
        <v>0</v>
      </c>
      <c r="AAX6">
        <v>0</v>
      </c>
      <c r="AAY6">
        <v>0</v>
      </c>
      <c r="AAZ6">
        <v>0</v>
      </c>
      <c r="ABA6">
        <v>187</v>
      </c>
      <c r="ABB6">
        <v>0</v>
      </c>
      <c r="ABC6">
        <v>0</v>
      </c>
      <c r="ABD6">
        <v>0</v>
      </c>
      <c r="ABE6">
        <v>0</v>
      </c>
      <c r="ABF6">
        <v>0</v>
      </c>
      <c r="ABG6">
        <v>0</v>
      </c>
      <c r="ABH6">
        <v>990</v>
      </c>
      <c r="ABI6">
        <v>0</v>
      </c>
      <c r="ABJ6">
        <v>0</v>
      </c>
      <c r="ABK6">
        <v>0</v>
      </c>
      <c r="ABL6">
        <v>0</v>
      </c>
      <c r="ABM6">
        <v>0</v>
      </c>
      <c r="ABN6">
        <v>0</v>
      </c>
      <c r="ABO6">
        <v>820</v>
      </c>
      <c r="ABP6">
        <v>0</v>
      </c>
      <c r="ABQ6">
        <v>0</v>
      </c>
      <c r="ABR6">
        <v>0</v>
      </c>
      <c r="ABS6">
        <v>0</v>
      </c>
      <c r="ABT6">
        <v>0</v>
      </c>
      <c r="ABU6">
        <v>0</v>
      </c>
      <c r="ABV6">
        <v>715</v>
      </c>
      <c r="ABW6">
        <v>0</v>
      </c>
      <c r="ABX6">
        <v>0</v>
      </c>
      <c r="ABY6">
        <v>0</v>
      </c>
      <c r="ABZ6">
        <v>0</v>
      </c>
      <c r="ACA6">
        <v>0</v>
      </c>
      <c r="ACB6">
        <v>0</v>
      </c>
      <c r="ACC6">
        <v>0</v>
      </c>
      <c r="ACD6">
        <v>0</v>
      </c>
      <c r="ACE6">
        <v>0</v>
      </c>
      <c r="ACF6">
        <v>0</v>
      </c>
      <c r="ACG6">
        <v>0</v>
      </c>
      <c r="ACH6">
        <v>0</v>
      </c>
      <c r="ACI6">
        <v>0</v>
      </c>
      <c r="ACJ6">
        <v>610</v>
      </c>
      <c r="ACK6">
        <v>0</v>
      </c>
      <c r="ACL6">
        <v>0</v>
      </c>
      <c r="ACM6">
        <v>0</v>
      </c>
      <c r="ACN6">
        <v>0</v>
      </c>
      <c r="ACO6">
        <v>0</v>
      </c>
      <c r="ACP6">
        <v>548</v>
      </c>
      <c r="ACQ6">
        <v>548</v>
      </c>
      <c r="ACR6">
        <v>0</v>
      </c>
      <c r="ACS6">
        <v>0</v>
      </c>
      <c r="ACT6">
        <v>0</v>
      </c>
      <c r="ACU6">
        <v>0</v>
      </c>
      <c r="ACV6">
        <v>0</v>
      </c>
      <c r="ACW6">
        <v>0</v>
      </c>
      <c r="ACX6">
        <v>0</v>
      </c>
      <c r="ACY6">
        <v>0</v>
      </c>
      <c r="ACZ6">
        <v>0</v>
      </c>
      <c r="ADA6">
        <v>0</v>
      </c>
      <c r="ADB6">
        <v>0</v>
      </c>
      <c r="ADC6">
        <v>0</v>
      </c>
      <c r="ADD6">
        <v>1027</v>
      </c>
      <c r="ADE6">
        <v>1027</v>
      </c>
      <c r="ADF6">
        <v>0</v>
      </c>
      <c r="ADG6">
        <v>0</v>
      </c>
      <c r="ADH6">
        <v>0</v>
      </c>
      <c r="ADI6">
        <v>0</v>
      </c>
      <c r="ADJ6">
        <v>0</v>
      </c>
      <c r="ADK6">
        <v>0</v>
      </c>
      <c r="ADL6">
        <v>0</v>
      </c>
      <c r="ADM6">
        <v>0</v>
      </c>
      <c r="ADN6">
        <v>0</v>
      </c>
      <c r="ADO6">
        <v>0</v>
      </c>
      <c r="ADP6">
        <v>0</v>
      </c>
      <c r="ADQ6">
        <v>0</v>
      </c>
      <c r="ADR6">
        <v>0</v>
      </c>
      <c r="ADS6">
        <v>0</v>
      </c>
      <c r="ADT6">
        <v>0</v>
      </c>
      <c r="ADU6">
        <v>0</v>
      </c>
      <c r="ADV6">
        <v>0</v>
      </c>
      <c r="ADW6">
        <v>0</v>
      </c>
      <c r="ADX6">
        <v>0</v>
      </c>
      <c r="ADY6">
        <v>0</v>
      </c>
      <c r="ADZ6">
        <v>0</v>
      </c>
      <c r="AEA6">
        <v>0</v>
      </c>
      <c r="AEB6">
        <v>0</v>
      </c>
      <c r="AEC6">
        <v>0</v>
      </c>
      <c r="AED6">
        <v>0</v>
      </c>
      <c r="AEE6">
        <v>0</v>
      </c>
      <c r="AEF6">
        <v>0</v>
      </c>
      <c r="AEG6">
        <v>0</v>
      </c>
      <c r="AEH6">
        <v>0</v>
      </c>
      <c r="AEI6">
        <v>0</v>
      </c>
      <c r="AEJ6">
        <v>0</v>
      </c>
      <c r="AEK6">
        <v>0</v>
      </c>
      <c r="AEL6">
        <v>0</v>
      </c>
      <c r="AEM6">
        <v>0</v>
      </c>
      <c r="AEN6">
        <v>0</v>
      </c>
      <c r="AEO6">
        <v>0</v>
      </c>
      <c r="AEP6">
        <v>0</v>
      </c>
      <c r="AEQ6">
        <v>0</v>
      </c>
      <c r="AER6">
        <v>0</v>
      </c>
      <c r="AES6">
        <v>0</v>
      </c>
      <c r="AET6">
        <v>0</v>
      </c>
      <c r="AEU6">
        <v>0</v>
      </c>
      <c r="AEV6">
        <v>0</v>
      </c>
      <c r="AEW6">
        <v>0</v>
      </c>
      <c r="AEX6">
        <v>0</v>
      </c>
      <c r="AEY6">
        <v>0</v>
      </c>
      <c r="AEZ6">
        <v>0</v>
      </c>
      <c r="AFA6">
        <v>0</v>
      </c>
      <c r="AFB6">
        <v>0</v>
      </c>
      <c r="AFC6">
        <v>0</v>
      </c>
      <c r="AFD6">
        <v>0</v>
      </c>
      <c r="AFE6">
        <v>0</v>
      </c>
      <c r="AFF6">
        <v>0</v>
      </c>
      <c r="AFG6">
        <v>0</v>
      </c>
      <c r="AFH6">
        <v>0</v>
      </c>
      <c r="AFI6">
        <v>0</v>
      </c>
      <c r="AFJ6">
        <v>0</v>
      </c>
      <c r="AFK6">
        <v>0</v>
      </c>
      <c r="AFL6">
        <v>0</v>
      </c>
      <c r="AFM6">
        <v>0</v>
      </c>
      <c r="AFN6">
        <v>0</v>
      </c>
      <c r="AFO6">
        <v>0</v>
      </c>
      <c r="AFP6">
        <v>0</v>
      </c>
      <c r="AFQ6">
        <v>0</v>
      </c>
      <c r="AFR6">
        <v>0</v>
      </c>
      <c r="AFS6">
        <v>0</v>
      </c>
      <c r="AFT6">
        <v>0</v>
      </c>
      <c r="AFU6">
        <v>0</v>
      </c>
      <c r="AFV6">
        <v>0</v>
      </c>
      <c r="AFW6">
        <v>0</v>
      </c>
      <c r="AFX6">
        <v>0</v>
      </c>
      <c r="AFY6">
        <v>0</v>
      </c>
      <c r="AFZ6">
        <v>0</v>
      </c>
      <c r="AGA6">
        <v>0</v>
      </c>
      <c r="AGB6">
        <v>0</v>
      </c>
      <c r="AGC6">
        <v>0</v>
      </c>
      <c r="AGD6">
        <v>0</v>
      </c>
      <c r="AGE6">
        <v>0</v>
      </c>
      <c r="AGF6">
        <v>0</v>
      </c>
      <c r="AGG6">
        <v>0</v>
      </c>
      <c r="AGH6">
        <v>0</v>
      </c>
      <c r="AGI6">
        <v>0</v>
      </c>
      <c r="AGJ6">
        <v>0</v>
      </c>
      <c r="AGK6">
        <v>0</v>
      </c>
      <c r="AGL6">
        <v>0</v>
      </c>
      <c r="AGM6">
        <v>0</v>
      </c>
      <c r="AGN6">
        <v>0</v>
      </c>
      <c r="AGO6">
        <v>0</v>
      </c>
      <c r="AGP6">
        <v>0</v>
      </c>
      <c r="AGQ6">
        <v>0</v>
      </c>
      <c r="AGR6">
        <v>0</v>
      </c>
      <c r="AGS6">
        <v>0</v>
      </c>
      <c r="AGT6">
        <v>0</v>
      </c>
      <c r="AGU6">
        <v>0</v>
      </c>
      <c r="AGV6">
        <v>0</v>
      </c>
      <c r="AGW6">
        <v>0</v>
      </c>
      <c r="AGX6">
        <v>0</v>
      </c>
      <c r="AGY6">
        <v>0</v>
      </c>
      <c r="AGZ6">
        <v>0</v>
      </c>
      <c r="AHA6">
        <v>0</v>
      </c>
      <c r="AHB6">
        <v>0</v>
      </c>
      <c r="AHC6">
        <v>0</v>
      </c>
      <c r="AHD6">
        <v>0</v>
      </c>
      <c r="AHE6">
        <v>0</v>
      </c>
      <c r="AHF6">
        <v>0</v>
      </c>
      <c r="AHG6">
        <v>0</v>
      </c>
      <c r="AHH6">
        <v>0</v>
      </c>
      <c r="AHI6">
        <v>0</v>
      </c>
      <c r="AHJ6">
        <v>0</v>
      </c>
      <c r="AHK6">
        <v>0</v>
      </c>
      <c r="AHL6">
        <v>0</v>
      </c>
      <c r="AHM6">
        <v>0</v>
      </c>
      <c r="AHN6">
        <v>0</v>
      </c>
      <c r="AHO6">
        <v>0</v>
      </c>
      <c r="AHP6">
        <v>0</v>
      </c>
      <c r="AHQ6">
        <v>0</v>
      </c>
    </row>
    <row r="7" spans="1:901">
      <c r="A7" s="1" t="s">
        <v>34</v>
      </c>
      <c r="B7">
        <v>1972</v>
      </c>
      <c r="C7">
        <v>732</v>
      </c>
      <c r="D7">
        <v>1872</v>
      </c>
      <c r="E7">
        <v>1491</v>
      </c>
      <c r="F7">
        <v>799</v>
      </c>
      <c r="G7">
        <v>292</v>
      </c>
      <c r="H7">
        <v>932</v>
      </c>
      <c r="I7">
        <v>2249</v>
      </c>
      <c r="J7">
        <v>1254</v>
      </c>
      <c r="K7">
        <v>1329</v>
      </c>
      <c r="L7">
        <v>766</v>
      </c>
      <c r="M7">
        <v>218</v>
      </c>
      <c r="N7">
        <v>784</v>
      </c>
      <c r="O7">
        <v>1298</v>
      </c>
      <c r="P7">
        <v>1537</v>
      </c>
      <c r="Q7">
        <v>950</v>
      </c>
      <c r="R7">
        <v>817</v>
      </c>
      <c r="S7">
        <v>683</v>
      </c>
      <c r="T7">
        <v>305</v>
      </c>
      <c r="U7">
        <v>717</v>
      </c>
      <c r="V7">
        <v>1475</v>
      </c>
      <c r="W7">
        <v>1514</v>
      </c>
      <c r="X7">
        <v>803</v>
      </c>
      <c r="Y7">
        <v>980</v>
      </c>
      <c r="Z7">
        <v>205</v>
      </c>
      <c r="AA7">
        <v>282</v>
      </c>
      <c r="AB7">
        <v>856</v>
      </c>
      <c r="AC7">
        <v>912</v>
      </c>
      <c r="AD7">
        <v>1277</v>
      </c>
      <c r="AE7">
        <v>1299</v>
      </c>
      <c r="AF7">
        <v>763</v>
      </c>
      <c r="AG7">
        <v>867</v>
      </c>
      <c r="AH7">
        <v>134</v>
      </c>
      <c r="AI7">
        <v>692</v>
      </c>
      <c r="AJ7">
        <v>1510</v>
      </c>
      <c r="AK7">
        <v>826</v>
      </c>
      <c r="AL7">
        <v>1819</v>
      </c>
      <c r="AM7">
        <v>1344</v>
      </c>
      <c r="AN7">
        <v>2021</v>
      </c>
      <c r="AO7">
        <v>543</v>
      </c>
      <c r="AP7">
        <v>1014</v>
      </c>
      <c r="AQ7">
        <v>1716</v>
      </c>
      <c r="AR7">
        <v>1394</v>
      </c>
      <c r="AS7">
        <v>845</v>
      </c>
      <c r="AT7">
        <v>1045</v>
      </c>
      <c r="AU7">
        <v>1002</v>
      </c>
      <c r="AV7">
        <v>368</v>
      </c>
      <c r="AW7">
        <v>548</v>
      </c>
      <c r="AX7">
        <v>1323</v>
      </c>
      <c r="AY7">
        <v>350</v>
      </c>
      <c r="AZ7">
        <v>725</v>
      </c>
      <c r="BA7">
        <v>978</v>
      </c>
      <c r="BB7">
        <v>1421</v>
      </c>
      <c r="BC7">
        <v>362</v>
      </c>
      <c r="BD7">
        <v>442</v>
      </c>
      <c r="BE7">
        <v>919</v>
      </c>
      <c r="BF7">
        <v>883</v>
      </c>
      <c r="BG7">
        <v>1161</v>
      </c>
      <c r="BH7">
        <v>953</v>
      </c>
      <c r="BI7">
        <v>668</v>
      </c>
      <c r="BJ7">
        <v>381</v>
      </c>
      <c r="BK7">
        <v>428</v>
      </c>
      <c r="BL7">
        <v>1146</v>
      </c>
      <c r="BM7">
        <v>996</v>
      </c>
      <c r="BN7">
        <v>594</v>
      </c>
      <c r="BO7">
        <v>1036</v>
      </c>
      <c r="BP7">
        <v>767</v>
      </c>
      <c r="BQ7">
        <v>301</v>
      </c>
      <c r="BR7">
        <v>492</v>
      </c>
      <c r="BS7">
        <v>794</v>
      </c>
      <c r="BT7">
        <v>908</v>
      </c>
      <c r="BU7">
        <v>1396</v>
      </c>
      <c r="BV7">
        <v>1375</v>
      </c>
      <c r="BW7">
        <v>1208</v>
      </c>
      <c r="BX7">
        <v>568</v>
      </c>
      <c r="BY7">
        <v>988</v>
      </c>
      <c r="BZ7">
        <v>1203</v>
      </c>
      <c r="CA7">
        <v>1008</v>
      </c>
      <c r="CB7">
        <v>598</v>
      </c>
      <c r="CC7">
        <v>909</v>
      </c>
      <c r="CD7">
        <v>607</v>
      </c>
      <c r="CE7">
        <v>246</v>
      </c>
      <c r="CF7">
        <v>508</v>
      </c>
      <c r="CG7">
        <v>476</v>
      </c>
      <c r="CH7">
        <v>1151</v>
      </c>
      <c r="CI7">
        <v>386</v>
      </c>
      <c r="CJ7">
        <v>759</v>
      </c>
      <c r="CK7">
        <v>586</v>
      </c>
      <c r="CL7">
        <v>70</v>
      </c>
      <c r="CM7">
        <v>176</v>
      </c>
      <c r="CN7">
        <v>1105</v>
      </c>
      <c r="CO7">
        <v>788</v>
      </c>
      <c r="CP7">
        <v>754</v>
      </c>
      <c r="CQ7">
        <v>917</v>
      </c>
      <c r="CR7">
        <v>337</v>
      </c>
      <c r="CS7">
        <v>72</v>
      </c>
      <c r="CT7">
        <v>35</v>
      </c>
      <c r="CU7">
        <v>720</v>
      </c>
      <c r="CV7">
        <v>926</v>
      </c>
      <c r="CW7">
        <v>818</v>
      </c>
      <c r="CX7">
        <v>446</v>
      </c>
      <c r="CY7">
        <v>81</v>
      </c>
      <c r="CZ7">
        <v>403</v>
      </c>
      <c r="DA7">
        <v>568</v>
      </c>
      <c r="DB7">
        <v>1186</v>
      </c>
      <c r="DC7">
        <v>1000</v>
      </c>
      <c r="DD7">
        <v>866</v>
      </c>
      <c r="DE7">
        <v>1135</v>
      </c>
      <c r="DF7">
        <v>101</v>
      </c>
      <c r="DG7">
        <v>466</v>
      </c>
      <c r="DH7">
        <v>1003</v>
      </c>
      <c r="DI7">
        <v>1294</v>
      </c>
      <c r="DJ7">
        <v>1008</v>
      </c>
      <c r="DK7">
        <v>763</v>
      </c>
      <c r="DL7">
        <v>1201</v>
      </c>
      <c r="DM7">
        <v>721</v>
      </c>
      <c r="DN7">
        <v>436</v>
      </c>
      <c r="DO7">
        <v>1061</v>
      </c>
      <c r="DP7">
        <v>1748</v>
      </c>
      <c r="DQ7">
        <v>1687</v>
      </c>
      <c r="DR7">
        <v>864</v>
      </c>
      <c r="DS7">
        <v>3942</v>
      </c>
      <c r="DT7">
        <v>674</v>
      </c>
      <c r="DU7">
        <v>162</v>
      </c>
      <c r="DV7">
        <v>924</v>
      </c>
      <c r="DW7">
        <v>1747</v>
      </c>
      <c r="DX7">
        <v>1874</v>
      </c>
      <c r="DY7">
        <v>969</v>
      </c>
      <c r="DZ7">
        <v>1074</v>
      </c>
      <c r="EA7">
        <v>3060</v>
      </c>
      <c r="EB7">
        <v>275</v>
      </c>
      <c r="EC7">
        <v>579</v>
      </c>
      <c r="ED7">
        <v>1389</v>
      </c>
      <c r="EE7">
        <v>2465</v>
      </c>
      <c r="EF7">
        <v>687</v>
      </c>
      <c r="EG7">
        <v>3092</v>
      </c>
      <c r="EH7">
        <v>1049</v>
      </c>
      <c r="EI7">
        <v>158</v>
      </c>
      <c r="EJ7">
        <v>293</v>
      </c>
      <c r="EK7">
        <v>1111</v>
      </c>
      <c r="EL7">
        <v>949</v>
      </c>
      <c r="EM7">
        <v>2073</v>
      </c>
      <c r="EN7">
        <v>1703</v>
      </c>
      <c r="EO7">
        <v>1167</v>
      </c>
      <c r="EP7">
        <v>325</v>
      </c>
      <c r="EQ7">
        <v>1176</v>
      </c>
      <c r="ER7">
        <v>293</v>
      </c>
      <c r="ES7">
        <v>2137</v>
      </c>
      <c r="ET7">
        <v>1304</v>
      </c>
      <c r="EU7">
        <v>2010</v>
      </c>
      <c r="EV7">
        <v>1696</v>
      </c>
      <c r="EW7">
        <v>478</v>
      </c>
      <c r="EX7">
        <v>372</v>
      </c>
      <c r="EY7">
        <v>146</v>
      </c>
      <c r="EZ7">
        <v>1641</v>
      </c>
      <c r="FA7">
        <v>1416</v>
      </c>
      <c r="FB7">
        <v>1821</v>
      </c>
      <c r="FC7">
        <v>1576</v>
      </c>
      <c r="FD7">
        <v>295</v>
      </c>
      <c r="FE7">
        <v>812</v>
      </c>
      <c r="FF7">
        <v>2999</v>
      </c>
      <c r="FG7">
        <v>2390</v>
      </c>
      <c r="FH7">
        <v>1430</v>
      </c>
      <c r="FI7">
        <v>1748</v>
      </c>
      <c r="FJ7">
        <v>1808</v>
      </c>
      <c r="FK7">
        <v>212</v>
      </c>
      <c r="FL7">
        <v>358</v>
      </c>
      <c r="FM7">
        <v>2747</v>
      </c>
      <c r="FN7">
        <v>263</v>
      </c>
      <c r="FO7">
        <v>1335</v>
      </c>
      <c r="FP7">
        <v>1873</v>
      </c>
      <c r="FQ7">
        <v>1560</v>
      </c>
      <c r="FR7">
        <v>115</v>
      </c>
      <c r="FS7">
        <v>496</v>
      </c>
      <c r="FT7">
        <v>1727</v>
      </c>
      <c r="FU7">
        <v>1116</v>
      </c>
      <c r="FV7">
        <v>1259</v>
      </c>
      <c r="FW7">
        <v>1450</v>
      </c>
      <c r="FX7">
        <v>1555</v>
      </c>
      <c r="FY7">
        <v>277</v>
      </c>
      <c r="FZ7">
        <v>356</v>
      </c>
      <c r="GA7">
        <v>2744</v>
      </c>
      <c r="GB7">
        <v>1831</v>
      </c>
      <c r="GC7">
        <v>2214</v>
      </c>
      <c r="GD7">
        <v>1225</v>
      </c>
      <c r="GE7">
        <v>1730</v>
      </c>
      <c r="GF7">
        <v>253</v>
      </c>
      <c r="GG7">
        <v>719</v>
      </c>
      <c r="GH7">
        <v>3237</v>
      </c>
      <c r="GI7">
        <v>1849</v>
      </c>
      <c r="GJ7">
        <v>2795</v>
      </c>
      <c r="GK7">
        <v>1248</v>
      </c>
      <c r="GL7">
        <v>1783</v>
      </c>
      <c r="GM7">
        <v>642</v>
      </c>
      <c r="GN7">
        <v>2201</v>
      </c>
      <c r="GO7">
        <v>1430</v>
      </c>
      <c r="GP7">
        <v>1633</v>
      </c>
      <c r="GQ7">
        <v>1650</v>
      </c>
      <c r="GR7">
        <v>1137</v>
      </c>
      <c r="GS7">
        <v>2506</v>
      </c>
      <c r="GT7">
        <v>1096</v>
      </c>
      <c r="GU7">
        <v>925</v>
      </c>
      <c r="GV7">
        <v>1902</v>
      </c>
      <c r="GW7">
        <v>2015</v>
      </c>
      <c r="GX7">
        <v>1059</v>
      </c>
      <c r="GY7">
        <v>2199</v>
      </c>
      <c r="GZ7">
        <v>1940</v>
      </c>
      <c r="HA7">
        <v>253</v>
      </c>
      <c r="HB7">
        <v>519</v>
      </c>
      <c r="HC7">
        <v>2950</v>
      </c>
      <c r="HD7">
        <v>4892</v>
      </c>
      <c r="HE7">
        <v>533</v>
      </c>
      <c r="HF7">
        <v>2193</v>
      </c>
      <c r="HG7">
        <v>2389</v>
      </c>
      <c r="HH7">
        <v>17</v>
      </c>
      <c r="HI7">
        <v>591</v>
      </c>
      <c r="HJ7">
        <v>1689</v>
      </c>
      <c r="HK7">
        <v>2550</v>
      </c>
      <c r="HL7">
        <v>5913</v>
      </c>
      <c r="HM7">
        <v>1448</v>
      </c>
      <c r="HN7">
        <v>608</v>
      </c>
      <c r="HO7">
        <v>1413</v>
      </c>
      <c r="HP7">
        <v>554</v>
      </c>
      <c r="HQ7">
        <v>2333</v>
      </c>
      <c r="HR7">
        <v>3027</v>
      </c>
      <c r="HS7">
        <v>1173</v>
      </c>
      <c r="HT7">
        <v>2727</v>
      </c>
      <c r="HU7">
        <v>2710</v>
      </c>
      <c r="HV7">
        <v>747</v>
      </c>
      <c r="HW7">
        <v>3196</v>
      </c>
      <c r="HX7">
        <v>1806</v>
      </c>
      <c r="HY7">
        <v>2279</v>
      </c>
      <c r="HZ7">
        <v>1561</v>
      </c>
      <c r="IA7">
        <v>2033</v>
      </c>
      <c r="IB7">
        <v>1375</v>
      </c>
      <c r="IC7">
        <v>1764</v>
      </c>
      <c r="ID7">
        <v>535</v>
      </c>
      <c r="IE7">
        <v>2037</v>
      </c>
      <c r="IF7">
        <v>1151</v>
      </c>
      <c r="IG7">
        <v>1219</v>
      </c>
      <c r="IH7">
        <v>2518</v>
      </c>
      <c r="II7">
        <v>609</v>
      </c>
      <c r="IJ7">
        <v>741</v>
      </c>
      <c r="IK7">
        <v>596</v>
      </c>
      <c r="IL7">
        <v>1441</v>
      </c>
      <c r="IM7">
        <v>2348</v>
      </c>
      <c r="IN7">
        <v>1366</v>
      </c>
      <c r="IO7">
        <v>1219</v>
      </c>
      <c r="IP7">
        <v>1011</v>
      </c>
      <c r="IQ7">
        <v>347</v>
      </c>
      <c r="IR7">
        <v>969</v>
      </c>
      <c r="IS7">
        <v>1064</v>
      </c>
      <c r="IT7">
        <v>1098</v>
      </c>
      <c r="IU7">
        <v>836</v>
      </c>
      <c r="IV7">
        <v>1576</v>
      </c>
      <c r="IW7">
        <v>1100</v>
      </c>
      <c r="IX7">
        <v>196</v>
      </c>
      <c r="IY7">
        <v>1653</v>
      </c>
      <c r="IZ7">
        <v>1175</v>
      </c>
      <c r="JA7">
        <v>952</v>
      </c>
      <c r="JB7">
        <v>922</v>
      </c>
      <c r="JC7">
        <v>690</v>
      </c>
      <c r="JD7">
        <v>924</v>
      </c>
      <c r="JE7">
        <v>386</v>
      </c>
      <c r="JF7">
        <v>246</v>
      </c>
      <c r="JG7">
        <v>885</v>
      </c>
      <c r="JH7">
        <v>2153</v>
      </c>
      <c r="JI7">
        <v>1098</v>
      </c>
      <c r="JJ7">
        <v>987</v>
      </c>
      <c r="JK7">
        <v>826</v>
      </c>
      <c r="JL7">
        <v>205</v>
      </c>
      <c r="JM7">
        <v>235</v>
      </c>
      <c r="JN7">
        <v>1806</v>
      </c>
      <c r="JO7">
        <v>1161</v>
      </c>
      <c r="JP7">
        <v>2054</v>
      </c>
      <c r="JQ7">
        <v>1191</v>
      </c>
      <c r="JR7">
        <v>855</v>
      </c>
      <c r="JS7">
        <v>192</v>
      </c>
      <c r="JT7">
        <v>543</v>
      </c>
      <c r="JU7">
        <v>1931</v>
      </c>
      <c r="JV7">
        <v>376</v>
      </c>
      <c r="JW7">
        <v>2751</v>
      </c>
      <c r="JX7">
        <v>1131</v>
      </c>
      <c r="JY7">
        <v>971</v>
      </c>
      <c r="JZ7">
        <v>1407</v>
      </c>
      <c r="KA7">
        <v>1746</v>
      </c>
      <c r="KB7">
        <v>1015</v>
      </c>
      <c r="KC7">
        <v>1034</v>
      </c>
      <c r="KD7">
        <v>1619</v>
      </c>
      <c r="KE7">
        <v>985</v>
      </c>
      <c r="KF7">
        <v>0</v>
      </c>
      <c r="KG7">
        <v>507</v>
      </c>
      <c r="KH7">
        <v>1302</v>
      </c>
      <c r="KI7">
        <v>1078</v>
      </c>
      <c r="KJ7">
        <v>849</v>
      </c>
      <c r="KK7">
        <v>1195</v>
      </c>
      <c r="KL7">
        <v>903</v>
      </c>
      <c r="KM7">
        <v>370</v>
      </c>
      <c r="KN7">
        <v>68</v>
      </c>
      <c r="KO7">
        <v>2468</v>
      </c>
      <c r="KP7">
        <v>875</v>
      </c>
      <c r="KQ7">
        <v>965</v>
      </c>
      <c r="KR7">
        <v>925</v>
      </c>
      <c r="KS7">
        <v>1568</v>
      </c>
      <c r="KT7">
        <v>850</v>
      </c>
      <c r="KU7">
        <v>247</v>
      </c>
      <c r="KV7">
        <v>1634</v>
      </c>
      <c r="KW7">
        <v>669</v>
      </c>
      <c r="KX7">
        <v>1169</v>
      </c>
      <c r="KY7">
        <v>936</v>
      </c>
      <c r="KZ7">
        <v>0</v>
      </c>
      <c r="LA7">
        <v>0</v>
      </c>
      <c r="LB7">
        <v>0</v>
      </c>
      <c r="LC7">
        <v>0</v>
      </c>
      <c r="LD7">
        <v>0</v>
      </c>
      <c r="LE7">
        <v>426</v>
      </c>
      <c r="LF7">
        <v>871</v>
      </c>
      <c r="LG7">
        <v>828</v>
      </c>
      <c r="LH7">
        <v>226</v>
      </c>
      <c r="LI7">
        <v>104</v>
      </c>
      <c r="LJ7">
        <v>0</v>
      </c>
      <c r="LK7">
        <v>1387</v>
      </c>
      <c r="LL7">
        <v>859</v>
      </c>
      <c r="LM7">
        <v>829</v>
      </c>
      <c r="LN7">
        <v>0</v>
      </c>
      <c r="LO7">
        <v>0</v>
      </c>
      <c r="LP7">
        <v>0</v>
      </c>
      <c r="LQ7">
        <v>0</v>
      </c>
      <c r="LR7">
        <v>1317</v>
      </c>
      <c r="LS7">
        <v>619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114</v>
      </c>
      <c r="ME7">
        <v>468</v>
      </c>
      <c r="MF7">
        <v>435</v>
      </c>
      <c r="MG7">
        <v>453</v>
      </c>
      <c r="MH7">
        <v>0</v>
      </c>
      <c r="MI7">
        <v>605</v>
      </c>
      <c r="MJ7">
        <v>91</v>
      </c>
      <c r="MK7">
        <v>61</v>
      </c>
      <c r="ML7">
        <v>0</v>
      </c>
      <c r="MM7">
        <v>403</v>
      </c>
      <c r="MN7">
        <v>0</v>
      </c>
      <c r="MO7">
        <v>0</v>
      </c>
      <c r="MP7">
        <v>0</v>
      </c>
      <c r="MQ7">
        <v>0</v>
      </c>
      <c r="MR7">
        <v>51</v>
      </c>
      <c r="MS7">
        <v>0</v>
      </c>
      <c r="MT7">
        <v>0</v>
      </c>
      <c r="MU7">
        <v>0</v>
      </c>
      <c r="MV7">
        <v>148</v>
      </c>
      <c r="MW7">
        <v>187</v>
      </c>
      <c r="MX7">
        <v>16</v>
      </c>
      <c r="MY7">
        <v>0</v>
      </c>
      <c r="MZ7">
        <v>333</v>
      </c>
      <c r="NA7">
        <v>0</v>
      </c>
      <c r="NB7">
        <v>0</v>
      </c>
      <c r="NC7">
        <v>0</v>
      </c>
      <c r="ND7">
        <v>0</v>
      </c>
      <c r="NE7">
        <v>29</v>
      </c>
      <c r="NF7">
        <v>17</v>
      </c>
      <c r="NG7">
        <v>0</v>
      </c>
      <c r="NH7">
        <v>0</v>
      </c>
      <c r="NI7">
        <v>0</v>
      </c>
      <c r="NJ7">
        <v>0</v>
      </c>
      <c r="NK7">
        <v>0</v>
      </c>
      <c r="NL7">
        <v>0</v>
      </c>
      <c r="NM7">
        <v>0</v>
      </c>
      <c r="NN7">
        <v>0</v>
      </c>
      <c r="NO7">
        <v>0</v>
      </c>
      <c r="NP7">
        <v>0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153</v>
      </c>
      <c r="NX7">
        <v>0</v>
      </c>
      <c r="NY7">
        <v>0</v>
      </c>
      <c r="NZ7">
        <v>0</v>
      </c>
      <c r="OA7">
        <v>0</v>
      </c>
      <c r="OB7">
        <v>0</v>
      </c>
      <c r="OC7">
        <v>0</v>
      </c>
      <c r="OD7">
        <v>0</v>
      </c>
      <c r="OE7">
        <v>0</v>
      </c>
      <c r="OF7">
        <v>0</v>
      </c>
      <c r="OG7">
        <v>0</v>
      </c>
      <c r="OH7">
        <v>0</v>
      </c>
      <c r="OI7">
        <v>356</v>
      </c>
      <c r="OJ7">
        <v>0</v>
      </c>
      <c r="OK7">
        <v>0</v>
      </c>
      <c r="OL7">
        <v>0</v>
      </c>
      <c r="OM7">
        <v>0</v>
      </c>
      <c r="ON7">
        <v>0</v>
      </c>
      <c r="OO7">
        <v>27</v>
      </c>
      <c r="OP7">
        <v>0</v>
      </c>
      <c r="OQ7">
        <v>0</v>
      </c>
      <c r="OR7">
        <v>0</v>
      </c>
      <c r="OS7" s="3">
        <v>0</v>
      </c>
      <c r="OT7">
        <v>0</v>
      </c>
      <c r="OU7">
        <v>0</v>
      </c>
      <c r="OV7">
        <v>0</v>
      </c>
      <c r="OW7">
        <v>0</v>
      </c>
      <c r="OX7">
        <v>0</v>
      </c>
      <c r="OY7">
        <v>0</v>
      </c>
      <c r="OZ7">
        <v>0</v>
      </c>
      <c r="PA7">
        <v>411</v>
      </c>
      <c r="PB7">
        <v>0</v>
      </c>
      <c r="PC7">
        <v>0</v>
      </c>
      <c r="PD7">
        <v>0</v>
      </c>
      <c r="PE7">
        <v>0</v>
      </c>
      <c r="PF7">
        <v>0</v>
      </c>
      <c r="PG7">
        <v>0</v>
      </c>
      <c r="PH7">
        <v>0</v>
      </c>
      <c r="PI7">
        <v>0</v>
      </c>
      <c r="PJ7">
        <v>0</v>
      </c>
      <c r="PK7">
        <v>0</v>
      </c>
      <c r="PL7">
        <v>0</v>
      </c>
      <c r="PM7">
        <v>0</v>
      </c>
      <c r="PN7">
        <v>0</v>
      </c>
      <c r="PO7">
        <v>0</v>
      </c>
      <c r="PP7">
        <v>0</v>
      </c>
      <c r="PQ7">
        <v>0</v>
      </c>
      <c r="PR7">
        <v>0</v>
      </c>
      <c r="PS7">
        <v>0</v>
      </c>
      <c r="PT7">
        <v>0</v>
      </c>
      <c r="PU7">
        <v>0</v>
      </c>
      <c r="PV7">
        <v>0</v>
      </c>
      <c r="PW7">
        <v>0</v>
      </c>
      <c r="PX7">
        <v>0</v>
      </c>
      <c r="PY7">
        <v>0</v>
      </c>
      <c r="PZ7">
        <v>0</v>
      </c>
      <c r="QA7">
        <v>0</v>
      </c>
      <c r="QB7">
        <v>0</v>
      </c>
      <c r="QC7">
        <v>0</v>
      </c>
      <c r="QD7">
        <v>0</v>
      </c>
      <c r="QE7">
        <v>0</v>
      </c>
      <c r="QF7">
        <v>0</v>
      </c>
      <c r="QG7">
        <v>0</v>
      </c>
      <c r="QH7">
        <v>0</v>
      </c>
      <c r="QI7">
        <v>623</v>
      </c>
      <c r="QJ7">
        <v>760</v>
      </c>
      <c r="QK7">
        <v>0</v>
      </c>
      <c r="QL7">
        <v>0</v>
      </c>
      <c r="QM7">
        <v>588</v>
      </c>
      <c r="QN7">
        <v>0</v>
      </c>
      <c r="QO7">
        <v>657</v>
      </c>
      <c r="QP7">
        <v>715</v>
      </c>
      <c r="QQ7">
        <v>0</v>
      </c>
      <c r="QR7">
        <v>0</v>
      </c>
      <c r="QS7">
        <v>0</v>
      </c>
      <c r="QT7">
        <v>998</v>
      </c>
      <c r="QU7">
        <v>0</v>
      </c>
      <c r="QV7">
        <v>0</v>
      </c>
      <c r="QW7">
        <v>0</v>
      </c>
      <c r="QX7">
        <v>0</v>
      </c>
      <c r="QY7">
        <v>0</v>
      </c>
      <c r="QZ7">
        <v>0</v>
      </c>
      <c r="RA7">
        <v>0</v>
      </c>
      <c r="RB7">
        <v>0</v>
      </c>
      <c r="RC7">
        <v>1386</v>
      </c>
      <c r="RD7">
        <v>2232</v>
      </c>
      <c r="RE7">
        <v>0</v>
      </c>
      <c r="RF7">
        <v>0</v>
      </c>
      <c r="RG7">
        <v>877</v>
      </c>
      <c r="RH7">
        <v>0</v>
      </c>
      <c r="RI7">
        <v>0</v>
      </c>
      <c r="RJ7">
        <v>2677</v>
      </c>
      <c r="RK7">
        <v>0</v>
      </c>
      <c r="RL7">
        <v>0</v>
      </c>
      <c r="RM7">
        <v>0</v>
      </c>
      <c r="RN7">
        <v>0</v>
      </c>
      <c r="RO7">
        <v>0</v>
      </c>
      <c r="RP7">
        <v>4468</v>
      </c>
      <c r="RQ7">
        <v>4793</v>
      </c>
      <c r="RR7">
        <v>9278</v>
      </c>
      <c r="RS7">
        <v>0</v>
      </c>
      <c r="RT7">
        <v>0</v>
      </c>
      <c r="RU7">
        <v>0</v>
      </c>
      <c r="RV7">
        <v>0</v>
      </c>
      <c r="RW7">
        <v>0</v>
      </c>
      <c r="RX7">
        <v>0</v>
      </c>
      <c r="RY7">
        <v>6619</v>
      </c>
      <c r="RZ7">
        <v>0</v>
      </c>
      <c r="SA7">
        <v>0</v>
      </c>
      <c r="SB7">
        <v>0</v>
      </c>
      <c r="SC7">
        <v>0</v>
      </c>
      <c r="SD7">
        <v>0</v>
      </c>
      <c r="SE7">
        <v>0</v>
      </c>
      <c r="SF7">
        <v>0</v>
      </c>
      <c r="SG7">
        <v>0</v>
      </c>
      <c r="SH7">
        <v>0</v>
      </c>
      <c r="SI7">
        <v>2278</v>
      </c>
      <c r="SJ7">
        <v>7259</v>
      </c>
      <c r="SK7">
        <v>0</v>
      </c>
      <c r="SL7">
        <v>0</v>
      </c>
      <c r="SM7">
        <v>0</v>
      </c>
      <c r="SN7">
        <v>0</v>
      </c>
      <c r="SO7">
        <v>0</v>
      </c>
      <c r="SP7">
        <v>0</v>
      </c>
      <c r="SQ7">
        <v>0</v>
      </c>
      <c r="SR7">
        <v>0</v>
      </c>
      <c r="SS7">
        <v>0</v>
      </c>
      <c r="ST7">
        <v>0</v>
      </c>
      <c r="SU7">
        <v>0</v>
      </c>
      <c r="SV7">
        <v>0</v>
      </c>
      <c r="SW7">
        <v>0</v>
      </c>
      <c r="SX7">
        <v>0</v>
      </c>
      <c r="SY7">
        <v>0</v>
      </c>
      <c r="SZ7">
        <v>0</v>
      </c>
      <c r="TA7">
        <v>0</v>
      </c>
      <c r="TB7">
        <v>0</v>
      </c>
      <c r="TC7">
        <v>0</v>
      </c>
      <c r="TD7">
        <v>0</v>
      </c>
      <c r="TE7">
        <v>0</v>
      </c>
      <c r="TF7">
        <v>0</v>
      </c>
      <c r="TG7">
        <v>2574</v>
      </c>
      <c r="TH7">
        <v>0</v>
      </c>
      <c r="TI7">
        <v>0</v>
      </c>
      <c r="TJ7">
        <v>0</v>
      </c>
      <c r="TK7">
        <v>0</v>
      </c>
      <c r="TL7">
        <v>0</v>
      </c>
      <c r="TM7">
        <v>569</v>
      </c>
      <c r="TN7">
        <v>2356</v>
      </c>
      <c r="TO7">
        <v>0</v>
      </c>
      <c r="TP7">
        <v>0</v>
      </c>
      <c r="TQ7">
        <v>0</v>
      </c>
      <c r="TR7">
        <v>0</v>
      </c>
      <c r="TS7">
        <v>0</v>
      </c>
      <c r="TT7">
        <v>0</v>
      </c>
      <c r="TU7">
        <v>0</v>
      </c>
      <c r="TV7">
        <v>0</v>
      </c>
      <c r="TW7">
        <v>0</v>
      </c>
      <c r="TX7">
        <v>203</v>
      </c>
      <c r="TY7">
        <v>0</v>
      </c>
      <c r="TZ7">
        <v>0</v>
      </c>
      <c r="UA7">
        <v>0</v>
      </c>
      <c r="UB7">
        <v>0</v>
      </c>
      <c r="UC7">
        <v>0</v>
      </c>
      <c r="UD7">
        <v>439</v>
      </c>
      <c r="UE7">
        <v>0</v>
      </c>
      <c r="UF7">
        <v>237</v>
      </c>
      <c r="UG7">
        <v>0</v>
      </c>
      <c r="UH7">
        <v>0</v>
      </c>
      <c r="UI7">
        <v>0</v>
      </c>
      <c r="UJ7">
        <v>1985</v>
      </c>
      <c r="UK7">
        <v>0</v>
      </c>
      <c r="UL7">
        <v>0</v>
      </c>
      <c r="UM7">
        <v>0</v>
      </c>
      <c r="UN7">
        <v>0</v>
      </c>
      <c r="UO7">
        <v>0</v>
      </c>
      <c r="UP7">
        <v>0</v>
      </c>
      <c r="UQ7">
        <v>0</v>
      </c>
      <c r="UR7">
        <v>0</v>
      </c>
      <c r="US7">
        <v>0</v>
      </c>
      <c r="UT7">
        <v>0</v>
      </c>
      <c r="UU7">
        <v>0</v>
      </c>
      <c r="UV7">
        <v>0</v>
      </c>
      <c r="UW7">
        <v>0</v>
      </c>
      <c r="UX7">
        <v>0</v>
      </c>
      <c r="UY7">
        <v>0</v>
      </c>
      <c r="UZ7">
        <v>0</v>
      </c>
      <c r="VA7">
        <v>0</v>
      </c>
      <c r="VB7">
        <v>167</v>
      </c>
      <c r="VC7">
        <v>0</v>
      </c>
      <c r="VD7">
        <v>0</v>
      </c>
      <c r="VE7">
        <v>0</v>
      </c>
      <c r="VF7">
        <v>0</v>
      </c>
      <c r="VG7">
        <v>0</v>
      </c>
      <c r="VH7">
        <v>41</v>
      </c>
      <c r="VI7">
        <v>0</v>
      </c>
      <c r="VJ7">
        <v>0</v>
      </c>
      <c r="VK7">
        <v>0</v>
      </c>
      <c r="VL7">
        <v>0</v>
      </c>
      <c r="VM7">
        <v>0</v>
      </c>
      <c r="VN7">
        <v>56</v>
      </c>
      <c r="VO7">
        <v>0</v>
      </c>
      <c r="VP7">
        <v>0</v>
      </c>
      <c r="VQ7">
        <v>0</v>
      </c>
      <c r="VR7">
        <v>288</v>
      </c>
      <c r="VS7">
        <v>247</v>
      </c>
      <c r="VT7">
        <v>0</v>
      </c>
      <c r="VU7">
        <v>0</v>
      </c>
      <c r="VV7">
        <v>0</v>
      </c>
      <c r="VW7">
        <v>0</v>
      </c>
      <c r="VX7">
        <v>0</v>
      </c>
      <c r="VY7">
        <v>0</v>
      </c>
      <c r="VZ7">
        <v>0</v>
      </c>
      <c r="WA7">
        <v>0</v>
      </c>
      <c r="WB7">
        <v>0</v>
      </c>
      <c r="WC7">
        <v>0</v>
      </c>
      <c r="WD7">
        <v>0</v>
      </c>
      <c r="WE7">
        <v>0</v>
      </c>
      <c r="WF7">
        <v>0</v>
      </c>
      <c r="WG7">
        <v>0</v>
      </c>
      <c r="WH7">
        <v>0</v>
      </c>
      <c r="WI7">
        <v>0</v>
      </c>
      <c r="WJ7">
        <v>274</v>
      </c>
      <c r="WK7">
        <v>0</v>
      </c>
      <c r="WL7">
        <v>0</v>
      </c>
      <c r="WM7">
        <v>533</v>
      </c>
      <c r="WN7">
        <v>120</v>
      </c>
      <c r="WO7">
        <v>120</v>
      </c>
      <c r="WP7">
        <v>120</v>
      </c>
      <c r="WQ7">
        <v>663</v>
      </c>
      <c r="WR7">
        <v>663</v>
      </c>
      <c r="WS7">
        <v>663</v>
      </c>
      <c r="WT7">
        <v>663</v>
      </c>
      <c r="WU7">
        <v>0</v>
      </c>
      <c r="WV7">
        <v>0</v>
      </c>
      <c r="WW7">
        <v>0</v>
      </c>
      <c r="WX7">
        <v>0</v>
      </c>
      <c r="WY7">
        <v>0</v>
      </c>
      <c r="WZ7">
        <v>0</v>
      </c>
      <c r="XA7">
        <v>0</v>
      </c>
      <c r="XB7">
        <v>0</v>
      </c>
      <c r="XC7">
        <v>0</v>
      </c>
      <c r="XD7">
        <v>206</v>
      </c>
      <c r="XE7">
        <v>0</v>
      </c>
      <c r="XF7">
        <v>0</v>
      </c>
      <c r="XG7">
        <v>0</v>
      </c>
      <c r="XH7">
        <v>0</v>
      </c>
      <c r="XI7">
        <v>0</v>
      </c>
      <c r="XJ7">
        <v>0</v>
      </c>
      <c r="XK7">
        <v>0</v>
      </c>
      <c r="XL7">
        <v>0</v>
      </c>
      <c r="XM7">
        <v>0</v>
      </c>
      <c r="XN7">
        <v>0</v>
      </c>
      <c r="XO7">
        <v>0</v>
      </c>
      <c r="XP7">
        <v>0</v>
      </c>
      <c r="XQ7">
        <v>0</v>
      </c>
      <c r="XR7">
        <v>0</v>
      </c>
      <c r="XS7">
        <v>0</v>
      </c>
      <c r="XT7">
        <v>0</v>
      </c>
      <c r="XU7">
        <v>0</v>
      </c>
      <c r="XV7">
        <v>0</v>
      </c>
      <c r="XW7">
        <v>0</v>
      </c>
      <c r="XX7">
        <v>0</v>
      </c>
      <c r="XY7">
        <v>0</v>
      </c>
      <c r="XZ7">
        <v>0</v>
      </c>
      <c r="YA7">
        <v>1808</v>
      </c>
      <c r="YB7">
        <v>1334</v>
      </c>
      <c r="YC7">
        <v>0</v>
      </c>
      <c r="YD7">
        <v>0</v>
      </c>
      <c r="YE7">
        <v>141</v>
      </c>
      <c r="YF7" s="1">
        <v>1740</v>
      </c>
      <c r="YG7" s="1">
        <v>1740</v>
      </c>
      <c r="YH7" s="1">
        <v>1740</v>
      </c>
      <c r="YI7" s="1">
        <v>0</v>
      </c>
      <c r="YJ7">
        <v>0</v>
      </c>
      <c r="YK7">
        <v>0</v>
      </c>
      <c r="YL7">
        <v>0</v>
      </c>
      <c r="YM7">
        <v>232</v>
      </c>
      <c r="YN7">
        <v>0</v>
      </c>
      <c r="YO7">
        <v>2486</v>
      </c>
      <c r="YP7">
        <v>2816</v>
      </c>
      <c r="YQ7">
        <v>0</v>
      </c>
      <c r="YR7">
        <v>0</v>
      </c>
      <c r="YS7">
        <v>0</v>
      </c>
      <c r="YT7">
        <v>0</v>
      </c>
      <c r="YU7">
        <v>406</v>
      </c>
      <c r="YV7">
        <v>0</v>
      </c>
      <c r="YW7">
        <v>0</v>
      </c>
      <c r="YX7">
        <v>0</v>
      </c>
      <c r="YY7">
        <v>0</v>
      </c>
      <c r="YZ7">
        <v>0</v>
      </c>
      <c r="ZA7">
        <v>0</v>
      </c>
      <c r="ZB7">
        <v>739</v>
      </c>
      <c r="ZC7">
        <v>0</v>
      </c>
      <c r="ZD7">
        <v>3270</v>
      </c>
      <c r="ZE7">
        <v>0</v>
      </c>
      <c r="ZF7">
        <v>0</v>
      </c>
      <c r="ZG7">
        <v>0</v>
      </c>
      <c r="ZH7">
        <v>0</v>
      </c>
      <c r="ZI7">
        <v>0</v>
      </c>
      <c r="ZJ7">
        <v>0</v>
      </c>
      <c r="ZK7">
        <v>0</v>
      </c>
      <c r="ZL7">
        <v>0</v>
      </c>
      <c r="ZM7">
        <v>0</v>
      </c>
      <c r="ZN7">
        <v>0</v>
      </c>
      <c r="ZO7">
        <v>0</v>
      </c>
      <c r="ZP7">
        <v>0</v>
      </c>
      <c r="ZQ7">
        <v>0</v>
      </c>
      <c r="ZR7">
        <v>0</v>
      </c>
      <c r="ZS7">
        <v>0</v>
      </c>
      <c r="ZT7">
        <v>0</v>
      </c>
      <c r="ZU7">
        <v>0</v>
      </c>
      <c r="ZV7">
        <v>74</v>
      </c>
      <c r="ZW7">
        <v>0</v>
      </c>
      <c r="ZX7">
        <v>0</v>
      </c>
      <c r="ZY7">
        <v>0</v>
      </c>
      <c r="ZZ7">
        <v>1013</v>
      </c>
      <c r="AAA7">
        <v>0</v>
      </c>
      <c r="AAB7">
        <v>0</v>
      </c>
      <c r="AAC7">
        <v>0</v>
      </c>
      <c r="AAD7">
        <v>0</v>
      </c>
      <c r="AAE7">
        <v>983</v>
      </c>
      <c r="AAF7">
        <v>0</v>
      </c>
      <c r="AAG7">
        <v>0</v>
      </c>
      <c r="AAH7">
        <v>0</v>
      </c>
      <c r="AAI7">
        <v>0</v>
      </c>
      <c r="AAJ7">
        <v>0</v>
      </c>
      <c r="AAK7">
        <v>0</v>
      </c>
      <c r="AAL7">
        <v>0</v>
      </c>
      <c r="AAM7">
        <v>0</v>
      </c>
      <c r="AAN7">
        <v>0</v>
      </c>
      <c r="AAO7">
        <v>0</v>
      </c>
      <c r="AAP7">
        <v>0</v>
      </c>
      <c r="AAQ7">
        <v>0</v>
      </c>
      <c r="AAR7">
        <v>218</v>
      </c>
      <c r="AAS7">
        <v>0</v>
      </c>
      <c r="AAT7">
        <v>0</v>
      </c>
      <c r="AAU7">
        <v>0</v>
      </c>
      <c r="AAV7">
        <v>0</v>
      </c>
      <c r="AAW7">
        <v>0</v>
      </c>
      <c r="AAX7">
        <v>0</v>
      </c>
      <c r="AAY7">
        <v>0</v>
      </c>
      <c r="AAZ7">
        <v>0</v>
      </c>
      <c r="ABA7">
        <v>0</v>
      </c>
      <c r="ABB7">
        <v>0</v>
      </c>
      <c r="ABC7">
        <v>0</v>
      </c>
      <c r="ABD7">
        <v>0</v>
      </c>
      <c r="ABE7">
        <v>0</v>
      </c>
      <c r="ABF7">
        <v>0</v>
      </c>
      <c r="ABG7">
        <v>0</v>
      </c>
      <c r="ABH7">
        <v>0</v>
      </c>
      <c r="ABI7">
        <v>0</v>
      </c>
      <c r="ABJ7">
        <v>0</v>
      </c>
      <c r="ABK7">
        <v>0</v>
      </c>
      <c r="ABL7">
        <v>0</v>
      </c>
      <c r="ABM7">
        <v>0</v>
      </c>
      <c r="ABN7">
        <v>0</v>
      </c>
      <c r="ABO7">
        <v>0</v>
      </c>
      <c r="ABP7">
        <v>0</v>
      </c>
      <c r="ABQ7">
        <v>0</v>
      </c>
      <c r="ABR7">
        <v>0</v>
      </c>
      <c r="ABS7">
        <v>0</v>
      </c>
      <c r="ABT7">
        <v>0</v>
      </c>
      <c r="ABU7">
        <v>193</v>
      </c>
      <c r="ABV7">
        <v>0</v>
      </c>
      <c r="ABW7">
        <v>0</v>
      </c>
      <c r="ABX7">
        <v>0</v>
      </c>
      <c r="ABY7">
        <v>0</v>
      </c>
      <c r="ABZ7">
        <v>0</v>
      </c>
      <c r="ACA7">
        <v>0</v>
      </c>
      <c r="ACB7">
        <v>0</v>
      </c>
      <c r="ACC7">
        <v>0</v>
      </c>
      <c r="ACD7">
        <v>0</v>
      </c>
      <c r="ACE7">
        <v>0</v>
      </c>
      <c r="ACF7">
        <v>0</v>
      </c>
      <c r="ACG7">
        <v>0</v>
      </c>
      <c r="ACH7">
        <v>0</v>
      </c>
      <c r="ACI7">
        <v>0</v>
      </c>
      <c r="ACJ7">
        <v>0</v>
      </c>
      <c r="ACK7">
        <v>0</v>
      </c>
      <c r="ACL7">
        <v>0</v>
      </c>
      <c r="ACM7">
        <v>0</v>
      </c>
      <c r="ACN7">
        <v>0</v>
      </c>
      <c r="ACO7">
        <v>0</v>
      </c>
      <c r="ACP7">
        <v>482</v>
      </c>
      <c r="ACQ7">
        <v>482</v>
      </c>
      <c r="ACR7">
        <v>0</v>
      </c>
      <c r="ACS7">
        <v>0</v>
      </c>
      <c r="ACT7">
        <v>0</v>
      </c>
      <c r="ACU7">
        <v>0</v>
      </c>
      <c r="ACV7">
        <v>0</v>
      </c>
      <c r="ACW7">
        <v>0</v>
      </c>
      <c r="ACX7">
        <v>0</v>
      </c>
      <c r="ACY7">
        <v>0</v>
      </c>
      <c r="ACZ7">
        <v>0</v>
      </c>
      <c r="ADA7">
        <v>0</v>
      </c>
      <c r="ADB7">
        <v>0</v>
      </c>
      <c r="ADC7">
        <v>0</v>
      </c>
      <c r="ADD7">
        <v>0</v>
      </c>
      <c r="ADE7">
        <v>0</v>
      </c>
      <c r="ADF7">
        <v>0</v>
      </c>
      <c r="ADG7">
        <v>0</v>
      </c>
      <c r="ADH7">
        <v>0</v>
      </c>
      <c r="ADI7">
        <v>0</v>
      </c>
      <c r="ADJ7">
        <v>0</v>
      </c>
      <c r="ADK7">
        <v>0</v>
      </c>
      <c r="ADL7">
        <v>570</v>
      </c>
      <c r="ADM7">
        <v>570</v>
      </c>
      <c r="ADN7">
        <v>570</v>
      </c>
      <c r="ADO7">
        <v>570</v>
      </c>
      <c r="ADP7">
        <v>570</v>
      </c>
      <c r="ADQ7">
        <v>570</v>
      </c>
      <c r="ADR7">
        <v>0</v>
      </c>
      <c r="ADS7">
        <v>0</v>
      </c>
      <c r="ADT7">
        <v>0</v>
      </c>
      <c r="ADU7">
        <v>0</v>
      </c>
      <c r="ADV7">
        <v>0</v>
      </c>
      <c r="ADW7">
        <v>0</v>
      </c>
      <c r="ADX7">
        <v>0</v>
      </c>
      <c r="ADY7">
        <v>0</v>
      </c>
      <c r="ADZ7">
        <v>0</v>
      </c>
      <c r="AEA7">
        <v>0</v>
      </c>
      <c r="AEB7">
        <v>0</v>
      </c>
      <c r="AEC7">
        <v>0</v>
      </c>
      <c r="AED7">
        <v>0</v>
      </c>
      <c r="AEE7">
        <v>0</v>
      </c>
      <c r="AEF7">
        <v>0</v>
      </c>
      <c r="AEG7">
        <v>0</v>
      </c>
      <c r="AEH7">
        <v>0</v>
      </c>
      <c r="AEI7">
        <v>0</v>
      </c>
      <c r="AEJ7">
        <v>0</v>
      </c>
      <c r="AEK7">
        <v>0</v>
      </c>
      <c r="AEL7">
        <v>0</v>
      </c>
      <c r="AEM7">
        <v>0</v>
      </c>
      <c r="AEN7">
        <v>0</v>
      </c>
      <c r="AEO7">
        <v>0</v>
      </c>
      <c r="AEP7">
        <v>0</v>
      </c>
      <c r="AEQ7">
        <v>0</v>
      </c>
      <c r="AER7">
        <v>0</v>
      </c>
      <c r="AES7">
        <v>0</v>
      </c>
      <c r="AET7">
        <v>0</v>
      </c>
      <c r="AEU7">
        <v>0</v>
      </c>
      <c r="AEV7">
        <v>0</v>
      </c>
      <c r="AEW7">
        <v>0</v>
      </c>
      <c r="AEX7">
        <v>0</v>
      </c>
      <c r="AEY7">
        <v>0</v>
      </c>
      <c r="AEZ7">
        <v>0</v>
      </c>
      <c r="AFA7">
        <v>0</v>
      </c>
      <c r="AFB7">
        <v>0</v>
      </c>
      <c r="AFC7">
        <v>0</v>
      </c>
      <c r="AFD7">
        <v>0</v>
      </c>
      <c r="AFE7">
        <v>0</v>
      </c>
      <c r="AFF7">
        <v>0</v>
      </c>
      <c r="AFG7">
        <v>0</v>
      </c>
      <c r="AFH7">
        <v>0</v>
      </c>
      <c r="AFI7">
        <v>0</v>
      </c>
      <c r="AFJ7">
        <v>0</v>
      </c>
      <c r="AFK7">
        <v>0</v>
      </c>
      <c r="AFL7">
        <v>0</v>
      </c>
      <c r="AFM7">
        <v>0</v>
      </c>
      <c r="AFN7">
        <v>0</v>
      </c>
      <c r="AFO7">
        <v>0</v>
      </c>
      <c r="AFP7">
        <v>0</v>
      </c>
      <c r="AFQ7">
        <v>0</v>
      </c>
      <c r="AFR7">
        <v>0</v>
      </c>
      <c r="AFS7">
        <v>0</v>
      </c>
      <c r="AFT7">
        <v>0</v>
      </c>
      <c r="AFU7">
        <v>0</v>
      </c>
      <c r="AFV7">
        <v>0</v>
      </c>
      <c r="AFW7">
        <v>0</v>
      </c>
      <c r="AFX7">
        <v>0</v>
      </c>
      <c r="AFY7">
        <v>0</v>
      </c>
      <c r="AFZ7">
        <v>0</v>
      </c>
      <c r="AGA7">
        <v>0</v>
      </c>
      <c r="AGB7">
        <v>0</v>
      </c>
      <c r="AGC7">
        <v>0</v>
      </c>
      <c r="AGD7">
        <v>0</v>
      </c>
      <c r="AGE7">
        <v>0</v>
      </c>
      <c r="AGF7">
        <v>0</v>
      </c>
      <c r="AGG7">
        <v>0</v>
      </c>
      <c r="AGH7">
        <v>0</v>
      </c>
      <c r="AGI7">
        <v>0</v>
      </c>
      <c r="AGJ7">
        <v>0</v>
      </c>
      <c r="AGK7">
        <v>0</v>
      </c>
      <c r="AGL7">
        <v>0</v>
      </c>
      <c r="AGM7">
        <v>0</v>
      </c>
      <c r="AGN7">
        <v>0</v>
      </c>
      <c r="AGO7">
        <v>0</v>
      </c>
      <c r="AGP7">
        <v>0</v>
      </c>
      <c r="AGQ7">
        <v>0</v>
      </c>
      <c r="AGR7">
        <v>0</v>
      </c>
      <c r="AGS7">
        <v>0</v>
      </c>
      <c r="AGT7">
        <v>0</v>
      </c>
      <c r="AGU7">
        <v>0</v>
      </c>
      <c r="AGV7">
        <v>0</v>
      </c>
      <c r="AGW7">
        <v>0</v>
      </c>
      <c r="AGX7">
        <v>0</v>
      </c>
      <c r="AGY7">
        <v>0</v>
      </c>
      <c r="AGZ7">
        <v>0</v>
      </c>
      <c r="AHA7">
        <v>0</v>
      </c>
      <c r="AHB7">
        <v>0</v>
      </c>
      <c r="AHC7">
        <v>0</v>
      </c>
      <c r="AHD7">
        <v>0</v>
      </c>
      <c r="AHE7">
        <v>0</v>
      </c>
      <c r="AHF7">
        <v>0</v>
      </c>
      <c r="AHG7">
        <v>0</v>
      </c>
      <c r="AHH7">
        <v>0</v>
      </c>
      <c r="AHI7">
        <v>0</v>
      </c>
      <c r="AHJ7">
        <v>0</v>
      </c>
      <c r="AHK7">
        <v>0</v>
      </c>
      <c r="AHL7">
        <v>0</v>
      </c>
      <c r="AHM7">
        <v>0</v>
      </c>
      <c r="AHN7">
        <v>0</v>
      </c>
      <c r="AHO7">
        <v>0</v>
      </c>
      <c r="AHP7">
        <v>0</v>
      </c>
      <c r="AHQ7">
        <v>0</v>
      </c>
    </row>
    <row r="8" spans="1:901">
      <c r="A8" s="1" t="s">
        <v>31</v>
      </c>
      <c r="B8">
        <v>240</v>
      </c>
      <c r="C8">
        <v>740</v>
      </c>
      <c r="D8">
        <v>680</v>
      </c>
      <c r="E8">
        <v>808</v>
      </c>
      <c r="F8">
        <v>292</v>
      </c>
      <c r="G8">
        <v>237</v>
      </c>
      <c r="H8">
        <v>942</v>
      </c>
      <c r="I8">
        <v>819</v>
      </c>
      <c r="J8">
        <v>491</v>
      </c>
      <c r="K8">
        <v>945</v>
      </c>
      <c r="L8">
        <v>390</v>
      </c>
      <c r="M8">
        <v>171</v>
      </c>
      <c r="N8">
        <v>705</v>
      </c>
      <c r="O8">
        <v>778</v>
      </c>
      <c r="P8">
        <v>663</v>
      </c>
      <c r="Q8">
        <v>681</v>
      </c>
      <c r="R8">
        <v>658</v>
      </c>
      <c r="S8">
        <v>215</v>
      </c>
      <c r="T8">
        <v>219</v>
      </c>
      <c r="U8">
        <v>688</v>
      </c>
      <c r="V8">
        <v>834</v>
      </c>
      <c r="W8">
        <v>776</v>
      </c>
      <c r="X8">
        <v>455</v>
      </c>
      <c r="Y8">
        <v>609</v>
      </c>
      <c r="Z8">
        <v>171</v>
      </c>
      <c r="AA8">
        <v>111</v>
      </c>
      <c r="AB8">
        <v>554</v>
      </c>
      <c r="AC8">
        <v>714</v>
      </c>
      <c r="AD8">
        <v>671</v>
      </c>
      <c r="AE8">
        <v>666</v>
      </c>
      <c r="AF8">
        <v>597</v>
      </c>
      <c r="AG8">
        <v>332</v>
      </c>
      <c r="AH8">
        <v>239</v>
      </c>
      <c r="AI8">
        <v>620</v>
      </c>
      <c r="AJ8">
        <v>196</v>
      </c>
      <c r="AK8">
        <v>757</v>
      </c>
      <c r="AL8">
        <v>730</v>
      </c>
      <c r="AM8">
        <v>730</v>
      </c>
      <c r="AN8">
        <v>155</v>
      </c>
      <c r="AO8">
        <v>107</v>
      </c>
      <c r="AP8">
        <v>677</v>
      </c>
      <c r="AQ8">
        <v>749</v>
      </c>
      <c r="AR8">
        <v>470</v>
      </c>
      <c r="AS8">
        <v>549</v>
      </c>
      <c r="AT8">
        <v>600</v>
      </c>
      <c r="AU8">
        <v>165</v>
      </c>
      <c r="AV8">
        <v>0</v>
      </c>
      <c r="AW8">
        <v>379</v>
      </c>
      <c r="AX8">
        <v>664</v>
      </c>
      <c r="AY8">
        <v>702</v>
      </c>
      <c r="AZ8">
        <v>653</v>
      </c>
      <c r="BA8">
        <v>548</v>
      </c>
      <c r="BB8">
        <v>212</v>
      </c>
      <c r="BC8">
        <v>98</v>
      </c>
      <c r="BD8">
        <v>769</v>
      </c>
      <c r="BE8">
        <v>682</v>
      </c>
      <c r="BF8">
        <v>732</v>
      </c>
      <c r="BG8">
        <v>580</v>
      </c>
      <c r="BH8">
        <v>596</v>
      </c>
      <c r="BI8">
        <v>166</v>
      </c>
      <c r="BJ8">
        <v>147</v>
      </c>
      <c r="BK8">
        <v>698</v>
      </c>
      <c r="BL8">
        <v>651</v>
      </c>
      <c r="BM8">
        <v>685</v>
      </c>
      <c r="BN8">
        <v>691</v>
      </c>
      <c r="BO8">
        <v>660</v>
      </c>
      <c r="BP8">
        <v>212</v>
      </c>
      <c r="BQ8">
        <v>93</v>
      </c>
      <c r="BR8">
        <v>627</v>
      </c>
      <c r="BS8">
        <v>640</v>
      </c>
      <c r="BT8">
        <v>696</v>
      </c>
      <c r="BU8">
        <v>447</v>
      </c>
      <c r="BV8">
        <v>666</v>
      </c>
      <c r="BW8">
        <v>173</v>
      </c>
      <c r="BX8">
        <v>91</v>
      </c>
      <c r="BY8">
        <v>712</v>
      </c>
      <c r="BZ8">
        <v>686</v>
      </c>
      <c r="CA8">
        <v>593</v>
      </c>
      <c r="CB8">
        <v>752</v>
      </c>
      <c r="CC8">
        <v>547</v>
      </c>
      <c r="CD8">
        <v>198</v>
      </c>
      <c r="CE8">
        <v>124</v>
      </c>
      <c r="CF8">
        <v>799</v>
      </c>
      <c r="CG8">
        <v>654</v>
      </c>
      <c r="CH8">
        <v>659</v>
      </c>
      <c r="CI8">
        <v>755</v>
      </c>
      <c r="CJ8">
        <v>558</v>
      </c>
      <c r="CK8">
        <v>183</v>
      </c>
      <c r="CL8">
        <v>123</v>
      </c>
      <c r="CM8">
        <v>677</v>
      </c>
      <c r="CN8">
        <v>746</v>
      </c>
      <c r="CO8">
        <v>607</v>
      </c>
      <c r="CP8">
        <v>627</v>
      </c>
      <c r="CQ8">
        <v>533</v>
      </c>
      <c r="CR8">
        <v>170</v>
      </c>
      <c r="CS8">
        <v>102</v>
      </c>
      <c r="CT8">
        <v>734</v>
      </c>
      <c r="CU8">
        <v>655</v>
      </c>
      <c r="CV8">
        <v>638</v>
      </c>
      <c r="CW8">
        <v>186</v>
      </c>
      <c r="CX8">
        <v>91</v>
      </c>
      <c r="CY8">
        <v>138</v>
      </c>
      <c r="CZ8">
        <v>132</v>
      </c>
      <c r="DA8">
        <v>846</v>
      </c>
      <c r="DB8">
        <v>879</v>
      </c>
      <c r="DC8">
        <v>846</v>
      </c>
      <c r="DD8">
        <v>224</v>
      </c>
      <c r="DE8">
        <v>80</v>
      </c>
      <c r="DF8">
        <v>159</v>
      </c>
      <c r="DG8">
        <v>181</v>
      </c>
      <c r="DH8">
        <v>763</v>
      </c>
      <c r="DI8">
        <v>783</v>
      </c>
      <c r="DJ8">
        <v>872</v>
      </c>
      <c r="DK8">
        <v>990</v>
      </c>
      <c r="DL8">
        <v>1063</v>
      </c>
      <c r="DM8">
        <v>116</v>
      </c>
      <c r="DN8">
        <v>0</v>
      </c>
      <c r="DO8">
        <v>1739</v>
      </c>
      <c r="DP8">
        <v>1004</v>
      </c>
      <c r="DQ8">
        <v>951</v>
      </c>
      <c r="DR8">
        <v>623</v>
      </c>
      <c r="DS8">
        <v>1038</v>
      </c>
      <c r="DT8">
        <v>290</v>
      </c>
      <c r="DU8">
        <v>258</v>
      </c>
      <c r="DV8">
        <v>1131</v>
      </c>
      <c r="DW8">
        <v>1047</v>
      </c>
      <c r="DX8">
        <v>1071</v>
      </c>
      <c r="DY8">
        <v>561</v>
      </c>
      <c r="DZ8">
        <v>934</v>
      </c>
      <c r="EA8">
        <v>322</v>
      </c>
      <c r="EB8">
        <v>218</v>
      </c>
      <c r="EC8">
        <v>1029</v>
      </c>
      <c r="ED8">
        <v>1038</v>
      </c>
      <c r="EE8">
        <v>1098</v>
      </c>
      <c r="EF8">
        <v>741</v>
      </c>
      <c r="EG8">
        <v>782</v>
      </c>
      <c r="EH8">
        <v>386</v>
      </c>
      <c r="EI8">
        <v>128</v>
      </c>
      <c r="EJ8">
        <v>667</v>
      </c>
      <c r="EK8">
        <v>667</v>
      </c>
      <c r="EL8">
        <v>699</v>
      </c>
      <c r="EM8">
        <v>630</v>
      </c>
      <c r="EN8">
        <v>642</v>
      </c>
      <c r="EO8">
        <v>200</v>
      </c>
      <c r="EP8">
        <v>110</v>
      </c>
      <c r="EQ8">
        <v>746</v>
      </c>
      <c r="ER8">
        <v>753</v>
      </c>
      <c r="ES8">
        <v>786</v>
      </c>
      <c r="ET8">
        <v>751</v>
      </c>
      <c r="EU8">
        <v>788</v>
      </c>
      <c r="EV8">
        <v>208</v>
      </c>
      <c r="EW8">
        <v>104</v>
      </c>
      <c r="EX8">
        <v>720</v>
      </c>
      <c r="EY8">
        <v>777</v>
      </c>
      <c r="EZ8">
        <v>730</v>
      </c>
      <c r="FA8">
        <v>665</v>
      </c>
      <c r="FB8">
        <v>656</v>
      </c>
      <c r="FC8">
        <v>239</v>
      </c>
      <c r="FD8">
        <v>119</v>
      </c>
      <c r="FE8">
        <v>783</v>
      </c>
      <c r="FF8">
        <v>692</v>
      </c>
      <c r="FG8">
        <v>378</v>
      </c>
      <c r="FH8">
        <v>672</v>
      </c>
      <c r="FI8">
        <v>521</v>
      </c>
      <c r="FJ8">
        <v>207</v>
      </c>
      <c r="FK8">
        <v>111</v>
      </c>
      <c r="FL8">
        <v>758</v>
      </c>
      <c r="FM8">
        <v>839</v>
      </c>
      <c r="FN8">
        <v>626</v>
      </c>
      <c r="FO8">
        <v>840</v>
      </c>
      <c r="FP8">
        <v>621</v>
      </c>
      <c r="FQ8">
        <v>223</v>
      </c>
      <c r="FR8">
        <v>210</v>
      </c>
      <c r="FS8">
        <v>793</v>
      </c>
      <c r="FT8">
        <v>830</v>
      </c>
      <c r="FU8">
        <v>750</v>
      </c>
      <c r="FV8">
        <v>831</v>
      </c>
      <c r="FW8">
        <v>705</v>
      </c>
      <c r="FX8">
        <v>202</v>
      </c>
      <c r="FY8">
        <v>133</v>
      </c>
      <c r="FZ8">
        <v>971</v>
      </c>
      <c r="GA8">
        <v>949</v>
      </c>
      <c r="GB8">
        <v>898</v>
      </c>
      <c r="GC8">
        <v>908</v>
      </c>
      <c r="GD8">
        <v>919</v>
      </c>
      <c r="GE8">
        <v>252</v>
      </c>
      <c r="GF8">
        <v>208</v>
      </c>
      <c r="GG8">
        <v>948</v>
      </c>
      <c r="GH8">
        <v>1141</v>
      </c>
      <c r="GI8">
        <v>999</v>
      </c>
      <c r="GJ8">
        <v>926</v>
      </c>
      <c r="GK8">
        <v>917</v>
      </c>
      <c r="GL8">
        <v>327</v>
      </c>
      <c r="GM8">
        <v>179</v>
      </c>
      <c r="GN8">
        <v>278</v>
      </c>
      <c r="GO8">
        <v>564</v>
      </c>
      <c r="GP8">
        <v>358</v>
      </c>
      <c r="GQ8">
        <v>280</v>
      </c>
      <c r="GR8">
        <v>203</v>
      </c>
      <c r="GS8">
        <v>232</v>
      </c>
      <c r="GT8">
        <v>209</v>
      </c>
      <c r="GU8">
        <v>1340</v>
      </c>
      <c r="GV8">
        <v>1354</v>
      </c>
      <c r="GW8">
        <v>1590</v>
      </c>
      <c r="GX8">
        <v>1331</v>
      </c>
      <c r="GY8">
        <v>1345</v>
      </c>
      <c r="GZ8">
        <v>431</v>
      </c>
      <c r="HA8">
        <v>238</v>
      </c>
      <c r="HB8">
        <v>2013</v>
      </c>
      <c r="HC8">
        <v>1805</v>
      </c>
      <c r="HD8">
        <v>1567</v>
      </c>
      <c r="HE8">
        <v>1973</v>
      </c>
      <c r="HF8">
        <v>1640</v>
      </c>
      <c r="HG8">
        <v>427</v>
      </c>
      <c r="HH8">
        <v>315</v>
      </c>
      <c r="HI8">
        <v>1651</v>
      </c>
      <c r="HJ8">
        <v>1629</v>
      </c>
      <c r="HK8">
        <v>1816</v>
      </c>
      <c r="HL8">
        <v>1644</v>
      </c>
      <c r="HM8">
        <v>1518</v>
      </c>
      <c r="HN8">
        <v>391</v>
      </c>
      <c r="HO8">
        <v>241</v>
      </c>
      <c r="HP8">
        <v>1086</v>
      </c>
      <c r="HQ8">
        <v>1596</v>
      </c>
      <c r="HR8">
        <v>1626</v>
      </c>
      <c r="HS8">
        <v>1424</v>
      </c>
      <c r="HT8">
        <v>806</v>
      </c>
      <c r="HU8">
        <v>207</v>
      </c>
      <c r="HV8">
        <v>187</v>
      </c>
      <c r="HW8">
        <v>1224</v>
      </c>
      <c r="HX8">
        <v>1194</v>
      </c>
      <c r="HY8">
        <v>1150</v>
      </c>
      <c r="HZ8">
        <v>1257</v>
      </c>
      <c r="IA8">
        <v>1187</v>
      </c>
      <c r="IB8">
        <v>215</v>
      </c>
      <c r="IC8">
        <v>206</v>
      </c>
      <c r="ID8">
        <v>962</v>
      </c>
      <c r="IE8">
        <v>1416</v>
      </c>
      <c r="IF8">
        <v>1105</v>
      </c>
      <c r="IG8">
        <v>1383</v>
      </c>
      <c r="IH8">
        <v>947</v>
      </c>
      <c r="II8">
        <v>252</v>
      </c>
      <c r="IJ8">
        <v>159</v>
      </c>
      <c r="IK8">
        <v>1256</v>
      </c>
      <c r="IL8">
        <v>1049</v>
      </c>
      <c r="IM8">
        <v>1414</v>
      </c>
      <c r="IN8">
        <v>909</v>
      </c>
      <c r="IO8">
        <v>950</v>
      </c>
      <c r="IP8">
        <v>348</v>
      </c>
      <c r="IQ8">
        <v>190</v>
      </c>
      <c r="IR8">
        <v>1180</v>
      </c>
      <c r="IS8">
        <v>1472</v>
      </c>
      <c r="IT8">
        <v>1040</v>
      </c>
      <c r="IU8">
        <v>1593</v>
      </c>
      <c r="IV8">
        <v>908</v>
      </c>
      <c r="IW8">
        <v>388</v>
      </c>
      <c r="IX8">
        <v>192</v>
      </c>
      <c r="IY8">
        <v>1416</v>
      </c>
      <c r="IZ8">
        <v>1334</v>
      </c>
      <c r="JA8">
        <v>1466</v>
      </c>
      <c r="JB8">
        <v>1321</v>
      </c>
      <c r="JC8">
        <v>1438</v>
      </c>
      <c r="JD8">
        <v>566</v>
      </c>
      <c r="JE8">
        <v>297</v>
      </c>
      <c r="JF8">
        <v>1581</v>
      </c>
      <c r="JG8">
        <v>1826</v>
      </c>
      <c r="JH8">
        <v>1785</v>
      </c>
      <c r="JI8">
        <v>1861</v>
      </c>
      <c r="JJ8">
        <v>1823</v>
      </c>
      <c r="JK8">
        <v>572</v>
      </c>
      <c r="JL8">
        <v>287</v>
      </c>
      <c r="JM8">
        <v>1740</v>
      </c>
      <c r="JN8">
        <v>1472</v>
      </c>
      <c r="JO8">
        <v>1725</v>
      </c>
      <c r="JP8">
        <v>1482</v>
      </c>
      <c r="JQ8">
        <v>1538</v>
      </c>
      <c r="JR8">
        <v>560</v>
      </c>
      <c r="JS8">
        <v>347</v>
      </c>
      <c r="JT8">
        <v>1859</v>
      </c>
      <c r="JU8">
        <v>2028</v>
      </c>
      <c r="JV8">
        <v>1967</v>
      </c>
      <c r="JW8">
        <v>2279</v>
      </c>
      <c r="JX8">
        <v>1865</v>
      </c>
      <c r="JY8">
        <v>743</v>
      </c>
      <c r="JZ8">
        <v>382</v>
      </c>
      <c r="KA8">
        <v>697</v>
      </c>
      <c r="KB8">
        <v>909</v>
      </c>
      <c r="KC8">
        <v>2855</v>
      </c>
      <c r="KD8">
        <v>2466</v>
      </c>
      <c r="KE8">
        <v>2285</v>
      </c>
      <c r="KF8">
        <v>823</v>
      </c>
      <c r="KG8">
        <v>522</v>
      </c>
      <c r="KH8">
        <v>2785</v>
      </c>
      <c r="KI8">
        <v>2954</v>
      </c>
      <c r="KJ8">
        <v>3069</v>
      </c>
      <c r="KK8">
        <v>2960</v>
      </c>
      <c r="KL8">
        <v>3009</v>
      </c>
      <c r="KM8">
        <v>1230</v>
      </c>
      <c r="KN8">
        <v>616</v>
      </c>
      <c r="KO8">
        <v>2963</v>
      </c>
      <c r="KP8">
        <v>2904</v>
      </c>
      <c r="KQ8">
        <v>2731</v>
      </c>
      <c r="KR8">
        <v>2896</v>
      </c>
      <c r="KS8">
        <v>2475</v>
      </c>
      <c r="KT8">
        <v>701</v>
      </c>
      <c r="KU8">
        <v>548</v>
      </c>
      <c r="KV8">
        <v>0</v>
      </c>
      <c r="KW8">
        <v>0</v>
      </c>
      <c r="KX8">
        <v>3364</v>
      </c>
      <c r="KY8">
        <v>3275</v>
      </c>
      <c r="KZ8">
        <v>3320</v>
      </c>
      <c r="LA8">
        <v>1272</v>
      </c>
      <c r="LB8">
        <v>496</v>
      </c>
      <c r="LC8">
        <v>2639</v>
      </c>
      <c r="LD8">
        <v>3575</v>
      </c>
      <c r="LE8">
        <v>3336</v>
      </c>
      <c r="LF8">
        <v>3394</v>
      </c>
      <c r="LG8">
        <v>2956</v>
      </c>
      <c r="LH8">
        <v>1142</v>
      </c>
      <c r="LI8">
        <v>632</v>
      </c>
      <c r="LJ8">
        <v>2789</v>
      </c>
      <c r="LK8">
        <v>4399</v>
      </c>
      <c r="LL8">
        <v>4068</v>
      </c>
      <c r="LM8">
        <v>3998</v>
      </c>
      <c r="LN8">
        <v>3998</v>
      </c>
      <c r="LO8">
        <v>1004</v>
      </c>
      <c r="LP8">
        <v>604</v>
      </c>
      <c r="LQ8">
        <v>3254</v>
      </c>
      <c r="LR8">
        <v>4618</v>
      </c>
      <c r="LS8">
        <v>4358</v>
      </c>
      <c r="LT8">
        <v>4216</v>
      </c>
      <c r="LU8">
        <v>4167</v>
      </c>
      <c r="LV8">
        <v>1309</v>
      </c>
      <c r="LW8">
        <v>757</v>
      </c>
      <c r="LX8">
        <v>3823</v>
      </c>
      <c r="LY8">
        <v>4650</v>
      </c>
      <c r="LZ8">
        <v>5826</v>
      </c>
      <c r="MA8">
        <v>5243</v>
      </c>
      <c r="MB8">
        <v>4580</v>
      </c>
      <c r="MC8">
        <v>1334</v>
      </c>
      <c r="MD8">
        <v>754</v>
      </c>
      <c r="ME8">
        <v>4917</v>
      </c>
      <c r="MF8">
        <v>5226</v>
      </c>
      <c r="MG8">
        <v>5113</v>
      </c>
      <c r="MH8">
        <v>4754</v>
      </c>
      <c r="MI8">
        <v>3736</v>
      </c>
      <c r="MJ8">
        <v>1306</v>
      </c>
      <c r="MK8">
        <v>740</v>
      </c>
      <c r="ML8">
        <v>4478</v>
      </c>
      <c r="MM8">
        <v>5271</v>
      </c>
      <c r="MN8">
        <v>3828</v>
      </c>
      <c r="MO8">
        <v>4887</v>
      </c>
      <c r="MP8">
        <v>2556</v>
      </c>
      <c r="MQ8">
        <v>1079</v>
      </c>
      <c r="MR8">
        <v>640</v>
      </c>
      <c r="MS8">
        <v>4032</v>
      </c>
      <c r="MT8">
        <v>5120</v>
      </c>
      <c r="MU8">
        <v>3150</v>
      </c>
      <c r="MV8">
        <v>4800</v>
      </c>
      <c r="MW8">
        <v>4014</v>
      </c>
      <c r="MX8">
        <v>1070</v>
      </c>
      <c r="MY8">
        <v>733</v>
      </c>
      <c r="MZ8">
        <v>4299</v>
      </c>
      <c r="NA8">
        <v>4230</v>
      </c>
      <c r="NB8">
        <v>1107</v>
      </c>
      <c r="NC8">
        <v>4068</v>
      </c>
      <c r="ND8">
        <v>3427</v>
      </c>
      <c r="NE8">
        <v>834</v>
      </c>
      <c r="NF8">
        <v>604</v>
      </c>
      <c r="NG8">
        <v>3718</v>
      </c>
      <c r="NH8">
        <v>4243</v>
      </c>
      <c r="NI8">
        <v>4037</v>
      </c>
      <c r="NJ8">
        <v>3772</v>
      </c>
      <c r="NK8">
        <v>2808</v>
      </c>
      <c r="NL8">
        <v>956</v>
      </c>
      <c r="NM8">
        <v>773</v>
      </c>
      <c r="NN8">
        <v>2956</v>
      </c>
      <c r="NO8">
        <v>3955</v>
      </c>
      <c r="NP8">
        <v>3071</v>
      </c>
      <c r="NQ8">
        <v>2942</v>
      </c>
      <c r="NR8">
        <v>2309</v>
      </c>
      <c r="NS8">
        <v>4887</v>
      </c>
      <c r="NT8">
        <v>0</v>
      </c>
      <c r="NU8">
        <v>0</v>
      </c>
      <c r="NV8">
        <v>1650</v>
      </c>
      <c r="NW8">
        <v>2610</v>
      </c>
      <c r="NX8">
        <v>2105</v>
      </c>
      <c r="NY8">
        <v>1991</v>
      </c>
      <c r="NZ8">
        <v>680</v>
      </c>
      <c r="OA8">
        <v>285</v>
      </c>
      <c r="OB8">
        <v>1724</v>
      </c>
      <c r="OC8">
        <v>1703</v>
      </c>
      <c r="OD8">
        <v>1412</v>
      </c>
      <c r="OE8">
        <v>0</v>
      </c>
      <c r="OF8">
        <v>1705</v>
      </c>
      <c r="OG8">
        <v>1751</v>
      </c>
      <c r="OH8">
        <v>193</v>
      </c>
      <c r="OI8">
        <v>1724</v>
      </c>
      <c r="OJ8">
        <v>1474</v>
      </c>
      <c r="OK8">
        <v>307</v>
      </c>
      <c r="OL8">
        <v>1692</v>
      </c>
      <c r="OM8">
        <v>1206</v>
      </c>
      <c r="ON8">
        <v>343</v>
      </c>
      <c r="OO8">
        <v>59</v>
      </c>
      <c r="OP8">
        <v>1350</v>
      </c>
      <c r="OQ8">
        <v>1351</v>
      </c>
      <c r="OR8">
        <v>1274</v>
      </c>
      <c r="OS8" s="3">
        <v>1377</v>
      </c>
      <c r="OT8">
        <v>983</v>
      </c>
      <c r="OU8">
        <v>170</v>
      </c>
      <c r="OV8">
        <v>85</v>
      </c>
      <c r="OW8">
        <v>136</v>
      </c>
      <c r="OX8">
        <v>782</v>
      </c>
      <c r="OY8">
        <v>1066</v>
      </c>
      <c r="OZ8">
        <v>945</v>
      </c>
      <c r="PA8">
        <v>829</v>
      </c>
      <c r="PB8">
        <v>249</v>
      </c>
      <c r="PC8">
        <v>85</v>
      </c>
      <c r="PD8">
        <v>994</v>
      </c>
      <c r="PE8">
        <v>754</v>
      </c>
      <c r="PF8">
        <v>810</v>
      </c>
      <c r="PG8">
        <v>829</v>
      </c>
      <c r="PH8">
        <v>0</v>
      </c>
      <c r="PI8">
        <v>868</v>
      </c>
      <c r="PJ8">
        <v>30</v>
      </c>
      <c r="PK8">
        <v>557</v>
      </c>
      <c r="PL8">
        <v>783</v>
      </c>
      <c r="PM8">
        <v>0</v>
      </c>
      <c r="PN8">
        <v>813</v>
      </c>
      <c r="PO8">
        <v>699</v>
      </c>
      <c r="PP8">
        <v>179</v>
      </c>
      <c r="PQ8">
        <v>58</v>
      </c>
      <c r="PR8">
        <v>960</v>
      </c>
      <c r="PS8">
        <v>815</v>
      </c>
      <c r="PT8">
        <v>829</v>
      </c>
      <c r="PU8">
        <v>483</v>
      </c>
      <c r="PV8">
        <v>458</v>
      </c>
      <c r="PW8">
        <v>115</v>
      </c>
      <c r="PX8">
        <v>11</v>
      </c>
      <c r="PY8">
        <v>363</v>
      </c>
      <c r="PZ8">
        <v>452</v>
      </c>
      <c r="QA8">
        <v>291</v>
      </c>
      <c r="QB8">
        <v>313</v>
      </c>
      <c r="QC8">
        <v>502</v>
      </c>
      <c r="QD8">
        <v>310</v>
      </c>
      <c r="QE8">
        <v>39</v>
      </c>
      <c r="QF8">
        <v>544</v>
      </c>
      <c r="QG8">
        <v>418</v>
      </c>
      <c r="QH8">
        <v>475</v>
      </c>
      <c r="QI8">
        <v>516</v>
      </c>
      <c r="QJ8">
        <v>0</v>
      </c>
      <c r="QK8">
        <v>324</v>
      </c>
      <c r="QL8">
        <v>69</v>
      </c>
      <c r="QM8">
        <v>288</v>
      </c>
      <c r="QN8">
        <v>341</v>
      </c>
      <c r="QO8">
        <v>329</v>
      </c>
      <c r="QP8">
        <v>254</v>
      </c>
      <c r="QQ8">
        <v>213</v>
      </c>
      <c r="QR8">
        <v>0</v>
      </c>
      <c r="QS8">
        <v>133</v>
      </c>
      <c r="QT8">
        <v>376</v>
      </c>
      <c r="QU8">
        <v>373</v>
      </c>
      <c r="QV8">
        <v>322</v>
      </c>
      <c r="QW8">
        <v>163</v>
      </c>
      <c r="QX8">
        <v>98</v>
      </c>
      <c r="QY8">
        <v>39</v>
      </c>
      <c r="QZ8">
        <v>91</v>
      </c>
      <c r="RA8">
        <v>597</v>
      </c>
      <c r="RB8">
        <v>821</v>
      </c>
      <c r="RC8">
        <v>887</v>
      </c>
      <c r="RD8">
        <v>797</v>
      </c>
      <c r="RE8">
        <v>230</v>
      </c>
      <c r="RF8">
        <v>106</v>
      </c>
      <c r="RG8">
        <v>109</v>
      </c>
      <c r="RH8">
        <v>1007</v>
      </c>
      <c r="RI8">
        <v>1919</v>
      </c>
      <c r="RJ8">
        <v>0</v>
      </c>
      <c r="RK8">
        <v>1839</v>
      </c>
      <c r="RL8">
        <v>0</v>
      </c>
      <c r="RM8">
        <v>1042</v>
      </c>
      <c r="RN8">
        <v>343</v>
      </c>
      <c r="RO8">
        <v>2116</v>
      </c>
      <c r="RP8">
        <v>2283</v>
      </c>
      <c r="RQ8">
        <v>2872</v>
      </c>
      <c r="RR8">
        <v>2628</v>
      </c>
      <c r="RS8">
        <v>2827</v>
      </c>
      <c r="RT8">
        <v>1397</v>
      </c>
      <c r="RU8">
        <v>384</v>
      </c>
      <c r="RV8">
        <v>2901</v>
      </c>
      <c r="RW8">
        <v>3199</v>
      </c>
      <c r="RX8">
        <v>3173</v>
      </c>
      <c r="RY8">
        <v>3189</v>
      </c>
      <c r="RZ8">
        <v>2995</v>
      </c>
      <c r="SA8">
        <v>818</v>
      </c>
      <c r="SB8">
        <v>659</v>
      </c>
      <c r="SC8">
        <v>3070</v>
      </c>
      <c r="SD8">
        <v>3655</v>
      </c>
      <c r="SE8">
        <v>4094</v>
      </c>
      <c r="SF8">
        <v>4234</v>
      </c>
      <c r="SG8">
        <v>2784</v>
      </c>
      <c r="SH8">
        <v>1283</v>
      </c>
      <c r="SI8">
        <v>681</v>
      </c>
      <c r="SJ8">
        <v>4223</v>
      </c>
      <c r="SK8">
        <v>3872</v>
      </c>
      <c r="SL8">
        <v>3925</v>
      </c>
      <c r="SM8">
        <v>3304</v>
      </c>
      <c r="SN8">
        <v>4296</v>
      </c>
      <c r="SO8">
        <v>1166</v>
      </c>
      <c r="SP8">
        <v>981</v>
      </c>
      <c r="SQ8">
        <v>4025</v>
      </c>
      <c r="SR8">
        <v>4720</v>
      </c>
      <c r="SS8">
        <v>4899</v>
      </c>
      <c r="ST8">
        <v>4276</v>
      </c>
      <c r="SU8">
        <v>3983</v>
      </c>
      <c r="SV8">
        <v>1139</v>
      </c>
      <c r="SW8">
        <v>858</v>
      </c>
      <c r="SX8">
        <v>4054</v>
      </c>
      <c r="SY8">
        <v>4743</v>
      </c>
      <c r="SZ8">
        <v>4503</v>
      </c>
      <c r="TA8">
        <v>4024</v>
      </c>
      <c r="TB8">
        <v>3319</v>
      </c>
      <c r="TC8">
        <v>988</v>
      </c>
      <c r="TD8">
        <v>715</v>
      </c>
      <c r="TE8">
        <v>3793</v>
      </c>
      <c r="TF8">
        <v>4379</v>
      </c>
      <c r="TG8">
        <v>3660</v>
      </c>
      <c r="TH8">
        <v>3440</v>
      </c>
      <c r="TI8">
        <v>2687</v>
      </c>
      <c r="TJ8">
        <v>0</v>
      </c>
      <c r="TK8">
        <v>679</v>
      </c>
      <c r="TL8">
        <v>3145</v>
      </c>
      <c r="TM8">
        <v>3209</v>
      </c>
      <c r="TN8">
        <v>2845</v>
      </c>
      <c r="TO8">
        <v>2485</v>
      </c>
      <c r="TP8">
        <v>2590</v>
      </c>
      <c r="TQ8">
        <v>0</v>
      </c>
      <c r="TR8">
        <v>1017</v>
      </c>
      <c r="TS8">
        <v>2847</v>
      </c>
      <c r="TT8">
        <v>0</v>
      </c>
      <c r="TU8">
        <v>4595</v>
      </c>
      <c r="TV8">
        <v>2341</v>
      </c>
      <c r="TW8">
        <v>1965</v>
      </c>
      <c r="TX8">
        <v>321</v>
      </c>
      <c r="TY8">
        <v>363</v>
      </c>
      <c r="TZ8">
        <v>2060</v>
      </c>
      <c r="UA8">
        <v>2133</v>
      </c>
      <c r="UB8">
        <v>2539</v>
      </c>
      <c r="UC8">
        <v>1665</v>
      </c>
      <c r="UD8">
        <v>1665</v>
      </c>
      <c r="UE8">
        <v>360</v>
      </c>
      <c r="UF8">
        <v>517</v>
      </c>
      <c r="UG8">
        <v>1801</v>
      </c>
      <c r="UH8">
        <v>2023</v>
      </c>
      <c r="UI8">
        <v>1357</v>
      </c>
      <c r="UJ8">
        <v>1311</v>
      </c>
      <c r="UK8">
        <v>1014</v>
      </c>
      <c r="UL8">
        <v>343</v>
      </c>
      <c r="UM8">
        <v>142</v>
      </c>
      <c r="UN8">
        <v>1417</v>
      </c>
      <c r="UO8">
        <v>1535</v>
      </c>
      <c r="UP8">
        <v>0</v>
      </c>
      <c r="UQ8">
        <v>864</v>
      </c>
      <c r="UR8">
        <v>0</v>
      </c>
      <c r="US8">
        <v>0</v>
      </c>
      <c r="UT8">
        <v>216</v>
      </c>
      <c r="UU8">
        <v>1010</v>
      </c>
      <c r="UV8">
        <v>797</v>
      </c>
      <c r="UW8">
        <v>767</v>
      </c>
      <c r="UX8">
        <v>758</v>
      </c>
      <c r="UY8">
        <v>732</v>
      </c>
      <c r="UZ8">
        <v>125</v>
      </c>
      <c r="VA8">
        <v>87</v>
      </c>
      <c r="VB8">
        <v>809</v>
      </c>
      <c r="VC8">
        <v>239</v>
      </c>
      <c r="VD8">
        <v>239</v>
      </c>
      <c r="VE8">
        <v>115</v>
      </c>
      <c r="VF8">
        <v>66</v>
      </c>
      <c r="VG8">
        <v>66</v>
      </c>
      <c r="VH8">
        <v>50</v>
      </c>
      <c r="VI8">
        <v>910</v>
      </c>
      <c r="VJ8">
        <v>898</v>
      </c>
      <c r="VK8">
        <v>1061</v>
      </c>
      <c r="VL8">
        <v>1028</v>
      </c>
      <c r="VM8">
        <v>203</v>
      </c>
      <c r="VN8">
        <v>203</v>
      </c>
      <c r="VO8">
        <v>81</v>
      </c>
      <c r="VP8">
        <v>616</v>
      </c>
      <c r="VQ8">
        <v>790</v>
      </c>
      <c r="VR8">
        <v>930</v>
      </c>
      <c r="VS8">
        <v>678</v>
      </c>
      <c r="VT8">
        <v>86</v>
      </c>
      <c r="VU8">
        <v>153</v>
      </c>
      <c r="VV8">
        <v>153</v>
      </c>
      <c r="VW8">
        <v>153</v>
      </c>
      <c r="VX8">
        <v>706</v>
      </c>
      <c r="VY8">
        <v>709</v>
      </c>
      <c r="VZ8">
        <v>610</v>
      </c>
      <c r="WA8">
        <v>610</v>
      </c>
      <c r="WB8">
        <v>78</v>
      </c>
      <c r="WC8">
        <v>57</v>
      </c>
      <c r="WD8">
        <v>703</v>
      </c>
      <c r="WE8">
        <v>458</v>
      </c>
      <c r="WF8">
        <v>502</v>
      </c>
      <c r="WG8">
        <v>555</v>
      </c>
      <c r="WH8">
        <v>555</v>
      </c>
      <c r="WI8">
        <v>555</v>
      </c>
      <c r="WJ8">
        <v>88</v>
      </c>
      <c r="WK8">
        <v>689</v>
      </c>
      <c r="WL8">
        <v>794</v>
      </c>
      <c r="WM8">
        <v>817</v>
      </c>
      <c r="WN8">
        <v>120</v>
      </c>
      <c r="WO8">
        <v>120</v>
      </c>
      <c r="WP8">
        <v>120</v>
      </c>
      <c r="WQ8">
        <v>818</v>
      </c>
      <c r="WR8">
        <v>818</v>
      </c>
      <c r="WS8">
        <v>818</v>
      </c>
      <c r="WT8">
        <v>818</v>
      </c>
      <c r="WU8">
        <v>695</v>
      </c>
      <c r="WV8">
        <v>695</v>
      </c>
      <c r="WW8">
        <v>695</v>
      </c>
      <c r="WX8">
        <v>0</v>
      </c>
      <c r="WY8">
        <v>0</v>
      </c>
      <c r="WZ8">
        <v>914</v>
      </c>
      <c r="XA8">
        <v>965</v>
      </c>
      <c r="XB8">
        <v>965</v>
      </c>
      <c r="XC8">
        <v>102</v>
      </c>
      <c r="XD8">
        <v>102</v>
      </c>
      <c r="XE8">
        <v>106</v>
      </c>
      <c r="XF8">
        <v>1252</v>
      </c>
      <c r="XG8">
        <v>1252</v>
      </c>
      <c r="XH8">
        <v>1252</v>
      </c>
      <c r="XI8">
        <v>1252</v>
      </c>
      <c r="XJ8">
        <v>1252</v>
      </c>
      <c r="XK8">
        <v>215</v>
      </c>
      <c r="XL8">
        <v>151</v>
      </c>
      <c r="XM8">
        <v>1768</v>
      </c>
      <c r="XN8">
        <v>1768</v>
      </c>
      <c r="XO8">
        <v>1768</v>
      </c>
      <c r="XP8">
        <v>1768</v>
      </c>
      <c r="XQ8">
        <v>1768</v>
      </c>
      <c r="XR8">
        <v>3062</v>
      </c>
      <c r="XS8">
        <v>3062</v>
      </c>
      <c r="XT8">
        <v>3062</v>
      </c>
      <c r="XU8">
        <v>3062</v>
      </c>
      <c r="XV8">
        <v>3062</v>
      </c>
      <c r="XW8">
        <v>3062</v>
      </c>
      <c r="XX8">
        <v>3062</v>
      </c>
      <c r="XY8">
        <v>717</v>
      </c>
      <c r="XZ8">
        <v>612</v>
      </c>
      <c r="YA8">
        <v>3838</v>
      </c>
      <c r="YB8">
        <v>4342</v>
      </c>
      <c r="YC8">
        <v>3476</v>
      </c>
      <c r="YD8">
        <v>1497</v>
      </c>
      <c r="YE8">
        <v>852</v>
      </c>
      <c r="YF8" s="1">
        <v>1194</v>
      </c>
      <c r="YG8" s="1">
        <v>1194</v>
      </c>
      <c r="YH8" s="1">
        <v>1194</v>
      </c>
      <c r="YI8" s="1">
        <v>5133</v>
      </c>
      <c r="YJ8">
        <v>5786</v>
      </c>
      <c r="YK8">
        <v>5693</v>
      </c>
      <c r="YL8">
        <v>2479</v>
      </c>
      <c r="YM8">
        <v>1277</v>
      </c>
      <c r="YN8">
        <v>6621</v>
      </c>
      <c r="YO8">
        <v>6621</v>
      </c>
      <c r="YP8">
        <v>7747</v>
      </c>
      <c r="YQ8">
        <v>6918</v>
      </c>
      <c r="YR8">
        <v>5269</v>
      </c>
      <c r="YS8">
        <v>5269</v>
      </c>
      <c r="YT8">
        <v>1669</v>
      </c>
      <c r="YU8">
        <v>768</v>
      </c>
      <c r="YV8">
        <v>6012</v>
      </c>
      <c r="YW8">
        <v>4645</v>
      </c>
      <c r="YX8">
        <v>4645</v>
      </c>
      <c r="YY8">
        <v>4645</v>
      </c>
      <c r="YZ8">
        <v>4645</v>
      </c>
      <c r="ZA8">
        <v>1409</v>
      </c>
      <c r="ZB8">
        <v>0</v>
      </c>
      <c r="ZC8">
        <v>6225</v>
      </c>
      <c r="ZD8">
        <v>4914</v>
      </c>
      <c r="ZE8">
        <v>0</v>
      </c>
      <c r="ZF8">
        <v>3523</v>
      </c>
      <c r="ZG8">
        <v>1102</v>
      </c>
      <c r="ZH8">
        <v>216</v>
      </c>
      <c r="ZI8">
        <v>2323</v>
      </c>
      <c r="ZJ8">
        <v>3278</v>
      </c>
      <c r="ZK8">
        <v>3205</v>
      </c>
      <c r="ZL8">
        <v>2729</v>
      </c>
      <c r="ZM8">
        <v>2491</v>
      </c>
      <c r="ZN8">
        <v>671</v>
      </c>
      <c r="ZO8">
        <v>405</v>
      </c>
      <c r="ZP8">
        <v>3020</v>
      </c>
      <c r="ZQ8">
        <v>3194</v>
      </c>
      <c r="ZR8">
        <v>3698</v>
      </c>
      <c r="ZS8">
        <v>2720</v>
      </c>
      <c r="ZT8">
        <v>1915</v>
      </c>
      <c r="ZU8">
        <v>349</v>
      </c>
      <c r="ZV8">
        <v>143</v>
      </c>
      <c r="ZW8">
        <v>1781</v>
      </c>
      <c r="ZX8">
        <v>3322</v>
      </c>
      <c r="ZY8">
        <v>2876</v>
      </c>
      <c r="ZZ8">
        <v>2213</v>
      </c>
      <c r="AAA8">
        <v>209</v>
      </c>
      <c r="AAB8">
        <v>209</v>
      </c>
      <c r="AAC8">
        <v>129</v>
      </c>
      <c r="AAD8">
        <v>2824</v>
      </c>
      <c r="AAE8">
        <v>2226</v>
      </c>
      <c r="AAF8">
        <v>2039</v>
      </c>
      <c r="AAG8">
        <v>2027</v>
      </c>
      <c r="AAH8">
        <v>1958</v>
      </c>
      <c r="AAI8">
        <v>1033</v>
      </c>
      <c r="AAJ8">
        <v>764</v>
      </c>
      <c r="AAK8">
        <v>2110</v>
      </c>
      <c r="AAL8">
        <v>1517</v>
      </c>
      <c r="AAM8">
        <v>1652</v>
      </c>
      <c r="AAN8">
        <v>306</v>
      </c>
      <c r="AAO8">
        <v>67</v>
      </c>
      <c r="AAP8">
        <v>67</v>
      </c>
      <c r="AAQ8">
        <v>127</v>
      </c>
      <c r="AAR8">
        <v>1117</v>
      </c>
      <c r="AAS8">
        <v>1380</v>
      </c>
      <c r="AAT8">
        <v>1246</v>
      </c>
      <c r="AAU8">
        <v>1161</v>
      </c>
      <c r="AAV8">
        <v>70</v>
      </c>
      <c r="AAW8">
        <v>70</v>
      </c>
      <c r="AAX8">
        <v>148</v>
      </c>
      <c r="AAY8">
        <v>1359</v>
      </c>
      <c r="AAZ8">
        <v>1321</v>
      </c>
      <c r="ABA8">
        <v>887</v>
      </c>
      <c r="ABB8">
        <v>110</v>
      </c>
      <c r="ABC8">
        <v>38</v>
      </c>
      <c r="ABD8">
        <v>38</v>
      </c>
      <c r="ABE8">
        <v>40</v>
      </c>
      <c r="ABF8">
        <v>1055</v>
      </c>
      <c r="ABG8">
        <v>1318</v>
      </c>
      <c r="ABH8">
        <v>928</v>
      </c>
      <c r="ABI8">
        <v>707</v>
      </c>
      <c r="ABJ8">
        <v>707</v>
      </c>
      <c r="ABK8">
        <v>157</v>
      </c>
      <c r="ABL8">
        <v>58</v>
      </c>
      <c r="ABM8">
        <v>1032</v>
      </c>
      <c r="ABN8">
        <v>0</v>
      </c>
      <c r="ABO8">
        <v>948</v>
      </c>
      <c r="ABP8">
        <v>1002</v>
      </c>
      <c r="ABQ8">
        <v>41</v>
      </c>
      <c r="ABR8">
        <v>41</v>
      </c>
      <c r="ABS8">
        <v>82</v>
      </c>
      <c r="ABT8">
        <v>927</v>
      </c>
      <c r="ABU8">
        <v>776</v>
      </c>
      <c r="ABV8">
        <v>952</v>
      </c>
      <c r="ABW8">
        <v>349</v>
      </c>
      <c r="ABX8">
        <v>349</v>
      </c>
      <c r="ABY8">
        <v>349</v>
      </c>
      <c r="ABZ8">
        <v>349</v>
      </c>
      <c r="ACA8">
        <v>560</v>
      </c>
      <c r="ACB8">
        <v>54</v>
      </c>
      <c r="ACC8">
        <v>54</v>
      </c>
      <c r="ACD8">
        <v>54</v>
      </c>
      <c r="ACE8">
        <v>54</v>
      </c>
      <c r="ACF8">
        <v>54</v>
      </c>
      <c r="ACG8">
        <v>96</v>
      </c>
      <c r="ACH8">
        <v>732</v>
      </c>
      <c r="ACI8">
        <v>698</v>
      </c>
      <c r="ACJ8">
        <v>743</v>
      </c>
      <c r="ACK8">
        <v>149</v>
      </c>
      <c r="ACL8">
        <v>149</v>
      </c>
      <c r="ACM8">
        <v>149</v>
      </c>
      <c r="ACN8">
        <v>651</v>
      </c>
      <c r="ACO8">
        <v>651</v>
      </c>
      <c r="ACP8">
        <v>1032</v>
      </c>
      <c r="ACQ8">
        <v>1032</v>
      </c>
      <c r="ACR8">
        <v>65</v>
      </c>
      <c r="ACS8">
        <v>65</v>
      </c>
      <c r="ACT8">
        <v>65</v>
      </c>
      <c r="ACU8">
        <v>103</v>
      </c>
      <c r="ACV8">
        <v>51</v>
      </c>
      <c r="ACW8">
        <v>51</v>
      </c>
      <c r="ACX8">
        <v>51</v>
      </c>
      <c r="ACY8">
        <v>51</v>
      </c>
      <c r="ACZ8">
        <v>51</v>
      </c>
      <c r="ADA8">
        <v>51</v>
      </c>
      <c r="ADB8">
        <v>68</v>
      </c>
      <c r="ADC8">
        <v>629</v>
      </c>
      <c r="ADD8">
        <v>661</v>
      </c>
      <c r="ADE8">
        <v>661</v>
      </c>
      <c r="ADF8">
        <v>158</v>
      </c>
      <c r="ADG8">
        <v>158</v>
      </c>
      <c r="ADH8">
        <v>158</v>
      </c>
      <c r="ADI8">
        <v>481</v>
      </c>
      <c r="ADJ8">
        <v>481</v>
      </c>
      <c r="ADK8">
        <v>481</v>
      </c>
      <c r="ADL8">
        <v>845</v>
      </c>
      <c r="ADM8">
        <v>845</v>
      </c>
      <c r="ADN8">
        <v>845</v>
      </c>
      <c r="ADO8">
        <v>845</v>
      </c>
      <c r="ADP8">
        <v>845</v>
      </c>
      <c r="ADQ8">
        <v>845</v>
      </c>
      <c r="ADR8">
        <v>341</v>
      </c>
      <c r="ADS8">
        <v>341</v>
      </c>
      <c r="ADT8">
        <v>341</v>
      </c>
      <c r="ADU8">
        <v>341</v>
      </c>
      <c r="ADV8">
        <v>341</v>
      </c>
      <c r="ADW8">
        <v>1066</v>
      </c>
      <c r="ADX8">
        <v>1066</v>
      </c>
      <c r="ADY8">
        <v>297</v>
      </c>
      <c r="ADZ8">
        <v>297</v>
      </c>
      <c r="AEA8">
        <v>297</v>
      </c>
      <c r="AEB8">
        <v>297</v>
      </c>
      <c r="AEC8">
        <v>297</v>
      </c>
      <c r="AED8">
        <v>927</v>
      </c>
      <c r="AEE8">
        <v>927</v>
      </c>
      <c r="AEF8">
        <v>927</v>
      </c>
      <c r="AEG8">
        <v>927</v>
      </c>
      <c r="AEH8">
        <v>927</v>
      </c>
      <c r="AEI8">
        <v>927</v>
      </c>
      <c r="AEJ8">
        <v>927</v>
      </c>
      <c r="AEK8">
        <v>607</v>
      </c>
      <c r="AEL8">
        <v>607</v>
      </c>
      <c r="AEM8">
        <v>607</v>
      </c>
      <c r="AEN8">
        <v>607</v>
      </c>
      <c r="AEO8">
        <v>607</v>
      </c>
      <c r="AEP8">
        <v>607</v>
      </c>
      <c r="AEQ8">
        <v>607</v>
      </c>
      <c r="AER8">
        <v>752</v>
      </c>
      <c r="AES8">
        <v>752</v>
      </c>
      <c r="AET8">
        <v>752</v>
      </c>
      <c r="AEU8">
        <v>752</v>
      </c>
      <c r="AEV8">
        <v>752</v>
      </c>
      <c r="AEW8">
        <v>752</v>
      </c>
      <c r="AEX8">
        <v>752</v>
      </c>
      <c r="AEY8">
        <v>752</v>
      </c>
      <c r="AEZ8">
        <v>752</v>
      </c>
      <c r="AFA8">
        <v>752</v>
      </c>
      <c r="AFB8">
        <v>752</v>
      </c>
      <c r="AFC8">
        <v>752</v>
      </c>
      <c r="AFD8">
        <v>752</v>
      </c>
      <c r="AFE8">
        <v>207</v>
      </c>
      <c r="AFF8">
        <v>207</v>
      </c>
      <c r="AFG8">
        <v>207</v>
      </c>
      <c r="AFH8">
        <v>207</v>
      </c>
      <c r="AFI8">
        <v>207</v>
      </c>
      <c r="AFJ8">
        <v>207</v>
      </c>
      <c r="AFK8">
        <v>207</v>
      </c>
      <c r="AFL8">
        <v>207</v>
      </c>
      <c r="AFM8">
        <v>207</v>
      </c>
      <c r="AFN8">
        <v>179</v>
      </c>
      <c r="AFO8">
        <v>179</v>
      </c>
      <c r="AFP8">
        <v>179</v>
      </c>
      <c r="AFQ8">
        <v>179</v>
      </c>
      <c r="AFR8">
        <v>179</v>
      </c>
      <c r="AFS8">
        <v>179</v>
      </c>
      <c r="AFT8">
        <v>243</v>
      </c>
      <c r="AFU8">
        <v>243</v>
      </c>
      <c r="AFV8">
        <v>243</v>
      </c>
      <c r="AFW8">
        <v>243</v>
      </c>
      <c r="AFX8">
        <v>243</v>
      </c>
      <c r="AFY8">
        <v>243</v>
      </c>
      <c r="AFZ8">
        <v>243</v>
      </c>
      <c r="AGA8">
        <v>36</v>
      </c>
      <c r="AGB8">
        <v>36</v>
      </c>
      <c r="AGC8">
        <v>36</v>
      </c>
      <c r="AGD8">
        <v>36</v>
      </c>
      <c r="AGE8">
        <v>36</v>
      </c>
      <c r="AGF8">
        <v>36</v>
      </c>
      <c r="AGG8">
        <v>36</v>
      </c>
      <c r="AGH8">
        <v>36</v>
      </c>
      <c r="AGI8">
        <v>36</v>
      </c>
      <c r="AGJ8">
        <v>36</v>
      </c>
      <c r="AGK8">
        <v>36</v>
      </c>
      <c r="AGL8">
        <v>36</v>
      </c>
      <c r="AGM8">
        <v>36</v>
      </c>
      <c r="AGN8">
        <v>36</v>
      </c>
      <c r="AGO8">
        <v>92</v>
      </c>
      <c r="AGP8">
        <v>92</v>
      </c>
      <c r="AGQ8">
        <v>92</v>
      </c>
      <c r="AGR8">
        <v>92</v>
      </c>
      <c r="AGS8">
        <v>92</v>
      </c>
      <c r="AGT8">
        <v>92</v>
      </c>
      <c r="AGU8">
        <v>92</v>
      </c>
      <c r="AGV8">
        <v>92</v>
      </c>
      <c r="AGW8">
        <v>92</v>
      </c>
      <c r="AGX8">
        <v>92</v>
      </c>
      <c r="AGY8">
        <v>92</v>
      </c>
      <c r="AGZ8">
        <v>92</v>
      </c>
      <c r="AHA8">
        <v>92</v>
      </c>
      <c r="AHB8">
        <v>92</v>
      </c>
      <c r="AHC8">
        <v>26</v>
      </c>
      <c r="AHD8">
        <v>26</v>
      </c>
      <c r="AHE8">
        <v>26</v>
      </c>
      <c r="AHF8">
        <v>26</v>
      </c>
      <c r="AHG8">
        <v>26</v>
      </c>
      <c r="AHH8">
        <v>26</v>
      </c>
      <c r="AHI8">
        <v>26</v>
      </c>
      <c r="AHJ8">
        <v>26</v>
      </c>
      <c r="AHK8">
        <v>11</v>
      </c>
      <c r="AHL8">
        <v>11</v>
      </c>
      <c r="AHM8">
        <v>11</v>
      </c>
      <c r="AHN8">
        <v>11</v>
      </c>
      <c r="AHO8">
        <v>11</v>
      </c>
      <c r="AHP8">
        <v>11</v>
      </c>
      <c r="AHQ8">
        <v>11</v>
      </c>
    </row>
    <row r="9" spans="1:901">
      <c r="A9" s="1" t="s">
        <v>30</v>
      </c>
      <c r="B9">
        <v>0</v>
      </c>
      <c r="C9">
        <v>1040</v>
      </c>
      <c r="D9">
        <v>460</v>
      </c>
      <c r="E9">
        <v>491</v>
      </c>
      <c r="F9">
        <v>532</v>
      </c>
      <c r="G9">
        <v>473</v>
      </c>
      <c r="H9">
        <v>459</v>
      </c>
      <c r="I9">
        <v>231</v>
      </c>
      <c r="J9">
        <v>369</v>
      </c>
      <c r="K9">
        <v>518</v>
      </c>
      <c r="L9">
        <v>708</v>
      </c>
      <c r="M9">
        <v>561</v>
      </c>
      <c r="N9">
        <v>428</v>
      </c>
      <c r="O9">
        <v>561</v>
      </c>
      <c r="P9">
        <v>802</v>
      </c>
      <c r="Q9">
        <v>698</v>
      </c>
      <c r="R9">
        <v>671</v>
      </c>
      <c r="S9">
        <v>519</v>
      </c>
      <c r="T9">
        <v>841</v>
      </c>
      <c r="U9">
        <v>391</v>
      </c>
      <c r="V9">
        <v>642</v>
      </c>
      <c r="W9">
        <v>498</v>
      </c>
      <c r="X9">
        <v>512</v>
      </c>
      <c r="Y9">
        <v>880</v>
      </c>
      <c r="Z9">
        <v>594</v>
      </c>
      <c r="AA9">
        <v>935</v>
      </c>
      <c r="AB9">
        <v>332</v>
      </c>
      <c r="AC9">
        <v>439</v>
      </c>
      <c r="AD9">
        <v>606</v>
      </c>
      <c r="AE9">
        <v>631</v>
      </c>
      <c r="AF9">
        <v>602</v>
      </c>
      <c r="AG9">
        <v>903</v>
      </c>
      <c r="AH9">
        <v>831</v>
      </c>
      <c r="AI9">
        <v>956</v>
      </c>
      <c r="AJ9">
        <v>851</v>
      </c>
      <c r="AK9">
        <v>846</v>
      </c>
      <c r="AL9">
        <v>431</v>
      </c>
      <c r="AM9">
        <v>373</v>
      </c>
      <c r="AN9">
        <v>842</v>
      </c>
      <c r="AO9">
        <v>490</v>
      </c>
      <c r="AP9">
        <v>752</v>
      </c>
      <c r="AQ9">
        <v>657</v>
      </c>
      <c r="AR9">
        <v>576</v>
      </c>
      <c r="AS9">
        <v>951</v>
      </c>
      <c r="AT9">
        <v>738</v>
      </c>
      <c r="AU9">
        <v>516</v>
      </c>
      <c r="AV9">
        <v>808</v>
      </c>
      <c r="AW9">
        <v>193</v>
      </c>
      <c r="AX9">
        <v>283</v>
      </c>
      <c r="AY9">
        <v>436</v>
      </c>
      <c r="AZ9">
        <v>223</v>
      </c>
      <c r="BA9">
        <v>229</v>
      </c>
      <c r="BB9">
        <v>465</v>
      </c>
      <c r="BC9">
        <v>467</v>
      </c>
      <c r="BD9">
        <v>65</v>
      </c>
      <c r="BE9">
        <v>231</v>
      </c>
      <c r="BF9">
        <v>365</v>
      </c>
      <c r="BG9">
        <v>299</v>
      </c>
      <c r="BH9">
        <v>611</v>
      </c>
      <c r="BI9">
        <v>476</v>
      </c>
      <c r="BJ9">
        <v>547</v>
      </c>
      <c r="BK9">
        <v>137</v>
      </c>
      <c r="BL9">
        <v>249</v>
      </c>
      <c r="BM9">
        <v>0</v>
      </c>
      <c r="BN9">
        <v>63</v>
      </c>
      <c r="BO9">
        <v>628</v>
      </c>
      <c r="BP9">
        <v>256</v>
      </c>
      <c r="BQ9">
        <v>480</v>
      </c>
      <c r="BR9">
        <v>296</v>
      </c>
      <c r="BS9">
        <v>361</v>
      </c>
      <c r="BT9">
        <v>544</v>
      </c>
      <c r="BU9">
        <v>565</v>
      </c>
      <c r="BV9">
        <v>453</v>
      </c>
      <c r="BW9">
        <v>379</v>
      </c>
      <c r="BX9">
        <v>375</v>
      </c>
      <c r="BY9">
        <v>365</v>
      </c>
      <c r="BZ9">
        <v>388</v>
      </c>
      <c r="CA9">
        <v>503</v>
      </c>
      <c r="CB9">
        <v>616</v>
      </c>
      <c r="CC9">
        <v>200</v>
      </c>
      <c r="CD9">
        <v>763</v>
      </c>
      <c r="CE9">
        <v>300</v>
      </c>
      <c r="CF9">
        <v>684</v>
      </c>
      <c r="CG9">
        <v>468</v>
      </c>
      <c r="CH9">
        <v>617</v>
      </c>
      <c r="CI9">
        <v>415</v>
      </c>
      <c r="CJ9">
        <v>501</v>
      </c>
      <c r="CK9">
        <v>335</v>
      </c>
      <c r="CL9">
        <v>316</v>
      </c>
      <c r="CM9">
        <v>283</v>
      </c>
      <c r="CN9">
        <v>301</v>
      </c>
      <c r="CO9">
        <v>374</v>
      </c>
      <c r="CP9">
        <v>157</v>
      </c>
      <c r="CQ9">
        <v>738</v>
      </c>
      <c r="CR9">
        <v>648</v>
      </c>
      <c r="CS9">
        <v>162</v>
      </c>
      <c r="CT9">
        <v>168</v>
      </c>
      <c r="CU9">
        <v>398</v>
      </c>
      <c r="CV9">
        <v>448</v>
      </c>
      <c r="CW9">
        <v>385</v>
      </c>
      <c r="CX9">
        <v>238</v>
      </c>
      <c r="CY9">
        <v>438</v>
      </c>
      <c r="CZ9">
        <v>616</v>
      </c>
      <c r="DA9">
        <v>390</v>
      </c>
      <c r="DB9">
        <v>809</v>
      </c>
      <c r="DC9">
        <v>915</v>
      </c>
      <c r="DD9">
        <v>936</v>
      </c>
      <c r="DE9">
        <v>211</v>
      </c>
      <c r="DF9">
        <v>170</v>
      </c>
      <c r="DG9">
        <v>225</v>
      </c>
      <c r="DH9">
        <v>29</v>
      </c>
      <c r="DI9">
        <v>424</v>
      </c>
      <c r="DJ9">
        <v>1077</v>
      </c>
      <c r="DK9">
        <v>219</v>
      </c>
      <c r="DL9">
        <v>556</v>
      </c>
      <c r="DM9">
        <v>830</v>
      </c>
      <c r="DN9">
        <v>1002</v>
      </c>
      <c r="DO9">
        <v>756</v>
      </c>
      <c r="DP9">
        <v>1104</v>
      </c>
      <c r="DQ9">
        <v>1204</v>
      </c>
      <c r="DR9">
        <v>954</v>
      </c>
      <c r="DS9">
        <v>449</v>
      </c>
      <c r="DT9">
        <v>1095</v>
      </c>
      <c r="DU9">
        <v>604</v>
      </c>
      <c r="DV9">
        <v>827</v>
      </c>
      <c r="DW9">
        <v>1130</v>
      </c>
      <c r="DX9">
        <v>830</v>
      </c>
      <c r="DY9">
        <v>1146</v>
      </c>
      <c r="DZ9">
        <v>1138</v>
      </c>
      <c r="EA9">
        <v>1056</v>
      </c>
      <c r="EB9">
        <v>691</v>
      </c>
      <c r="EC9">
        <v>1055</v>
      </c>
      <c r="ED9">
        <v>896</v>
      </c>
      <c r="EE9">
        <v>1127</v>
      </c>
      <c r="EF9">
        <v>985</v>
      </c>
      <c r="EG9">
        <v>1118</v>
      </c>
      <c r="EH9">
        <v>990</v>
      </c>
      <c r="EI9">
        <v>743</v>
      </c>
      <c r="EJ9">
        <v>1108</v>
      </c>
      <c r="EK9">
        <v>839</v>
      </c>
      <c r="EL9">
        <v>1313</v>
      </c>
      <c r="EM9">
        <v>1122</v>
      </c>
      <c r="EN9">
        <v>1028</v>
      </c>
      <c r="EO9">
        <v>652</v>
      </c>
      <c r="EP9">
        <v>663</v>
      </c>
      <c r="EQ9">
        <v>1167</v>
      </c>
      <c r="ER9">
        <v>871</v>
      </c>
      <c r="ES9">
        <v>862</v>
      </c>
      <c r="ET9">
        <v>887</v>
      </c>
      <c r="EU9">
        <v>669</v>
      </c>
      <c r="EV9">
        <v>764</v>
      </c>
      <c r="EW9">
        <v>383</v>
      </c>
      <c r="EX9">
        <v>812</v>
      </c>
      <c r="EY9">
        <v>744</v>
      </c>
      <c r="EZ9">
        <v>857</v>
      </c>
      <c r="FA9">
        <v>721</v>
      </c>
      <c r="FB9">
        <v>772</v>
      </c>
      <c r="FC9">
        <v>418</v>
      </c>
      <c r="FD9">
        <v>600</v>
      </c>
      <c r="FE9">
        <v>642</v>
      </c>
      <c r="FF9">
        <v>810</v>
      </c>
      <c r="FG9">
        <v>947</v>
      </c>
      <c r="FH9">
        <v>749</v>
      </c>
      <c r="FI9">
        <v>668</v>
      </c>
      <c r="FJ9">
        <v>843</v>
      </c>
      <c r="FK9">
        <v>550</v>
      </c>
      <c r="FL9">
        <v>681</v>
      </c>
      <c r="FM9">
        <v>773</v>
      </c>
      <c r="FN9">
        <v>342</v>
      </c>
      <c r="FO9">
        <v>477</v>
      </c>
      <c r="FP9">
        <v>443</v>
      </c>
      <c r="FQ9">
        <v>494</v>
      </c>
      <c r="FR9">
        <v>215</v>
      </c>
      <c r="FS9">
        <v>514</v>
      </c>
      <c r="FT9">
        <v>265</v>
      </c>
      <c r="FU9">
        <v>934</v>
      </c>
      <c r="FV9">
        <v>985</v>
      </c>
      <c r="FW9">
        <v>741</v>
      </c>
      <c r="FX9">
        <v>664</v>
      </c>
      <c r="FY9">
        <v>445</v>
      </c>
      <c r="FZ9">
        <v>648</v>
      </c>
      <c r="GA9">
        <v>590</v>
      </c>
      <c r="GB9">
        <v>756</v>
      </c>
      <c r="GC9">
        <v>525</v>
      </c>
      <c r="GD9">
        <v>561</v>
      </c>
      <c r="GE9">
        <v>574</v>
      </c>
      <c r="GF9">
        <v>478</v>
      </c>
      <c r="GG9">
        <v>871</v>
      </c>
      <c r="GH9">
        <v>751</v>
      </c>
      <c r="GI9">
        <v>790</v>
      </c>
      <c r="GJ9">
        <v>663</v>
      </c>
      <c r="GK9">
        <v>853</v>
      </c>
      <c r="GL9">
        <v>678</v>
      </c>
      <c r="GM9">
        <v>445</v>
      </c>
      <c r="GN9">
        <v>515</v>
      </c>
      <c r="GO9">
        <v>539</v>
      </c>
      <c r="GP9">
        <v>529</v>
      </c>
      <c r="GQ9">
        <v>683</v>
      </c>
      <c r="GR9">
        <v>416</v>
      </c>
      <c r="GS9">
        <v>336</v>
      </c>
      <c r="GT9">
        <v>153</v>
      </c>
      <c r="GU9">
        <v>505</v>
      </c>
      <c r="GV9">
        <v>1277</v>
      </c>
      <c r="GW9">
        <v>616</v>
      </c>
      <c r="GX9">
        <v>754</v>
      </c>
      <c r="GY9">
        <v>765</v>
      </c>
      <c r="GZ9">
        <v>977</v>
      </c>
      <c r="HA9">
        <v>255</v>
      </c>
      <c r="HB9">
        <v>306</v>
      </c>
      <c r="HC9">
        <v>618</v>
      </c>
      <c r="HD9">
        <v>1510</v>
      </c>
      <c r="HE9">
        <v>761</v>
      </c>
      <c r="HF9">
        <v>707</v>
      </c>
      <c r="HG9">
        <v>577</v>
      </c>
      <c r="HH9">
        <v>676</v>
      </c>
      <c r="HI9">
        <v>742</v>
      </c>
      <c r="HJ9">
        <v>736</v>
      </c>
      <c r="HK9">
        <v>946</v>
      </c>
      <c r="HL9">
        <v>1469</v>
      </c>
      <c r="HM9">
        <v>868</v>
      </c>
      <c r="HN9">
        <v>685</v>
      </c>
      <c r="HO9">
        <v>526</v>
      </c>
      <c r="HP9">
        <v>413</v>
      </c>
      <c r="HQ9">
        <v>1036</v>
      </c>
      <c r="HR9">
        <v>1134</v>
      </c>
      <c r="HS9">
        <v>1586</v>
      </c>
      <c r="HT9">
        <v>1257</v>
      </c>
      <c r="HU9">
        <v>834</v>
      </c>
      <c r="HV9">
        <v>803</v>
      </c>
      <c r="HW9">
        <v>505</v>
      </c>
      <c r="HX9">
        <v>1358</v>
      </c>
      <c r="HY9">
        <v>1131</v>
      </c>
      <c r="HZ9">
        <v>631</v>
      </c>
      <c r="IA9">
        <v>735</v>
      </c>
      <c r="IB9">
        <v>958</v>
      </c>
      <c r="IC9">
        <v>897</v>
      </c>
      <c r="ID9">
        <v>803</v>
      </c>
      <c r="IE9">
        <v>1130</v>
      </c>
      <c r="IF9">
        <v>874</v>
      </c>
      <c r="IG9">
        <v>930</v>
      </c>
      <c r="IH9">
        <v>1334</v>
      </c>
      <c r="II9">
        <v>708</v>
      </c>
      <c r="IJ9">
        <v>755</v>
      </c>
      <c r="IK9">
        <v>797</v>
      </c>
      <c r="IL9">
        <v>771</v>
      </c>
      <c r="IM9">
        <v>924</v>
      </c>
      <c r="IN9">
        <v>1100</v>
      </c>
      <c r="IO9">
        <v>1249</v>
      </c>
      <c r="IP9">
        <v>581</v>
      </c>
      <c r="IQ9">
        <v>531</v>
      </c>
      <c r="IR9">
        <v>444</v>
      </c>
      <c r="IS9">
        <v>800</v>
      </c>
      <c r="IT9">
        <v>1007</v>
      </c>
      <c r="IU9">
        <v>676</v>
      </c>
      <c r="IV9">
        <v>852</v>
      </c>
      <c r="IW9">
        <v>501</v>
      </c>
      <c r="IX9">
        <v>629</v>
      </c>
      <c r="IY9">
        <v>646</v>
      </c>
      <c r="IZ9">
        <v>593</v>
      </c>
      <c r="JA9">
        <v>608</v>
      </c>
      <c r="JB9">
        <v>954</v>
      </c>
      <c r="JC9">
        <v>657</v>
      </c>
      <c r="JD9">
        <v>535</v>
      </c>
      <c r="JE9">
        <v>252</v>
      </c>
      <c r="JF9">
        <v>551</v>
      </c>
      <c r="JG9">
        <v>419</v>
      </c>
      <c r="JH9">
        <v>671</v>
      </c>
      <c r="JI9">
        <v>828</v>
      </c>
      <c r="JJ9">
        <v>1400</v>
      </c>
      <c r="JK9">
        <v>1379</v>
      </c>
      <c r="JL9">
        <v>654</v>
      </c>
      <c r="JM9">
        <v>387</v>
      </c>
      <c r="JN9">
        <v>1003</v>
      </c>
      <c r="JO9">
        <v>813</v>
      </c>
      <c r="JP9">
        <v>1218</v>
      </c>
      <c r="JQ9">
        <v>817</v>
      </c>
      <c r="JR9">
        <v>1162</v>
      </c>
      <c r="JS9">
        <v>747</v>
      </c>
      <c r="JT9">
        <v>319</v>
      </c>
      <c r="JU9">
        <v>923</v>
      </c>
      <c r="JV9">
        <v>546</v>
      </c>
      <c r="JW9">
        <v>1155</v>
      </c>
      <c r="JX9">
        <v>1531</v>
      </c>
      <c r="JY9">
        <v>1279</v>
      </c>
      <c r="JZ9">
        <v>703</v>
      </c>
      <c r="KA9">
        <v>550</v>
      </c>
      <c r="KB9">
        <v>1188</v>
      </c>
      <c r="KC9">
        <v>691</v>
      </c>
      <c r="KD9">
        <v>616</v>
      </c>
      <c r="KE9">
        <v>1798</v>
      </c>
      <c r="KF9">
        <v>1744</v>
      </c>
      <c r="KG9">
        <v>940</v>
      </c>
      <c r="KH9">
        <v>1142</v>
      </c>
      <c r="KI9">
        <v>1020</v>
      </c>
      <c r="KJ9">
        <v>669</v>
      </c>
      <c r="KK9">
        <v>930</v>
      </c>
      <c r="KL9">
        <v>1111</v>
      </c>
      <c r="KM9">
        <v>972</v>
      </c>
      <c r="KN9">
        <v>776</v>
      </c>
      <c r="KO9">
        <v>499</v>
      </c>
      <c r="KP9">
        <v>698</v>
      </c>
      <c r="KQ9">
        <v>1314</v>
      </c>
      <c r="KR9">
        <v>985</v>
      </c>
      <c r="KS9">
        <v>0</v>
      </c>
      <c r="KT9">
        <v>0</v>
      </c>
      <c r="KU9">
        <v>658</v>
      </c>
      <c r="KV9">
        <v>894</v>
      </c>
      <c r="KW9">
        <v>1082</v>
      </c>
      <c r="KX9">
        <v>1501</v>
      </c>
      <c r="KY9">
        <v>1188</v>
      </c>
      <c r="KZ9">
        <v>1260</v>
      </c>
      <c r="LA9">
        <v>0</v>
      </c>
      <c r="LB9">
        <v>953</v>
      </c>
      <c r="LC9">
        <v>1116</v>
      </c>
      <c r="LD9">
        <v>1240</v>
      </c>
      <c r="LE9">
        <v>1282</v>
      </c>
      <c r="LF9">
        <v>1592</v>
      </c>
      <c r="LG9">
        <v>2550</v>
      </c>
      <c r="LH9">
        <v>0</v>
      </c>
      <c r="LI9">
        <v>1171</v>
      </c>
      <c r="LJ9">
        <v>1018</v>
      </c>
      <c r="LK9">
        <v>1128</v>
      </c>
      <c r="LL9">
        <v>1687</v>
      </c>
      <c r="LM9">
        <v>794</v>
      </c>
      <c r="LN9">
        <v>1755</v>
      </c>
      <c r="LO9">
        <v>0</v>
      </c>
      <c r="LP9">
        <v>998</v>
      </c>
      <c r="LQ9">
        <v>1178</v>
      </c>
      <c r="LR9">
        <v>1581</v>
      </c>
      <c r="LS9">
        <v>1582</v>
      </c>
      <c r="LT9">
        <v>2159</v>
      </c>
      <c r="LU9">
        <v>1884</v>
      </c>
      <c r="LV9">
        <v>0</v>
      </c>
      <c r="LW9">
        <v>1044</v>
      </c>
      <c r="LX9">
        <v>1327</v>
      </c>
      <c r="LY9">
        <v>1844</v>
      </c>
      <c r="LZ9">
        <v>1950</v>
      </c>
      <c r="MA9">
        <v>1605</v>
      </c>
      <c r="MB9">
        <v>1600</v>
      </c>
      <c r="MC9">
        <v>0</v>
      </c>
      <c r="MD9">
        <v>725</v>
      </c>
      <c r="ME9">
        <v>1141</v>
      </c>
      <c r="MF9">
        <v>1681</v>
      </c>
      <c r="MG9">
        <v>1460</v>
      </c>
      <c r="MH9">
        <v>1058</v>
      </c>
      <c r="MI9">
        <v>1508</v>
      </c>
      <c r="MJ9">
        <v>0</v>
      </c>
      <c r="MK9">
        <v>1254</v>
      </c>
      <c r="ML9">
        <v>1180</v>
      </c>
      <c r="MM9">
        <v>1084</v>
      </c>
      <c r="MN9">
        <v>1677</v>
      </c>
      <c r="MO9">
        <v>990</v>
      </c>
      <c r="MP9">
        <v>1299</v>
      </c>
      <c r="MQ9">
        <v>0</v>
      </c>
      <c r="MR9">
        <v>699</v>
      </c>
      <c r="MS9">
        <v>612</v>
      </c>
      <c r="MT9">
        <v>1377</v>
      </c>
      <c r="MU9">
        <v>1383</v>
      </c>
      <c r="MV9">
        <v>1126</v>
      </c>
      <c r="MW9">
        <v>859</v>
      </c>
      <c r="MX9">
        <v>0</v>
      </c>
      <c r="MY9">
        <v>560</v>
      </c>
      <c r="MZ9">
        <v>668</v>
      </c>
      <c r="NA9">
        <v>1329</v>
      </c>
      <c r="NB9">
        <v>972</v>
      </c>
      <c r="NC9">
        <v>765</v>
      </c>
      <c r="ND9">
        <v>947</v>
      </c>
      <c r="NE9">
        <v>0</v>
      </c>
      <c r="NF9">
        <v>443</v>
      </c>
      <c r="NG9">
        <v>818</v>
      </c>
      <c r="NH9">
        <v>830</v>
      </c>
      <c r="NI9">
        <v>929</v>
      </c>
      <c r="NJ9">
        <v>754</v>
      </c>
      <c r="NK9">
        <v>736</v>
      </c>
      <c r="NL9">
        <v>0</v>
      </c>
      <c r="NM9">
        <v>317</v>
      </c>
      <c r="NN9">
        <v>506</v>
      </c>
      <c r="NO9">
        <v>654</v>
      </c>
      <c r="NP9">
        <v>735</v>
      </c>
      <c r="NQ9">
        <v>708</v>
      </c>
      <c r="NR9">
        <v>573</v>
      </c>
      <c r="NS9">
        <v>0</v>
      </c>
      <c r="NT9">
        <v>243</v>
      </c>
      <c r="NU9">
        <v>302</v>
      </c>
      <c r="NV9">
        <v>330</v>
      </c>
      <c r="NW9">
        <v>376</v>
      </c>
      <c r="NX9">
        <v>0</v>
      </c>
      <c r="NY9">
        <v>0</v>
      </c>
      <c r="NZ9">
        <v>0</v>
      </c>
      <c r="OA9">
        <v>200</v>
      </c>
      <c r="OB9">
        <v>516</v>
      </c>
      <c r="OC9">
        <v>706</v>
      </c>
      <c r="OD9">
        <v>463</v>
      </c>
      <c r="OE9">
        <v>430</v>
      </c>
      <c r="OF9">
        <v>318</v>
      </c>
      <c r="OG9">
        <v>0</v>
      </c>
      <c r="OH9">
        <v>237</v>
      </c>
      <c r="OI9">
        <v>95</v>
      </c>
      <c r="OJ9">
        <v>286</v>
      </c>
      <c r="OK9">
        <v>383</v>
      </c>
      <c r="OL9">
        <v>249</v>
      </c>
      <c r="OM9">
        <v>310</v>
      </c>
      <c r="ON9">
        <v>0</v>
      </c>
      <c r="OO9">
        <v>154</v>
      </c>
      <c r="OP9">
        <v>187</v>
      </c>
      <c r="OQ9">
        <v>214</v>
      </c>
      <c r="OR9">
        <v>226</v>
      </c>
      <c r="OS9" s="3">
        <v>204</v>
      </c>
      <c r="OT9">
        <v>168</v>
      </c>
      <c r="OU9">
        <v>0</v>
      </c>
      <c r="OV9">
        <v>119</v>
      </c>
      <c r="OW9">
        <v>142</v>
      </c>
      <c r="OX9">
        <v>99</v>
      </c>
      <c r="OY9">
        <v>106</v>
      </c>
      <c r="OZ9">
        <v>161</v>
      </c>
      <c r="PA9">
        <v>137</v>
      </c>
      <c r="PB9">
        <v>0</v>
      </c>
      <c r="PC9">
        <v>107</v>
      </c>
      <c r="PD9">
        <v>129</v>
      </c>
      <c r="PE9">
        <v>81</v>
      </c>
      <c r="PF9">
        <v>86</v>
      </c>
      <c r="PG9">
        <v>79</v>
      </c>
      <c r="PH9">
        <v>126</v>
      </c>
      <c r="PI9">
        <v>0</v>
      </c>
      <c r="PJ9">
        <v>35</v>
      </c>
      <c r="PK9">
        <v>48</v>
      </c>
      <c r="PL9">
        <v>139</v>
      </c>
      <c r="PM9">
        <v>52</v>
      </c>
      <c r="PN9">
        <v>67</v>
      </c>
      <c r="PO9">
        <v>60</v>
      </c>
      <c r="PP9">
        <v>0</v>
      </c>
      <c r="PQ9">
        <v>0</v>
      </c>
      <c r="PR9">
        <v>28</v>
      </c>
      <c r="PS9">
        <v>62</v>
      </c>
      <c r="PT9">
        <v>123</v>
      </c>
      <c r="PU9">
        <v>147</v>
      </c>
      <c r="PV9">
        <v>29</v>
      </c>
      <c r="PW9">
        <v>0</v>
      </c>
      <c r="PX9">
        <v>0</v>
      </c>
      <c r="PY9">
        <v>0</v>
      </c>
      <c r="PZ9">
        <v>47</v>
      </c>
      <c r="QA9">
        <v>70</v>
      </c>
      <c r="QB9">
        <v>67</v>
      </c>
      <c r="QC9">
        <v>138</v>
      </c>
      <c r="QD9">
        <v>0</v>
      </c>
      <c r="QE9">
        <v>14</v>
      </c>
      <c r="QF9">
        <v>27</v>
      </c>
      <c r="QG9">
        <v>46</v>
      </c>
      <c r="QH9">
        <v>26</v>
      </c>
      <c r="QI9">
        <v>124</v>
      </c>
      <c r="QJ9">
        <v>14</v>
      </c>
      <c r="QK9">
        <v>0</v>
      </c>
      <c r="QL9">
        <v>4</v>
      </c>
      <c r="QM9">
        <v>14</v>
      </c>
      <c r="QN9">
        <v>27</v>
      </c>
      <c r="QO9">
        <v>43</v>
      </c>
      <c r="QP9">
        <v>50</v>
      </c>
      <c r="QQ9">
        <v>69</v>
      </c>
      <c r="QR9">
        <v>0</v>
      </c>
      <c r="QS9">
        <v>0</v>
      </c>
      <c r="QT9">
        <v>39</v>
      </c>
      <c r="QU9">
        <v>120</v>
      </c>
      <c r="QV9">
        <v>31</v>
      </c>
      <c r="QW9">
        <v>79</v>
      </c>
      <c r="QX9">
        <v>0</v>
      </c>
      <c r="QY9">
        <v>0</v>
      </c>
      <c r="QZ9">
        <v>23</v>
      </c>
      <c r="RA9">
        <v>84</v>
      </c>
      <c r="RB9">
        <v>126</v>
      </c>
      <c r="RC9">
        <v>140</v>
      </c>
      <c r="RD9">
        <v>0</v>
      </c>
      <c r="RE9">
        <v>0</v>
      </c>
      <c r="RF9">
        <v>0</v>
      </c>
      <c r="RG9">
        <v>0</v>
      </c>
      <c r="RH9">
        <v>100</v>
      </c>
      <c r="RI9">
        <v>144</v>
      </c>
      <c r="RJ9">
        <v>283</v>
      </c>
      <c r="RK9">
        <v>393</v>
      </c>
      <c r="RL9">
        <v>371</v>
      </c>
      <c r="RM9">
        <v>0</v>
      </c>
      <c r="RN9">
        <v>223</v>
      </c>
      <c r="RO9">
        <v>189</v>
      </c>
      <c r="RP9">
        <v>450</v>
      </c>
      <c r="RQ9">
        <v>375</v>
      </c>
      <c r="RR9">
        <v>669</v>
      </c>
      <c r="RS9">
        <v>593</v>
      </c>
      <c r="RT9">
        <v>0</v>
      </c>
      <c r="RU9">
        <v>700</v>
      </c>
      <c r="RV9">
        <v>273</v>
      </c>
      <c r="RW9">
        <v>602</v>
      </c>
      <c r="RX9">
        <v>792</v>
      </c>
      <c r="RY9">
        <v>759</v>
      </c>
      <c r="RZ9">
        <v>921</v>
      </c>
      <c r="SA9">
        <v>0</v>
      </c>
      <c r="SB9">
        <v>654</v>
      </c>
      <c r="SC9">
        <v>592</v>
      </c>
      <c r="SD9">
        <v>763</v>
      </c>
      <c r="SE9">
        <v>729</v>
      </c>
      <c r="SF9">
        <v>0</v>
      </c>
      <c r="SG9">
        <v>0</v>
      </c>
      <c r="SH9">
        <v>0</v>
      </c>
      <c r="SI9">
        <v>0</v>
      </c>
      <c r="SJ9">
        <v>0</v>
      </c>
      <c r="SK9">
        <v>0</v>
      </c>
      <c r="SL9">
        <v>0</v>
      </c>
      <c r="SM9">
        <v>0</v>
      </c>
      <c r="SN9">
        <v>0</v>
      </c>
      <c r="SO9">
        <v>0</v>
      </c>
      <c r="SP9">
        <v>0</v>
      </c>
      <c r="SQ9">
        <v>2293</v>
      </c>
      <c r="SR9">
        <v>1136</v>
      </c>
      <c r="SS9">
        <v>0</v>
      </c>
      <c r="ST9">
        <v>0</v>
      </c>
      <c r="SU9">
        <v>0</v>
      </c>
      <c r="SV9">
        <v>0</v>
      </c>
      <c r="SW9">
        <v>0</v>
      </c>
      <c r="SX9">
        <v>0</v>
      </c>
      <c r="SY9">
        <v>2108</v>
      </c>
      <c r="SZ9">
        <v>0</v>
      </c>
      <c r="TA9">
        <v>0</v>
      </c>
      <c r="TB9">
        <v>0</v>
      </c>
      <c r="TC9">
        <v>0</v>
      </c>
      <c r="TD9">
        <v>0</v>
      </c>
      <c r="TE9">
        <v>0</v>
      </c>
      <c r="TF9">
        <v>0</v>
      </c>
      <c r="TG9">
        <v>2756</v>
      </c>
      <c r="TH9">
        <v>0</v>
      </c>
      <c r="TI9">
        <v>0</v>
      </c>
      <c r="TJ9">
        <v>0</v>
      </c>
      <c r="TK9">
        <v>0</v>
      </c>
      <c r="TL9">
        <v>1521</v>
      </c>
      <c r="TM9">
        <v>0</v>
      </c>
      <c r="TN9">
        <v>966</v>
      </c>
      <c r="TO9">
        <v>0</v>
      </c>
      <c r="TP9">
        <v>0</v>
      </c>
      <c r="TQ9">
        <v>0</v>
      </c>
      <c r="TR9">
        <v>0</v>
      </c>
      <c r="TS9">
        <v>1015</v>
      </c>
      <c r="TT9">
        <v>0</v>
      </c>
      <c r="TU9">
        <v>0</v>
      </c>
      <c r="TV9">
        <v>0</v>
      </c>
      <c r="TW9">
        <v>2015</v>
      </c>
      <c r="TX9">
        <v>0</v>
      </c>
      <c r="TY9">
        <v>0</v>
      </c>
      <c r="TZ9">
        <v>472</v>
      </c>
      <c r="UA9">
        <v>0</v>
      </c>
      <c r="UB9">
        <v>0</v>
      </c>
      <c r="UC9">
        <v>0</v>
      </c>
      <c r="UD9">
        <v>0</v>
      </c>
      <c r="UE9">
        <v>0</v>
      </c>
      <c r="UF9">
        <v>0</v>
      </c>
      <c r="UG9">
        <v>160</v>
      </c>
      <c r="UH9">
        <v>32</v>
      </c>
      <c r="UI9">
        <v>0</v>
      </c>
      <c r="UJ9">
        <v>2129</v>
      </c>
      <c r="UK9">
        <v>0</v>
      </c>
      <c r="UL9">
        <v>0</v>
      </c>
      <c r="UM9">
        <v>0</v>
      </c>
      <c r="UN9">
        <v>357</v>
      </c>
      <c r="UO9">
        <v>35</v>
      </c>
      <c r="UP9">
        <v>49</v>
      </c>
      <c r="UQ9">
        <v>0</v>
      </c>
      <c r="UR9">
        <v>0</v>
      </c>
      <c r="US9">
        <v>0</v>
      </c>
      <c r="UT9">
        <v>0</v>
      </c>
      <c r="UU9">
        <v>0</v>
      </c>
      <c r="UV9">
        <v>0</v>
      </c>
      <c r="UW9">
        <v>0</v>
      </c>
      <c r="UX9">
        <v>0</v>
      </c>
      <c r="UY9">
        <v>0</v>
      </c>
      <c r="UZ9">
        <v>0</v>
      </c>
      <c r="VA9">
        <v>0</v>
      </c>
      <c r="VB9">
        <v>0</v>
      </c>
      <c r="VC9">
        <v>0</v>
      </c>
      <c r="VD9">
        <v>0</v>
      </c>
      <c r="VE9">
        <v>0</v>
      </c>
      <c r="VF9">
        <v>0</v>
      </c>
      <c r="VG9">
        <v>0</v>
      </c>
      <c r="VH9">
        <v>391</v>
      </c>
      <c r="VI9">
        <v>580</v>
      </c>
      <c r="VJ9">
        <v>36</v>
      </c>
      <c r="VK9">
        <v>0</v>
      </c>
      <c r="VL9">
        <v>0</v>
      </c>
      <c r="VM9">
        <v>0</v>
      </c>
      <c r="VN9">
        <v>0</v>
      </c>
      <c r="VO9">
        <v>0</v>
      </c>
      <c r="VP9">
        <v>0</v>
      </c>
      <c r="VQ9">
        <v>0</v>
      </c>
      <c r="VR9">
        <v>0</v>
      </c>
      <c r="VS9">
        <v>0</v>
      </c>
      <c r="VT9">
        <v>0</v>
      </c>
      <c r="VU9">
        <v>0</v>
      </c>
      <c r="VV9">
        <v>0</v>
      </c>
      <c r="VW9">
        <v>57</v>
      </c>
      <c r="VX9">
        <v>19</v>
      </c>
      <c r="VY9">
        <v>85</v>
      </c>
      <c r="VZ9">
        <v>0</v>
      </c>
      <c r="WA9">
        <v>0</v>
      </c>
      <c r="WB9">
        <v>0</v>
      </c>
      <c r="WC9">
        <v>486</v>
      </c>
      <c r="WD9">
        <v>11</v>
      </c>
      <c r="WE9">
        <v>0</v>
      </c>
      <c r="WF9">
        <v>14</v>
      </c>
      <c r="WG9">
        <v>0</v>
      </c>
      <c r="WH9">
        <v>0</v>
      </c>
      <c r="WI9">
        <v>0</v>
      </c>
      <c r="WJ9">
        <v>57</v>
      </c>
      <c r="WK9">
        <v>0</v>
      </c>
      <c r="WL9">
        <v>324</v>
      </c>
      <c r="WM9">
        <v>0</v>
      </c>
      <c r="WN9">
        <v>0</v>
      </c>
      <c r="WO9">
        <v>0</v>
      </c>
      <c r="WP9">
        <v>0</v>
      </c>
      <c r="WQ9">
        <v>228</v>
      </c>
      <c r="WR9">
        <v>228</v>
      </c>
      <c r="WS9">
        <v>228</v>
      </c>
      <c r="WT9">
        <v>228</v>
      </c>
      <c r="WU9">
        <v>0</v>
      </c>
      <c r="WV9">
        <v>0</v>
      </c>
      <c r="WW9">
        <v>0</v>
      </c>
      <c r="WX9">
        <v>67</v>
      </c>
      <c r="WY9">
        <v>67</v>
      </c>
      <c r="WZ9">
        <v>0</v>
      </c>
      <c r="XA9">
        <v>0</v>
      </c>
      <c r="XB9">
        <v>0</v>
      </c>
      <c r="XC9">
        <v>54</v>
      </c>
      <c r="XD9">
        <v>54</v>
      </c>
      <c r="XE9">
        <v>0</v>
      </c>
      <c r="XF9">
        <v>91</v>
      </c>
      <c r="XG9">
        <v>91</v>
      </c>
      <c r="XH9">
        <v>91</v>
      </c>
      <c r="XI9">
        <v>91</v>
      </c>
      <c r="XJ9">
        <v>91</v>
      </c>
      <c r="XK9">
        <v>0</v>
      </c>
      <c r="XL9">
        <v>0</v>
      </c>
      <c r="XM9">
        <v>165</v>
      </c>
      <c r="XN9">
        <v>165</v>
      </c>
      <c r="XO9">
        <v>165</v>
      </c>
      <c r="XP9">
        <v>165</v>
      </c>
      <c r="XQ9">
        <v>165</v>
      </c>
      <c r="XR9">
        <v>0</v>
      </c>
      <c r="XS9">
        <v>0</v>
      </c>
      <c r="XT9">
        <v>0</v>
      </c>
      <c r="XU9">
        <v>0</v>
      </c>
      <c r="XV9">
        <v>0</v>
      </c>
      <c r="XW9">
        <v>0</v>
      </c>
      <c r="XX9">
        <v>0</v>
      </c>
      <c r="XY9">
        <v>0</v>
      </c>
      <c r="XZ9">
        <v>389</v>
      </c>
      <c r="YA9">
        <v>0</v>
      </c>
      <c r="YB9">
        <v>476</v>
      </c>
      <c r="YC9">
        <v>0</v>
      </c>
      <c r="YD9">
        <v>0</v>
      </c>
      <c r="YE9">
        <v>0</v>
      </c>
      <c r="YF9" s="1">
        <v>0</v>
      </c>
      <c r="YG9" s="1">
        <v>0</v>
      </c>
      <c r="YH9" s="1">
        <v>0</v>
      </c>
      <c r="YI9" s="1">
        <v>0</v>
      </c>
      <c r="YJ9">
        <v>0</v>
      </c>
      <c r="YK9">
        <v>0</v>
      </c>
      <c r="YL9">
        <v>0</v>
      </c>
      <c r="YM9">
        <v>440</v>
      </c>
      <c r="YN9">
        <v>824</v>
      </c>
      <c r="YO9">
        <v>824</v>
      </c>
      <c r="YP9">
        <v>0</v>
      </c>
      <c r="YQ9">
        <v>0</v>
      </c>
      <c r="YR9">
        <v>0</v>
      </c>
      <c r="YS9">
        <v>0</v>
      </c>
      <c r="YT9">
        <v>0</v>
      </c>
      <c r="YU9">
        <v>1467</v>
      </c>
      <c r="YV9">
        <v>0</v>
      </c>
      <c r="YW9">
        <v>0</v>
      </c>
      <c r="YX9">
        <v>0</v>
      </c>
      <c r="YY9">
        <v>0</v>
      </c>
      <c r="YZ9">
        <v>0</v>
      </c>
      <c r="ZA9">
        <v>0</v>
      </c>
      <c r="ZB9">
        <v>0</v>
      </c>
      <c r="ZC9">
        <v>0</v>
      </c>
      <c r="ZD9">
        <v>1840</v>
      </c>
      <c r="ZE9">
        <v>0</v>
      </c>
      <c r="ZF9">
        <v>0</v>
      </c>
      <c r="ZG9">
        <v>0</v>
      </c>
      <c r="ZH9">
        <v>0</v>
      </c>
      <c r="ZI9">
        <v>2418</v>
      </c>
      <c r="ZJ9">
        <v>0</v>
      </c>
      <c r="ZK9">
        <v>1833</v>
      </c>
      <c r="ZL9">
        <v>0</v>
      </c>
      <c r="ZM9">
        <v>1119</v>
      </c>
      <c r="ZN9">
        <v>0</v>
      </c>
      <c r="ZO9">
        <v>0</v>
      </c>
      <c r="ZP9">
        <v>0</v>
      </c>
      <c r="ZQ9">
        <v>433</v>
      </c>
      <c r="ZR9">
        <v>0</v>
      </c>
      <c r="ZS9">
        <v>503</v>
      </c>
      <c r="ZT9">
        <v>0</v>
      </c>
      <c r="ZU9">
        <v>0</v>
      </c>
      <c r="ZV9">
        <v>1593</v>
      </c>
      <c r="ZW9">
        <v>537</v>
      </c>
      <c r="ZX9">
        <v>0</v>
      </c>
      <c r="ZY9">
        <v>0</v>
      </c>
      <c r="ZZ9">
        <v>447</v>
      </c>
      <c r="AAA9">
        <v>0</v>
      </c>
      <c r="AAB9">
        <v>0</v>
      </c>
      <c r="AAC9">
        <v>0</v>
      </c>
      <c r="AAD9">
        <v>0</v>
      </c>
      <c r="AAE9">
        <v>1202</v>
      </c>
      <c r="AAF9">
        <v>371</v>
      </c>
      <c r="AAG9">
        <v>0</v>
      </c>
      <c r="AAH9">
        <v>0</v>
      </c>
      <c r="AAI9">
        <v>0</v>
      </c>
      <c r="AAJ9">
        <v>1138</v>
      </c>
      <c r="AAK9">
        <v>0</v>
      </c>
      <c r="AAL9">
        <v>0</v>
      </c>
      <c r="AAM9">
        <v>749</v>
      </c>
      <c r="AAN9">
        <v>587</v>
      </c>
      <c r="AAO9">
        <v>0</v>
      </c>
      <c r="AAP9">
        <v>0</v>
      </c>
      <c r="AAQ9">
        <v>0</v>
      </c>
      <c r="AAR9">
        <v>0</v>
      </c>
      <c r="AAS9">
        <v>0</v>
      </c>
      <c r="AAT9">
        <v>0</v>
      </c>
      <c r="AAU9">
        <v>232</v>
      </c>
      <c r="AAV9">
        <v>0</v>
      </c>
      <c r="AAW9">
        <v>0</v>
      </c>
      <c r="AAX9">
        <v>0</v>
      </c>
      <c r="AAY9">
        <v>658</v>
      </c>
      <c r="AAZ9">
        <v>0</v>
      </c>
      <c r="ABA9">
        <v>0</v>
      </c>
      <c r="ABB9">
        <v>0</v>
      </c>
      <c r="ABC9">
        <v>0</v>
      </c>
      <c r="ABD9">
        <v>0</v>
      </c>
      <c r="ABE9">
        <v>0</v>
      </c>
      <c r="ABF9">
        <v>199</v>
      </c>
      <c r="ABG9">
        <v>0</v>
      </c>
      <c r="ABH9">
        <v>71</v>
      </c>
      <c r="ABI9">
        <v>0</v>
      </c>
      <c r="ABJ9">
        <v>0</v>
      </c>
      <c r="ABK9">
        <v>230</v>
      </c>
      <c r="ABL9">
        <v>0</v>
      </c>
      <c r="ABM9">
        <v>55</v>
      </c>
      <c r="ABN9">
        <v>0</v>
      </c>
      <c r="ABO9">
        <v>0</v>
      </c>
      <c r="ABP9">
        <v>0</v>
      </c>
      <c r="ABQ9">
        <v>0</v>
      </c>
      <c r="ABR9">
        <v>0</v>
      </c>
      <c r="ABS9">
        <v>0</v>
      </c>
      <c r="ABT9">
        <v>0</v>
      </c>
      <c r="ABU9">
        <v>0</v>
      </c>
      <c r="ABV9">
        <v>273</v>
      </c>
      <c r="ABW9">
        <v>0</v>
      </c>
      <c r="ABX9">
        <v>0</v>
      </c>
      <c r="ABY9">
        <v>0</v>
      </c>
      <c r="ABZ9">
        <v>0</v>
      </c>
      <c r="ACA9">
        <v>0</v>
      </c>
      <c r="ACB9">
        <v>0</v>
      </c>
      <c r="ACC9">
        <v>0</v>
      </c>
      <c r="ACD9">
        <v>0</v>
      </c>
      <c r="ACE9">
        <v>0</v>
      </c>
      <c r="ACF9">
        <v>0</v>
      </c>
      <c r="ACG9">
        <v>222</v>
      </c>
      <c r="ACH9">
        <v>0</v>
      </c>
      <c r="ACI9">
        <v>0</v>
      </c>
      <c r="ACJ9">
        <v>0</v>
      </c>
      <c r="ACK9">
        <v>41</v>
      </c>
      <c r="ACL9">
        <v>41</v>
      </c>
      <c r="ACM9">
        <v>41</v>
      </c>
      <c r="ACN9">
        <v>0</v>
      </c>
      <c r="ACO9">
        <v>0</v>
      </c>
      <c r="ACP9">
        <v>0</v>
      </c>
      <c r="ACQ9">
        <v>0</v>
      </c>
      <c r="ACR9">
        <v>0</v>
      </c>
      <c r="ACS9">
        <v>0</v>
      </c>
      <c r="ACT9">
        <v>0</v>
      </c>
      <c r="ACU9">
        <v>0</v>
      </c>
      <c r="ACV9">
        <v>0</v>
      </c>
      <c r="ACW9">
        <v>0</v>
      </c>
      <c r="ACX9">
        <v>0</v>
      </c>
      <c r="ACY9">
        <v>0</v>
      </c>
      <c r="ACZ9">
        <v>0</v>
      </c>
      <c r="ADA9">
        <v>0</v>
      </c>
      <c r="ADB9">
        <v>0</v>
      </c>
      <c r="ADC9">
        <v>0</v>
      </c>
      <c r="ADD9">
        <v>0</v>
      </c>
      <c r="ADE9">
        <v>0</v>
      </c>
      <c r="ADF9">
        <v>0</v>
      </c>
      <c r="ADG9">
        <v>0</v>
      </c>
      <c r="ADH9">
        <v>0</v>
      </c>
      <c r="ADI9">
        <v>0</v>
      </c>
      <c r="ADJ9">
        <v>0</v>
      </c>
      <c r="ADK9">
        <v>0</v>
      </c>
      <c r="ADL9">
        <v>168</v>
      </c>
      <c r="ADM9">
        <v>168</v>
      </c>
      <c r="ADN9">
        <v>168</v>
      </c>
      <c r="ADO9">
        <v>168</v>
      </c>
      <c r="ADP9">
        <v>168</v>
      </c>
      <c r="ADQ9">
        <v>168</v>
      </c>
      <c r="ADR9">
        <v>0</v>
      </c>
      <c r="ADS9">
        <v>0</v>
      </c>
      <c r="ADT9">
        <v>0</v>
      </c>
      <c r="ADU9">
        <v>0</v>
      </c>
      <c r="ADV9">
        <v>0</v>
      </c>
      <c r="ADW9">
        <v>0</v>
      </c>
      <c r="ADX9">
        <v>0</v>
      </c>
      <c r="ADY9">
        <v>0</v>
      </c>
      <c r="ADZ9">
        <v>0</v>
      </c>
      <c r="AEA9">
        <v>0</v>
      </c>
      <c r="AEB9">
        <v>0</v>
      </c>
      <c r="AEC9">
        <v>0</v>
      </c>
      <c r="AED9">
        <v>0</v>
      </c>
      <c r="AEE9">
        <v>0</v>
      </c>
      <c r="AEF9">
        <v>0</v>
      </c>
      <c r="AEG9">
        <v>0</v>
      </c>
      <c r="AEH9">
        <v>0</v>
      </c>
      <c r="AEI9">
        <v>0</v>
      </c>
      <c r="AEJ9">
        <v>0</v>
      </c>
      <c r="AEK9">
        <v>0</v>
      </c>
      <c r="AEL9">
        <v>0</v>
      </c>
      <c r="AEM9">
        <v>0</v>
      </c>
      <c r="AEN9">
        <v>0</v>
      </c>
      <c r="AEO9">
        <v>0</v>
      </c>
      <c r="AEP9">
        <v>0</v>
      </c>
      <c r="AEQ9">
        <v>0</v>
      </c>
      <c r="AER9">
        <v>0</v>
      </c>
      <c r="AES9">
        <v>0</v>
      </c>
      <c r="AET9">
        <v>0</v>
      </c>
      <c r="AEU9">
        <v>0</v>
      </c>
      <c r="AEV9">
        <v>0</v>
      </c>
      <c r="AEW9">
        <v>0</v>
      </c>
      <c r="AEX9">
        <v>0</v>
      </c>
      <c r="AEY9">
        <v>0</v>
      </c>
      <c r="AEZ9">
        <v>0</v>
      </c>
      <c r="AFA9">
        <v>0</v>
      </c>
      <c r="AFB9">
        <v>0</v>
      </c>
      <c r="AFC9">
        <v>0</v>
      </c>
      <c r="AFD9">
        <v>0</v>
      </c>
      <c r="AFE9">
        <v>0</v>
      </c>
      <c r="AFF9">
        <v>0</v>
      </c>
      <c r="AFG9">
        <v>0</v>
      </c>
      <c r="AFH9">
        <v>0</v>
      </c>
      <c r="AFI9">
        <v>0</v>
      </c>
      <c r="AFJ9">
        <v>0</v>
      </c>
      <c r="AFK9">
        <v>0</v>
      </c>
      <c r="AFL9">
        <v>0</v>
      </c>
      <c r="AFM9">
        <v>0</v>
      </c>
      <c r="AFN9">
        <v>0</v>
      </c>
      <c r="AFO9">
        <v>0</v>
      </c>
      <c r="AFP9">
        <v>0</v>
      </c>
      <c r="AFQ9">
        <v>0</v>
      </c>
      <c r="AFR9">
        <v>0</v>
      </c>
      <c r="AFS9">
        <v>0</v>
      </c>
      <c r="AFT9">
        <v>0</v>
      </c>
      <c r="AFU9">
        <v>0</v>
      </c>
      <c r="AFV9">
        <v>0</v>
      </c>
      <c r="AFW9">
        <v>0</v>
      </c>
      <c r="AFX9">
        <v>0</v>
      </c>
      <c r="AFY9">
        <v>0</v>
      </c>
      <c r="AFZ9">
        <v>0</v>
      </c>
      <c r="AGA9">
        <v>0</v>
      </c>
      <c r="AGB9">
        <v>0</v>
      </c>
      <c r="AGC9">
        <v>0</v>
      </c>
      <c r="AGD9">
        <v>0</v>
      </c>
      <c r="AGE9">
        <v>0</v>
      </c>
      <c r="AGF9">
        <v>0</v>
      </c>
      <c r="AGG9">
        <v>0</v>
      </c>
      <c r="AGH9">
        <v>0</v>
      </c>
      <c r="AGI9">
        <v>0</v>
      </c>
      <c r="AGJ9">
        <v>0</v>
      </c>
      <c r="AGK9">
        <v>0</v>
      </c>
      <c r="AGL9">
        <v>0</v>
      </c>
      <c r="AGM9">
        <v>0</v>
      </c>
      <c r="AGN9">
        <v>0</v>
      </c>
      <c r="AGO9">
        <v>0</v>
      </c>
      <c r="AGP9">
        <v>0</v>
      </c>
      <c r="AGQ9">
        <v>0</v>
      </c>
      <c r="AGR9">
        <v>0</v>
      </c>
      <c r="AGS9">
        <v>0</v>
      </c>
      <c r="AGT9">
        <v>0</v>
      </c>
      <c r="AGU9">
        <v>0</v>
      </c>
      <c r="AGV9">
        <v>0</v>
      </c>
      <c r="AGW9">
        <v>0</v>
      </c>
      <c r="AGX9">
        <v>0</v>
      </c>
      <c r="AGY9">
        <v>0</v>
      </c>
      <c r="AGZ9">
        <v>0</v>
      </c>
      <c r="AHA9">
        <v>0</v>
      </c>
      <c r="AHB9">
        <v>0</v>
      </c>
      <c r="AHC9">
        <v>559</v>
      </c>
      <c r="AHD9">
        <v>559</v>
      </c>
      <c r="AHE9">
        <v>559</v>
      </c>
      <c r="AHF9">
        <v>559</v>
      </c>
      <c r="AHG9">
        <v>559</v>
      </c>
      <c r="AHH9">
        <v>559</v>
      </c>
      <c r="AHI9">
        <v>559</v>
      </c>
      <c r="AHJ9">
        <v>559</v>
      </c>
      <c r="AHK9">
        <v>0</v>
      </c>
      <c r="AHL9">
        <v>0</v>
      </c>
      <c r="AHM9">
        <v>0</v>
      </c>
      <c r="AHN9">
        <v>0</v>
      </c>
      <c r="AHO9">
        <v>0</v>
      </c>
      <c r="AHP9">
        <v>0</v>
      </c>
      <c r="AHQ9">
        <v>0</v>
      </c>
    </row>
    <row r="10" spans="1:901">
      <c r="A10" s="1" t="s">
        <v>44</v>
      </c>
      <c r="B10">
        <v>4771</v>
      </c>
      <c r="C10">
        <v>4444</v>
      </c>
      <c r="D10">
        <v>3182</v>
      </c>
      <c r="E10">
        <v>4841</v>
      </c>
      <c r="F10">
        <v>5167</v>
      </c>
      <c r="G10">
        <v>3542</v>
      </c>
      <c r="H10">
        <v>2917</v>
      </c>
      <c r="I10">
        <v>4683</v>
      </c>
      <c r="J10">
        <v>4786</v>
      </c>
      <c r="K10">
        <v>5408</v>
      </c>
      <c r="L10">
        <v>5573</v>
      </c>
      <c r="M10">
        <v>3886</v>
      </c>
      <c r="N10">
        <v>3400</v>
      </c>
      <c r="O10">
        <v>4446</v>
      </c>
      <c r="P10">
        <v>5053</v>
      </c>
      <c r="Q10">
        <v>5099</v>
      </c>
      <c r="R10">
        <v>4775</v>
      </c>
      <c r="S10">
        <v>4863</v>
      </c>
      <c r="T10">
        <v>3832</v>
      </c>
      <c r="U10">
        <v>3417</v>
      </c>
      <c r="V10">
        <v>4828</v>
      </c>
      <c r="W10">
        <v>4580</v>
      </c>
      <c r="X10">
        <v>5300</v>
      </c>
      <c r="Y10">
        <v>5263</v>
      </c>
      <c r="Z10">
        <v>4577</v>
      </c>
      <c r="AA10">
        <v>3175</v>
      </c>
      <c r="AB10">
        <v>3542</v>
      </c>
      <c r="AC10">
        <v>4295</v>
      </c>
      <c r="AD10">
        <v>4056</v>
      </c>
      <c r="AE10">
        <v>5514</v>
      </c>
      <c r="AF10">
        <v>6751</v>
      </c>
      <c r="AG10">
        <v>5447</v>
      </c>
      <c r="AH10">
        <v>4119</v>
      </c>
      <c r="AI10">
        <v>3699</v>
      </c>
      <c r="AJ10">
        <v>5788</v>
      </c>
      <c r="AK10">
        <v>6845</v>
      </c>
      <c r="AL10">
        <v>6612</v>
      </c>
      <c r="AM10">
        <v>6604</v>
      </c>
      <c r="AN10">
        <v>6025</v>
      </c>
      <c r="AO10">
        <v>4360</v>
      </c>
      <c r="AP10">
        <v>4166</v>
      </c>
      <c r="AQ10">
        <v>5942</v>
      </c>
      <c r="AR10">
        <v>5595</v>
      </c>
      <c r="AS10">
        <v>5948</v>
      </c>
      <c r="AT10">
        <v>6000</v>
      </c>
      <c r="AU10">
        <v>6151</v>
      </c>
      <c r="AV10">
        <v>4430</v>
      </c>
      <c r="AW10">
        <v>3763</v>
      </c>
      <c r="AX10">
        <v>5250</v>
      </c>
      <c r="AY10">
        <v>5225</v>
      </c>
      <c r="AZ10">
        <v>5567</v>
      </c>
      <c r="BA10">
        <v>5931</v>
      </c>
      <c r="BB10">
        <v>6810</v>
      </c>
      <c r="BC10">
        <v>5887</v>
      </c>
      <c r="BD10">
        <v>4960</v>
      </c>
      <c r="BE10">
        <v>5746</v>
      </c>
      <c r="BF10">
        <v>7646</v>
      </c>
      <c r="BG10">
        <v>5658</v>
      </c>
      <c r="BH10">
        <v>5558</v>
      </c>
      <c r="BI10">
        <v>5860</v>
      </c>
      <c r="BJ10">
        <v>3269</v>
      </c>
      <c r="BK10">
        <v>2874</v>
      </c>
      <c r="BL10">
        <v>1757</v>
      </c>
      <c r="BM10">
        <v>3918</v>
      </c>
      <c r="BN10">
        <v>4472</v>
      </c>
      <c r="BO10">
        <v>6426</v>
      </c>
      <c r="BP10">
        <v>6719</v>
      </c>
      <c r="BQ10">
        <v>9187</v>
      </c>
      <c r="BR10">
        <v>7483</v>
      </c>
      <c r="BS10">
        <v>10794</v>
      </c>
      <c r="BT10">
        <v>10335</v>
      </c>
      <c r="BU10">
        <v>8107</v>
      </c>
      <c r="BV10">
        <v>12081</v>
      </c>
      <c r="BW10">
        <v>10008</v>
      </c>
      <c r="BX10">
        <v>6388</v>
      </c>
      <c r="BY10">
        <v>6472</v>
      </c>
      <c r="BZ10">
        <v>8819</v>
      </c>
      <c r="CA10">
        <v>11251</v>
      </c>
      <c r="CB10">
        <v>11030</v>
      </c>
      <c r="CC10">
        <v>12127</v>
      </c>
      <c r="CD10">
        <v>11625</v>
      </c>
      <c r="CE10">
        <v>7455</v>
      </c>
      <c r="CF10">
        <v>6399</v>
      </c>
      <c r="CG10">
        <v>11006</v>
      </c>
      <c r="CH10">
        <v>11974</v>
      </c>
      <c r="CI10">
        <v>11897</v>
      </c>
      <c r="CJ10">
        <v>12253</v>
      </c>
      <c r="CK10">
        <v>12057</v>
      </c>
      <c r="CL10">
        <v>8608</v>
      </c>
      <c r="CM10">
        <v>5930</v>
      </c>
      <c r="CN10">
        <v>11228</v>
      </c>
      <c r="CO10">
        <v>10297</v>
      </c>
      <c r="CP10">
        <v>11799</v>
      </c>
      <c r="CQ10">
        <v>12248</v>
      </c>
      <c r="CR10">
        <v>12129</v>
      </c>
      <c r="CS10">
        <v>6870</v>
      </c>
      <c r="CT10">
        <v>5370</v>
      </c>
      <c r="CU10">
        <v>12511</v>
      </c>
      <c r="CV10">
        <v>11653</v>
      </c>
      <c r="CW10">
        <v>12485</v>
      </c>
      <c r="CX10">
        <v>9679</v>
      </c>
      <c r="CY10">
        <v>4974</v>
      </c>
      <c r="CZ10">
        <v>6217</v>
      </c>
      <c r="DA10">
        <v>5996</v>
      </c>
      <c r="DB10">
        <v>12099</v>
      </c>
      <c r="DC10">
        <v>12406</v>
      </c>
      <c r="DD10">
        <v>12159</v>
      </c>
      <c r="DE10">
        <v>11091</v>
      </c>
      <c r="DF10">
        <v>6359</v>
      </c>
      <c r="DG10">
        <v>5211</v>
      </c>
      <c r="DH10">
        <v>6464</v>
      </c>
      <c r="DI10">
        <v>11271</v>
      </c>
      <c r="DJ10">
        <v>13345</v>
      </c>
      <c r="DK10">
        <v>13734</v>
      </c>
      <c r="DL10">
        <v>14362</v>
      </c>
      <c r="DM10">
        <v>16105</v>
      </c>
      <c r="DN10">
        <v>10003</v>
      </c>
      <c r="DO10">
        <v>7594</v>
      </c>
      <c r="DP10">
        <v>14395</v>
      </c>
      <c r="DQ10">
        <v>15873</v>
      </c>
      <c r="DR10">
        <v>16468</v>
      </c>
      <c r="DS10">
        <v>21366</v>
      </c>
      <c r="DT10">
        <v>20523</v>
      </c>
      <c r="DU10">
        <v>11170</v>
      </c>
      <c r="DV10">
        <v>8074</v>
      </c>
      <c r="DW10">
        <v>18894</v>
      </c>
      <c r="DX10">
        <v>20548</v>
      </c>
      <c r="DY10">
        <v>22339</v>
      </c>
      <c r="DZ10">
        <v>21007</v>
      </c>
      <c r="EA10">
        <v>20057</v>
      </c>
      <c r="EB10">
        <v>10872</v>
      </c>
      <c r="EC10">
        <v>8521</v>
      </c>
      <c r="ED10">
        <v>17165</v>
      </c>
      <c r="EE10">
        <v>17944</v>
      </c>
      <c r="EF10">
        <v>18670</v>
      </c>
      <c r="EG10">
        <v>16374</v>
      </c>
      <c r="EH10">
        <v>15337</v>
      </c>
      <c r="EI10">
        <v>7030</v>
      </c>
      <c r="EJ10">
        <v>5448</v>
      </c>
      <c r="EK10">
        <v>4384</v>
      </c>
      <c r="EL10">
        <v>12153</v>
      </c>
      <c r="EM10">
        <v>13575</v>
      </c>
      <c r="EN10">
        <v>13051</v>
      </c>
      <c r="EO10">
        <v>13209</v>
      </c>
      <c r="EP10">
        <v>6065</v>
      </c>
      <c r="EQ10">
        <v>3868</v>
      </c>
      <c r="ER10">
        <v>10738</v>
      </c>
      <c r="ES10">
        <v>11138</v>
      </c>
      <c r="ET10">
        <v>10677</v>
      </c>
      <c r="EU10">
        <v>10388</v>
      </c>
      <c r="EV10">
        <v>9741</v>
      </c>
      <c r="EW10">
        <v>4099</v>
      </c>
      <c r="EX10">
        <v>3098</v>
      </c>
      <c r="EY10">
        <v>8683</v>
      </c>
      <c r="EZ10">
        <v>8988</v>
      </c>
      <c r="FA10">
        <v>9099</v>
      </c>
      <c r="FB10">
        <v>7829</v>
      </c>
      <c r="FC10">
        <v>7785</v>
      </c>
      <c r="FD10">
        <v>3104</v>
      </c>
      <c r="FE10">
        <v>2252</v>
      </c>
      <c r="FF10">
        <v>8634</v>
      </c>
      <c r="FG10">
        <v>8642</v>
      </c>
      <c r="FH10">
        <v>8462</v>
      </c>
      <c r="FI10">
        <v>7512</v>
      </c>
      <c r="FJ10">
        <v>7246</v>
      </c>
      <c r="FK10">
        <v>2810</v>
      </c>
      <c r="FL10">
        <v>2343</v>
      </c>
      <c r="FM10">
        <v>7913</v>
      </c>
      <c r="FN10">
        <v>7793</v>
      </c>
      <c r="FO10">
        <v>7521</v>
      </c>
      <c r="FP10">
        <v>6797</v>
      </c>
      <c r="FQ10">
        <v>6561</v>
      </c>
      <c r="FR10">
        <v>2734</v>
      </c>
      <c r="FS10">
        <v>1877</v>
      </c>
      <c r="FT10">
        <v>7407</v>
      </c>
      <c r="FU10">
        <v>6674</v>
      </c>
      <c r="FV10">
        <v>6470</v>
      </c>
      <c r="FW10">
        <v>6743</v>
      </c>
      <c r="FX10">
        <v>6104</v>
      </c>
      <c r="FY10">
        <v>2415</v>
      </c>
      <c r="FZ10">
        <v>1439</v>
      </c>
      <c r="GA10">
        <v>1278</v>
      </c>
      <c r="GB10">
        <v>6455</v>
      </c>
      <c r="GC10">
        <v>6726</v>
      </c>
      <c r="GD10">
        <v>5722</v>
      </c>
      <c r="GE10">
        <v>5729</v>
      </c>
      <c r="GF10">
        <v>2133</v>
      </c>
      <c r="GG10">
        <v>1388</v>
      </c>
      <c r="GH10">
        <v>5881</v>
      </c>
      <c r="GI10">
        <v>5714</v>
      </c>
      <c r="GJ10">
        <v>5787</v>
      </c>
      <c r="GK10">
        <v>5303</v>
      </c>
      <c r="GL10">
        <v>4922</v>
      </c>
      <c r="GM10">
        <v>1783</v>
      </c>
      <c r="GN10">
        <v>1292</v>
      </c>
      <c r="GO10">
        <v>5068</v>
      </c>
      <c r="GP10">
        <v>5977</v>
      </c>
      <c r="GQ10">
        <v>5381</v>
      </c>
      <c r="GR10">
        <v>3089</v>
      </c>
      <c r="GS10">
        <v>1838</v>
      </c>
      <c r="GT10">
        <v>1263</v>
      </c>
      <c r="GU10">
        <v>1247</v>
      </c>
      <c r="GV10">
        <v>4675</v>
      </c>
      <c r="GW10">
        <v>5499</v>
      </c>
      <c r="GX10">
        <v>5140</v>
      </c>
      <c r="GY10">
        <v>5045</v>
      </c>
      <c r="GZ10">
        <v>6356</v>
      </c>
      <c r="HA10">
        <v>1793</v>
      </c>
      <c r="HB10">
        <v>1627</v>
      </c>
      <c r="HC10">
        <v>4293</v>
      </c>
      <c r="HD10">
        <v>5113</v>
      </c>
      <c r="HE10">
        <v>4189</v>
      </c>
      <c r="HF10">
        <v>4504</v>
      </c>
      <c r="HG10">
        <v>4157</v>
      </c>
      <c r="HH10">
        <v>1506</v>
      </c>
      <c r="HI10">
        <v>1308</v>
      </c>
      <c r="HJ10">
        <v>4262</v>
      </c>
      <c r="HK10">
        <v>4639</v>
      </c>
      <c r="HL10">
        <v>3708</v>
      </c>
      <c r="HM10">
        <v>3911</v>
      </c>
      <c r="HN10">
        <v>3308</v>
      </c>
      <c r="HO10">
        <v>1653</v>
      </c>
      <c r="HP10">
        <v>1143</v>
      </c>
      <c r="HQ10">
        <v>3592</v>
      </c>
      <c r="HR10">
        <v>3818</v>
      </c>
      <c r="HS10">
        <v>3990</v>
      </c>
      <c r="HT10">
        <v>3821</v>
      </c>
      <c r="HU10">
        <v>3025</v>
      </c>
      <c r="HV10">
        <v>1093</v>
      </c>
      <c r="HW10">
        <v>1027</v>
      </c>
      <c r="HX10">
        <v>3064</v>
      </c>
      <c r="HY10">
        <v>3021</v>
      </c>
      <c r="HZ10">
        <v>2846</v>
      </c>
      <c r="IA10">
        <v>3043</v>
      </c>
      <c r="IB10">
        <v>2743</v>
      </c>
      <c r="IC10">
        <v>1175</v>
      </c>
      <c r="ID10">
        <v>704</v>
      </c>
      <c r="IE10">
        <v>1897</v>
      </c>
      <c r="IF10">
        <v>3090</v>
      </c>
      <c r="IG10">
        <v>3632</v>
      </c>
      <c r="IH10">
        <v>2880</v>
      </c>
      <c r="II10">
        <v>2695</v>
      </c>
      <c r="IJ10">
        <v>1233</v>
      </c>
      <c r="IK10">
        <v>822</v>
      </c>
      <c r="IL10">
        <v>2767</v>
      </c>
      <c r="IM10">
        <v>2000</v>
      </c>
      <c r="IN10">
        <v>2628</v>
      </c>
      <c r="IO10">
        <v>2604</v>
      </c>
      <c r="IP10">
        <v>2586</v>
      </c>
      <c r="IQ10">
        <v>1274</v>
      </c>
      <c r="IR10">
        <v>703</v>
      </c>
      <c r="IS10">
        <v>2483</v>
      </c>
      <c r="IT10">
        <v>2932</v>
      </c>
      <c r="IU10">
        <v>3000</v>
      </c>
      <c r="IV10">
        <v>3056</v>
      </c>
      <c r="IW10">
        <v>2725</v>
      </c>
      <c r="IX10">
        <v>1307</v>
      </c>
      <c r="IY10">
        <v>932</v>
      </c>
      <c r="IZ10">
        <v>6917</v>
      </c>
      <c r="JA10">
        <v>3269</v>
      </c>
      <c r="JB10">
        <v>2894</v>
      </c>
      <c r="JC10">
        <v>2809</v>
      </c>
      <c r="JD10">
        <v>2649</v>
      </c>
      <c r="JE10">
        <v>1401</v>
      </c>
      <c r="JF10">
        <v>881</v>
      </c>
      <c r="JG10">
        <v>3449</v>
      </c>
      <c r="JH10">
        <v>3855</v>
      </c>
      <c r="JI10">
        <v>3672</v>
      </c>
      <c r="JJ10">
        <v>3282</v>
      </c>
      <c r="JK10">
        <v>3649</v>
      </c>
      <c r="JL10">
        <v>1707</v>
      </c>
      <c r="JM10">
        <v>1175</v>
      </c>
      <c r="JN10">
        <v>4250</v>
      </c>
      <c r="JO10">
        <v>3789</v>
      </c>
      <c r="JP10">
        <v>4253</v>
      </c>
      <c r="JQ10">
        <v>4098</v>
      </c>
      <c r="JR10">
        <v>3964</v>
      </c>
      <c r="JS10">
        <v>1578</v>
      </c>
      <c r="JT10">
        <v>1268</v>
      </c>
      <c r="JU10">
        <v>4233</v>
      </c>
      <c r="JV10">
        <v>4963</v>
      </c>
      <c r="JW10">
        <v>5340</v>
      </c>
      <c r="JX10">
        <v>5270</v>
      </c>
      <c r="JY10">
        <v>5051</v>
      </c>
      <c r="JZ10">
        <v>2384</v>
      </c>
      <c r="KA10">
        <v>1661</v>
      </c>
      <c r="KB10">
        <v>5711</v>
      </c>
      <c r="KC10">
        <v>6105</v>
      </c>
      <c r="KD10">
        <v>6081</v>
      </c>
      <c r="KE10">
        <v>5879</v>
      </c>
      <c r="KF10">
        <v>6228</v>
      </c>
      <c r="KG10">
        <v>2611</v>
      </c>
      <c r="KH10">
        <v>1805</v>
      </c>
      <c r="KI10">
        <v>7989</v>
      </c>
      <c r="KJ10">
        <v>8507</v>
      </c>
      <c r="KK10">
        <v>9452</v>
      </c>
      <c r="KL10">
        <v>9319</v>
      </c>
      <c r="KM10">
        <v>9581</v>
      </c>
      <c r="KN10">
        <v>3779</v>
      </c>
      <c r="KO10">
        <v>3074</v>
      </c>
      <c r="KP10">
        <v>11137</v>
      </c>
      <c r="KQ10">
        <v>12116</v>
      </c>
      <c r="KR10">
        <v>12821</v>
      </c>
      <c r="KS10">
        <v>12420</v>
      </c>
      <c r="KT10">
        <v>12631</v>
      </c>
      <c r="KU10">
        <v>4438</v>
      </c>
      <c r="KV10">
        <v>5307</v>
      </c>
      <c r="KW10">
        <v>13853</v>
      </c>
      <c r="KX10">
        <v>15198</v>
      </c>
      <c r="KY10">
        <v>16244</v>
      </c>
      <c r="KZ10">
        <v>16421</v>
      </c>
      <c r="LA10">
        <v>15823</v>
      </c>
      <c r="LB10">
        <v>6535</v>
      </c>
      <c r="LC10">
        <v>5920</v>
      </c>
      <c r="LD10">
        <v>17408</v>
      </c>
      <c r="LE10">
        <v>19028</v>
      </c>
      <c r="LF10">
        <v>19223</v>
      </c>
      <c r="LG10">
        <v>19346</v>
      </c>
      <c r="LH10">
        <v>18809</v>
      </c>
      <c r="LI10">
        <v>6740</v>
      </c>
      <c r="LJ10">
        <v>6506</v>
      </c>
      <c r="LK10">
        <v>18911</v>
      </c>
      <c r="LL10">
        <v>20685</v>
      </c>
      <c r="LM10">
        <v>21569</v>
      </c>
      <c r="LN10">
        <v>21563</v>
      </c>
      <c r="LO10">
        <v>20018</v>
      </c>
      <c r="LP10">
        <v>7573</v>
      </c>
      <c r="LQ10">
        <v>6513</v>
      </c>
      <c r="LR10">
        <v>19555</v>
      </c>
      <c r="LS10">
        <v>22711</v>
      </c>
      <c r="LT10">
        <v>24975</v>
      </c>
      <c r="LU10">
        <v>22758</v>
      </c>
      <c r="LV10">
        <v>23642</v>
      </c>
      <c r="LW10">
        <v>9295</v>
      </c>
      <c r="LX10">
        <v>7172</v>
      </c>
      <c r="LY10">
        <v>14814</v>
      </c>
      <c r="LZ10">
        <v>28953</v>
      </c>
      <c r="MA10">
        <v>23006</v>
      </c>
      <c r="MB10">
        <v>21897</v>
      </c>
      <c r="MC10">
        <v>20307</v>
      </c>
      <c r="MD10">
        <v>7658</v>
      </c>
      <c r="ME10">
        <v>6543</v>
      </c>
      <c r="MF10">
        <v>18262</v>
      </c>
      <c r="MG10">
        <v>21250</v>
      </c>
      <c r="MH10">
        <v>20633</v>
      </c>
      <c r="MI10">
        <v>19556</v>
      </c>
      <c r="MJ10">
        <v>17546</v>
      </c>
      <c r="MK10">
        <v>6837</v>
      </c>
      <c r="ML10">
        <v>5564</v>
      </c>
      <c r="MM10">
        <v>11146</v>
      </c>
      <c r="MN10">
        <v>17337</v>
      </c>
      <c r="MO10">
        <v>18138</v>
      </c>
      <c r="MP10">
        <v>17409</v>
      </c>
      <c r="MQ10">
        <v>15586</v>
      </c>
      <c r="MR10">
        <v>7504</v>
      </c>
      <c r="MS10">
        <v>5127</v>
      </c>
      <c r="MT10">
        <v>15784</v>
      </c>
      <c r="MU10">
        <v>15876</v>
      </c>
      <c r="MV10">
        <v>14828</v>
      </c>
      <c r="MW10">
        <v>14233</v>
      </c>
      <c r="MX10">
        <v>12511</v>
      </c>
      <c r="MY10">
        <v>5139</v>
      </c>
      <c r="MZ10">
        <v>4161</v>
      </c>
      <c r="NA10">
        <v>12929</v>
      </c>
      <c r="NB10">
        <v>13217</v>
      </c>
      <c r="NC10">
        <v>7040</v>
      </c>
      <c r="ND10">
        <v>3754</v>
      </c>
      <c r="NE10">
        <v>11711</v>
      </c>
      <c r="NF10">
        <v>4983</v>
      </c>
      <c r="NG10">
        <v>3367</v>
      </c>
      <c r="NH10">
        <v>12521</v>
      </c>
      <c r="NI10">
        <v>11603</v>
      </c>
      <c r="NJ10">
        <v>11808</v>
      </c>
      <c r="NK10">
        <v>10139</v>
      </c>
      <c r="NL10">
        <v>9697</v>
      </c>
      <c r="NM10">
        <v>3988</v>
      </c>
      <c r="NN10">
        <v>3007</v>
      </c>
      <c r="NO10">
        <v>9792</v>
      </c>
      <c r="NP10">
        <v>9796</v>
      </c>
      <c r="NQ10">
        <v>8828</v>
      </c>
      <c r="NR10">
        <v>7388</v>
      </c>
      <c r="NS10">
        <v>7369</v>
      </c>
      <c r="NT10">
        <v>2980</v>
      </c>
      <c r="NU10">
        <v>2282</v>
      </c>
      <c r="NV10">
        <v>7682</v>
      </c>
      <c r="NW10">
        <v>7697</v>
      </c>
      <c r="NX10">
        <v>7613</v>
      </c>
      <c r="NY10">
        <v>7158</v>
      </c>
      <c r="NZ10">
        <v>6153</v>
      </c>
      <c r="OA10">
        <v>2690</v>
      </c>
      <c r="OB10">
        <v>2007</v>
      </c>
      <c r="OC10">
        <v>7187</v>
      </c>
      <c r="OD10">
        <v>6320</v>
      </c>
      <c r="OE10">
        <v>5825</v>
      </c>
      <c r="OF10">
        <v>5286</v>
      </c>
      <c r="OG10">
        <v>5203</v>
      </c>
      <c r="OH10">
        <v>1993</v>
      </c>
      <c r="OI10">
        <v>1413</v>
      </c>
      <c r="OJ10">
        <v>4220</v>
      </c>
      <c r="OK10">
        <v>5069</v>
      </c>
      <c r="OL10">
        <v>4798</v>
      </c>
      <c r="OM10">
        <v>4653</v>
      </c>
      <c r="ON10">
        <v>4452</v>
      </c>
      <c r="OO10">
        <v>1666</v>
      </c>
      <c r="OP10">
        <v>1121</v>
      </c>
      <c r="OQ10">
        <v>4538</v>
      </c>
      <c r="OR10">
        <v>4797</v>
      </c>
      <c r="OS10" s="3">
        <v>4503</v>
      </c>
      <c r="OT10">
        <v>4001</v>
      </c>
      <c r="OU10">
        <v>3478</v>
      </c>
      <c r="OV10">
        <v>1446</v>
      </c>
      <c r="OW10">
        <v>994</v>
      </c>
      <c r="OX10">
        <v>3588</v>
      </c>
      <c r="OY10">
        <v>2660</v>
      </c>
      <c r="OZ10">
        <v>3763</v>
      </c>
      <c r="PA10">
        <v>3614</v>
      </c>
      <c r="PB10">
        <v>3574</v>
      </c>
      <c r="PC10">
        <v>1382</v>
      </c>
      <c r="PD10">
        <v>810</v>
      </c>
      <c r="PE10">
        <v>3663</v>
      </c>
      <c r="PF10">
        <v>3556</v>
      </c>
      <c r="PG10">
        <v>3493</v>
      </c>
      <c r="PH10">
        <v>3353</v>
      </c>
      <c r="PI10">
        <v>3130</v>
      </c>
      <c r="PJ10">
        <v>942</v>
      </c>
      <c r="PK10">
        <v>775</v>
      </c>
      <c r="PL10">
        <v>735</v>
      </c>
      <c r="PM10">
        <v>3836</v>
      </c>
      <c r="PN10">
        <v>3915</v>
      </c>
      <c r="PO10">
        <v>3837</v>
      </c>
      <c r="PP10">
        <v>3306</v>
      </c>
      <c r="PQ10">
        <v>1225</v>
      </c>
      <c r="PR10">
        <v>916</v>
      </c>
      <c r="PS10">
        <v>3698</v>
      </c>
      <c r="PT10">
        <v>4287</v>
      </c>
      <c r="PU10">
        <v>4128</v>
      </c>
      <c r="PV10">
        <v>3445</v>
      </c>
      <c r="PW10">
        <v>2956</v>
      </c>
      <c r="PX10">
        <v>1050</v>
      </c>
      <c r="PY10">
        <v>724</v>
      </c>
      <c r="PZ10">
        <v>3307</v>
      </c>
      <c r="QA10">
        <v>3345</v>
      </c>
      <c r="QB10">
        <v>3146</v>
      </c>
      <c r="QC10">
        <v>3088</v>
      </c>
      <c r="QD10">
        <v>2841</v>
      </c>
      <c r="QE10">
        <v>970</v>
      </c>
      <c r="QF10">
        <v>752</v>
      </c>
      <c r="QG10">
        <v>3304</v>
      </c>
      <c r="QH10">
        <v>3215</v>
      </c>
      <c r="QI10">
        <v>3180</v>
      </c>
      <c r="QJ10">
        <v>2992</v>
      </c>
      <c r="QK10">
        <v>2655</v>
      </c>
      <c r="QL10">
        <v>855</v>
      </c>
      <c r="QM10">
        <v>771</v>
      </c>
      <c r="QN10">
        <v>2695</v>
      </c>
      <c r="QO10">
        <v>2956</v>
      </c>
      <c r="QP10">
        <v>2627</v>
      </c>
      <c r="QQ10">
        <v>2750</v>
      </c>
      <c r="QR10">
        <v>2530</v>
      </c>
      <c r="QS10">
        <v>841</v>
      </c>
      <c r="QT10">
        <v>716</v>
      </c>
      <c r="QU10">
        <v>2980</v>
      </c>
      <c r="QV10">
        <v>3319</v>
      </c>
      <c r="QW10">
        <v>3363</v>
      </c>
      <c r="QX10">
        <v>3520</v>
      </c>
      <c r="QY10">
        <v>2916</v>
      </c>
      <c r="QZ10">
        <v>803</v>
      </c>
      <c r="RA10">
        <v>943</v>
      </c>
      <c r="RB10">
        <v>4426</v>
      </c>
      <c r="RC10">
        <v>5290</v>
      </c>
      <c r="RD10">
        <v>8024</v>
      </c>
      <c r="RE10">
        <v>10037</v>
      </c>
      <c r="RF10">
        <v>9193</v>
      </c>
      <c r="RG10">
        <v>1671</v>
      </c>
      <c r="RH10">
        <v>2877</v>
      </c>
      <c r="RI10">
        <v>15184</v>
      </c>
      <c r="RJ10">
        <v>20626</v>
      </c>
      <c r="RK10">
        <v>25821</v>
      </c>
      <c r="RL10">
        <v>28023</v>
      </c>
      <c r="RM10">
        <v>30671</v>
      </c>
      <c r="RN10">
        <v>11599</v>
      </c>
      <c r="RO10">
        <v>11052</v>
      </c>
      <c r="RP10">
        <v>33626</v>
      </c>
      <c r="RQ10">
        <v>44187</v>
      </c>
      <c r="RR10">
        <v>43523</v>
      </c>
      <c r="RS10">
        <v>44293</v>
      </c>
      <c r="RT10">
        <v>47113</v>
      </c>
      <c r="RU10">
        <v>19132</v>
      </c>
      <c r="RV10">
        <v>17101</v>
      </c>
      <c r="RW10">
        <v>49343</v>
      </c>
      <c r="RX10">
        <v>60552</v>
      </c>
      <c r="RY10">
        <v>50373</v>
      </c>
      <c r="RZ10">
        <v>49906</v>
      </c>
      <c r="SA10">
        <v>51368</v>
      </c>
      <c r="SB10">
        <v>20872</v>
      </c>
      <c r="SC10">
        <v>17938</v>
      </c>
      <c r="SD10">
        <v>44902</v>
      </c>
      <c r="SE10">
        <v>48627</v>
      </c>
      <c r="SF10">
        <v>49150</v>
      </c>
      <c r="SG10">
        <v>45115</v>
      </c>
      <c r="SH10">
        <v>42582</v>
      </c>
      <c r="SI10">
        <v>13926</v>
      </c>
      <c r="SJ10">
        <v>12521</v>
      </c>
      <c r="SK10">
        <v>43099</v>
      </c>
      <c r="SL10">
        <v>42181</v>
      </c>
      <c r="SM10">
        <v>41115</v>
      </c>
      <c r="SN10">
        <v>37063</v>
      </c>
      <c r="SO10">
        <v>35243</v>
      </c>
      <c r="SP10">
        <v>10234</v>
      </c>
      <c r="SQ10">
        <v>9242</v>
      </c>
      <c r="SR10">
        <v>6343</v>
      </c>
      <c r="SS10">
        <v>24898</v>
      </c>
      <c r="ST10">
        <v>34261</v>
      </c>
      <c r="SU10">
        <v>31336</v>
      </c>
      <c r="SV10">
        <v>26247</v>
      </c>
      <c r="SW10">
        <v>8854</v>
      </c>
      <c r="SX10">
        <v>7831</v>
      </c>
      <c r="SY10">
        <v>21207</v>
      </c>
      <c r="SZ10">
        <v>23096</v>
      </c>
      <c r="TA10">
        <v>21565</v>
      </c>
      <c r="TB10">
        <v>21449</v>
      </c>
      <c r="TC10">
        <v>19857</v>
      </c>
      <c r="TD10">
        <v>5714</v>
      </c>
      <c r="TE10">
        <v>4832</v>
      </c>
      <c r="TF10">
        <v>18309</v>
      </c>
      <c r="TG10">
        <v>18671</v>
      </c>
      <c r="TH10">
        <v>18252</v>
      </c>
      <c r="TI10">
        <v>15638</v>
      </c>
      <c r="TJ10">
        <v>13459</v>
      </c>
      <c r="TK10">
        <v>3519</v>
      </c>
      <c r="TL10">
        <v>2524</v>
      </c>
      <c r="TM10">
        <v>13115</v>
      </c>
      <c r="TN10">
        <v>12342</v>
      </c>
      <c r="TO10">
        <v>10558</v>
      </c>
      <c r="TP10">
        <v>9748</v>
      </c>
      <c r="TQ10">
        <v>8688</v>
      </c>
      <c r="TR10">
        <v>1905</v>
      </c>
      <c r="TS10">
        <v>1684</v>
      </c>
      <c r="TT10">
        <v>8939</v>
      </c>
      <c r="TU10">
        <v>8165</v>
      </c>
      <c r="TV10">
        <v>8098</v>
      </c>
      <c r="TW10">
        <v>7413</v>
      </c>
      <c r="TX10">
        <v>6352</v>
      </c>
      <c r="TY10">
        <v>1191</v>
      </c>
      <c r="TZ10">
        <v>1018</v>
      </c>
      <c r="UA10">
        <v>6025</v>
      </c>
      <c r="UB10">
        <v>5910</v>
      </c>
      <c r="UC10">
        <v>4860</v>
      </c>
      <c r="UD10">
        <v>4860</v>
      </c>
      <c r="UE10">
        <v>4114</v>
      </c>
      <c r="UF10">
        <v>901</v>
      </c>
      <c r="UG10">
        <v>671</v>
      </c>
      <c r="UH10">
        <v>554</v>
      </c>
      <c r="UI10">
        <v>4251</v>
      </c>
      <c r="UJ10">
        <v>3658</v>
      </c>
      <c r="UK10">
        <v>3078</v>
      </c>
      <c r="UL10">
        <v>2936</v>
      </c>
      <c r="UM10">
        <v>919</v>
      </c>
      <c r="UN10">
        <v>657</v>
      </c>
      <c r="UO10">
        <v>2758</v>
      </c>
      <c r="UP10">
        <v>2766</v>
      </c>
      <c r="UQ10">
        <v>2538</v>
      </c>
      <c r="UR10">
        <v>3303</v>
      </c>
      <c r="US10">
        <v>3303</v>
      </c>
      <c r="UT10">
        <v>839</v>
      </c>
      <c r="UU10">
        <v>706</v>
      </c>
      <c r="UV10">
        <v>4223</v>
      </c>
      <c r="UW10">
        <v>12144</v>
      </c>
      <c r="UX10">
        <v>32216</v>
      </c>
      <c r="UY10">
        <v>4325</v>
      </c>
      <c r="UZ10">
        <v>2712</v>
      </c>
      <c r="VA10">
        <v>392</v>
      </c>
      <c r="VB10">
        <v>281</v>
      </c>
      <c r="VC10">
        <v>749</v>
      </c>
      <c r="VD10">
        <v>749</v>
      </c>
      <c r="VE10">
        <v>401</v>
      </c>
      <c r="VF10">
        <v>1192</v>
      </c>
      <c r="VG10">
        <v>1192</v>
      </c>
      <c r="VH10">
        <v>1000</v>
      </c>
      <c r="VI10">
        <v>164</v>
      </c>
      <c r="VJ10">
        <v>1438</v>
      </c>
      <c r="VK10">
        <v>1290</v>
      </c>
      <c r="VL10">
        <v>1077</v>
      </c>
      <c r="VM10">
        <v>802</v>
      </c>
      <c r="VN10">
        <v>802</v>
      </c>
      <c r="VO10">
        <v>271</v>
      </c>
      <c r="VP10">
        <v>140</v>
      </c>
      <c r="VQ10">
        <v>1190</v>
      </c>
      <c r="VR10">
        <v>1464</v>
      </c>
      <c r="VS10">
        <v>958</v>
      </c>
      <c r="VT10">
        <v>400</v>
      </c>
      <c r="VU10">
        <v>0</v>
      </c>
      <c r="VV10">
        <v>0</v>
      </c>
      <c r="VW10">
        <v>0</v>
      </c>
      <c r="VX10">
        <v>0</v>
      </c>
      <c r="VY10">
        <v>0</v>
      </c>
      <c r="VZ10">
        <v>0</v>
      </c>
      <c r="WA10">
        <v>0</v>
      </c>
      <c r="WB10">
        <v>0</v>
      </c>
      <c r="WC10">
        <v>732</v>
      </c>
      <c r="WD10">
        <v>424</v>
      </c>
      <c r="WE10">
        <v>0</v>
      </c>
      <c r="WF10">
        <v>0</v>
      </c>
      <c r="WG10">
        <v>0</v>
      </c>
      <c r="WH10">
        <v>0</v>
      </c>
      <c r="WI10">
        <v>0</v>
      </c>
      <c r="WJ10">
        <v>1097</v>
      </c>
      <c r="WK10">
        <v>862</v>
      </c>
      <c r="WL10">
        <v>0</v>
      </c>
      <c r="WM10">
        <v>0</v>
      </c>
      <c r="WN10">
        <v>1018</v>
      </c>
      <c r="WO10">
        <v>1018</v>
      </c>
      <c r="WP10">
        <v>1018</v>
      </c>
      <c r="WQ10">
        <v>0</v>
      </c>
      <c r="WR10">
        <v>0</v>
      </c>
      <c r="WS10">
        <v>0</v>
      </c>
      <c r="WT10">
        <v>0</v>
      </c>
      <c r="WU10">
        <v>0</v>
      </c>
      <c r="WV10">
        <v>0</v>
      </c>
      <c r="WW10">
        <v>0</v>
      </c>
      <c r="WX10">
        <v>0</v>
      </c>
      <c r="WY10">
        <v>0</v>
      </c>
      <c r="WZ10">
        <v>3628</v>
      </c>
      <c r="XA10">
        <v>3540</v>
      </c>
      <c r="XB10">
        <v>3540</v>
      </c>
      <c r="XC10">
        <v>3456</v>
      </c>
      <c r="XD10">
        <v>3456</v>
      </c>
      <c r="XE10">
        <v>1881</v>
      </c>
      <c r="XF10">
        <v>6170</v>
      </c>
      <c r="XG10">
        <v>6170</v>
      </c>
      <c r="XH10">
        <v>6170</v>
      </c>
      <c r="XI10">
        <v>6170</v>
      </c>
      <c r="XJ10">
        <v>6170</v>
      </c>
      <c r="XK10">
        <v>6396</v>
      </c>
      <c r="XL10">
        <v>2582</v>
      </c>
      <c r="XM10">
        <v>9958</v>
      </c>
      <c r="XN10">
        <v>9958</v>
      </c>
      <c r="XO10">
        <v>9958</v>
      </c>
      <c r="XP10">
        <v>9958</v>
      </c>
      <c r="XQ10">
        <v>9958</v>
      </c>
      <c r="XR10">
        <v>17432</v>
      </c>
      <c r="XS10">
        <v>17432</v>
      </c>
      <c r="XT10">
        <v>17432</v>
      </c>
      <c r="XU10">
        <v>17432</v>
      </c>
      <c r="XV10">
        <v>17432</v>
      </c>
      <c r="XW10">
        <v>17432</v>
      </c>
      <c r="XX10">
        <v>17432</v>
      </c>
      <c r="XY10">
        <v>16214</v>
      </c>
      <c r="XZ10">
        <v>5883</v>
      </c>
      <c r="YA10">
        <v>3343</v>
      </c>
      <c r="YB10">
        <v>20959</v>
      </c>
      <c r="YC10">
        <v>24087</v>
      </c>
      <c r="YD10">
        <v>24610</v>
      </c>
      <c r="YE10">
        <v>6301</v>
      </c>
      <c r="YF10" s="1">
        <v>4235</v>
      </c>
      <c r="YG10" s="1">
        <v>4235</v>
      </c>
      <c r="YH10" s="1">
        <v>4235</v>
      </c>
      <c r="YI10" s="1">
        <v>27973</v>
      </c>
      <c r="YJ10">
        <v>31116</v>
      </c>
      <c r="YK10">
        <v>32569</v>
      </c>
      <c r="YL10">
        <v>32195</v>
      </c>
      <c r="YM10">
        <v>9342</v>
      </c>
      <c r="YN10">
        <v>5986</v>
      </c>
      <c r="YO10">
        <v>5986</v>
      </c>
      <c r="YP10">
        <v>36334</v>
      </c>
      <c r="YQ10">
        <v>34885</v>
      </c>
      <c r="YR10">
        <v>34567</v>
      </c>
      <c r="YS10">
        <v>34567</v>
      </c>
      <c r="YT10">
        <v>31173</v>
      </c>
      <c r="YU10">
        <v>8861</v>
      </c>
      <c r="YV10">
        <v>5786</v>
      </c>
      <c r="YW10">
        <v>32175</v>
      </c>
      <c r="YX10">
        <v>32175</v>
      </c>
      <c r="YY10">
        <v>32175</v>
      </c>
      <c r="YZ10">
        <v>32175</v>
      </c>
      <c r="ZA10">
        <v>28539</v>
      </c>
      <c r="ZB10">
        <v>6917</v>
      </c>
      <c r="ZC10">
        <v>4231</v>
      </c>
      <c r="ZD10">
        <v>30497</v>
      </c>
      <c r="ZE10">
        <v>27916</v>
      </c>
      <c r="ZF10">
        <v>23248</v>
      </c>
      <c r="ZG10">
        <v>19352</v>
      </c>
      <c r="ZH10">
        <v>4209</v>
      </c>
      <c r="ZI10">
        <v>2961</v>
      </c>
      <c r="ZJ10">
        <v>21363</v>
      </c>
      <c r="ZK10">
        <v>20210</v>
      </c>
      <c r="ZL10">
        <v>18556</v>
      </c>
      <c r="ZM10">
        <v>17986</v>
      </c>
      <c r="ZN10">
        <v>14448</v>
      </c>
      <c r="ZO10">
        <v>3290</v>
      </c>
      <c r="ZP10">
        <v>2500</v>
      </c>
      <c r="ZQ10">
        <v>15738</v>
      </c>
      <c r="ZR10">
        <v>14841</v>
      </c>
      <c r="ZS10">
        <v>13313</v>
      </c>
      <c r="ZT10">
        <v>11892</v>
      </c>
      <c r="ZU10">
        <v>9914</v>
      </c>
      <c r="ZV10">
        <v>1968</v>
      </c>
      <c r="ZW10">
        <v>1367</v>
      </c>
      <c r="ZX10">
        <v>10752</v>
      </c>
      <c r="ZY10">
        <v>9898</v>
      </c>
      <c r="ZZ10">
        <v>9319</v>
      </c>
      <c r="AAA10">
        <v>7132</v>
      </c>
      <c r="AAB10">
        <v>7132</v>
      </c>
      <c r="AAC10">
        <v>1597</v>
      </c>
      <c r="AAD10">
        <v>1187</v>
      </c>
      <c r="AAE10">
        <v>8548</v>
      </c>
      <c r="AAF10">
        <v>7981</v>
      </c>
      <c r="AAG10">
        <v>7281</v>
      </c>
      <c r="AAH10">
        <v>6151</v>
      </c>
      <c r="AAI10">
        <v>5557</v>
      </c>
      <c r="AAJ10">
        <v>1212</v>
      </c>
      <c r="AAK10">
        <v>865</v>
      </c>
      <c r="AAL10">
        <v>6223</v>
      </c>
      <c r="AAM10">
        <v>5654</v>
      </c>
      <c r="AAN10">
        <v>4347</v>
      </c>
      <c r="AAO10">
        <v>3820</v>
      </c>
      <c r="AAP10">
        <v>3820</v>
      </c>
      <c r="AAQ10">
        <v>990</v>
      </c>
      <c r="AAR10">
        <v>624</v>
      </c>
      <c r="AAS10">
        <v>4415</v>
      </c>
      <c r="AAT10">
        <v>3735</v>
      </c>
      <c r="AAU10">
        <v>2973</v>
      </c>
      <c r="AAV10">
        <v>2369</v>
      </c>
      <c r="AAW10">
        <v>2369</v>
      </c>
      <c r="AAX10">
        <v>815</v>
      </c>
      <c r="AAY10">
        <v>588</v>
      </c>
      <c r="AAZ10">
        <v>2886</v>
      </c>
      <c r="ABA10">
        <v>2942</v>
      </c>
      <c r="ABB10">
        <v>1195</v>
      </c>
      <c r="ABC10">
        <v>809</v>
      </c>
      <c r="ABD10">
        <v>809</v>
      </c>
      <c r="ABE10">
        <v>550</v>
      </c>
      <c r="ABF10">
        <v>2301</v>
      </c>
      <c r="ABG10">
        <v>0</v>
      </c>
      <c r="ABH10">
        <v>0</v>
      </c>
      <c r="ABI10">
        <v>0</v>
      </c>
      <c r="ABJ10">
        <v>0</v>
      </c>
      <c r="ABK10">
        <v>0</v>
      </c>
      <c r="ABL10">
        <v>0</v>
      </c>
      <c r="ABM10">
        <v>511</v>
      </c>
      <c r="ABN10">
        <v>0</v>
      </c>
      <c r="ABO10">
        <v>0</v>
      </c>
      <c r="ABP10">
        <v>3324</v>
      </c>
      <c r="ABQ10">
        <v>1121</v>
      </c>
      <c r="ABR10">
        <v>1121</v>
      </c>
      <c r="ABS10">
        <v>0</v>
      </c>
      <c r="ABT10">
        <v>635</v>
      </c>
      <c r="ABU10">
        <v>0</v>
      </c>
      <c r="ABV10">
        <v>0</v>
      </c>
      <c r="ABW10">
        <v>0</v>
      </c>
      <c r="ABX10">
        <v>0</v>
      </c>
      <c r="ABY10">
        <v>0</v>
      </c>
      <c r="ABZ10">
        <v>0</v>
      </c>
      <c r="ACA10">
        <v>172</v>
      </c>
      <c r="ACB10">
        <v>968</v>
      </c>
      <c r="ACC10">
        <v>968</v>
      </c>
      <c r="ACD10">
        <v>968</v>
      </c>
      <c r="ACE10">
        <v>968</v>
      </c>
      <c r="ACF10">
        <v>968</v>
      </c>
      <c r="ACG10">
        <v>0</v>
      </c>
      <c r="ACH10">
        <v>392</v>
      </c>
      <c r="ACI10">
        <v>0</v>
      </c>
      <c r="ACJ10">
        <v>2226</v>
      </c>
      <c r="ACK10">
        <v>847</v>
      </c>
      <c r="ACL10">
        <v>847</v>
      </c>
      <c r="ACM10">
        <v>847</v>
      </c>
      <c r="ACN10">
        <v>144</v>
      </c>
      <c r="ACO10">
        <v>144</v>
      </c>
      <c r="ACP10">
        <v>760</v>
      </c>
      <c r="ACQ10">
        <v>760</v>
      </c>
      <c r="ACR10">
        <v>2307</v>
      </c>
      <c r="ACS10">
        <v>2307</v>
      </c>
      <c r="ACT10">
        <v>2307</v>
      </c>
      <c r="ACU10">
        <v>126</v>
      </c>
      <c r="ACV10">
        <v>0</v>
      </c>
      <c r="ACW10">
        <v>0</v>
      </c>
      <c r="ACX10">
        <v>0</v>
      </c>
      <c r="ACY10">
        <v>0</v>
      </c>
      <c r="ACZ10">
        <v>0</v>
      </c>
      <c r="ADA10">
        <v>0</v>
      </c>
      <c r="ADB10">
        <v>297</v>
      </c>
      <c r="ADC10">
        <v>0</v>
      </c>
      <c r="ADD10">
        <v>1931</v>
      </c>
      <c r="ADE10">
        <v>1931</v>
      </c>
      <c r="ADF10">
        <v>0</v>
      </c>
      <c r="ADG10">
        <v>0</v>
      </c>
      <c r="ADH10">
        <v>0</v>
      </c>
      <c r="ADI10">
        <v>0</v>
      </c>
      <c r="ADJ10">
        <v>0</v>
      </c>
      <c r="ADK10">
        <v>0</v>
      </c>
      <c r="ADL10">
        <v>6165</v>
      </c>
      <c r="ADM10">
        <v>6165</v>
      </c>
      <c r="ADN10">
        <v>6165</v>
      </c>
      <c r="ADO10">
        <v>6165</v>
      </c>
      <c r="ADP10">
        <v>6165</v>
      </c>
      <c r="ADQ10">
        <v>6165</v>
      </c>
      <c r="ADR10">
        <v>0</v>
      </c>
      <c r="ADS10">
        <v>0</v>
      </c>
      <c r="ADT10">
        <v>0</v>
      </c>
      <c r="ADU10">
        <v>0</v>
      </c>
      <c r="ADV10">
        <v>0</v>
      </c>
      <c r="ADW10">
        <v>0</v>
      </c>
      <c r="ADX10">
        <v>0</v>
      </c>
      <c r="ADY10">
        <v>0</v>
      </c>
      <c r="ADZ10">
        <v>0</v>
      </c>
      <c r="AEA10">
        <v>0</v>
      </c>
      <c r="AEB10">
        <v>0</v>
      </c>
      <c r="AEC10">
        <v>0</v>
      </c>
      <c r="AED10">
        <v>0</v>
      </c>
      <c r="AEE10">
        <v>0</v>
      </c>
      <c r="AEF10">
        <v>0</v>
      </c>
      <c r="AEG10">
        <v>0</v>
      </c>
      <c r="AEH10">
        <v>0</v>
      </c>
      <c r="AEI10">
        <v>0</v>
      </c>
      <c r="AEJ10">
        <v>0</v>
      </c>
      <c r="AEK10">
        <v>0</v>
      </c>
      <c r="AEL10">
        <v>0</v>
      </c>
      <c r="AEM10">
        <v>0</v>
      </c>
      <c r="AEN10">
        <v>0</v>
      </c>
      <c r="AEO10">
        <v>0</v>
      </c>
      <c r="AEP10">
        <v>0</v>
      </c>
      <c r="AEQ10">
        <v>0</v>
      </c>
      <c r="AER10">
        <v>0</v>
      </c>
      <c r="AES10">
        <v>0</v>
      </c>
      <c r="AET10">
        <v>0</v>
      </c>
      <c r="AEU10">
        <v>0</v>
      </c>
      <c r="AEV10">
        <v>0</v>
      </c>
      <c r="AEW10">
        <v>0</v>
      </c>
      <c r="AEX10">
        <v>0</v>
      </c>
      <c r="AEY10">
        <v>0</v>
      </c>
      <c r="AEZ10">
        <v>0</v>
      </c>
      <c r="AFA10">
        <v>0</v>
      </c>
      <c r="AFB10">
        <v>0</v>
      </c>
      <c r="AFC10">
        <v>0</v>
      </c>
      <c r="AFD10">
        <v>0</v>
      </c>
      <c r="AFE10">
        <v>1061</v>
      </c>
      <c r="AFF10">
        <v>1061</v>
      </c>
      <c r="AFG10">
        <v>1061</v>
      </c>
      <c r="AFH10">
        <v>1061</v>
      </c>
      <c r="AFI10">
        <v>1061</v>
      </c>
      <c r="AFJ10">
        <v>1061</v>
      </c>
      <c r="AFK10">
        <v>1061</v>
      </c>
      <c r="AFL10">
        <v>1061</v>
      </c>
      <c r="AFM10">
        <v>1061</v>
      </c>
      <c r="AFN10">
        <v>0</v>
      </c>
      <c r="AFO10">
        <v>0</v>
      </c>
      <c r="AFP10">
        <v>0</v>
      </c>
      <c r="AFQ10">
        <v>0</v>
      </c>
      <c r="AFR10">
        <v>0</v>
      </c>
      <c r="AFS10">
        <v>0</v>
      </c>
      <c r="AFT10">
        <v>4380</v>
      </c>
      <c r="AFU10">
        <v>4380</v>
      </c>
      <c r="AFV10">
        <v>4380</v>
      </c>
      <c r="AFW10">
        <v>4380</v>
      </c>
      <c r="AFX10">
        <v>4380</v>
      </c>
      <c r="AFY10">
        <v>4380</v>
      </c>
      <c r="AFZ10">
        <v>4380</v>
      </c>
      <c r="AGA10">
        <v>0</v>
      </c>
      <c r="AGB10">
        <v>0</v>
      </c>
      <c r="AGC10">
        <v>0</v>
      </c>
      <c r="AGD10">
        <v>0</v>
      </c>
      <c r="AGE10">
        <v>0</v>
      </c>
      <c r="AGF10">
        <v>0</v>
      </c>
      <c r="AGG10">
        <v>0</v>
      </c>
      <c r="AGH10">
        <v>0</v>
      </c>
      <c r="AGI10">
        <v>0</v>
      </c>
      <c r="AGJ10">
        <v>0</v>
      </c>
      <c r="AGK10">
        <v>0</v>
      </c>
      <c r="AGL10">
        <v>0</v>
      </c>
      <c r="AGM10">
        <v>0</v>
      </c>
      <c r="AGN10">
        <v>0</v>
      </c>
      <c r="AGO10">
        <v>0</v>
      </c>
      <c r="AGP10">
        <v>0</v>
      </c>
      <c r="AGQ10">
        <v>0</v>
      </c>
      <c r="AGR10">
        <v>0</v>
      </c>
      <c r="AGS10">
        <v>0</v>
      </c>
      <c r="AGT10">
        <v>0</v>
      </c>
      <c r="AGU10">
        <v>0</v>
      </c>
      <c r="AGV10">
        <v>0</v>
      </c>
      <c r="AGW10">
        <v>0</v>
      </c>
      <c r="AGX10">
        <v>0</v>
      </c>
      <c r="AGY10">
        <v>0</v>
      </c>
      <c r="AGZ10">
        <v>0</v>
      </c>
      <c r="AHA10">
        <v>0</v>
      </c>
      <c r="AHB10">
        <v>0</v>
      </c>
      <c r="AHC10">
        <v>7841</v>
      </c>
      <c r="AHD10">
        <v>7841</v>
      </c>
      <c r="AHE10">
        <v>7841</v>
      </c>
      <c r="AHF10">
        <v>7841</v>
      </c>
      <c r="AHG10">
        <v>7841</v>
      </c>
      <c r="AHH10">
        <v>7841</v>
      </c>
      <c r="AHI10">
        <v>7841</v>
      </c>
      <c r="AHJ10">
        <v>7841</v>
      </c>
      <c r="AHK10">
        <v>525</v>
      </c>
      <c r="AHL10">
        <v>525</v>
      </c>
      <c r="AHM10">
        <v>525</v>
      </c>
      <c r="AHN10">
        <v>525</v>
      </c>
      <c r="AHO10">
        <v>525</v>
      </c>
      <c r="AHP10">
        <v>525</v>
      </c>
      <c r="AHQ10">
        <v>525</v>
      </c>
    </row>
    <row r="11" spans="1:901">
      <c r="A11" s="1" t="s">
        <v>71</v>
      </c>
      <c r="B11">
        <v>634</v>
      </c>
      <c r="C11">
        <v>672</v>
      </c>
      <c r="D11">
        <v>741</v>
      </c>
      <c r="E11">
        <v>722</v>
      </c>
      <c r="F11">
        <v>602</v>
      </c>
      <c r="G11">
        <v>607</v>
      </c>
      <c r="H11">
        <v>474</v>
      </c>
      <c r="I11">
        <v>706</v>
      </c>
      <c r="J11">
        <v>736</v>
      </c>
      <c r="K11">
        <v>705</v>
      </c>
      <c r="L11">
        <v>447</v>
      </c>
      <c r="M11">
        <v>722</v>
      </c>
      <c r="N11">
        <v>576</v>
      </c>
      <c r="O11">
        <v>742</v>
      </c>
      <c r="P11">
        <v>747</v>
      </c>
      <c r="Q11">
        <v>620</v>
      </c>
      <c r="R11">
        <v>691</v>
      </c>
      <c r="S11">
        <v>633</v>
      </c>
      <c r="T11">
        <v>633</v>
      </c>
      <c r="U11">
        <v>683</v>
      </c>
      <c r="V11">
        <v>698</v>
      </c>
      <c r="W11">
        <v>754</v>
      </c>
      <c r="X11">
        <v>787</v>
      </c>
      <c r="Y11">
        <v>825</v>
      </c>
      <c r="Z11">
        <v>647</v>
      </c>
      <c r="AA11">
        <v>489</v>
      </c>
      <c r="AB11">
        <v>494</v>
      </c>
      <c r="AC11">
        <v>832</v>
      </c>
      <c r="AD11">
        <v>755</v>
      </c>
      <c r="AE11">
        <v>615</v>
      </c>
      <c r="AF11">
        <v>609</v>
      </c>
      <c r="AG11">
        <v>638</v>
      </c>
      <c r="AH11">
        <v>436</v>
      </c>
      <c r="AI11">
        <v>558</v>
      </c>
      <c r="AJ11">
        <v>696</v>
      </c>
      <c r="AK11">
        <v>792</v>
      </c>
      <c r="AL11">
        <v>639</v>
      </c>
      <c r="AM11">
        <v>649</v>
      </c>
      <c r="AN11">
        <v>685</v>
      </c>
      <c r="AO11">
        <v>551</v>
      </c>
      <c r="AP11">
        <v>671</v>
      </c>
      <c r="AQ11">
        <v>825</v>
      </c>
      <c r="AR11">
        <v>798</v>
      </c>
      <c r="AS11">
        <v>822</v>
      </c>
      <c r="AT11">
        <v>731</v>
      </c>
      <c r="AU11">
        <v>738</v>
      </c>
      <c r="AV11">
        <v>579</v>
      </c>
      <c r="AW11">
        <v>677</v>
      </c>
      <c r="AX11">
        <v>432</v>
      </c>
      <c r="AY11">
        <v>543</v>
      </c>
      <c r="AZ11">
        <v>1193</v>
      </c>
      <c r="BA11">
        <v>746</v>
      </c>
      <c r="BB11">
        <v>1021</v>
      </c>
      <c r="BC11">
        <v>804</v>
      </c>
      <c r="BD11">
        <v>971</v>
      </c>
      <c r="BE11">
        <v>1163</v>
      </c>
      <c r="BF11">
        <v>887</v>
      </c>
      <c r="BG11">
        <v>1125</v>
      </c>
      <c r="BH11">
        <v>832</v>
      </c>
      <c r="BI11">
        <v>1344</v>
      </c>
      <c r="BJ11">
        <v>1014</v>
      </c>
      <c r="BK11">
        <v>1054</v>
      </c>
      <c r="BL11">
        <v>1112</v>
      </c>
      <c r="BM11">
        <v>1256</v>
      </c>
      <c r="BN11">
        <v>1200</v>
      </c>
      <c r="BO11">
        <v>1288</v>
      </c>
      <c r="BP11">
        <v>1206</v>
      </c>
      <c r="BQ11">
        <v>875</v>
      </c>
      <c r="BR11">
        <v>1272</v>
      </c>
      <c r="BS11">
        <v>1602</v>
      </c>
      <c r="BT11">
        <v>1755</v>
      </c>
      <c r="BU11">
        <v>1457</v>
      </c>
      <c r="BV11">
        <v>1709</v>
      </c>
      <c r="BW11">
        <v>1276</v>
      </c>
      <c r="BX11">
        <v>1077</v>
      </c>
      <c r="BY11">
        <v>1505</v>
      </c>
      <c r="BZ11">
        <v>2028</v>
      </c>
      <c r="CA11">
        <v>1880</v>
      </c>
      <c r="CB11">
        <v>2388</v>
      </c>
      <c r="CC11">
        <v>2300</v>
      </c>
      <c r="CD11">
        <v>1812</v>
      </c>
      <c r="CE11">
        <v>1511</v>
      </c>
      <c r="CF11">
        <v>1936</v>
      </c>
      <c r="CG11">
        <v>1811</v>
      </c>
      <c r="CH11">
        <v>2447</v>
      </c>
      <c r="CI11">
        <v>2355</v>
      </c>
      <c r="CJ11">
        <v>2806</v>
      </c>
      <c r="CK11">
        <v>2422</v>
      </c>
      <c r="CL11">
        <v>1612</v>
      </c>
      <c r="CM11">
        <v>2368</v>
      </c>
      <c r="CN11">
        <v>2960</v>
      </c>
      <c r="CO11">
        <v>3348</v>
      </c>
      <c r="CP11">
        <v>3015</v>
      </c>
      <c r="CQ11">
        <v>3274</v>
      </c>
      <c r="CR11">
        <v>2755</v>
      </c>
      <c r="CS11">
        <v>1699</v>
      </c>
      <c r="CT11">
        <v>3164</v>
      </c>
      <c r="CU11">
        <v>3059</v>
      </c>
      <c r="CV11">
        <v>3413</v>
      </c>
      <c r="CW11">
        <v>2986</v>
      </c>
      <c r="CX11">
        <v>2064</v>
      </c>
      <c r="CY11">
        <v>2633</v>
      </c>
      <c r="CZ11">
        <v>2348</v>
      </c>
      <c r="DA11">
        <v>4574</v>
      </c>
      <c r="DB11">
        <v>4465</v>
      </c>
      <c r="DC11">
        <v>4046</v>
      </c>
      <c r="DD11">
        <v>2943</v>
      </c>
      <c r="DE11">
        <v>2031</v>
      </c>
      <c r="DF11">
        <v>1972</v>
      </c>
      <c r="DG11">
        <v>2494</v>
      </c>
      <c r="DH11">
        <v>3540</v>
      </c>
      <c r="DI11">
        <v>5186</v>
      </c>
      <c r="DJ11">
        <v>4135</v>
      </c>
      <c r="DK11">
        <v>3946</v>
      </c>
      <c r="DL11">
        <v>3735</v>
      </c>
      <c r="DM11">
        <v>2424</v>
      </c>
      <c r="DN11">
        <v>2157</v>
      </c>
      <c r="DO11">
        <v>3740</v>
      </c>
      <c r="DP11">
        <v>3315</v>
      </c>
      <c r="DQ11">
        <v>2877</v>
      </c>
      <c r="DR11">
        <v>2307</v>
      </c>
      <c r="DS11">
        <v>2677</v>
      </c>
      <c r="DT11">
        <v>1750</v>
      </c>
      <c r="DU11">
        <v>1342</v>
      </c>
      <c r="DV11">
        <v>2173</v>
      </c>
      <c r="DW11">
        <v>2243</v>
      </c>
      <c r="DX11">
        <v>1975</v>
      </c>
      <c r="DY11">
        <v>2041</v>
      </c>
      <c r="DZ11">
        <v>2058</v>
      </c>
      <c r="EA11">
        <v>1393</v>
      </c>
      <c r="EB11">
        <v>914</v>
      </c>
      <c r="EC11">
        <v>1676</v>
      </c>
      <c r="ED11">
        <v>1566</v>
      </c>
      <c r="EE11">
        <v>1408</v>
      </c>
      <c r="EF11">
        <v>1445</v>
      </c>
      <c r="EG11">
        <v>1200</v>
      </c>
      <c r="EH11">
        <v>926</v>
      </c>
      <c r="EI11">
        <v>724</v>
      </c>
      <c r="EJ11">
        <v>1098</v>
      </c>
      <c r="EK11">
        <v>1181</v>
      </c>
      <c r="EL11">
        <v>1107</v>
      </c>
      <c r="EM11">
        <v>998</v>
      </c>
      <c r="EN11">
        <v>977</v>
      </c>
      <c r="EO11">
        <v>627</v>
      </c>
      <c r="EP11">
        <v>563</v>
      </c>
      <c r="EQ11">
        <v>822</v>
      </c>
      <c r="ER11">
        <v>891</v>
      </c>
      <c r="ES11">
        <v>708</v>
      </c>
      <c r="ET11">
        <v>910</v>
      </c>
      <c r="EU11">
        <v>707</v>
      </c>
      <c r="EV11">
        <v>487</v>
      </c>
      <c r="EW11">
        <v>500</v>
      </c>
      <c r="EX11">
        <v>572</v>
      </c>
      <c r="EY11">
        <v>504</v>
      </c>
      <c r="EZ11">
        <v>708</v>
      </c>
      <c r="FA11">
        <v>876</v>
      </c>
      <c r="FB11">
        <v>698</v>
      </c>
      <c r="FC11">
        <v>484</v>
      </c>
      <c r="FD11">
        <v>566</v>
      </c>
      <c r="FE11">
        <v>718</v>
      </c>
      <c r="FF11">
        <v>896</v>
      </c>
      <c r="FG11">
        <v>682</v>
      </c>
      <c r="FH11">
        <v>398</v>
      </c>
      <c r="FI11">
        <v>664</v>
      </c>
      <c r="FJ11">
        <v>470</v>
      </c>
      <c r="FK11">
        <v>505</v>
      </c>
      <c r="FL11">
        <v>599</v>
      </c>
      <c r="FM11">
        <v>722</v>
      </c>
      <c r="FN11">
        <v>540</v>
      </c>
      <c r="FO11">
        <v>462</v>
      </c>
      <c r="FP11">
        <v>734</v>
      </c>
      <c r="FQ11">
        <v>357</v>
      </c>
      <c r="FR11">
        <v>402</v>
      </c>
      <c r="FS11">
        <v>523</v>
      </c>
      <c r="FT11">
        <v>542</v>
      </c>
      <c r="FU11">
        <v>474</v>
      </c>
      <c r="FV11">
        <v>451</v>
      </c>
      <c r="FW11">
        <v>415</v>
      </c>
      <c r="FX11">
        <v>278</v>
      </c>
      <c r="FY11">
        <v>236</v>
      </c>
      <c r="FZ11">
        <v>425</v>
      </c>
      <c r="GA11">
        <v>440</v>
      </c>
      <c r="GB11">
        <v>485</v>
      </c>
      <c r="GC11">
        <v>715</v>
      </c>
      <c r="GD11">
        <v>445</v>
      </c>
      <c r="GE11">
        <v>326</v>
      </c>
      <c r="GF11">
        <v>222</v>
      </c>
      <c r="GG11">
        <v>454</v>
      </c>
      <c r="GH11">
        <v>415</v>
      </c>
      <c r="GI11">
        <v>497</v>
      </c>
      <c r="GJ11">
        <v>438</v>
      </c>
      <c r="GK11">
        <v>480</v>
      </c>
      <c r="GL11">
        <v>342</v>
      </c>
      <c r="GM11">
        <v>246</v>
      </c>
      <c r="GN11">
        <v>519</v>
      </c>
      <c r="GO11">
        <v>447</v>
      </c>
      <c r="GP11">
        <v>448</v>
      </c>
      <c r="GQ11">
        <v>351</v>
      </c>
      <c r="GR11">
        <v>223</v>
      </c>
      <c r="GS11">
        <v>304</v>
      </c>
      <c r="GT11">
        <v>179</v>
      </c>
      <c r="GU11">
        <v>357</v>
      </c>
      <c r="GV11">
        <v>364</v>
      </c>
      <c r="GW11">
        <v>427</v>
      </c>
      <c r="GX11">
        <v>394</v>
      </c>
      <c r="GY11">
        <v>279</v>
      </c>
      <c r="GZ11">
        <v>234</v>
      </c>
      <c r="HA11">
        <v>181</v>
      </c>
      <c r="HB11">
        <v>329</v>
      </c>
      <c r="HC11">
        <v>395</v>
      </c>
      <c r="HD11">
        <v>314</v>
      </c>
      <c r="HE11">
        <v>419</v>
      </c>
      <c r="HF11">
        <v>348</v>
      </c>
      <c r="HG11">
        <v>244</v>
      </c>
      <c r="HH11">
        <v>203</v>
      </c>
      <c r="HI11">
        <v>275</v>
      </c>
      <c r="HJ11">
        <v>359</v>
      </c>
      <c r="HK11">
        <v>314</v>
      </c>
      <c r="HL11">
        <v>366</v>
      </c>
      <c r="HM11">
        <v>338</v>
      </c>
      <c r="HN11">
        <v>271</v>
      </c>
      <c r="HO11">
        <v>198</v>
      </c>
      <c r="HP11">
        <v>368</v>
      </c>
      <c r="HQ11">
        <v>362</v>
      </c>
      <c r="HR11">
        <v>323</v>
      </c>
      <c r="HS11">
        <v>358</v>
      </c>
      <c r="HT11">
        <v>268</v>
      </c>
      <c r="HU11">
        <v>260</v>
      </c>
      <c r="HV11">
        <v>195</v>
      </c>
      <c r="HW11">
        <v>320</v>
      </c>
      <c r="HX11">
        <v>356</v>
      </c>
      <c r="HY11">
        <v>389</v>
      </c>
      <c r="HZ11">
        <v>398</v>
      </c>
      <c r="IA11">
        <v>508</v>
      </c>
      <c r="IB11">
        <v>386</v>
      </c>
      <c r="IC11">
        <v>252</v>
      </c>
      <c r="ID11">
        <v>460</v>
      </c>
      <c r="IE11">
        <v>562</v>
      </c>
      <c r="IF11">
        <v>525</v>
      </c>
      <c r="IG11">
        <v>588</v>
      </c>
      <c r="IH11">
        <v>490</v>
      </c>
      <c r="II11">
        <v>344</v>
      </c>
      <c r="IJ11">
        <v>268</v>
      </c>
      <c r="IK11">
        <v>539</v>
      </c>
      <c r="IL11">
        <v>537</v>
      </c>
      <c r="IM11">
        <v>579</v>
      </c>
      <c r="IN11">
        <v>508</v>
      </c>
      <c r="IO11">
        <v>466</v>
      </c>
      <c r="IP11">
        <v>347</v>
      </c>
      <c r="IQ11">
        <v>235</v>
      </c>
      <c r="IR11">
        <v>581</v>
      </c>
      <c r="IS11">
        <v>663</v>
      </c>
      <c r="IT11">
        <v>637</v>
      </c>
      <c r="IU11">
        <v>617</v>
      </c>
      <c r="IV11">
        <v>574</v>
      </c>
      <c r="IW11">
        <v>348</v>
      </c>
      <c r="IX11">
        <v>321</v>
      </c>
      <c r="IY11">
        <v>731</v>
      </c>
      <c r="IZ11">
        <v>678</v>
      </c>
      <c r="JA11">
        <v>701</v>
      </c>
      <c r="JB11">
        <v>915</v>
      </c>
      <c r="JC11">
        <v>827</v>
      </c>
      <c r="JD11">
        <v>526</v>
      </c>
      <c r="JE11">
        <v>376</v>
      </c>
      <c r="JF11">
        <v>882</v>
      </c>
      <c r="JG11">
        <v>779</v>
      </c>
      <c r="JH11">
        <v>841</v>
      </c>
      <c r="JI11">
        <v>916</v>
      </c>
      <c r="JJ11">
        <v>858</v>
      </c>
      <c r="JK11">
        <v>715</v>
      </c>
      <c r="JL11">
        <v>483</v>
      </c>
      <c r="JM11">
        <v>848</v>
      </c>
      <c r="JN11">
        <v>1048</v>
      </c>
      <c r="JO11">
        <v>969</v>
      </c>
      <c r="JP11">
        <v>976</v>
      </c>
      <c r="JQ11">
        <v>978</v>
      </c>
      <c r="JR11">
        <v>583</v>
      </c>
      <c r="JS11">
        <v>514</v>
      </c>
      <c r="JT11">
        <v>1208</v>
      </c>
      <c r="JU11">
        <v>1077</v>
      </c>
      <c r="JV11">
        <v>1201</v>
      </c>
      <c r="JW11">
        <v>1093</v>
      </c>
      <c r="JX11">
        <v>1057</v>
      </c>
      <c r="JY11">
        <v>789</v>
      </c>
      <c r="JZ11">
        <v>666</v>
      </c>
      <c r="KA11">
        <v>1249</v>
      </c>
      <c r="KB11">
        <v>1197</v>
      </c>
      <c r="KC11">
        <v>1205</v>
      </c>
      <c r="KD11">
        <v>1030</v>
      </c>
      <c r="KE11">
        <v>1317</v>
      </c>
      <c r="KF11">
        <v>793</v>
      </c>
      <c r="KG11">
        <v>605</v>
      </c>
      <c r="KH11">
        <v>1276</v>
      </c>
      <c r="KI11">
        <v>1222</v>
      </c>
      <c r="KJ11">
        <v>1240</v>
      </c>
      <c r="KK11">
        <v>1160</v>
      </c>
      <c r="KL11">
        <v>1021</v>
      </c>
      <c r="KM11">
        <v>833</v>
      </c>
      <c r="KN11">
        <v>752</v>
      </c>
      <c r="KO11">
        <v>855</v>
      </c>
      <c r="KP11">
        <v>1517</v>
      </c>
      <c r="KQ11">
        <v>1225</v>
      </c>
      <c r="KR11">
        <v>1087</v>
      </c>
      <c r="KS11">
        <v>1041</v>
      </c>
      <c r="KT11">
        <v>721</v>
      </c>
      <c r="KU11">
        <v>688</v>
      </c>
      <c r="KV11">
        <v>1089</v>
      </c>
      <c r="KW11">
        <v>1144</v>
      </c>
      <c r="KX11">
        <v>1250</v>
      </c>
      <c r="KY11">
        <v>1138</v>
      </c>
      <c r="KZ11">
        <v>1096</v>
      </c>
      <c r="LA11">
        <v>866</v>
      </c>
      <c r="LB11">
        <v>495</v>
      </c>
      <c r="LC11">
        <v>1110</v>
      </c>
      <c r="LD11">
        <v>969</v>
      </c>
      <c r="LE11">
        <v>1022</v>
      </c>
      <c r="LF11">
        <v>915</v>
      </c>
      <c r="LG11">
        <v>1195</v>
      </c>
      <c r="LH11">
        <v>820</v>
      </c>
      <c r="LI11">
        <v>337</v>
      </c>
      <c r="LJ11">
        <v>932</v>
      </c>
      <c r="LK11">
        <v>1037</v>
      </c>
      <c r="LL11">
        <v>818</v>
      </c>
      <c r="LM11">
        <v>895</v>
      </c>
      <c r="LN11">
        <v>822</v>
      </c>
      <c r="LO11">
        <v>979</v>
      </c>
      <c r="LP11">
        <v>523</v>
      </c>
      <c r="LQ11">
        <v>900</v>
      </c>
      <c r="LR11">
        <v>977</v>
      </c>
      <c r="LS11">
        <v>956</v>
      </c>
      <c r="LT11">
        <v>758</v>
      </c>
      <c r="LU11">
        <v>852</v>
      </c>
      <c r="LV11">
        <v>563</v>
      </c>
      <c r="LW11">
        <v>444</v>
      </c>
      <c r="LX11">
        <v>656</v>
      </c>
      <c r="LY11">
        <v>838</v>
      </c>
      <c r="LZ11">
        <v>862</v>
      </c>
      <c r="MA11">
        <v>669</v>
      </c>
      <c r="MB11">
        <v>691</v>
      </c>
      <c r="MC11">
        <v>614</v>
      </c>
      <c r="MD11">
        <v>388</v>
      </c>
      <c r="ME11">
        <v>480</v>
      </c>
      <c r="MF11">
        <v>864</v>
      </c>
      <c r="MG11">
        <v>548</v>
      </c>
      <c r="MH11">
        <v>649</v>
      </c>
      <c r="MI11">
        <v>676</v>
      </c>
      <c r="MJ11">
        <v>463</v>
      </c>
      <c r="MK11">
        <v>371</v>
      </c>
      <c r="ML11">
        <v>450</v>
      </c>
      <c r="MM11">
        <v>670</v>
      </c>
      <c r="MN11">
        <v>481</v>
      </c>
      <c r="MO11">
        <v>439</v>
      </c>
      <c r="MP11">
        <v>442</v>
      </c>
      <c r="MQ11">
        <v>325</v>
      </c>
      <c r="MR11">
        <v>229</v>
      </c>
      <c r="MS11">
        <v>426</v>
      </c>
      <c r="MT11">
        <v>330</v>
      </c>
      <c r="MU11">
        <v>401</v>
      </c>
      <c r="MV11">
        <v>360</v>
      </c>
      <c r="MW11">
        <v>420</v>
      </c>
      <c r="MX11">
        <v>214</v>
      </c>
      <c r="MY11">
        <v>223</v>
      </c>
      <c r="MZ11">
        <v>323</v>
      </c>
      <c r="NA11">
        <v>316</v>
      </c>
      <c r="NB11">
        <v>373</v>
      </c>
      <c r="NC11">
        <v>324</v>
      </c>
      <c r="ND11">
        <v>255</v>
      </c>
      <c r="NE11">
        <v>250</v>
      </c>
      <c r="NF11">
        <v>152</v>
      </c>
      <c r="NG11">
        <v>341</v>
      </c>
      <c r="NH11">
        <v>366</v>
      </c>
      <c r="NI11">
        <v>324</v>
      </c>
      <c r="NJ11">
        <v>265</v>
      </c>
      <c r="NK11">
        <v>257</v>
      </c>
      <c r="NL11">
        <v>185</v>
      </c>
      <c r="NM11">
        <v>179</v>
      </c>
      <c r="NN11">
        <v>232</v>
      </c>
      <c r="NO11">
        <v>262</v>
      </c>
      <c r="NP11">
        <v>262</v>
      </c>
      <c r="NQ11">
        <v>225</v>
      </c>
      <c r="NR11">
        <v>227</v>
      </c>
      <c r="NS11">
        <v>175</v>
      </c>
      <c r="NT11">
        <v>121</v>
      </c>
      <c r="NU11">
        <v>253</v>
      </c>
      <c r="NV11">
        <v>211</v>
      </c>
      <c r="NW11">
        <v>220</v>
      </c>
      <c r="NX11">
        <v>195</v>
      </c>
      <c r="NY11">
        <v>223</v>
      </c>
      <c r="NZ11">
        <v>119</v>
      </c>
      <c r="OA11">
        <v>108</v>
      </c>
      <c r="OB11">
        <v>250</v>
      </c>
      <c r="OC11">
        <v>129</v>
      </c>
      <c r="OD11">
        <v>227</v>
      </c>
      <c r="OE11">
        <v>202</v>
      </c>
      <c r="OF11">
        <v>164</v>
      </c>
      <c r="OG11">
        <v>102</v>
      </c>
      <c r="OH11">
        <v>131</v>
      </c>
      <c r="OI11">
        <v>203</v>
      </c>
      <c r="OJ11">
        <v>257</v>
      </c>
      <c r="OK11">
        <v>205</v>
      </c>
      <c r="OL11">
        <v>193</v>
      </c>
      <c r="OM11">
        <v>150</v>
      </c>
      <c r="ON11">
        <v>134</v>
      </c>
      <c r="OO11">
        <v>132</v>
      </c>
      <c r="OP11">
        <v>215</v>
      </c>
      <c r="OQ11">
        <v>173</v>
      </c>
      <c r="OR11">
        <v>140</v>
      </c>
      <c r="OS11" s="3">
        <v>201</v>
      </c>
      <c r="OT11">
        <v>136</v>
      </c>
      <c r="OU11">
        <v>130</v>
      </c>
      <c r="OV11">
        <v>72</v>
      </c>
      <c r="OW11">
        <v>141</v>
      </c>
      <c r="OX11">
        <v>128</v>
      </c>
      <c r="OY11">
        <v>84</v>
      </c>
      <c r="OZ11">
        <v>94</v>
      </c>
      <c r="PA11">
        <v>120</v>
      </c>
      <c r="PB11">
        <v>113</v>
      </c>
      <c r="PC11">
        <v>106</v>
      </c>
      <c r="PD11">
        <v>196</v>
      </c>
      <c r="PE11">
        <v>185</v>
      </c>
      <c r="PF11">
        <v>99</v>
      </c>
      <c r="PG11">
        <v>229</v>
      </c>
      <c r="PH11">
        <v>222</v>
      </c>
      <c r="PI11">
        <v>168</v>
      </c>
      <c r="PJ11">
        <v>114</v>
      </c>
      <c r="PK11">
        <v>193</v>
      </c>
      <c r="PL11">
        <v>238</v>
      </c>
      <c r="PM11">
        <v>203</v>
      </c>
      <c r="PN11">
        <v>208</v>
      </c>
      <c r="PO11">
        <v>258</v>
      </c>
      <c r="PP11">
        <v>162</v>
      </c>
      <c r="PQ11">
        <v>132</v>
      </c>
      <c r="PR11">
        <v>214</v>
      </c>
      <c r="PS11">
        <v>268</v>
      </c>
      <c r="PT11">
        <v>202</v>
      </c>
      <c r="PU11">
        <v>283</v>
      </c>
      <c r="PV11">
        <v>210</v>
      </c>
      <c r="PW11">
        <v>208</v>
      </c>
      <c r="PX11">
        <v>94</v>
      </c>
      <c r="PY11">
        <v>134</v>
      </c>
      <c r="PZ11">
        <v>248</v>
      </c>
      <c r="QA11">
        <v>285</v>
      </c>
      <c r="QB11">
        <v>268</v>
      </c>
      <c r="QC11">
        <v>288</v>
      </c>
      <c r="QD11">
        <v>222</v>
      </c>
      <c r="QE11">
        <v>0</v>
      </c>
      <c r="QF11">
        <v>332</v>
      </c>
      <c r="QG11">
        <v>338</v>
      </c>
      <c r="QH11">
        <v>189</v>
      </c>
      <c r="QI11">
        <v>127</v>
      </c>
      <c r="QJ11">
        <v>356</v>
      </c>
      <c r="QK11">
        <v>208</v>
      </c>
      <c r="QL11">
        <v>275</v>
      </c>
      <c r="QM11">
        <v>382</v>
      </c>
      <c r="QN11">
        <v>386</v>
      </c>
      <c r="QO11">
        <v>406</v>
      </c>
      <c r="QP11">
        <v>447</v>
      </c>
      <c r="QQ11">
        <v>0</v>
      </c>
      <c r="QR11">
        <v>323</v>
      </c>
      <c r="QS11">
        <v>252</v>
      </c>
      <c r="QT11">
        <v>487</v>
      </c>
      <c r="QU11">
        <v>668</v>
      </c>
      <c r="QV11">
        <v>719</v>
      </c>
      <c r="QW11">
        <v>0</v>
      </c>
      <c r="QX11">
        <v>827</v>
      </c>
      <c r="QY11">
        <v>563</v>
      </c>
      <c r="QZ11">
        <v>574</v>
      </c>
      <c r="RA11">
        <v>1354</v>
      </c>
      <c r="RB11">
        <v>1348</v>
      </c>
      <c r="RC11">
        <v>2664</v>
      </c>
      <c r="RD11">
        <v>2213</v>
      </c>
      <c r="RE11">
        <v>1888</v>
      </c>
      <c r="RF11">
        <v>977</v>
      </c>
      <c r="RG11">
        <v>1363</v>
      </c>
      <c r="RH11">
        <v>3259</v>
      </c>
      <c r="RI11">
        <v>4372</v>
      </c>
      <c r="RJ11">
        <v>4623</v>
      </c>
      <c r="RK11">
        <v>5043</v>
      </c>
      <c r="RL11">
        <v>4804</v>
      </c>
      <c r="RM11">
        <v>4066</v>
      </c>
      <c r="RN11">
        <v>3139</v>
      </c>
      <c r="RO11">
        <v>4105</v>
      </c>
      <c r="RP11">
        <v>6513</v>
      </c>
      <c r="RQ11">
        <v>0</v>
      </c>
      <c r="RR11">
        <v>9530</v>
      </c>
      <c r="RS11">
        <v>8902</v>
      </c>
      <c r="RT11">
        <v>7278</v>
      </c>
      <c r="RU11">
        <v>5468</v>
      </c>
      <c r="RV11">
        <v>11519</v>
      </c>
      <c r="RW11">
        <v>10763</v>
      </c>
      <c r="RX11">
        <v>12351</v>
      </c>
      <c r="RY11">
        <v>11933</v>
      </c>
      <c r="RZ11">
        <v>10629</v>
      </c>
      <c r="SA11">
        <v>7164</v>
      </c>
      <c r="SB11">
        <v>5455</v>
      </c>
      <c r="SC11">
        <v>0</v>
      </c>
      <c r="SD11">
        <v>10481</v>
      </c>
      <c r="SE11">
        <v>8268</v>
      </c>
      <c r="SF11">
        <v>7502</v>
      </c>
      <c r="SG11">
        <v>7004</v>
      </c>
      <c r="SH11">
        <v>4490</v>
      </c>
      <c r="SI11">
        <v>3150</v>
      </c>
      <c r="SJ11">
        <v>5606</v>
      </c>
      <c r="SK11">
        <v>5811</v>
      </c>
      <c r="SL11">
        <v>5480</v>
      </c>
      <c r="SM11">
        <v>4308</v>
      </c>
      <c r="SN11">
        <v>3589</v>
      </c>
      <c r="SO11">
        <v>2345</v>
      </c>
      <c r="SP11">
        <v>1614</v>
      </c>
      <c r="SQ11">
        <v>3180</v>
      </c>
      <c r="SR11">
        <v>3028</v>
      </c>
      <c r="SS11">
        <v>2424</v>
      </c>
      <c r="ST11">
        <v>2111</v>
      </c>
      <c r="SU11">
        <v>1881</v>
      </c>
      <c r="SV11">
        <v>1203</v>
      </c>
      <c r="SW11">
        <v>799</v>
      </c>
      <c r="SX11">
        <v>1714</v>
      </c>
      <c r="SY11">
        <v>1328</v>
      </c>
      <c r="SZ11">
        <v>1221</v>
      </c>
      <c r="TA11">
        <v>1219</v>
      </c>
      <c r="TB11">
        <v>952</v>
      </c>
      <c r="TC11">
        <v>673</v>
      </c>
      <c r="TD11">
        <v>481</v>
      </c>
      <c r="TE11">
        <v>932</v>
      </c>
      <c r="TF11">
        <v>734</v>
      </c>
      <c r="TG11">
        <v>787</v>
      </c>
      <c r="TH11">
        <v>668</v>
      </c>
      <c r="TI11">
        <v>543</v>
      </c>
      <c r="TJ11">
        <v>357</v>
      </c>
      <c r="TK11">
        <v>236</v>
      </c>
      <c r="TL11">
        <v>355</v>
      </c>
      <c r="TM11">
        <v>232</v>
      </c>
      <c r="TN11">
        <v>454</v>
      </c>
      <c r="TO11">
        <v>522</v>
      </c>
      <c r="TP11">
        <v>426</v>
      </c>
      <c r="TQ11">
        <v>81</v>
      </c>
      <c r="TR11">
        <v>362</v>
      </c>
      <c r="TS11">
        <v>382</v>
      </c>
      <c r="TT11">
        <v>301</v>
      </c>
      <c r="TU11">
        <v>310</v>
      </c>
      <c r="TV11">
        <v>301</v>
      </c>
      <c r="TW11">
        <v>237</v>
      </c>
      <c r="TX11">
        <v>175</v>
      </c>
      <c r="TY11">
        <v>146</v>
      </c>
      <c r="TZ11">
        <v>323</v>
      </c>
      <c r="UA11">
        <v>300</v>
      </c>
      <c r="UB11">
        <v>330</v>
      </c>
      <c r="UC11">
        <v>0</v>
      </c>
      <c r="UD11">
        <v>311</v>
      </c>
      <c r="UE11">
        <v>193</v>
      </c>
      <c r="UF11">
        <v>135</v>
      </c>
      <c r="UG11">
        <v>365</v>
      </c>
      <c r="UH11">
        <v>386</v>
      </c>
      <c r="UI11">
        <v>341</v>
      </c>
      <c r="UJ11">
        <v>290</v>
      </c>
      <c r="UK11">
        <v>255</v>
      </c>
      <c r="UL11">
        <v>203</v>
      </c>
      <c r="UM11">
        <v>125</v>
      </c>
      <c r="UN11">
        <v>325</v>
      </c>
      <c r="UO11">
        <v>310</v>
      </c>
      <c r="UP11">
        <v>293</v>
      </c>
      <c r="UQ11">
        <v>223</v>
      </c>
      <c r="UR11">
        <v>159</v>
      </c>
      <c r="US11">
        <v>159</v>
      </c>
      <c r="UT11">
        <v>124</v>
      </c>
      <c r="UU11">
        <v>340</v>
      </c>
      <c r="UV11">
        <v>253</v>
      </c>
      <c r="UW11">
        <v>247</v>
      </c>
      <c r="UX11">
        <v>327</v>
      </c>
      <c r="UY11">
        <v>254</v>
      </c>
      <c r="UZ11">
        <v>173</v>
      </c>
      <c r="VA11">
        <v>136</v>
      </c>
      <c r="VB11">
        <v>371</v>
      </c>
      <c r="VC11">
        <v>0</v>
      </c>
      <c r="VD11">
        <v>364</v>
      </c>
      <c r="VE11">
        <v>124</v>
      </c>
      <c r="VF11">
        <v>0</v>
      </c>
      <c r="VG11">
        <v>200</v>
      </c>
      <c r="VH11">
        <v>184</v>
      </c>
      <c r="VI11">
        <v>479</v>
      </c>
      <c r="VJ11">
        <v>519</v>
      </c>
      <c r="VK11">
        <v>487</v>
      </c>
      <c r="VL11">
        <v>481</v>
      </c>
      <c r="VM11">
        <v>333</v>
      </c>
      <c r="VN11">
        <v>333</v>
      </c>
      <c r="VO11">
        <v>267</v>
      </c>
      <c r="VP11">
        <v>744</v>
      </c>
      <c r="VQ11">
        <v>845</v>
      </c>
      <c r="VR11">
        <v>874</v>
      </c>
      <c r="VS11">
        <v>932</v>
      </c>
      <c r="VT11">
        <v>538</v>
      </c>
      <c r="VU11">
        <v>652</v>
      </c>
      <c r="VV11">
        <v>652</v>
      </c>
      <c r="VW11">
        <v>652</v>
      </c>
      <c r="VX11">
        <v>1838</v>
      </c>
      <c r="VY11">
        <v>1919</v>
      </c>
      <c r="VZ11">
        <v>2672</v>
      </c>
      <c r="WA11">
        <v>2672</v>
      </c>
      <c r="WB11">
        <v>1615</v>
      </c>
      <c r="WC11">
        <v>1359</v>
      </c>
      <c r="WD11">
        <v>3307</v>
      </c>
      <c r="WE11">
        <v>3324</v>
      </c>
      <c r="WF11">
        <v>3514</v>
      </c>
      <c r="WG11">
        <v>3054</v>
      </c>
      <c r="WH11">
        <v>3054</v>
      </c>
      <c r="WI11">
        <v>3054</v>
      </c>
      <c r="WJ11">
        <v>1799</v>
      </c>
      <c r="WK11">
        <v>3910</v>
      </c>
      <c r="WL11">
        <v>3506</v>
      </c>
      <c r="WM11">
        <v>3842</v>
      </c>
      <c r="WN11">
        <v>2167</v>
      </c>
      <c r="WO11">
        <v>2167</v>
      </c>
      <c r="WP11">
        <v>2167</v>
      </c>
      <c r="WQ11">
        <v>3825</v>
      </c>
      <c r="WR11">
        <v>3825</v>
      </c>
      <c r="WS11">
        <v>3825</v>
      </c>
      <c r="WT11">
        <v>3825</v>
      </c>
      <c r="WU11">
        <v>3109</v>
      </c>
      <c r="WV11">
        <v>3109</v>
      </c>
      <c r="WW11">
        <v>3109</v>
      </c>
      <c r="WX11">
        <v>3819</v>
      </c>
      <c r="WY11">
        <v>3819</v>
      </c>
      <c r="WZ11">
        <v>3443</v>
      </c>
      <c r="XA11">
        <v>3056</v>
      </c>
      <c r="XB11">
        <v>3056</v>
      </c>
      <c r="XC11">
        <v>1942</v>
      </c>
      <c r="XD11">
        <v>1942</v>
      </c>
      <c r="XE11">
        <v>1692</v>
      </c>
      <c r="XF11">
        <v>2323</v>
      </c>
      <c r="XG11">
        <v>2323</v>
      </c>
      <c r="XH11">
        <v>2323</v>
      </c>
      <c r="XI11">
        <v>2323</v>
      </c>
      <c r="XJ11">
        <v>2323</v>
      </c>
      <c r="XK11">
        <v>1389</v>
      </c>
      <c r="XL11">
        <v>1106</v>
      </c>
      <c r="XM11">
        <v>2053</v>
      </c>
      <c r="XN11">
        <v>2053</v>
      </c>
      <c r="XO11">
        <v>2053</v>
      </c>
      <c r="XP11">
        <v>2053</v>
      </c>
      <c r="XQ11">
        <v>2053</v>
      </c>
      <c r="XR11">
        <v>1584</v>
      </c>
      <c r="XS11">
        <v>1584</v>
      </c>
      <c r="XT11">
        <v>1584</v>
      </c>
      <c r="XU11">
        <v>1584</v>
      </c>
      <c r="XV11">
        <v>1584</v>
      </c>
      <c r="XW11">
        <v>1584</v>
      </c>
      <c r="XX11">
        <v>1584</v>
      </c>
      <c r="XY11">
        <v>1125</v>
      </c>
      <c r="XZ11">
        <v>866</v>
      </c>
      <c r="YA11">
        <v>1989</v>
      </c>
      <c r="YB11">
        <v>1828</v>
      </c>
      <c r="YC11">
        <v>1338</v>
      </c>
      <c r="YD11">
        <v>926</v>
      </c>
      <c r="YE11">
        <v>0</v>
      </c>
      <c r="YF11" s="1">
        <v>0</v>
      </c>
      <c r="YG11" s="1">
        <v>0</v>
      </c>
      <c r="YH11" s="1">
        <v>0</v>
      </c>
      <c r="YI11" s="1">
        <v>0</v>
      </c>
      <c r="YJ11">
        <v>0</v>
      </c>
      <c r="YK11">
        <v>0</v>
      </c>
      <c r="YL11">
        <v>0</v>
      </c>
      <c r="YM11">
        <v>0</v>
      </c>
      <c r="YN11">
        <v>0</v>
      </c>
      <c r="YO11">
        <v>0</v>
      </c>
      <c r="YP11">
        <v>0</v>
      </c>
      <c r="YQ11">
        <v>0</v>
      </c>
      <c r="YR11">
        <v>0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747</v>
      </c>
      <c r="ABT11">
        <v>0</v>
      </c>
      <c r="ABU11">
        <v>0</v>
      </c>
      <c r="ABV11">
        <v>0</v>
      </c>
      <c r="ABW11">
        <v>0</v>
      </c>
      <c r="ABX11">
        <v>0</v>
      </c>
      <c r="ABY11">
        <v>0</v>
      </c>
      <c r="ABZ11">
        <v>0</v>
      </c>
      <c r="ACA11">
        <v>0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725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603</v>
      </c>
      <c r="ACO11">
        <v>603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838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0</v>
      </c>
      <c r="ADL11">
        <v>0</v>
      </c>
      <c r="ADM11">
        <v>0</v>
      </c>
      <c r="ADN11">
        <v>0</v>
      </c>
      <c r="ADO11">
        <v>0</v>
      </c>
      <c r="ADP11">
        <v>0</v>
      </c>
      <c r="ADQ11">
        <v>0</v>
      </c>
      <c r="ADR11">
        <v>0</v>
      </c>
      <c r="ADS11">
        <v>0</v>
      </c>
      <c r="ADT11">
        <v>0</v>
      </c>
      <c r="ADU11">
        <v>0</v>
      </c>
      <c r="ADV11">
        <v>0</v>
      </c>
      <c r="ADW11">
        <v>6435</v>
      </c>
      <c r="ADX11">
        <v>6435</v>
      </c>
      <c r="ADY11">
        <v>0</v>
      </c>
      <c r="ADZ11">
        <v>0</v>
      </c>
      <c r="AEA11">
        <v>0</v>
      </c>
      <c r="AEB11">
        <v>0</v>
      </c>
      <c r="AEC11">
        <v>0</v>
      </c>
      <c r="AED11">
        <v>0</v>
      </c>
      <c r="AEE11">
        <v>0</v>
      </c>
      <c r="AEF11">
        <v>0</v>
      </c>
      <c r="AEG11">
        <v>0</v>
      </c>
      <c r="AEH11">
        <v>0</v>
      </c>
      <c r="AEI11">
        <v>0</v>
      </c>
      <c r="AEJ11">
        <v>0</v>
      </c>
      <c r="AEK11">
        <v>0</v>
      </c>
      <c r="AEL11">
        <v>0</v>
      </c>
      <c r="AEM11">
        <v>0</v>
      </c>
      <c r="AEN11">
        <v>0</v>
      </c>
      <c r="AEO11">
        <v>0</v>
      </c>
      <c r="AEP11">
        <v>0</v>
      </c>
      <c r="AEQ11">
        <v>0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0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0</v>
      </c>
      <c r="AFL11">
        <v>0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0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0</v>
      </c>
      <c r="AGY11">
        <v>0</v>
      </c>
      <c r="AGZ11">
        <v>0</v>
      </c>
      <c r="AHA11">
        <v>0</v>
      </c>
      <c r="AHB11">
        <v>0</v>
      </c>
      <c r="AHC11">
        <v>259</v>
      </c>
      <c r="AHD11">
        <v>259</v>
      </c>
      <c r="AHE11">
        <v>259</v>
      </c>
      <c r="AHF11">
        <v>259</v>
      </c>
      <c r="AHG11">
        <v>259</v>
      </c>
      <c r="AHH11">
        <v>259</v>
      </c>
      <c r="AHI11">
        <v>259</v>
      </c>
      <c r="AHJ11">
        <v>259</v>
      </c>
      <c r="AHK11">
        <v>458</v>
      </c>
      <c r="AHL11">
        <v>458</v>
      </c>
      <c r="AHM11">
        <v>458</v>
      </c>
      <c r="AHN11">
        <v>458</v>
      </c>
      <c r="AHO11">
        <v>458</v>
      </c>
      <c r="AHP11">
        <v>458</v>
      </c>
      <c r="AHQ11">
        <v>458</v>
      </c>
    </row>
    <row r="12" spans="1:901">
      <c r="A12" s="1" t="s">
        <v>45</v>
      </c>
      <c r="B12">
        <v>6380</v>
      </c>
      <c r="C12">
        <v>5698</v>
      </c>
      <c r="D12">
        <v>6314</v>
      </c>
      <c r="E12">
        <v>6453</v>
      </c>
      <c r="F12">
        <v>6030</v>
      </c>
      <c r="G12">
        <v>4001</v>
      </c>
      <c r="H12">
        <v>3650</v>
      </c>
      <c r="I12">
        <v>6149</v>
      </c>
      <c r="J12">
        <v>6235</v>
      </c>
      <c r="K12">
        <v>5654</v>
      </c>
      <c r="L12">
        <v>5160</v>
      </c>
      <c r="M12">
        <v>3412</v>
      </c>
      <c r="N12">
        <v>3054</v>
      </c>
      <c r="O12">
        <v>3061</v>
      </c>
      <c r="P12">
        <v>3468</v>
      </c>
      <c r="Q12">
        <v>3267</v>
      </c>
      <c r="R12">
        <v>3421</v>
      </c>
      <c r="S12">
        <v>3184</v>
      </c>
      <c r="T12">
        <v>1830</v>
      </c>
      <c r="U12">
        <v>2930</v>
      </c>
      <c r="V12">
        <v>2733</v>
      </c>
      <c r="W12">
        <v>2952</v>
      </c>
      <c r="X12">
        <v>4741</v>
      </c>
      <c r="Y12">
        <v>2733</v>
      </c>
      <c r="Z12">
        <v>3283</v>
      </c>
      <c r="AA12">
        <v>1800</v>
      </c>
      <c r="AB12">
        <v>2803</v>
      </c>
      <c r="AC12">
        <v>2977</v>
      </c>
      <c r="AD12">
        <v>2789</v>
      </c>
      <c r="AE12">
        <v>2677</v>
      </c>
      <c r="AF12">
        <v>3132</v>
      </c>
      <c r="AG12">
        <v>3126</v>
      </c>
      <c r="AH12">
        <v>2201</v>
      </c>
      <c r="AI12">
        <v>3242</v>
      </c>
      <c r="AJ12">
        <v>2767</v>
      </c>
      <c r="AK12">
        <v>2991</v>
      </c>
      <c r="AL12">
        <v>3240</v>
      </c>
      <c r="AM12">
        <v>3098</v>
      </c>
      <c r="AN12">
        <v>2501</v>
      </c>
      <c r="AO12">
        <v>1859</v>
      </c>
      <c r="AP12">
        <v>1923</v>
      </c>
      <c r="AQ12">
        <v>2431</v>
      </c>
      <c r="AR12">
        <v>2666</v>
      </c>
      <c r="AS12">
        <v>2586</v>
      </c>
      <c r="AT12">
        <v>2323</v>
      </c>
      <c r="AU12">
        <v>2408</v>
      </c>
      <c r="AV12">
        <v>1634</v>
      </c>
      <c r="AW12">
        <v>2357</v>
      </c>
      <c r="AX12">
        <v>2885</v>
      </c>
      <c r="AY12">
        <v>2935</v>
      </c>
      <c r="AZ12">
        <v>2781</v>
      </c>
      <c r="BA12">
        <v>2507</v>
      </c>
      <c r="BB12">
        <v>2323</v>
      </c>
      <c r="BC12">
        <v>1194</v>
      </c>
      <c r="BD12">
        <v>1904</v>
      </c>
      <c r="BE12">
        <v>2575</v>
      </c>
      <c r="BF12">
        <v>2231</v>
      </c>
      <c r="BG12">
        <v>2413</v>
      </c>
      <c r="BH12">
        <v>2249</v>
      </c>
      <c r="BI12">
        <v>2112</v>
      </c>
      <c r="BJ12">
        <v>1257</v>
      </c>
      <c r="BK12">
        <v>1663</v>
      </c>
      <c r="BL12">
        <v>2020</v>
      </c>
      <c r="BM12">
        <v>1966</v>
      </c>
      <c r="BN12">
        <v>2170</v>
      </c>
      <c r="BO12">
        <v>1994</v>
      </c>
      <c r="BP12">
        <v>1589</v>
      </c>
      <c r="BQ12">
        <v>887</v>
      </c>
      <c r="BR12">
        <v>1882</v>
      </c>
      <c r="BS12">
        <v>2020</v>
      </c>
      <c r="BT12">
        <v>1888</v>
      </c>
      <c r="BU12">
        <v>1977</v>
      </c>
      <c r="BV12">
        <v>2044</v>
      </c>
      <c r="BW12">
        <v>2162</v>
      </c>
      <c r="BX12">
        <v>1075</v>
      </c>
      <c r="BY12">
        <v>1623</v>
      </c>
      <c r="BZ12">
        <v>1847</v>
      </c>
      <c r="CA12">
        <v>1771</v>
      </c>
      <c r="CB12">
        <v>2014</v>
      </c>
      <c r="CC12">
        <v>1828</v>
      </c>
      <c r="CD12">
        <v>1224</v>
      </c>
      <c r="CE12">
        <v>1204</v>
      </c>
      <c r="CF12">
        <v>1505</v>
      </c>
      <c r="CG12">
        <v>691</v>
      </c>
      <c r="CH12">
        <v>1799</v>
      </c>
      <c r="CI12">
        <v>1832</v>
      </c>
      <c r="CJ12">
        <v>2102</v>
      </c>
      <c r="CK12">
        <v>1928</v>
      </c>
      <c r="CL12">
        <v>1157</v>
      </c>
      <c r="CM12">
        <v>1545</v>
      </c>
      <c r="CN12">
        <v>1782</v>
      </c>
      <c r="CO12">
        <v>2061</v>
      </c>
      <c r="CP12">
        <v>2242</v>
      </c>
      <c r="CQ12">
        <v>2139</v>
      </c>
      <c r="CR12">
        <v>1618</v>
      </c>
      <c r="CS12">
        <v>958</v>
      </c>
      <c r="CT12">
        <v>1678</v>
      </c>
      <c r="CU12">
        <v>2110</v>
      </c>
      <c r="CV12">
        <v>1719</v>
      </c>
      <c r="CW12">
        <v>1564</v>
      </c>
      <c r="CX12">
        <v>772</v>
      </c>
      <c r="CY12">
        <v>1339</v>
      </c>
      <c r="CZ12">
        <v>1251</v>
      </c>
      <c r="DA12">
        <v>1588</v>
      </c>
      <c r="DB12">
        <v>2118</v>
      </c>
      <c r="DC12">
        <v>2523</v>
      </c>
      <c r="DD12">
        <v>2062</v>
      </c>
      <c r="DE12">
        <v>900</v>
      </c>
      <c r="DF12">
        <v>1376</v>
      </c>
      <c r="DG12">
        <v>1583</v>
      </c>
      <c r="DH12">
        <v>960</v>
      </c>
      <c r="DI12">
        <v>2414</v>
      </c>
      <c r="DJ12">
        <v>2258</v>
      </c>
      <c r="DK12">
        <v>2781</v>
      </c>
      <c r="DL12">
        <v>2804</v>
      </c>
      <c r="DM12">
        <v>2909</v>
      </c>
      <c r="DN12">
        <v>2166</v>
      </c>
      <c r="DO12">
        <v>2881</v>
      </c>
      <c r="DP12">
        <v>3409</v>
      </c>
      <c r="DQ12">
        <v>5022</v>
      </c>
      <c r="DR12">
        <v>7361</v>
      </c>
      <c r="DS12">
        <v>4544</v>
      </c>
      <c r="DT12">
        <v>4342</v>
      </c>
      <c r="DU12">
        <v>3893</v>
      </c>
      <c r="DV12">
        <v>4412</v>
      </c>
      <c r="DW12">
        <v>5461</v>
      </c>
      <c r="DX12">
        <v>4232</v>
      </c>
      <c r="DY12">
        <v>5189</v>
      </c>
      <c r="DZ12">
        <v>5842</v>
      </c>
      <c r="EA12">
        <v>5075</v>
      </c>
      <c r="EB12">
        <v>0</v>
      </c>
      <c r="EC12">
        <v>4444</v>
      </c>
      <c r="ED12">
        <v>6731</v>
      </c>
      <c r="EE12">
        <v>5715</v>
      </c>
      <c r="EF12">
        <v>6190</v>
      </c>
      <c r="EG12">
        <v>7147</v>
      </c>
      <c r="EH12">
        <v>5217</v>
      </c>
      <c r="EI12">
        <v>4477</v>
      </c>
      <c r="EJ12">
        <v>7048</v>
      </c>
      <c r="EK12">
        <v>8573</v>
      </c>
      <c r="EL12">
        <v>6715</v>
      </c>
      <c r="EM12">
        <v>7993</v>
      </c>
      <c r="EN12">
        <v>7433</v>
      </c>
      <c r="EO12">
        <v>6220</v>
      </c>
      <c r="EP12">
        <v>4523</v>
      </c>
      <c r="EQ12">
        <v>5557</v>
      </c>
      <c r="ER12">
        <v>6724</v>
      </c>
      <c r="ES12">
        <v>8807</v>
      </c>
      <c r="ET12">
        <v>8439</v>
      </c>
      <c r="EU12">
        <v>6457</v>
      </c>
      <c r="EV12">
        <v>8093</v>
      </c>
      <c r="EW12">
        <v>3203</v>
      </c>
      <c r="EX12">
        <v>6228</v>
      </c>
      <c r="EY12">
        <v>7408</v>
      </c>
      <c r="EZ12">
        <v>9667</v>
      </c>
      <c r="FA12">
        <v>7719</v>
      </c>
      <c r="FB12">
        <v>6376</v>
      </c>
      <c r="FC12">
        <v>7410</v>
      </c>
      <c r="FD12">
        <v>3448</v>
      </c>
      <c r="FE12">
        <v>6740</v>
      </c>
      <c r="FF12">
        <v>7302</v>
      </c>
      <c r="FG12">
        <v>7923</v>
      </c>
      <c r="FH12">
        <v>7641</v>
      </c>
      <c r="FI12">
        <v>7500</v>
      </c>
      <c r="FJ12">
        <v>5942</v>
      </c>
      <c r="FK12">
        <v>3134</v>
      </c>
      <c r="FL12">
        <v>5358</v>
      </c>
      <c r="FM12">
        <v>6672</v>
      </c>
      <c r="FN12">
        <v>4878</v>
      </c>
      <c r="FO12">
        <v>8447</v>
      </c>
      <c r="FP12">
        <v>6670</v>
      </c>
      <c r="FQ12">
        <v>6212</v>
      </c>
      <c r="FR12">
        <v>3291</v>
      </c>
      <c r="FS12">
        <v>5556</v>
      </c>
      <c r="FT12">
        <v>7434</v>
      </c>
      <c r="FU12">
        <v>7114</v>
      </c>
      <c r="FV12">
        <v>8039</v>
      </c>
      <c r="FW12">
        <v>5353</v>
      </c>
      <c r="FX12">
        <v>4443</v>
      </c>
      <c r="FY12">
        <v>6568</v>
      </c>
      <c r="FZ12">
        <v>8090</v>
      </c>
      <c r="GA12">
        <v>8534</v>
      </c>
      <c r="GB12">
        <v>7923</v>
      </c>
      <c r="GC12">
        <v>8124</v>
      </c>
      <c r="GD12">
        <v>9134</v>
      </c>
      <c r="GE12">
        <v>5547</v>
      </c>
      <c r="GF12">
        <v>6464</v>
      </c>
      <c r="GG12">
        <v>8469</v>
      </c>
      <c r="GH12">
        <v>11260</v>
      </c>
      <c r="GI12">
        <v>7946</v>
      </c>
      <c r="GJ12">
        <v>11919</v>
      </c>
      <c r="GK12">
        <v>8589</v>
      </c>
      <c r="GL12">
        <v>8909</v>
      </c>
      <c r="GM12">
        <v>3239</v>
      </c>
      <c r="GN12">
        <v>6956</v>
      </c>
      <c r="GO12">
        <v>8730</v>
      </c>
      <c r="GP12">
        <v>12916</v>
      </c>
      <c r="GQ12">
        <v>6622</v>
      </c>
      <c r="GR12">
        <v>5616</v>
      </c>
      <c r="GS12">
        <v>8406</v>
      </c>
      <c r="GT12">
        <v>7842</v>
      </c>
      <c r="GU12">
        <v>8384</v>
      </c>
      <c r="GV12">
        <v>9305</v>
      </c>
      <c r="GW12">
        <v>9966</v>
      </c>
      <c r="GX12">
        <v>10655</v>
      </c>
      <c r="GY12">
        <v>11248</v>
      </c>
      <c r="GZ12">
        <v>7927</v>
      </c>
      <c r="HA12">
        <v>5626</v>
      </c>
      <c r="HB12">
        <v>6387</v>
      </c>
      <c r="HC12">
        <v>8030</v>
      </c>
      <c r="HD12">
        <v>13326</v>
      </c>
      <c r="HE12">
        <v>7988</v>
      </c>
      <c r="HF12">
        <v>8575</v>
      </c>
      <c r="HG12">
        <v>7131</v>
      </c>
      <c r="HH12">
        <v>3030</v>
      </c>
      <c r="HI12">
        <v>11301</v>
      </c>
      <c r="HJ12">
        <v>7718</v>
      </c>
      <c r="HK12">
        <v>7800</v>
      </c>
      <c r="HL12">
        <v>11049</v>
      </c>
      <c r="HM12">
        <v>8495</v>
      </c>
      <c r="HN12">
        <v>7425</v>
      </c>
      <c r="HO12">
        <v>6611</v>
      </c>
      <c r="HP12">
        <v>6876</v>
      </c>
      <c r="HQ12">
        <v>8277</v>
      </c>
      <c r="HR12">
        <v>8659</v>
      </c>
      <c r="HS12">
        <v>7447</v>
      </c>
      <c r="HT12">
        <v>5470</v>
      </c>
      <c r="HU12">
        <v>6083</v>
      </c>
      <c r="HV12">
        <v>3129</v>
      </c>
      <c r="HW12">
        <v>4562</v>
      </c>
      <c r="HX12">
        <v>5768</v>
      </c>
      <c r="HY12">
        <v>8214</v>
      </c>
      <c r="HZ12">
        <v>6794</v>
      </c>
      <c r="IA12">
        <v>5591</v>
      </c>
      <c r="IB12">
        <v>5234</v>
      </c>
      <c r="IC12">
        <v>3080</v>
      </c>
      <c r="ID12">
        <v>4869</v>
      </c>
      <c r="IE12">
        <v>7400</v>
      </c>
      <c r="IF12">
        <v>7677</v>
      </c>
      <c r="IG12">
        <v>5733</v>
      </c>
      <c r="IH12">
        <v>5547</v>
      </c>
      <c r="II12">
        <v>4456</v>
      </c>
      <c r="IJ12">
        <v>4282</v>
      </c>
      <c r="IK12">
        <v>4566</v>
      </c>
      <c r="IL12">
        <v>5715</v>
      </c>
      <c r="IM12">
        <v>6745</v>
      </c>
      <c r="IN12">
        <v>5206</v>
      </c>
      <c r="IO12">
        <v>5285</v>
      </c>
      <c r="IP12">
        <v>4438</v>
      </c>
      <c r="IQ12">
        <v>1634</v>
      </c>
      <c r="IR12">
        <v>5332</v>
      </c>
      <c r="IS12">
        <v>4990</v>
      </c>
      <c r="IT12">
        <v>4809</v>
      </c>
      <c r="IU12">
        <v>5501</v>
      </c>
      <c r="IV12">
        <v>4096</v>
      </c>
      <c r="IW12">
        <v>3818</v>
      </c>
      <c r="IX12">
        <v>0</v>
      </c>
      <c r="IY12">
        <v>3384</v>
      </c>
      <c r="IZ12">
        <v>4345</v>
      </c>
      <c r="JA12">
        <v>3261</v>
      </c>
      <c r="JB12">
        <v>7473</v>
      </c>
      <c r="JC12">
        <v>4225</v>
      </c>
      <c r="JD12">
        <v>3179</v>
      </c>
      <c r="JE12">
        <v>1429</v>
      </c>
      <c r="JF12">
        <v>2934</v>
      </c>
      <c r="JG12">
        <v>3270</v>
      </c>
      <c r="JH12">
        <v>4054</v>
      </c>
      <c r="JI12">
        <v>2799</v>
      </c>
      <c r="JJ12">
        <v>3003</v>
      </c>
      <c r="JK12">
        <v>2566</v>
      </c>
      <c r="JL12">
        <v>627</v>
      </c>
      <c r="JM12">
        <v>3225</v>
      </c>
      <c r="JN12">
        <v>7713</v>
      </c>
      <c r="JO12">
        <v>4526</v>
      </c>
      <c r="JP12">
        <v>3463</v>
      </c>
      <c r="JQ12">
        <v>3550</v>
      </c>
      <c r="JR12">
        <v>2896</v>
      </c>
      <c r="JS12">
        <v>986</v>
      </c>
      <c r="JT12">
        <v>2995</v>
      </c>
      <c r="JU12">
        <v>2843</v>
      </c>
      <c r="JV12">
        <v>3737</v>
      </c>
      <c r="JW12">
        <v>3076</v>
      </c>
      <c r="JX12">
        <v>2795</v>
      </c>
      <c r="JY12">
        <v>2058</v>
      </c>
      <c r="JZ12">
        <v>1452</v>
      </c>
      <c r="KA12">
        <v>0</v>
      </c>
      <c r="KB12">
        <v>0</v>
      </c>
      <c r="KC12">
        <v>3079</v>
      </c>
      <c r="KD12">
        <v>2790</v>
      </c>
      <c r="KE12">
        <v>2768</v>
      </c>
      <c r="KF12">
        <v>2001</v>
      </c>
      <c r="KG12">
        <v>1564</v>
      </c>
      <c r="KH12">
        <v>2374</v>
      </c>
      <c r="KI12">
        <v>2586</v>
      </c>
      <c r="KJ12">
        <v>2549</v>
      </c>
      <c r="KK12">
        <v>2344</v>
      </c>
      <c r="KL12">
        <v>2285</v>
      </c>
      <c r="KM12">
        <v>1962</v>
      </c>
      <c r="KN12">
        <v>780</v>
      </c>
      <c r="KO12">
        <v>2010</v>
      </c>
      <c r="KP12">
        <v>2316</v>
      </c>
      <c r="KQ12">
        <v>2260</v>
      </c>
      <c r="KR12">
        <v>2032</v>
      </c>
      <c r="KS12">
        <v>1950</v>
      </c>
      <c r="KT12">
        <v>1629</v>
      </c>
      <c r="KU12">
        <v>691</v>
      </c>
      <c r="KV12">
        <v>1568</v>
      </c>
      <c r="KW12">
        <v>1798</v>
      </c>
      <c r="KX12">
        <v>1711</v>
      </c>
      <c r="KY12">
        <v>1617</v>
      </c>
      <c r="KZ12">
        <v>1765</v>
      </c>
      <c r="LA12">
        <v>1490</v>
      </c>
      <c r="LB12">
        <v>611</v>
      </c>
      <c r="LC12">
        <v>1366</v>
      </c>
      <c r="LD12">
        <v>1502</v>
      </c>
      <c r="LE12">
        <v>722</v>
      </c>
      <c r="LF12">
        <v>699</v>
      </c>
      <c r="LG12">
        <v>2099</v>
      </c>
      <c r="LH12">
        <v>1808</v>
      </c>
      <c r="LI12">
        <v>1244</v>
      </c>
      <c r="LJ12">
        <v>2207</v>
      </c>
      <c r="LK12">
        <v>2416</v>
      </c>
      <c r="LL12">
        <v>1993</v>
      </c>
      <c r="LM12">
        <v>1496</v>
      </c>
      <c r="LN12">
        <v>1571</v>
      </c>
      <c r="LO12">
        <v>1217</v>
      </c>
      <c r="LP12">
        <v>503</v>
      </c>
      <c r="LQ12">
        <v>1186</v>
      </c>
      <c r="LR12">
        <v>1482</v>
      </c>
      <c r="LS12">
        <v>1502</v>
      </c>
      <c r="LT12">
        <v>1319</v>
      </c>
      <c r="LU12">
        <v>1497</v>
      </c>
      <c r="LV12">
        <v>978</v>
      </c>
      <c r="LW12">
        <v>553</v>
      </c>
      <c r="LX12">
        <v>0</v>
      </c>
      <c r="LY12">
        <v>1468</v>
      </c>
      <c r="LZ12">
        <v>1371</v>
      </c>
      <c r="MA12">
        <v>1396</v>
      </c>
      <c r="MB12">
        <v>1173</v>
      </c>
      <c r="MC12">
        <v>918</v>
      </c>
      <c r="MD12">
        <v>412</v>
      </c>
      <c r="ME12">
        <v>1126</v>
      </c>
      <c r="MF12">
        <v>1360</v>
      </c>
      <c r="MG12">
        <v>1118</v>
      </c>
      <c r="MH12">
        <v>1116</v>
      </c>
      <c r="MI12">
        <v>1134</v>
      </c>
      <c r="MJ12">
        <v>0</v>
      </c>
      <c r="MK12">
        <v>364</v>
      </c>
      <c r="ML12">
        <v>415</v>
      </c>
      <c r="MM12">
        <v>1004</v>
      </c>
      <c r="MN12">
        <v>1108</v>
      </c>
      <c r="MO12">
        <v>974</v>
      </c>
      <c r="MP12">
        <v>1040</v>
      </c>
      <c r="MQ12">
        <v>902</v>
      </c>
      <c r="MR12">
        <v>474</v>
      </c>
      <c r="MS12">
        <v>943</v>
      </c>
      <c r="MT12">
        <v>1085</v>
      </c>
      <c r="MU12">
        <v>957</v>
      </c>
      <c r="MV12">
        <v>813</v>
      </c>
      <c r="MW12">
        <v>1021</v>
      </c>
      <c r="MX12">
        <v>759</v>
      </c>
      <c r="MY12">
        <v>272</v>
      </c>
      <c r="MZ12">
        <v>936</v>
      </c>
      <c r="NA12">
        <v>1018</v>
      </c>
      <c r="NB12">
        <v>1068</v>
      </c>
      <c r="NC12">
        <v>1153</v>
      </c>
      <c r="ND12">
        <v>886</v>
      </c>
      <c r="NE12">
        <v>589</v>
      </c>
      <c r="NF12">
        <v>644</v>
      </c>
      <c r="NG12">
        <v>779</v>
      </c>
      <c r="NH12">
        <v>996</v>
      </c>
      <c r="NI12">
        <v>1048</v>
      </c>
      <c r="NJ12">
        <v>899</v>
      </c>
      <c r="NK12">
        <v>887</v>
      </c>
      <c r="NL12">
        <v>773</v>
      </c>
      <c r="NM12">
        <v>320</v>
      </c>
      <c r="NN12">
        <v>865</v>
      </c>
      <c r="NO12">
        <v>1086</v>
      </c>
      <c r="NP12">
        <v>1016</v>
      </c>
      <c r="NQ12">
        <v>962</v>
      </c>
      <c r="NR12">
        <v>0</v>
      </c>
      <c r="NS12">
        <v>792</v>
      </c>
      <c r="NT12">
        <v>377</v>
      </c>
      <c r="NU12">
        <v>833</v>
      </c>
      <c r="NV12">
        <v>1034</v>
      </c>
      <c r="NW12">
        <v>923</v>
      </c>
      <c r="NX12">
        <v>919</v>
      </c>
      <c r="NY12">
        <v>564</v>
      </c>
      <c r="NZ12">
        <v>675</v>
      </c>
      <c r="OA12">
        <v>412</v>
      </c>
      <c r="OB12">
        <v>679</v>
      </c>
      <c r="OC12">
        <v>891</v>
      </c>
      <c r="OD12">
        <v>1122</v>
      </c>
      <c r="OE12">
        <v>983</v>
      </c>
      <c r="OF12">
        <v>814</v>
      </c>
      <c r="OG12">
        <v>844</v>
      </c>
      <c r="OH12">
        <v>387</v>
      </c>
      <c r="OI12">
        <v>775</v>
      </c>
      <c r="OJ12">
        <v>1034</v>
      </c>
      <c r="OK12">
        <v>0</v>
      </c>
      <c r="OL12">
        <v>1043</v>
      </c>
      <c r="OM12">
        <v>969</v>
      </c>
      <c r="ON12">
        <v>758</v>
      </c>
      <c r="OO12">
        <v>400</v>
      </c>
      <c r="OP12">
        <v>793</v>
      </c>
      <c r="OQ12">
        <v>986</v>
      </c>
      <c r="OR12">
        <v>998</v>
      </c>
      <c r="OS12" s="3">
        <v>840</v>
      </c>
      <c r="OT12">
        <v>1032</v>
      </c>
      <c r="OU12">
        <v>888</v>
      </c>
      <c r="OV12">
        <v>393</v>
      </c>
      <c r="OW12">
        <v>482</v>
      </c>
      <c r="OX12">
        <v>639</v>
      </c>
      <c r="OY12">
        <v>1114</v>
      </c>
      <c r="OZ12">
        <v>1062</v>
      </c>
      <c r="PA12">
        <v>1070</v>
      </c>
      <c r="PB12">
        <v>954</v>
      </c>
      <c r="PC12">
        <v>380</v>
      </c>
      <c r="PD12">
        <v>1001</v>
      </c>
      <c r="PE12">
        <v>1238</v>
      </c>
      <c r="PF12">
        <v>1237</v>
      </c>
      <c r="PG12">
        <v>1148</v>
      </c>
      <c r="PH12">
        <v>1034</v>
      </c>
      <c r="PI12">
        <v>995</v>
      </c>
      <c r="PJ12">
        <v>830</v>
      </c>
      <c r="PK12">
        <v>1459</v>
      </c>
      <c r="PL12">
        <v>1370</v>
      </c>
      <c r="PM12">
        <v>1415</v>
      </c>
      <c r="PN12">
        <v>1537</v>
      </c>
      <c r="PO12">
        <v>1725</v>
      </c>
      <c r="PP12">
        <v>1465</v>
      </c>
      <c r="PQ12">
        <v>773</v>
      </c>
      <c r="PR12">
        <v>1539</v>
      </c>
      <c r="PS12">
        <v>1556</v>
      </c>
      <c r="PT12">
        <v>1529</v>
      </c>
      <c r="PU12">
        <v>0</v>
      </c>
      <c r="PV12">
        <v>1574</v>
      </c>
      <c r="PW12">
        <v>1326</v>
      </c>
      <c r="PX12">
        <v>895</v>
      </c>
      <c r="PY12">
        <v>1381</v>
      </c>
      <c r="PZ12">
        <v>0</v>
      </c>
      <c r="QA12">
        <v>1579</v>
      </c>
      <c r="QB12">
        <v>1606</v>
      </c>
      <c r="QC12">
        <v>1619</v>
      </c>
      <c r="QD12">
        <v>769</v>
      </c>
      <c r="QE12">
        <v>1731</v>
      </c>
      <c r="QF12">
        <v>1487</v>
      </c>
      <c r="QG12">
        <v>1814</v>
      </c>
      <c r="QH12">
        <v>1224</v>
      </c>
      <c r="QI12">
        <v>1356</v>
      </c>
      <c r="QJ12">
        <v>0</v>
      </c>
      <c r="QK12">
        <v>0</v>
      </c>
      <c r="QL12">
        <v>945</v>
      </c>
      <c r="QM12">
        <v>1478</v>
      </c>
      <c r="QN12">
        <v>1660</v>
      </c>
      <c r="QO12">
        <v>1724</v>
      </c>
      <c r="QP12">
        <v>1703</v>
      </c>
      <c r="QQ12">
        <v>1856</v>
      </c>
      <c r="QR12">
        <v>1581</v>
      </c>
      <c r="QS12">
        <v>885</v>
      </c>
      <c r="QT12">
        <v>1510</v>
      </c>
      <c r="QU12">
        <v>1782</v>
      </c>
      <c r="QV12">
        <v>2052</v>
      </c>
      <c r="QW12">
        <v>1336</v>
      </c>
      <c r="QX12">
        <v>5922</v>
      </c>
      <c r="QY12">
        <v>492</v>
      </c>
      <c r="QZ12">
        <v>2063</v>
      </c>
      <c r="RA12">
        <v>2112</v>
      </c>
      <c r="RB12">
        <v>4020</v>
      </c>
      <c r="RC12">
        <v>4760</v>
      </c>
      <c r="RD12">
        <v>4577</v>
      </c>
      <c r="RE12">
        <v>0</v>
      </c>
      <c r="RF12">
        <v>4346</v>
      </c>
      <c r="RG12">
        <v>3497</v>
      </c>
      <c r="RH12">
        <v>5182</v>
      </c>
      <c r="RI12">
        <v>8687</v>
      </c>
      <c r="RJ12">
        <v>11174</v>
      </c>
      <c r="RK12">
        <v>12833</v>
      </c>
      <c r="RL12">
        <v>16135</v>
      </c>
      <c r="RM12">
        <v>0</v>
      </c>
      <c r="RN12">
        <v>12476</v>
      </c>
      <c r="RO12">
        <v>24288</v>
      </c>
      <c r="RP12">
        <v>27772</v>
      </c>
      <c r="RQ12">
        <v>33360</v>
      </c>
      <c r="RR12">
        <v>39080</v>
      </c>
      <c r="RS12">
        <v>49745</v>
      </c>
      <c r="RT12">
        <v>0</v>
      </c>
      <c r="RU12">
        <v>25700</v>
      </c>
      <c r="RV12">
        <v>36398</v>
      </c>
      <c r="RW12">
        <v>54942</v>
      </c>
      <c r="RX12">
        <v>56883</v>
      </c>
      <c r="RY12">
        <v>59470</v>
      </c>
      <c r="RZ12">
        <v>54696</v>
      </c>
      <c r="SA12">
        <v>51936</v>
      </c>
      <c r="SB12">
        <v>30109</v>
      </c>
      <c r="SC12">
        <v>44496</v>
      </c>
      <c r="SD12">
        <v>49601</v>
      </c>
      <c r="SE12">
        <v>50044</v>
      </c>
      <c r="SF12">
        <v>40331</v>
      </c>
      <c r="SG12">
        <v>0</v>
      </c>
      <c r="SH12">
        <v>27918</v>
      </c>
      <c r="SI12">
        <v>15132</v>
      </c>
      <c r="SJ12">
        <v>22627</v>
      </c>
      <c r="SK12">
        <v>23986</v>
      </c>
      <c r="SL12">
        <v>22542</v>
      </c>
      <c r="SM12">
        <v>22597</v>
      </c>
      <c r="SN12">
        <v>18008</v>
      </c>
      <c r="SO12">
        <v>14191</v>
      </c>
      <c r="SP12">
        <v>9406</v>
      </c>
      <c r="SQ12">
        <v>11651</v>
      </c>
      <c r="SR12">
        <v>13091</v>
      </c>
      <c r="SS12">
        <v>0</v>
      </c>
      <c r="ST12">
        <v>13693</v>
      </c>
      <c r="SU12">
        <v>10859</v>
      </c>
      <c r="SV12">
        <v>9927</v>
      </c>
      <c r="SW12">
        <v>4032</v>
      </c>
      <c r="SX12">
        <v>7077</v>
      </c>
      <c r="SY12">
        <v>9520</v>
      </c>
      <c r="SZ12">
        <v>8656</v>
      </c>
      <c r="TA12">
        <v>6787</v>
      </c>
      <c r="TB12">
        <v>9236</v>
      </c>
      <c r="TC12">
        <v>5021</v>
      </c>
      <c r="TD12">
        <v>1887</v>
      </c>
      <c r="TE12">
        <v>2984</v>
      </c>
      <c r="TF12">
        <v>3012</v>
      </c>
      <c r="TG12">
        <v>2183</v>
      </c>
      <c r="TH12">
        <v>2567</v>
      </c>
      <c r="TI12">
        <v>3762</v>
      </c>
      <c r="TJ12">
        <v>3860</v>
      </c>
      <c r="TK12">
        <v>996</v>
      </c>
      <c r="TL12">
        <v>1461</v>
      </c>
      <c r="TM12">
        <v>1883</v>
      </c>
      <c r="TN12">
        <v>1880</v>
      </c>
      <c r="TO12">
        <v>2020</v>
      </c>
      <c r="TP12">
        <v>0</v>
      </c>
      <c r="TQ12">
        <v>3045</v>
      </c>
      <c r="TR12">
        <v>489</v>
      </c>
      <c r="TS12">
        <v>901</v>
      </c>
      <c r="TT12">
        <v>1065</v>
      </c>
      <c r="TU12">
        <v>1071</v>
      </c>
      <c r="TV12">
        <v>3612</v>
      </c>
      <c r="TW12">
        <v>1039</v>
      </c>
      <c r="TX12">
        <v>770</v>
      </c>
      <c r="TY12">
        <v>346</v>
      </c>
      <c r="TZ12">
        <v>646</v>
      </c>
      <c r="UA12">
        <v>965</v>
      </c>
      <c r="UB12">
        <v>947</v>
      </c>
      <c r="UC12">
        <v>0</v>
      </c>
      <c r="UD12">
        <v>685</v>
      </c>
      <c r="UE12">
        <v>604</v>
      </c>
      <c r="UF12">
        <v>597</v>
      </c>
      <c r="UG12">
        <v>608</v>
      </c>
      <c r="UH12">
        <v>0</v>
      </c>
      <c r="UI12">
        <v>611</v>
      </c>
      <c r="UJ12">
        <v>548</v>
      </c>
      <c r="UK12">
        <v>524</v>
      </c>
      <c r="UL12">
        <v>541</v>
      </c>
      <c r="UM12">
        <v>225</v>
      </c>
      <c r="UN12">
        <v>0</v>
      </c>
      <c r="UO12">
        <v>613</v>
      </c>
      <c r="UP12">
        <v>429</v>
      </c>
      <c r="UQ12">
        <v>482</v>
      </c>
      <c r="UR12">
        <v>471</v>
      </c>
      <c r="US12">
        <v>471</v>
      </c>
      <c r="UT12">
        <v>158</v>
      </c>
      <c r="UU12">
        <v>311</v>
      </c>
      <c r="UV12">
        <v>483</v>
      </c>
      <c r="UW12">
        <v>729</v>
      </c>
      <c r="UX12">
        <v>551</v>
      </c>
      <c r="UY12">
        <v>454</v>
      </c>
      <c r="UZ12">
        <v>295</v>
      </c>
      <c r="VA12">
        <v>260</v>
      </c>
      <c r="VB12">
        <v>667</v>
      </c>
      <c r="VC12">
        <v>0</v>
      </c>
      <c r="VD12">
        <v>796</v>
      </c>
      <c r="VE12">
        <v>470</v>
      </c>
      <c r="VF12">
        <v>0</v>
      </c>
      <c r="VG12">
        <v>600</v>
      </c>
      <c r="VH12">
        <v>645</v>
      </c>
      <c r="VI12">
        <v>755</v>
      </c>
      <c r="VJ12">
        <v>730</v>
      </c>
      <c r="VK12">
        <v>744</v>
      </c>
      <c r="VL12">
        <v>752</v>
      </c>
      <c r="VM12">
        <v>0</v>
      </c>
      <c r="VN12">
        <v>781</v>
      </c>
      <c r="VO12">
        <v>801</v>
      </c>
      <c r="VP12">
        <v>623</v>
      </c>
      <c r="VQ12">
        <v>851</v>
      </c>
      <c r="VR12">
        <v>778</v>
      </c>
      <c r="VS12">
        <v>695</v>
      </c>
      <c r="VT12">
        <v>684</v>
      </c>
      <c r="VU12">
        <v>648</v>
      </c>
      <c r="VV12">
        <v>648</v>
      </c>
      <c r="VW12">
        <v>648</v>
      </c>
      <c r="VX12">
        <v>692</v>
      </c>
      <c r="VY12">
        <v>334</v>
      </c>
      <c r="VZ12">
        <v>300</v>
      </c>
      <c r="WA12">
        <v>300</v>
      </c>
      <c r="WB12">
        <v>456</v>
      </c>
      <c r="WC12">
        <v>293</v>
      </c>
      <c r="WD12">
        <v>264</v>
      </c>
      <c r="WE12">
        <v>462</v>
      </c>
      <c r="WF12">
        <v>360</v>
      </c>
      <c r="WG12">
        <v>403</v>
      </c>
      <c r="WH12">
        <v>403</v>
      </c>
      <c r="WI12">
        <v>403</v>
      </c>
      <c r="WJ12">
        <v>409</v>
      </c>
      <c r="WK12">
        <v>388</v>
      </c>
      <c r="WL12">
        <v>518</v>
      </c>
      <c r="WM12">
        <v>444</v>
      </c>
      <c r="WN12">
        <v>751</v>
      </c>
      <c r="WO12">
        <v>751</v>
      </c>
      <c r="WP12">
        <v>751</v>
      </c>
      <c r="WQ12">
        <v>601</v>
      </c>
      <c r="WR12">
        <v>601</v>
      </c>
      <c r="WS12">
        <v>601</v>
      </c>
      <c r="WT12">
        <v>601</v>
      </c>
      <c r="WU12">
        <v>1170</v>
      </c>
      <c r="WV12">
        <v>1170</v>
      </c>
      <c r="WW12">
        <v>1170</v>
      </c>
      <c r="WX12">
        <v>613</v>
      </c>
      <c r="WY12">
        <v>613</v>
      </c>
      <c r="WZ12">
        <v>564</v>
      </c>
      <c r="XA12">
        <v>853</v>
      </c>
      <c r="XB12">
        <v>853</v>
      </c>
      <c r="XC12">
        <v>1125</v>
      </c>
      <c r="XD12">
        <v>1125</v>
      </c>
      <c r="XE12">
        <v>386</v>
      </c>
      <c r="XF12">
        <v>1085</v>
      </c>
      <c r="XG12">
        <v>1085</v>
      </c>
      <c r="XH12">
        <v>1085</v>
      </c>
      <c r="XI12">
        <v>1085</v>
      </c>
      <c r="XJ12">
        <v>1085</v>
      </c>
      <c r="XK12">
        <v>1100</v>
      </c>
      <c r="XL12">
        <v>934</v>
      </c>
      <c r="XM12">
        <v>1489</v>
      </c>
      <c r="XN12">
        <v>1489</v>
      </c>
      <c r="XO12">
        <v>1489</v>
      </c>
      <c r="XP12">
        <v>1489</v>
      </c>
      <c r="XQ12">
        <v>1489</v>
      </c>
      <c r="XR12">
        <v>2341</v>
      </c>
      <c r="XS12">
        <v>2341</v>
      </c>
      <c r="XT12">
        <v>2341</v>
      </c>
      <c r="XU12">
        <v>2341</v>
      </c>
      <c r="XV12">
        <v>2341</v>
      </c>
      <c r="XW12">
        <v>2341</v>
      </c>
      <c r="XX12">
        <v>2341</v>
      </c>
      <c r="XY12">
        <v>3465</v>
      </c>
      <c r="XZ12">
        <v>700</v>
      </c>
      <c r="YA12">
        <v>0</v>
      </c>
      <c r="YB12">
        <v>3172</v>
      </c>
      <c r="YC12">
        <v>5122</v>
      </c>
      <c r="YD12">
        <v>2611</v>
      </c>
      <c r="YE12">
        <v>2532</v>
      </c>
      <c r="YF12" s="1">
        <v>4138</v>
      </c>
      <c r="YG12" s="1">
        <v>4138</v>
      </c>
      <c r="YH12" s="1">
        <v>4138</v>
      </c>
      <c r="YI12" s="1">
        <v>6004</v>
      </c>
      <c r="YJ12">
        <v>6106</v>
      </c>
      <c r="YK12">
        <v>6358</v>
      </c>
      <c r="YL12">
        <v>6109</v>
      </c>
      <c r="YM12">
        <v>8061</v>
      </c>
      <c r="YN12">
        <v>8000</v>
      </c>
      <c r="YO12">
        <v>8000</v>
      </c>
      <c r="YP12">
        <v>12538</v>
      </c>
      <c r="YQ12">
        <v>15518</v>
      </c>
      <c r="YR12">
        <v>0</v>
      </c>
      <c r="YS12">
        <v>10982</v>
      </c>
      <c r="YT12">
        <v>8774</v>
      </c>
      <c r="YU12">
        <v>11810</v>
      </c>
      <c r="YV12">
        <v>12288</v>
      </c>
      <c r="YW12">
        <v>12971</v>
      </c>
      <c r="YX12">
        <v>12971</v>
      </c>
      <c r="YY12">
        <v>12971</v>
      </c>
      <c r="YZ12">
        <v>12971</v>
      </c>
      <c r="ZA12">
        <v>9324</v>
      </c>
      <c r="ZB12">
        <v>5994</v>
      </c>
      <c r="ZC12">
        <v>14186</v>
      </c>
      <c r="ZD12">
        <v>14423</v>
      </c>
      <c r="ZE12">
        <v>15327</v>
      </c>
      <c r="ZF12">
        <v>5454</v>
      </c>
      <c r="ZG12">
        <v>8920</v>
      </c>
      <c r="ZH12">
        <v>4636</v>
      </c>
      <c r="ZI12">
        <v>9238</v>
      </c>
      <c r="ZJ12">
        <v>9094</v>
      </c>
      <c r="ZK12">
        <v>7644</v>
      </c>
      <c r="ZL12">
        <v>11013</v>
      </c>
      <c r="ZM12">
        <v>0</v>
      </c>
      <c r="ZN12">
        <v>5385</v>
      </c>
      <c r="ZO12">
        <v>3438</v>
      </c>
      <c r="ZP12">
        <v>0</v>
      </c>
      <c r="ZQ12">
        <v>11878</v>
      </c>
      <c r="ZR12">
        <v>10221</v>
      </c>
      <c r="ZS12">
        <v>10882</v>
      </c>
      <c r="ZT12">
        <v>8185</v>
      </c>
      <c r="ZU12">
        <v>5598</v>
      </c>
      <c r="ZV12">
        <v>3393</v>
      </c>
      <c r="ZW12">
        <v>6970</v>
      </c>
      <c r="ZX12">
        <v>8693</v>
      </c>
      <c r="ZY12">
        <v>8784</v>
      </c>
      <c r="ZZ12">
        <v>0</v>
      </c>
      <c r="AAA12">
        <v>0</v>
      </c>
      <c r="AAB12">
        <v>3421</v>
      </c>
      <c r="AAC12">
        <v>0</v>
      </c>
      <c r="AAD12">
        <v>2725</v>
      </c>
      <c r="AAE12">
        <v>5486</v>
      </c>
      <c r="AAF12">
        <v>4739</v>
      </c>
      <c r="AAG12">
        <v>3286</v>
      </c>
      <c r="AAH12">
        <v>2878</v>
      </c>
      <c r="AAI12">
        <v>2255</v>
      </c>
      <c r="AAJ12">
        <v>1138</v>
      </c>
      <c r="AAK12">
        <v>1718</v>
      </c>
      <c r="AAL12">
        <v>1233</v>
      </c>
      <c r="AAM12">
        <v>3618</v>
      </c>
      <c r="AAN12">
        <v>0</v>
      </c>
      <c r="AAO12">
        <v>0</v>
      </c>
      <c r="AAP12">
        <v>1550</v>
      </c>
      <c r="AAQ12">
        <v>761</v>
      </c>
      <c r="AAR12">
        <v>1368</v>
      </c>
      <c r="AAS12">
        <v>1546</v>
      </c>
      <c r="AAT12">
        <v>0</v>
      </c>
      <c r="AAU12">
        <v>2399</v>
      </c>
      <c r="AAV12">
        <v>0</v>
      </c>
      <c r="AAW12">
        <v>813</v>
      </c>
      <c r="AAX12">
        <v>441</v>
      </c>
      <c r="AAY12">
        <v>1150</v>
      </c>
      <c r="AAZ12">
        <v>1068</v>
      </c>
      <c r="ABA12">
        <v>1360</v>
      </c>
      <c r="ABB12">
        <v>0</v>
      </c>
      <c r="ABC12">
        <v>0</v>
      </c>
      <c r="ABD12">
        <v>691</v>
      </c>
      <c r="ABE12">
        <v>242</v>
      </c>
      <c r="ABF12">
        <v>2212</v>
      </c>
      <c r="ABG12">
        <v>2173</v>
      </c>
      <c r="ABH12">
        <v>1665</v>
      </c>
      <c r="ABI12">
        <v>0</v>
      </c>
      <c r="ABJ12">
        <v>745</v>
      </c>
      <c r="ABK12">
        <v>367</v>
      </c>
      <c r="ABL12">
        <v>169</v>
      </c>
      <c r="ABM12">
        <v>694</v>
      </c>
      <c r="ABN12">
        <v>981</v>
      </c>
      <c r="ABO12">
        <v>784</v>
      </c>
      <c r="ABP12">
        <v>547</v>
      </c>
      <c r="ABQ12">
        <v>253</v>
      </c>
      <c r="ABR12">
        <v>253</v>
      </c>
      <c r="ABS12">
        <v>148</v>
      </c>
      <c r="ABT12">
        <v>551</v>
      </c>
      <c r="ABU12">
        <v>858</v>
      </c>
      <c r="ABV12">
        <v>964</v>
      </c>
      <c r="ABW12">
        <v>130</v>
      </c>
      <c r="ABX12">
        <v>130</v>
      </c>
      <c r="ABY12">
        <v>130</v>
      </c>
      <c r="ABZ12">
        <v>130</v>
      </c>
      <c r="ACA12">
        <v>388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95</v>
      </c>
      <c r="ACH12">
        <v>212</v>
      </c>
      <c r="ACI12">
        <v>370</v>
      </c>
      <c r="ACJ12">
        <v>291</v>
      </c>
      <c r="ACK12">
        <v>215</v>
      </c>
      <c r="ACL12">
        <v>215</v>
      </c>
      <c r="ACM12">
        <v>215</v>
      </c>
      <c r="ACN12">
        <v>224</v>
      </c>
      <c r="ACO12">
        <v>224</v>
      </c>
      <c r="ACP12">
        <v>314</v>
      </c>
      <c r="ACQ12">
        <v>314</v>
      </c>
      <c r="ACR12">
        <v>0</v>
      </c>
      <c r="ACS12">
        <v>0</v>
      </c>
      <c r="ACT12">
        <v>0</v>
      </c>
      <c r="ACU12">
        <v>645</v>
      </c>
      <c r="ACV12">
        <v>399</v>
      </c>
      <c r="ACW12">
        <v>399</v>
      </c>
      <c r="ACX12">
        <v>399</v>
      </c>
      <c r="ACY12">
        <v>399</v>
      </c>
      <c r="ACZ12">
        <v>399</v>
      </c>
      <c r="ADA12">
        <v>399</v>
      </c>
      <c r="ADB12">
        <v>152</v>
      </c>
      <c r="ADC12">
        <v>1557</v>
      </c>
      <c r="ADD12">
        <v>2103</v>
      </c>
      <c r="ADE12">
        <v>2103</v>
      </c>
      <c r="ADF12">
        <v>0</v>
      </c>
      <c r="ADG12">
        <v>0</v>
      </c>
      <c r="ADH12">
        <v>0</v>
      </c>
      <c r="ADI12">
        <v>2403</v>
      </c>
      <c r="ADJ12">
        <v>2403</v>
      </c>
      <c r="ADK12">
        <v>2403</v>
      </c>
      <c r="ADL12">
        <v>4726</v>
      </c>
      <c r="ADM12">
        <v>4726</v>
      </c>
      <c r="ADN12">
        <v>4726</v>
      </c>
      <c r="ADO12">
        <v>4726</v>
      </c>
      <c r="ADP12">
        <v>4726</v>
      </c>
      <c r="ADQ12">
        <v>4726</v>
      </c>
      <c r="ADR12">
        <v>3495</v>
      </c>
      <c r="ADS12">
        <v>3495</v>
      </c>
      <c r="ADT12">
        <v>3495</v>
      </c>
      <c r="ADU12">
        <v>3495</v>
      </c>
      <c r="ADV12">
        <v>3495</v>
      </c>
      <c r="ADW12">
        <v>8863</v>
      </c>
      <c r="ADX12">
        <v>8863</v>
      </c>
      <c r="ADY12">
        <v>9203</v>
      </c>
      <c r="ADZ12">
        <v>9203</v>
      </c>
      <c r="AEA12">
        <v>9203</v>
      </c>
      <c r="AEB12">
        <v>9203</v>
      </c>
      <c r="AEC12">
        <v>9203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0</v>
      </c>
      <c r="AEJ12">
        <v>0</v>
      </c>
      <c r="AEK12">
        <v>3830</v>
      </c>
      <c r="AEL12">
        <v>3830</v>
      </c>
      <c r="AEM12">
        <v>3830</v>
      </c>
      <c r="AEN12">
        <v>3830</v>
      </c>
      <c r="AEO12">
        <v>3830</v>
      </c>
      <c r="AEP12">
        <v>3830</v>
      </c>
      <c r="AEQ12">
        <v>3830</v>
      </c>
      <c r="AER12">
        <v>1617</v>
      </c>
      <c r="AES12">
        <v>1617</v>
      </c>
      <c r="AET12">
        <v>1617</v>
      </c>
      <c r="AEU12">
        <v>1617</v>
      </c>
      <c r="AEV12">
        <v>1617</v>
      </c>
      <c r="AEW12">
        <v>1617</v>
      </c>
      <c r="AEX12">
        <v>1617</v>
      </c>
      <c r="AEY12">
        <v>1617</v>
      </c>
      <c r="AEZ12">
        <v>1617</v>
      </c>
      <c r="AFA12">
        <v>1617</v>
      </c>
      <c r="AFB12">
        <v>1617</v>
      </c>
      <c r="AFC12">
        <v>1617</v>
      </c>
      <c r="AFD12">
        <v>1617</v>
      </c>
      <c r="AFE12">
        <v>591</v>
      </c>
      <c r="AFF12">
        <v>591</v>
      </c>
      <c r="AFG12">
        <v>591</v>
      </c>
      <c r="AFH12">
        <v>591</v>
      </c>
      <c r="AFI12">
        <v>591</v>
      </c>
      <c r="AFJ12">
        <v>591</v>
      </c>
      <c r="AFK12">
        <v>591</v>
      </c>
      <c r="AFL12">
        <v>591</v>
      </c>
      <c r="AFM12">
        <v>591</v>
      </c>
      <c r="AFN12">
        <v>846</v>
      </c>
      <c r="AFO12">
        <v>846</v>
      </c>
      <c r="AFP12">
        <v>846</v>
      </c>
      <c r="AFQ12">
        <v>846</v>
      </c>
      <c r="AFR12">
        <v>846</v>
      </c>
      <c r="AFS12">
        <v>846</v>
      </c>
      <c r="AFT12">
        <v>279</v>
      </c>
      <c r="AFU12">
        <v>279</v>
      </c>
      <c r="AFV12">
        <v>279</v>
      </c>
      <c r="AFW12">
        <v>279</v>
      </c>
      <c r="AFX12">
        <v>279</v>
      </c>
      <c r="AFY12">
        <v>279</v>
      </c>
      <c r="AFZ12">
        <v>279</v>
      </c>
      <c r="AGA12">
        <v>187</v>
      </c>
      <c r="AGB12">
        <v>187</v>
      </c>
      <c r="AGC12">
        <v>187</v>
      </c>
      <c r="AGD12">
        <v>187</v>
      </c>
      <c r="AGE12">
        <v>187</v>
      </c>
      <c r="AGF12">
        <v>187</v>
      </c>
      <c r="AGG12">
        <v>187</v>
      </c>
      <c r="AGH12">
        <v>187</v>
      </c>
      <c r="AGI12">
        <v>187</v>
      </c>
      <c r="AGJ12">
        <v>187</v>
      </c>
      <c r="AGK12">
        <v>187</v>
      </c>
      <c r="AGL12">
        <v>187</v>
      </c>
      <c r="AGM12">
        <v>187</v>
      </c>
      <c r="AGN12">
        <v>187</v>
      </c>
      <c r="AGO12">
        <v>120</v>
      </c>
      <c r="AGP12">
        <v>120</v>
      </c>
      <c r="AGQ12">
        <v>120</v>
      </c>
      <c r="AGR12">
        <v>120</v>
      </c>
      <c r="AGS12">
        <v>120</v>
      </c>
      <c r="AGT12">
        <v>120</v>
      </c>
      <c r="AGU12">
        <v>120</v>
      </c>
      <c r="AGV12">
        <v>120</v>
      </c>
      <c r="AGW12">
        <v>120</v>
      </c>
      <c r="AGX12">
        <v>120</v>
      </c>
      <c r="AGY12">
        <v>120</v>
      </c>
      <c r="AGZ12">
        <v>120</v>
      </c>
      <c r="AHA12">
        <v>120</v>
      </c>
      <c r="AHB12">
        <v>120</v>
      </c>
      <c r="AHC12">
        <v>334</v>
      </c>
      <c r="AHD12">
        <v>334</v>
      </c>
      <c r="AHE12">
        <v>334</v>
      </c>
      <c r="AHF12">
        <v>334</v>
      </c>
      <c r="AHG12">
        <v>334</v>
      </c>
      <c r="AHH12">
        <v>334</v>
      </c>
      <c r="AHI12">
        <v>334</v>
      </c>
      <c r="AHJ12">
        <v>334</v>
      </c>
      <c r="AHK12">
        <v>0</v>
      </c>
      <c r="AHL12">
        <v>0</v>
      </c>
      <c r="AHM12">
        <v>0</v>
      </c>
      <c r="AHN12">
        <v>0</v>
      </c>
      <c r="AHO12">
        <v>0</v>
      </c>
      <c r="AHP12">
        <v>0</v>
      </c>
      <c r="AHQ12">
        <v>0</v>
      </c>
    </row>
    <row r="13" spans="1:901">
      <c r="A13" s="1" t="s">
        <v>99</v>
      </c>
      <c r="B13">
        <v>75</v>
      </c>
      <c r="C13">
        <v>86</v>
      </c>
      <c r="D13">
        <v>97</v>
      </c>
      <c r="E13">
        <v>82</v>
      </c>
      <c r="F13">
        <v>125</v>
      </c>
      <c r="G13">
        <v>245</v>
      </c>
      <c r="H13">
        <v>156</v>
      </c>
      <c r="I13">
        <v>0</v>
      </c>
      <c r="J13">
        <v>247</v>
      </c>
      <c r="K13">
        <v>214</v>
      </c>
      <c r="L13">
        <v>215</v>
      </c>
      <c r="M13">
        <v>267</v>
      </c>
      <c r="N13">
        <v>84</v>
      </c>
      <c r="O13">
        <v>96</v>
      </c>
      <c r="P13">
        <v>98</v>
      </c>
      <c r="Q13">
        <v>0</v>
      </c>
      <c r="R13">
        <v>183</v>
      </c>
      <c r="S13">
        <v>92</v>
      </c>
      <c r="T13">
        <v>89</v>
      </c>
      <c r="U13">
        <v>95</v>
      </c>
      <c r="V13">
        <v>103</v>
      </c>
      <c r="W13">
        <v>105</v>
      </c>
      <c r="X13">
        <v>109</v>
      </c>
      <c r="Y13">
        <v>119</v>
      </c>
      <c r="Z13">
        <v>126</v>
      </c>
      <c r="AA13">
        <v>139</v>
      </c>
      <c r="AB13">
        <v>145</v>
      </c>
      <c r="AC13">
        <v>286</v>
      </c>
      <c r="AD13">
        <v>295</v>
      </c>
      <c r="AE13">
        <v>204</v>
      </c>
      <c r="AF13">
        <v>191</v>
      </c>
      <c r="AG13">
        <v>210</v>
      </c>
      <c r="AH13">
        <v>160</v>
      </c>
      <c r="AI13">
        <v>149</v>
      </c>
      <c r="AJ13">
        <v>145</v>
      </c>
      <c r="AK13">
        <v>142</v>
      </c>
      <c r="AL13">
        <v>159</v>
      </c>
      <c r="AM13">
        <v>164</v>
      </c>
      <c r="AN13">
        <v>167</v>
      </c>
      <c r="AO13">
        <v>173</v>
      </c>
      <c r="AP13">
        <v>0</v>
      </c>
      <c r="AQ13">
        <v>174</v>
      </c>
      <c r="AR13">
        <v>181</v>
      </c>
      <c r="AS13">
        <v>0</v>
      </c>
      <c r="AT13">
        <v>195</v>
      </c>
      <c r="AU13">
        <v>189</v>
      </c>
      <c r="AV13">
        <v>0</v>
      </c>
      <c r="AW13">
        <v>0</v>
      </c>
      <c r="AX13">
        <v>173</v>
      </c>
      <c r="AY13">
        <v>205</v>
      </c>
      <c r="AZ13">
        <v>184</v>
      </c>
      <c r="BA13">
        <v>179</v>
      </c>
      <c r="BB13">
        <v>0</v>
      </c>
      <c r="BC13">
        <v>0</v>
      </c>
      <c r="BD13">
        <v>0</v>
      </c>
      <c r="BE13">
        <v>0</v>
      </c>
      <c r="BF13">
        <v>168</v>
      </c>
      <c r="BG13">
        <v>165</v>
      </c>
      <c r="BH13">
        <v>163</v>
      </c>
      <c r="BI13">
        <v>158</v>
      </c>
      <c r="BJ13">
        <v>153</v>
      </c>
      <c r="BK13">
        <v>0</v>
      </c>
      <c r="BL13">
        <v>296</v>
      </c>
      <c r="BM13">
        <v>144</v>
      </c>
      <c r="BN13">
        <v>141</v>
      </c>
      <c r="BO13">
        <v>154</v>
      </c>
      <c r="BP13">
        <v>158</v>
      </c>
      <c r="BQ13">
        <v>157</v>
      </c>
      <c r="BR13">
        <v>165</v>
      </c>
      <c r="BS13">
        <v>0</v>
      </c>
      <c r="BT13">
        <v>170</v>
      </c>
      <c r="BU13">
        <v>177</v>
      </c>
      <c r="BV13">
        <v>0</v>
      </c>
      <c r="BW13">
        <v>0</v>
      </c>
      <c r="BX13">
        <v>0</v>
      </c>
      <c r="BY13">
        <v>189</v>
      </c>
      <c r="BZ13">
        <v>0</v>
      </c>
      <c r="CA13">
        <v>188</v>
      </c>
      <c r="CB13">
        <v>203</v>
      </c>
      <c r="CC13">
        <v>212</v>
      </c>
      <c r="CD13">
        <v>201</v>
      </c>
      <c r="CE13">
        <v>214</v>
      </c>
      <c r="CF13">
        <v>206</v>
      </c>
      <c r="CG13">
        <v>190</v>
      </c>
      <c r="CH13">
        <v>0</v>
      </c>
      <c r="CI13">
        <v>205</v>
      </c>
      <c r="CJ13">
        <v>448</v>
      </c>
      <c r="CK13">
        <v>237</v>
      </c>
      <c r="CL13">
        <v>249</v>
      </c>
      <c r="CM13">
        <v>252</v>
      </c>
      <c r="CN13">
        <v>265</v>
      </c>
      <c r="CO13">
        <v>0</v>
      </c>
      <c r="CP13">
        <v>273</v>
      </c>
      <c r="CQ13">
        <v>281</v>
      </c>
      <c r="CR13">
        <v>282</v>
      </c>
      <c r="CS13">
        <v>295</v>
      </c>
      <c r="CT13">
        <v>0</v>
      </c>
      <c r="CU13">
        <v>0</v>
      </c>
      <c r="CV13">
        <v>291</v>
      </c>
      <c r="CW13">
        <v>0</v>
      </c>
      <c r="CX13">
        <v>0</v>
      </c>
      <c r="CY13">
        <v>0</v>
      </c>
      <c r="CZ13">
        <v>258</v>
      </c>
      <c r="DA13">
        <v>269</v>
      </c>
      <c r="DB13">
        <v>276</v>
      </c>
      <c r="DC13">
        <v>0</v>
      </c>
      <c r="DD13">
        <v>282</v>
      </c>
      <c r="DE13">
        <v>273</v>
      </c>
      <c r="DF13">
        <v>288</v>
      </c>
      <c r="DG13">
        <v>284</v>
      </c>
      <c r="DH13">
        <v>268</v>
      </c>
      <c r="DI13">
        <v>290</v>
      </c>
      <c r="DJ13">
        <v>303</v>
      </c>
      <c r="DK13">
        <v>307</v>
      </c>
      <c r="DL13">
        <v>319</v>
      </c>
      <c r="DM13">
        <v>331</v>
      </c>
      <c r="DN13">
        <v>0</v>
      </c>
      <c r="DO13">
        <v>315</v>
      </c>
      <c r="DP13">
        <v>320</v>
      </c>
      <c r="DQ13">
        <v>298</v>
      </c>
      <c r="DR13">
        <v>0</v>
      </c>
      <c r="DS13">
        <v>317</v>
      </c>
      <c r="DT13">
        <v>323</v>
      </c>
      <c r="DU13">
        <v>330</v>
      </c>
      <c r="DV13">
        <v>0</v>
      </c>
      <c r="DW13">
        <v>0</v>
      </c>
      <c r="DX13">
        <v>616</v>
      </c>
      <c r="DY13">
        <v>284</v>
      </c>
      <c r="DZ13">
        <v>277</v>
      </c>
      <c r="EA13">
        <v>269</v>
      </c>
      <c r="EB13">
        <v>261</v>
      </c>
      <c r="EC13">
        <v>259</v>
      </c>
      <c r="ED13">
        <v>251</v>
      </c>
      <c r="EE13">
        <v>0</v>
      </c>
      <c r="EF13">
        <v>0</v>
      </c>
      <c r="EG13">
        <v>0</v>
      </c>
      <c r="EH13">
        <v>243</v>
      </c>
      <c r="EI13">
        <v>229</v>
      </c>
      <c r="EJ13">
        <v>221</v>
      </c>
      <c r="EK13">
        <v>207</v>
      </c>
      <c r="EL13">
        <v>198</v>
      </c>
      <c r="EM13">
        <v>204</v>
      </c>
      <c r="EN13">
        <v>212</v>
      </c>
      <c r="EO13">
        <v>205</v>
      </c>
      <c r="EP13">
        <v>211</v>
      </c>
      <c r="EQ13">
        <v>0</v>
      </c>
      <c r="ER13">
        <v>0</v>
      </c>
      <c r="ES13">
        <v>0</v>
      </c>
      <c r="ET13">
        <v>199</v>
      </c>
      <c r="EU13">
        <v>0</v>
      </c>
      <c r="EV13">
        <v>0</v>
      </c>
      <c r="EW13">
        <v>184</v>
      </c>
      <c r="EX13">
        <v>0</v>
      </c>
      <c r="EY13">
        <v>0</v>
      </c>
      <c r="EZ13">
        <v>172</v>
      </c>
      <c r="FA13">
        <v>0</v>
      </c>
      <c r="FB13">
        <v>0</v>
      </c>
      <c r="FC13">
        <v>0</v>
      </c>
      <c r="FD13">
        <v>689</v>
      </c>
      <c r="FE13">
        <v>0</v>
      </c>
      <c r="FF13">
        <v>0</v>
      </c>
      <c r="FG13">
        <v>157</v>
      </c>
      <c r="FH13">
        <v>154</v>
      </c>
      <c r="FI13">
        <v>0</v>
      </c>
      <c r="FJ13">
        <v>0</v>
      </c>
      <c r="FK13">
        <v>0</v>
      </c>
      <c r="FL13">
        <v>154</v>
      </c>
      <c r="FM13">
        <v>0</v>
      </c>
      <c r="FN13">
        <v>160</v>
      </c>
      <c r="FO13">
        <v>0</v>
      </c>
      <c r="FP13">
        <v>0</v>
      </c>
      <c r="FQ13">
        <v>0</v>
      </c>
      <c r="FR13">
        <v>0</v>
      </c>
      <c r="FS13">
        <v>141</v>
      </c>
      <c r="FT13">
        <v>138</v>
      </c>
      <c r="FU13">
        <v>137</v>
      </c>
      <c r="FV13">
        <v>133</v>
      </c>
      <c r="FW13">
        <v>139</v>
      </c>
      <c r="FX13">
        <v>143</v>
      </c>
      <c r="FY13">
        <v>148</v>
      </c>
      <c r="FZ13">
        <v>154</v>
      </c>
      <c r="GA13">
        <v>0</v>
      </c>
      <c r="GB13">
        <v>0</v>
      </c>
      <c r="GC13">
        <v>0</v>
      </c>
      <c r="GD13">
        <v>171</v>
      </c>
      <c r="GE13">
        <v>156</v>
      </c>
      <c r="GF13">
        <v>0</v>
      </c>
      <c r="GG13">
        <v>141</v>
      </c>
      <c r="GH13">
        <v>135</v>
      </c>
      <c r="GI13">
        <v>0</v>
      </c>
      <c r="GJ13">
        <v>0</v>
      </c>
      <c r="GK13">
        <v>0</v>
      </c>
      <c r="GL13">
        <v>0</v>
      </c>
      <c r="GM13">
        <v>133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154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174</v>
      </c>
      <c r="HA13">
        <v>0</v>
      </c>
      <c r="HB13">
        <v>168</v>
      </c>
      <c r="HC13">
        <v>159</v>
      </c>
      <c r="HD13">
        <v>283</v>
      </c>
      <c r="HE13">
        <v>150</v>
      </c>
      <c r="HF13">
        <v>155</v>
      </c>
      <c r="HG13">
        <v>153</v>
      </c>
      <c r="HH13">
        <v>0</v>
      </c>
      <c r="HI13">
        <v>149</v>
      </c>
      <c r="HJ13">
        <v>156</v>
      </c>
      <c r="HK13">
        <v>154</v>
      </c>
      <c r="HL13">
        <v>157</v>
      </c>
      <c r="HM13">
        <v>150</v>
      </c>
      <c r="HN13">
        <v>0</v>
      </c>
      <c r="HO13">
        <v>303</v>
      </c>
      <c r="HP13">
        <v>151</v>
      </c>
      <c r="HQ13">
        <v>139</v>
      </c>
      <c r="HR13">
        <v>137</v>
      </c>
      <c r="HS13">
        <v>0</v>
      </c>
      <c r="HT13">
        <v>0</v>
      </c>
      <c r="HU13">
        <v>136</v>
      </c>
      <c r="HV13">
        <v>131</v>
      </c>
      <c r="HW13">
        <v>262</v>
      </c>
      <c r="HX13">
        <v>270</v>
      </c>
      <c r="HY13">
        <v>132</v>
      </c>
      <c r="HZ13">
        <v>126</v>
      </c>
      <c r="IA13">
        <v>125</v>
      </c>
      <c r="IB13">
        <v>0</v>
      </c>
      <c r="IC13">
        <v>0</v>
      </c>
      <c r="ID13">
        <v>0</v>
      </c>
      <c r="IE13">
        <v>132</v>
      </c>
      <c r="IF13">
        <v>0</v>
      </c>
      <c r="IG13">
        <v>0</v>
      </c>
      <c r="IH13">
        <v>139</v>
      </c>
      <c r="II13">
        <v>149</v>
      </c>
      <c r="IJ13">
        <v>0</v>
      </c>
      <c r="IK13">
        <v>0</v>
      </c>
      <c r="IL13">
        <v>0</v>
      </c>
      <c r="IM13">
        <v>146</v>
      </c>
      <c r="IN13">
        <v>150</v>
      </c>
      <c r="IO13">
        <v>0</v>
      </c>
      <c r="IP13">
        <v>0</v>
      </c>
      <c r="IQ13">
        <v>145</v>
      </c>
      <c r="IR13">
        <v>147</v>
      </c>
      <c r="IS13">
        <v>0</v>
      </c>
      <c r="IT13">
        <v>0</v>
      </c>
      <c r="IU13">
        <v>140</v>
      </c>
      <c r="IV13">
        <v>143</v>
      </c>
      <c r="IW13">
        <v>0</v>
      </c>
      <c r="IX13">
        <v>151</v>
      </c>
      <c r="IY13">
        <v>0</v>
      </c>
      <c r="IZ13">
        <v>0</v>
      </c>
      <c r="JA13">
        <v>439</v>
      </c>
      <c r="JB13">
        <v>0</v>
      </c>
      <c r="JC13">
        <v>0</v>
      </c>
      <c r="JD13">
        <v>0</v>
      </c>
      <c r="JE13">
        <v>0</v>
      </c>
      <c r="JF13">
        <v>184</v>
      </c>
      <c r="JG13">
        <v>0</v>
      </c>
      <c r="JH13">
        <v>188</v>
      </c>
      <c r="JI13">
        <v>0</v>
      </c>
      <c r="JJ13">
        <v>0</v>
      </c>
      <c r="JK13">
        <v>0</v>
      </c>
      <c r="JL13">
        <v>0</v>
      </c>
      <c r="JM13">
        <v>196</v>
      </c>
      <c r="JN13">
        <v>198</v>
      </c>
      <c r="JO13">
        <v>0</v>
      </c>
      <c r="JP13">
        <v>202</v>
      </c>
      <c r="JQ13">
        <v>0</v>
      </c>
      <c r="JR13">
        <v>0</v>
      </c>
      <c r="JS13">
        <v>191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187</v>
      </c>
      <c r="JZ13">
        <v>194</v>
      </c>
      <c r="KA13">
        <v>0</v>
      </c>
      <c r="KB13">
        <v>0</v>
      </c>
      <c r="KC13">
        <v>0</v>
      </c>
      <c r="KD13">
        <v>0</v>
      </c>
      <c r="KE13">
        <v>221</v>
      </c>
      <c r="KF13">
        <v>0</v>
      </c>
      <c r="KG13">
        <v>228</v>
      </c>
      <c r="KH13">
        <v>0</v>
      </c>
      <c r="KI13">
        <v>0</v>
      </c>
      <c r="KJ13">
        <v>230</v>
      </c>
      <c r="KK13">
        <v>0</v>
      </c>
      <c r="KL13">
        <v>0</v>
      </c>
      <c r="KM13">
        <v>241</v>
      </c>
      <c r="KN13">
        <v>0</v>
      </c>
      <c r="KO13">
        <v>240</v>
      </c>
      <c r="KP13">
        <v>233</v>
      </c>
      <c r="KQ13">
        <v>242</v>
      </c>
      <c r="KR13">
        <v>247</v>
      </c>
      <c r="KS13">
        <v>0</v>
      </c>
      <c r="KT13">
        <v>0</v>
      </c>
      <c r="KU13">
        <v>0</v>
      </c>
      <c r="KV13">
        <v>0</v>
      </c>
      <c r="KW13">
        <v>268</v>
      </c>
      <c r="KX13">
        <v>0</v>
      </c>
      <c r="KY13">
        <v>275</v>
      </c>
      <c r="KZ13">
        <v>0</v>
      </c>
      <c r="LA13">
        <v>0</v>
      </c>
      <c r="LB13">
        <v>270</v>
      </c>
      <c r="LC13">
        <v>277</v>
      </c>
      <c r="LD13">
        <v>280</v>
      </c>
      <c r="LE13">
        <v>276</v>
      </c>
      <c r="LF13">
        <v>285</v>
      </c>
      <c r="LG13">
        <v>0</v>
      </c>
      <c r="LH13">
        <v>0</v>
      </c>
      <c r="LI13">
        <v>297</v>
      </c>
      <c r="LJ13">
        <v>0</v>
      </c>
      <c r="LK13">
        <v>0</v>
      </c>
      <c r="LL13">
        <v>291</v>
      </c>
      <c r="LM13">
        <v>0</v>
      </c>
      <c r="LN13">
        <v>0</v>
      </c>
      <c r="LO13">
        <v>0</v>
      </c>
      <c r="LP13">
        <v>0</v>
      </c>
      <c r="LQ13">
        <v>299</v>
      </c>
      <c r="LR13">
        <v>303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277</v>
      </c>
      <c r="LY13">
        <v>280</v>
      </c>
      <c r="LZ13">
        <v>281</v>
      </c>
      <c r="MA13">
        <v>0</v>
      </c>
      <c r="MB13">
        <v>0</v>
      </c>
      <c r="MC13">
        <v>0</v>
      </c>
      <c r="MD13">
        <v>0</v>
      </c>
      <c r="ME13">
        <v>273</v>
      </c>
      <c r="MF13">
        <v>276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284</v>
      </c>
      <c r="MM13">
        <v>285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307</v>
      </c>
      <c r="MU13">
        <v>0</v>
      </c>
      <c r="MV13">
        <v>0</v>
      </c>
      <c r="MW13">
        <v>0</v>
      </c>
      <c r="MX13">
        <v>321</v>
      </c>
      <c r="MY13">
        <v>324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341</v>
      </c>
      <c r="NF13">
        <v>338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334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332</v>
      </c>
      <c r="NW13">
        <v>329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305</v>
      </c>
      <c r="OE13">
        <v>307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289</v>
      </c>
      <c r="OL13">
        <v>293</v>
      </c>
      <c r="OM13">
        <v>0</v>
      </c>
      <c r="ON13">
        <v>0</v>
      </c>
      <c r="OO13">
        <v>0</v>
      </c>
      <c r="OP13">
        <v>277</v>
      </c>
      <c r="OQ13">
        <v>0</v>
      </c>
      <c r="OR13">
        <v>0</v>
      </c>
      <c r="OS13" s="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238</v>
      </c>
      <c r="PB13">
        <v>0</v>
      </c>
      <c r="PC13">
        <v>0</v>
      </c>
      <c r="PD13">
        <v>0</v>
      </c>
      <c r="PE13">
        <v>214</v>
      </c>
      <c r="PF13">
        <v>201</v>
      </c>
      <c r="PG13">
        <v>194</v>
      </c>
      <c r="PH13">
        <v>178</v>
      </c>
      <c r="PI13">
        <v>162</v>
      </c>
      <c r="PJ13">
        <v>157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114</v>
      </c>
      <c r="PW13">
        <v>112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85</v>
      </c>
      <c r="QJ13">
        <v>77</v>
      </c>
      <c r="QK13">
        <v>75</v>
      </c>
      <c r="QL13">
        <v>73</v>
      </c>
      <c r="QM13">
        <v>67</v>
      </c>
      <c r="QN13">
        <v>0</v>
      </c>
      <c r="QO13">
        <v>0</v>
      </c>
      <c r="QP13">
        <v>53</v>
      </c>
      <c r="QQ13">
        <v>47</v>
      </c>
      <c r="QR13">
        <v>46</v>
      </c>
      <c r="QS13">
        <v>0</v>
      </c>
      <c r="QT13">
        <v>44</v>
      </c>
      <c r="QU13">
        <v>0</v>
      </c>
      <c r="QV13">
        <v>43</v>
      </c>
      <c r="QW13">
        <v>37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28</v>
      </c>
      <c r="RD13">
        <v>0</v>
      </c>
      <c r="RE13">
        <v>0</v>
      </c>
      <c r="RF13">
        <v>27</v>
      </c>
      <c r="RG13">
        <v>25</v>
      </c>
      <c r="RH13">
        <v>0</v>
      </c>
      <c r="RI13">
        <v>0</v>
      </c>
      <c r="RJ13">
        <v>45</v>
      </c>
      <c r="RK13">
        <v>54</v>
      </c>
      <c r="RL13">
        <v>0</v>
      </c>
      <c r="RM13">
        <v>138</v>
      </c>
      <c r="RN13">
        <v>159</v>
      </c>
      <c r="RO13">
        <v>179</v>
      </c>
      <c r="RP13">
        <v>218</v>
      </c>
      <c r="RQ13">
        <v>0</v>
      </c>
      <c r="RR13">
        <v>307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646</v>
      </c>
      <c r="RZ13">
        <v>0</v>
      </c>
      <c r="SA13">
        <v>0</v>
      </c>
      <c r="SB13">
        <v>0</v>
      </c>
      <c r="SC13">
        <v>0</v>
      </c>
      <c r="SD13">
        <v>0</v>
      </c>
      <c r="SE13">
        <v>0</v>
      </c>
      <c r="SF13">
        <v>851</v>
      </c>
      <c r="SG13">
        <v>901</v>
      </c>
      <c r="SH13">
        <v>893</v>
      </c>
      <c r="SI13">
        <v>0</v>
      </c>
      <c r="SJ13">
        <v>954</v>
      </c>
      <c r="SK13">
        <v>0</v>
      </c>
      <c r="SL13">
        <v>0</v>
      </c>
      <c r="SM13">
        <v>0</v>
      </c>
      <c r="SN13">
        <v>0</v>
      </c>
      <c r="SO13">
        <v>0</v>
      </c>
      <c r="SP13">
        <v>0</v>
      </c>
      <c r="SQ13">
        <v>0</v>
      </c>
      <c r="SR13">
        <v>0</v>
      </c>
      <c r="SS13">
        <v>0</v>
      </c>
      <c r="ST13">
        <v>0</v>
      </c>
      <c r="SU13">
        <v>0</v>
      </c>
      <c r="SV13">
        <v>863</v>
      </c>
      <c r="SW13">
        <v>1639</v>
      </c>
      <c r="SX13">
        <v>0</v>
      </c>
      <c r="SY13">
        <v>0</v>
      </c>
      <c r="SZ13">
        <v>0</v>
      </c>
      <c r="TA13">
        <v>0</v>
      </c>
      <c r="TB13">
        <v>0</v>
      </c>
      <c r="TC13">
        <v>0</v>
      </c>
      <c r="TD13">
        <v>0</v>
      </c>
      <c r="TE13">
        <v>0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396</v>
      </c>
      <c r="TL13">
        <v>0</v>
      </c>
      <c r="TM13">
        <v>0</v>
      </c>
      <c r="TN13">
        <v>0</v>
      </c>
      <c r="TO13">
        <v>0</v>
      </c>
      <c r="TP13">
        <v>0</v>
      </c>
      <c r="TQ13">
        <v>0</v>
      </c>
      <c r="TR13">
        <v>0</v>
      </c>
      <c r="TS13">
        <v>0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0</v>
      </c>
      <c r="UB13">
        <v>0</v>
      </c>
      <c r="UC13">
        <v>110</v>
      </c>
      <c r="UD13">
        <v>110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0</v>
      </c>
      <c r="UO13">
        <v>0</v>
      </c>
      <c r="UP13">
        <v>0</v>
      </c>
      <c r="UQ13">
        <v>51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375</v>
      </c>
      <c r="UZ13">
        <v>144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980</v>
      </c>
      <c r="XD13">
        <v>980</v>
      </c>
      <c r="XE13">
        <v>185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 s="1">
        <v>0</v>
      </c>
      <c r="YG13" s="1">
        <v>0</v>
      </c>
      <c r="YH13" s="1">
        <v>0</v>
      </c>
      <c r="YI13" s="1">
        <v>0</v>
      </c>
      <c r="YJ13">
        <v>0</v>
      </c>
      <c r="YK13">
        <v>0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0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422</v>
      </c>
      <c r="ZE13">
        <v>428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233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0</v>
      </c>
      <c r="ADL13">
        <v>0</v>
      </c>
      <c r="ADM13">
        <v>0</v>
      </c>
      <c r="ADN13">
        <v>0</v>
      </c>
      <c r="ADO13">
        <v>0</v>
      </c>
      <c r="ADP13">
        <v>0</v>
      </c>
      <c r="ADQ13">
        <v>0</v>
      </c>
      <c r="ADR13">
        <v>0</v>
      </c>
      <c r="ADS13">
        <v>0</v>
      </c>
      <c r="ADT13">
        <v>0</v>
      </c>
      <c r="ADU13">
        <v>0</v>
      </c>
      <c r="ADV13">
        <v>0</v>
      </c>
      <c r="ADW13">
        <v>0</v>
      </c>
      <c r="ADX13">
        <v>0</v>
      </c>
      <c r="ADY13">
        <v>0</v>
      </c>
      <c r="ADZ13">
        <v>0</v>
      </c>
      <c r="AEA13">
        <v>0</v>
      </c>
      <c r="AEB13">
        <v>0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0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0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</row>
    <row r="14" spans="1:901">
      <c r="A14" s="44" t="s">
        <v>66</v>
      </c>
      <c r="B14">
        <v>596</v>
      </c>
      <c r="C14">
        <v>968</v>
      </c>
      <c r="D14">
        <v>589</v>
      </c>
      <c r="E14">
        <v>494</v>
      </c>
      <c r="F14" s="2">
        <v>486</v>
      </c>
      <c r="G14" s="2">
        <v>468</v>
      </c>
      <c r="H14" s="2">
        <v>385</v>
      </c>
      <c r="I14">
        <v>475</v>
      </c>
      <c r="J14">
        <v>360</v>
      </c>
      <c r="K14" s="2">
        <v>429</v>
      </c>
      <c r="L14">
        <v>280</v>
      </c>
      <c r="M14">
        <v>234</v>
      </c>
      <c r="N14">
        <v>309</v>
      </c>
      <c r="O14">
        <v>519</v>
      </c>
      <c r="P14" s="2">
        <v>622</v>
      </c>
      <c r="Q14" s="2">
        <v>576</v>
      </c>
      <c r="R14" s="2">
        <v>554</v>
      </c>
      <c r="S14" s="2">
        <v>574</v>
      </c>
      <c r="T14">
        <v>317</v>
      </c>
      <c r="U14" s="2">
        <v>777</v>
      </c>
      <c r="V14" s="2">
        <v>724</v>
      </c>
      <c r="W14" s="2">
        <v>585</v>
      </c>
      <c r="X14">
        <v>557</v>
      </c>
      <c r="Y14">
        <v>463</v>
      </c>
      <c r="Z14">
        <v>366</v>
      </c>
      <c r="AA14">
        <v>165</v>
      </c>
      <c r="AB14">
        <v>654</v>
      </c>
      <c r="AC14">
        <v>404</v>
      </c>
      <c r="AD14">
        <v>384</v>
      </c>
      <c r="AE14" s="2">
        <v>475</v>
      </c>
      <c r="AF14" s="2">
        <v>422</v>
      </c>
      <c r="AG14">
        <v>320</v>
      </c>
      <c r="AH14" s="2">
        <v>306</v>
      </c>
      <c r="AI14" s="2">
        <v>425</v>
      </c>
      <c r="AJ14" s="2">
        <v>475</v>
      </c>
      <c r="AK14">
        <v>511</v>
      </c>
      <c r="AL14">
        <v>634</v>
      </c>
      <c r="AM14">
        <v>509</v>
      </c>
      <c r="AN14">
        <v>316</v>
      </c>
      <c r="AO14" s="2">
        <v>165</v>
      </c>
      <c r="AP14" s="2">
        <v>562</v>
      </c>
      <c r="AQ14" s="2">
        <v>343</v>
      </c>
      <c r="AR14">
        <v>419</v>
      </c>
      <c r="AS14" s="2">
        <v>686</v>
      </c>
      <c r="AT14" s="2">
        <v>314</v>
      </c>
      <c r="AU14" s="2">
        <v>259</v>
      </c>
      <c r="AV14" s="2">
        <v>257</v>
      </c>
      <c r="AW14" s="2">
        <v>430</v>
      </c>
      <c r="AX14" s="2">
        <v>546</v>
      </c>
      <c r="AY14" s="2">
        <v>476</v>
      </c>
      <c r="AZ14" s="2">
        <v>345</v>
      </c>
      <c r="BA14" s="2">
        <v>537</v>
      </c>
      <c r="BB14" s="2">
        <v>421</v>
      </c>
      <c r="BC14" s="2">
        <v>528</v>
      </c>
      <c r="BD14" s="2">
        <v>134</v>
      </c>
      <c r="BE14" s="2">
        <v>371</v>
      </c>
      <c r="BF14" s="2">
        <v>918</v>
      </c>
      <c r="BG14" s="2">
        <v>671</v>
      </c>
      <c r="BH14" s="2">
        <v>499</v>
      </c>
      <c r="BI14" s="2">
        <v>479</v>
      </c>
      <c r="BJ14" s="2">
        <v>494</v>
      </c>
      <c r="BK14" s="2">
        <v>460</v>
      </c>
      <c r="BL14">
        <v>1026</v>
      </c>
      <c r="BM14" s="2">
        <v>601</v>
      </c>
      <c r="BN14">
        <v>986</v>
      </c>
      <c r="BO14">
        <v>640</v>
      </c>
      <c r="BP14">
        <v>419</v>
      </c>
      <c r="BQ14">
        <v>282</v>
      </c>
      <c r="BR14">
        <v>285</v>
      </c>
      <c r="BS14">
        <v>1526</v>
      </c>
      <c r="BT14">
        <v>855</v>
      </c>
      <c r="BU14">
        <v>876</v>
      </c>
      <c r="BV14">
        <v>820</v>
      </c>
      <c r="BW14">
        <v>515</v>
      </c>
      <c r="BX14">
        <v>314</v>
      </c>
      <c r="BY14">
        <v>895</v>
      </c>
      <c r="BZ14">
        <v>812</v>
      </c>
      <c r="CA14">
        <v>671</v>
      </c>
      <c r="CB14">
        <v>975</v>
      </c>
      <c r="CC14">
        <v>798</v>
      </c>
      <c r="CD14">
        <v>685</v>
      </c>
      <c r="CE14">
        <v>492</v>
      </c>
      <c r="CF14">
        <v>531</v>
      </c>
      <c r="CG14">
        <v>1560</v>
      </c>
      <c r="CH14">
        <v>731</v>
      </c>
      <c r="CI14">
        <v>1133</v>
      </c>
      <c r="CJ14">
        <v>1107</v>
      </c>
      <c r="CK14">
        <v>492</v>
      </c>
      <c r="CL14">
        <v>613</v>
      </c>
      <c r="CM14">
        <v>788</v>
      </c>
      <c r="CN14">
        <v>720</v>
      </c>
      <c r="CO14">
        <v>624</v>
      </c>
      <c r="CP14">
        <v>1135</v>
      </c>
      <c r="CQ14">
        <v>1322</v>
      </c>
      <c r="CR14">
        <v>666</v>
      </c>
      <c r="CS14">
        <v>878</v>
      </c>
      <c r="CT14">
        <v>566</v>
      </c>
      <c r="CU14">
        <v>1158</v>
      </c>
      <c r="CV14">
        <v>1381</v>
      </c>
      <c r="CW14">
        <v>905</v>
      </c>
      <c r="CX14">
        <v>824</v>
      </c>
      <c r="CY14">
        <v>641</v>
      </c>
      <c r="CZ14">
        <v>860</v>
      </c>
      <c r="DA14">
        <v>1314</v>
      </c>
      <c r="DB14">
        <v>1206</v>
      </c>
      <c r="DC14">
        <v>1433</v>
      </c>
      <c r="DD14">
        <v>747</v>
      </c>
      <c r="DE14">
        <v>366</v>
      </c>
      <c r="DF14">
        <v>2043</v>
      </c>
      <c r="DG14">
        <v>475</v>
      </c>
      <c r="DH14">
        <v>529</v>
      </c>
      <c r="DI14">
        <v>1115</v>
      </c>
      <c r="DJ14">
        <v>1045</v>
      </c>
      <c r="DK14">
        <v>2106</v>
      </c>
      <c r="DL14">
        <v>1459</v>
      </c>
      <c r="DM14">
        <v>1179</v>
      </c>
      <c r="DN14">
        <v>1506</v>
      </c>
      <c r="DO14">
        <v>1595</v>
      </c>
      <c r="DP14">
        <v>1104</v>
      </c>
      <c r="DQ14">
        <v>1482</v>
      </c>
      <c r="DR14">
        <v>2370</v>
      </c>
      <c r="DS14">
        <v>1779</v>
      </c>
      <c r="DT14">
        <v>1848</v>
      </c>
      <c r="DU14">
        <v>1625</v>
      </c>
      <c r="DV14">
        <v>1532</v>
      </c>
      <c r="DW14">
        <v>1549</v>
      </c>
      <c r="DX14">
        <v>1473</v>
      </c>
      <c r="DY14">
        <v>1362</v>
      </c>
      <c r="DZ14">
        <v>1439</v>
      </c>
      <c r="EA14">
        <v>1216</v>
      </c>
      <c r="EB14">
        <v>1143</v>
      </c>
      <c r="EC14">
        <v>1150</v>
      </c>
      <c r="ED14">
        <v>1155</v>
      </c>
      <c r="EE14">
        <v>1802</v>
      </c>
      <c r="EF14">
        <v>2141</v>
      </c>
      <c r="EG14">
        <v>1507</v>
      </c>
      <c r="EH14">
        <v>1026</v>
      </c>
      <c r="EI14">
        <v>834</v>
      </c>
      <c r="EJ14">
        <v>1357</v>
      </c>
      <c r="EK14">
        <v>1671</v>
      </c>
      <c r="EL14">
        <v>1478</v>
      </c>
      <c r="EM14">
        <v>1722</v>
      </c>
      <c r="EN14">
        <v>1250</v>
      </c>
      <c r="EO14">
        <v>721</v>
      </c>
      <c r="EP14">
        <v>419</v>
      </c>
      <c r="EQ14">
        <v>934</v>
      </c>
      <c r="ER14">
        <v>1242</v>
      </c>
      <c r="ES14">
        <v>1050</v>
      </c>
      <c r="ET14">
        <v>1131</v>
      </c>
      <c r="EU14">
        <v>873</v>
      </c>
      <c r="EV14">
        <v>795</v>
      </c>
      <c r="EW14">
        <v>532</v>
      </c>
      <c r="EX14">
        <v>642</v>
      </c>
      <c r="EY14">
        <v>1043</v>
      </c>
      <c r="EZ14">
        <v>818</v>
      </c>
      <c r="FA14">
        <v>904</v>
      </c>
      <c r="FB14">
        <v>960</v>
      </c>
      <c r="FC14">
        <v>420</v>
      </c>
      <c r="FD14">
        <v>328</v>
      </c>
      <c r="FE14">
        <v>673</v>
      </c>
      <c r="FF14">
        <v>746</v>
      </c>
      <c r="FG14">
        <v>576</v>
      </c>
      <c r="FH14">
        <v>804</v>
      </c>
      <c r="FI14">
        <v>608</v>
      </c>
      <c r="FJ14">
        <v>381</v>
      </c>
      <c r="FK14">
        <v>203</v>
      </c>
      <c r="FL14">
        <v>572</v>
      </c>
      <c r="FM14">
        <v>619</v>
      </c>
      <c r="FN14">
        <v>695</v>
      </c>
      <c r="FO14">
        <v>573</v>
      </c>
      <c r="FP14">
        <v>587</v>
      </c>
      <c r="FQ14">
        <v>279</v>
      </c>
      <c r="FR14">
        <v>252</v>
      </c>
      <c r="FS14">
        <v>390</v>
      </c>
      <c r="FT14">
        <v>755</v>
      </c>
      <c r="FU14">
        <v>529</v>
      </c>
      <c r="FV14">
        <v>164</v>
      </c>
      <c r="FW14">
        <v>429</v>
      </c>
      <c r="FX14">
        <v>254</v>
      </c>
      <c r="FY14">
        <v>495</v>
      </c>
      <c r="FZ14">
        <v>570</v>
      </c>
      <c r="GA14">
        <v>615</v>
      </c>
      <c r="GB14">
        <v>523</v>
      </c>
      <c r="GC14">
        <v>487</v>
      </c>
      <c r="GD14">
        <v>474</v>
      </c>
      <c r="GE14">
        <v>313</v>
      </c>
      <c r="GF14">
        <v>401</v>
      </c>
      <c r="GG14">
        <v>402</v>
      </c>
      <c r="GH14">
        <v>389</v>
      </c>
      <c r="GI14">
        <v>364</v>
      </c>
      <c r="GJ14">
        <v>250</v>
      </c>
      <c r="GK14">
        <v>401</v>
      </c>
      <c r="GL14">
        <v>199</v>
      </c>
      <c r="GM14">
        <v>202</v>
      </c>
      <c r="GN14">
        <v>343</v>
      </c>
      <c r="GO14">
        <v>469</v>
      </c>
      <c r="GP14">
        <v>585</v>
      </c>
      <c r="GQ14">
        <v>355</v>
      </c>
      <c r="GR14">
        <v>159</v>
      </c>
      <c r="GS14">
        <v>140</v>
      </c>
      <c r="GT14">
        <v>168</v>
      </c>
      <c r="GU14">
        <v>334</v>
      </c>
      <c r="GV14">
        <v>1094</v>
      </c>
      <c r="GW14">
        <v>532</v>
      </c>
      <c r="GX14">
        <v>623</v>
      </c>
      <c r="GY14">
        <v>512</v>
      </c>
      <c r="GZ14">
        <v>341</v>
      </c>
      <c r="HA14">
        <v>598</v>
      </c>
      <c r="HB14">
        <v>623</v>
      </c>
      <c r="HC14">
        <v>379</v>
      </c>
      <c r="HD14">
        <v>494</v>
      </c>
      <c r="HE14">
        <v>494</v>
      </c>
      <c r="HF14">
        <v>502</v>
      </c>
      <c r="HG14">
        <v>402</v>
      </c>
      <c r="HH14">
        <v>317</v>
      </c>
      <c r="HI14">
        <v>556</v>
      </c>
      <c r="HJ14">
        <v>531</v>
      </c>
      <c r="HK14">
        <v>535</v>
      </c>
      <c r="HL14">
        <v>474</v>
      </c>
      <c r="HM14">
        <v>919</v>
      </c>
      <c r="HN14">
        <v>540</v>
      </c>
      <c r="HO14">
        <v>78</v>
      </c>
      <c r="HP14">
        <v>338</v>
      </c>
      <c r="HQ14">
        <v>395</v>
      </c>
      <c r="HR14">
        <v>347</v>
      </c>
      <c r="HS14">
        <v>300</v>
      </c>
      <c r="HT14">
        <v>594</v>
      </c>
      <c r="HU14">
        <v>226</v>
      </c>
      <c r="HV14">
        <v>389</v>
      </c>
      <c r="HW14">
        <v>491</v>
      </c>
      <c r="HX14">
        <v>623</v>
      </c>
      <c r="HY14">
        <v>774</v>
      </c>
      <c r="HZ14">
        <v>642</v>
      </c>
      <c r="IA14">
        <v>948</v>
      </c>
      <c r="IB14">
        <v>560</v>
      </c>
      <c r="IC14">
        <v>701</v>
      </c>
      <c r="ID14">
        <v>688</v>
      </c>
      <c r="IE14">
        <v>822</v>
      </c>
      <c r="IF14">
        <v>1059</v>
      </c>
      <c r="IG14">
        <v>894</v>
      </c>
      <c r="IH14">
        <v>916</v>
      </c>
      <c r="II14">
        <v>731</v>
      </c>
      <c r="IJ14">
        <v>630</v>
      </c>
      <c r="IK14">
        <v>1016</v>
      </c>
      <c r="IL14">
        <v>1429</v>
      </c>
      <c r="IM14">
        <v>636</v>
      </c>
      <c r="IN14">
        <v>1055</v>
      </c>
      <c r="IO14">
        <v>1044</v>
      </c>
      <c r="IP14">
        <v>838</v>
      </c>
      <c r="IQ14">
        <v>644</v>
      </c>
      <c r="IR14">
        <v>1058</v>
      </c>
      <c r="IS14">
        <v>1765</v>
      </c>
      <c r="IT14">
        <v>1254</v>
      </c>
      <c r="IU14">
        <v>1238</v>
      </c>
      <c r="IV14">
        <v>1384</v>
      </c>
      <c r="IW14">
        <v>876</v>
      </c>
      <c r="IX14">
        <v>1235</v>
      </c>
      <c r="IY14">
        <v>1659</v>
      </c>
      <c r="IZ14">
        <v>1439</v>
      </c>
      <c r="JA14">
        <v>1295</v>
      </c>
      <c r="JB14">
        <v>1267</v>
      </c>
      <c r="JC14">
        <v>1397</v>
      </c>
      <c r="JD14">
        <v>906</v>
      </c>
      <c r="JE14">
        <v>1004</v>
      </c>
      <c r="JF14">
        <v>1440</v>
      </c>
      <c r="JG14">
        <v>1141</v>
      </c>
      <c r="JH14">
        <v>1129</v>
      </c>
      <c r="JI14">
        <v>1149</v>
      </c>
      <c r="JJ14">
        <v>803</v>
      </c>
      <c r="JK14">
        <v>827</v>
      </c>
      <c r="JL14">
        <v>914</v>
      </c>
      <c r="JM14">
        <v>1442</v>
      </c>
      <c r="JN14">
        <v>982</v>
      </c>
      <c r="JO14">
        <v>1216</v>
      </c>
      <c r="JP14">
        <v>1784</v>
      </c>
      <c r="JQ14">
        <v>972</v>
      </c>
      <c r="JR14">
        <v>858</v>
      </c>
      <c r="JS14">
        <v>723</v>
      </c>
      <c r="JT14">
        <v>886</v>
      </c>
      <c r="JU14">
        <v>882</v>
      </c>
      <c r="JV14">
        <v>937</v>
      </c>
      <c r="JW14">
        <v>998</v>
      </c>
      <c r="JX14">
        <v>707</v>
      </c>
      <c r="JY14">
        <v>872</v>
      </c>
      <c r="JZ14">
        <v>714</v>
      </c>
      <c r="KA14">
        <v>857</v>
      </c>
      <c r="KB14">
        <v>972</v>
      </c>
      <c r="KC14">
        <v>1368</v>
      </c>
      <c r="KD14">
        <v>815</v>
      </c>
      <c r="KE14">
        <v>566</v>
      </c>
      <c r="KF14">
        <v>589</v>
      </c>
      <c r="KG14">
        <v>713</v>
      </c>
      <c r="KH14">
        <v>697</v>
      </c>
      <c r="KI14">
        <v>885</v>
      </c>
      <c r="KJ14">
        <v>558</v>
      </c>
      <c r="KK14">
        <v>669</v>
      </c>
      <c r="KL14">
        <v>628</v>
      </c>
      <c r="KM14">
        <v>863</v>
      </c>
      <c r="KN14">
        <v>535</v>
      </c>
      <c r="KO14">
        <v>530</v>
      </c>
      <c r="KP14">
        <v>535</v>
      </c>
      <c r="KQ14">
        <v>549</v>
      </c>
      <c r="KR14">
        <v>454</v>
      </c>
      <c r="KS14">
        <v>428</v>
      </c>
      <c r="KT14">
        <v>163</v>
      </c>
      <c r="KU14">
        <v>237</v>
      </c>
      <c r="KV14">
        <v>316</v>
      </c>
      <c r="KW14">
        <v>611</v>
      </c>
      <c r="KX14">
        <v>400</v>
      </c>
      <c r="KY14">
        <v>367</v>
      </c>
      <c r="KZ14">
        <v>384</v>
      </c>
      <c r="LA14">
        <v>177</v>
      </c>
      <c r="LB14">
        <v>268</v>
      </c>
      <c r="LC14">
        <v>316</v>
      </c>
      <c r="LD14">
        <v>365</v>
      </c>
      <c r="LE14">
        <v>331</v>
      </c>
      <c r="LF14">
        <v>395</v>
      </c>
      <c r="LG14">
        <v>362</v>
      </c>
      <c r="LH14">
        <v>393</v>
      </c>
      <c r="LI14">
        <v>190</v>
      </c>
      <c r="LJ14">
        <v>336</v>
      </c>
      <c r="LK14">
        <v>326</v>
      </c>
      <c r="LL14">
        <v>317</v>
      </c>
      <c r="LM14">
        <v>322</v>
      </c>
      <c r="LN14">
        <v>344</v>
      </c>
      <c r="LO14">
        <v>130</v>
      </c>
      <c r="LP14">
        <v>211</v>
      </c>
      <c r="LQ14">
        <v>282</v>
      </c>
      <c r="LR14">
        <v>207</v>
      </c>
      <c r="LS14">
        <v>312</v>
      </c>
      <c r="LT14">
        <v>323</v>
      </c>
      <c r="LU14">
        <v>216</v>
      </c>
      <c r="LV14">
        <v>283</v>
      </c>
      <c r="LW14">
        <v>51</v>
      </c>
      <c r="LX14">
        <v>183</v>
      </c>
      <c r="LY14">
        <v>304</v>
      </c>
      <c r="LZ14">
        <v>373</v>
      </c>
      <c r="MA14">
        <v>267</v>
      </c>
      <c r="MB14">
        <v>198</v>
      </c>
      <c r="MC14">
        <v>191</v>
      </c>
      <c r="MD14">
        <v>223</v>
      </c>
      <c r="ME14">
        <v>317</v>
      </c>
      <c r="MF14">
        <v>349</v>
      </c>
      <c r="MG14">
        <v>338</v>
      </c>
      <c r="MH14">
        <v>367</v>
      </c>
      <c r="MI14">
        <v>239</v>
      </c>
      <c r="MJ14">
        <v>158</v>
      </c>
      <c r="MK14">
        <v>156</v>
      </c>
      <c r="ML14">
        <v>295</v>
      </c>
      <c r="MM14">
        <v>321</v>
      </c>
      <c r="MN14">
        <v>411</v>
      </c>
      <c r="MO14">
        <v>253</v>
      </c>
      <c r="MP14">
        <v>285</v>
      </c>
      <c r="MQ14">
        <v>156</v>
      </c>
      <c r="MR14">
        <v>115</v>
      </c>
      <c r="MS14">
        <v>192</v>
      </c>
      <c r="MT14">
        <v>240</v>
      </c>
      <c r="MU14">
        <v>321</v>
      </c>
      <c r="MV14">
        <v>309</v>
      </c>
      <c r="MW14">
        <v>232</v>
      </c>
      <c r="MX14">
        <v>239</v>
      </c>
      <c r="MY14">
        <v>345</v>
      </c>
      <c r="MZ14">
        <v>282</v>
      </c>
      <c r="NA14">
        <v>274</v>
      </c>
      <c r="NB14">
        <v>273</v>
      </c>
      <c r="NC14">
        <v>297</v>
      </c>
      <c r="ND14">
        <v>137</v>
      </c>
      <c r="NE14">
        <v>228</v>
      </c>
      <c r="NF14">
        <v>343</v>
      </c>
      <c r="NG14">
        <v>321</v>
      </c>
      <c r="NH14">
        <v>279</v>
      </c>
      <c r="NI14">
        <v>373</v>
      </c>
      <c r="NJ14">
        <v>240</v>
      </c>
      <c r="NK14">
        <v>215</v>
      </c>
      <c r="NL14">
        <v>368</v>
      </c>
      <c r="NM14">
        <v>465</v>
      </c>
      <c r="NN14">
        <v>473</v>
      </c>
      <c r="NO14">
        <v>592</v>
      </c>
      <c r="NP14">
        <v>550</v>
      </c>
      <c r="NQ14">
        <v>660</v>
      </c>
      <c r="NR14">
        <v>573</v>
      </c>
      <c r="NS14">
        <v>572</v>
      </c>
      <c r="NT14">
        <v>701</v>
      </c>
      <c r="NU14">
        <v>746</v>
      </c>
      <c r="NV14">
        <v>886</v>
      </c>
      <c r="NW14">
        <v>517</v>
      </c>
      <c r="NX14">
        <v>811</v>
      </c>
      <c r="NY14">
        <v>495</v>
      </c>
      <c r="NZ14">
        <v>633</v>
      </c>
      <c r="OA14">
        <v>520</v>
      </c>
      <c r="OB14">
        <v>668</v>
      </c>
      <c r="OC14">
        <v>752</v>
      </c>
      <c r="OD14">
        <v>699</v>
      </c>
      <c r="OE14">
        <v>870</v>
      </c>
      <c r="OF14">
        <v>751</v>
      </c>
      <c r="OG14">
        <v>996</v>
      </c>
      <c r="OH14">
        <v>630</v>
      </c>
      <c r="OI14">
        <v>963</v>
      </c>
      <c r="OJ14">
        <v>889</v>
      </c>
      <c r="OK14">
        <v>793</v>
      </c>
      <c r="OL14">
        <v>823</v>
      </c>
      <c r="OM14">
        <v>727</v>
      </c>
      <c r="ON14">
        <v>464</v>
      </c>
      <c r="OO14">
        <v>649</v>
      </c>
      <c r="OP14">
        <v>849</v>
      </c>
      <c r="OQ14">
        <v>1102</v>
      </c>
      <c r="OR14">
        <v>879</v>
      </c>
      <c r="OS14" s="3">
        <v>759</v>
      </c>
      <c r="OT14">
        <v>693</v>
      </c>
      <c r="OU14">
        <v>809</v>
      </c>
      <c r="OV14">
        <v>841</v>
      </c>
      <c r="OW14">
        <v>891</v>
      </c>
      <c r="OX14">
        <v>973</v>
      </c>
      <c r="OY14">
        <v>1104</v>
      </c>
      <c r="OZ14">
        <v>984</v>
      </c>
      <c r="PA14">
        <v>896</v>
      </c>
      <c r="PB14">
        <v>925</v>
      </c>
      <c r="PC14">
        <v>968</v>
      </c>
      <c r="PD14">
        <v>1046</v>
      </c>
      <c r="PE14">
        <v>1119</v>
      </c>
      <c r="PF14">
        <v>1160</v>
      </c>
      <c r="PG14">
        <v>1248</v>
      </c>
      <c r="PH14">
        <v>1248</v>
      </c>
      <c r="PI14">
        <v>1160</v>
      </c>
      <c r="PJ14">
        <v>1002</v>
      </c>
      <c r="PK14">
        <v>862</v>
      </c>
      <c r="PL14">
        <v>893</v>
      </c>
      <c r="PM14">
        <v>1073</v>
      </c>
      <c r="PN14">
        <v>1068</v>
      </c>
      <c r="PO14">
        <v>817</v>
      </c>
      <c r="PP14">
        <v>707</v>
      </c>
      <c r="PQ14">
        <v>846</v>
      </c>
      <c r="PR14">
        <v>470</v>
      </c>
      <c r="PS14">
        <v>759</v>
      </c>
      <c r="PT14">
        <v>508</v>
      </c>
      <c r="PU14">
        <v>490</v>
      </c>
      <c r="PV14">
        <v>292</v>
      </c>
      <c r="PW14">
        <v>310</v>
      </c>
      <c r="PX14">
        <v>138</v>
      </c>
      <c r="PY14">
        <v>223</v>
      </c>
      <c r="PZ14">
        <v>155</v>
      </c>
      <c r="QA14">
        <v>289</v>
      </c>
      <c r="QB14">
        <v>327</v>
      </c>
      <c r="QC14">
        <v>271</v>
      </c>
      <c r="QD14">
        <v>232</v>
      </c>
      <c r="QE14">
        <v>254</v>
      </c>
      <c r="QF14">
        <v>230</v>
      </c>
      <c r="QG14">
        <v>258</v>
      </c>
      <c r="QH14">
        <v>372</v>
      </c>
      <c r="QI14">
        <v>225</v>
      </c>
      <c r="QJ14">
        <v>178</v>
      </c>
      <c r="QK14">
        <v>147</v>
      </c>
      <c r="QL14">
        <v>308</v>
      </c>
      <c r="QM14">
        <v>206</v>
      </c>
      <c r="QN14">
        <v>88</v>
      </c>
      <c r="QO14">
        <v>252</v>
      </c>
      <c r="QP14">
        <v>183</v>
      </c>
      <c r="QQ14">
        <v>272</v>
      </c>
      <c r="QR14">
        <v>162</v>
      </c>
      <c r="QS14">
        <v>139</v>
      </c>
      <c r="QT14">
        <v>241</v>
      </c>
      <c r="QU14">
        <v>422</v>
      </c>
      <c r="QV14">
        <v>506</v>
      </c>
      <c r="QW14">
        <v>696</v>
      </c>
      <c r="QX14">
        <v>339</v>
      </c>
      <c r="QY14">
        <v>478</v>
      </c>
      <c r="QZ14">
        <v>655</v>
      </c>
      <c r="RA14">
        <v>911</v>
      </c>
      <c r="RB14">
        <v>998</v>
      </c>
      <c r="RC14">
        <v>1510</v>
      </c>
      <c r="RD14">
        <v>1149</v>
      </c>
      <c r="RE14">
        <v>2026</v>
      </c>
      <c r="RF14">
        <v>2856</v>
      </c>
      <c r="RG14">
        <v>3700</v>
      </c>
      <c r="RH14">
        <v>5201</v>
      </c>
      <c r="RI14">
        <v>5307</v>
      </c>
      <c r="RJ14">
        <v>5968</v>
      </c>
      <c r="RK14">
        <v>6200</v>
      </c>
      <c r="RL14">
        <v>6042</v>
      </c>
      <c r="RM14">
        <v>5155</v>
      </c>
      <c r="RN14">
        <v>6683</v>
      </c>
      <c r="RO14">
        <v>7439</v>
      </c>
      <c r="RP14">
        <v>5953</v>
      </c>
      <c r="RQ14">
        <v>7174</v>
      </c>
      <c r="RR14">
        <v>4964</v>
      </c>
      <c r="RS14">
        <v>3988</v>
      </c>
      <c r="RT14">
        <v>6331</v>
      </c>
      <c r="RU14">
        <v>5544</v>
      </c>
      <c r="RV14">
        <v>7153</v>
      </c>
      <c r="RW14">
        <v>7024</v>
      </c>
      <c r="RX14">
        <v>6363</v>
      </c>
      <c r="RY14">
        <v>5769</v>
      </c>
      <c r="RZ14">
        <v>2813</v>
      </c>
      <c r="SA14">
        <v>2476</v>
      </c>
      <c r="SB14">
        <v>2272</v>
      </c>
      <c r="SC14">
        <v>2763</v>
      </c>
      <c r="SD14">
        <v>2929</v>
      </c>
      <c r="SE14">
        <v>1508</v>
      </c>
      <c r="SF14">
        <v>1303</v>
      </c>
      <c r="SG14">
        <v>1221</v>
      </c>
      <c r="SH14">
        <v>1193</v>
      </c>
      <c r="SI14">
        <v>1275</v>
      </c>
      <c r="SJ14">
        <v>1399</v>
      </c>
      <c r="SK14">
        <v>1017</v>
      </c>
      <c r="SL14">
        <v>1101</v>
      </c>
      <c r="SM14">
        <v>1620</v>
      </c>
      <c r="SN14">
        <v>956</v>
      </c>
      <c r="SO14">
        <v>1044</v>
      </c>
      <c r="SP14">
        <v>810</v>
      </c>
      <c r="SQ14">
        <v>1395</v>
      </c>
      <c r="SR14">
        <v>1223</v>
      </c>
      <c r="SS14">
        <v>810</v>
      </c>
      <c r="ST14">
        <v>1129</v>
      </c>
      <c r="SU14">
        <v>422</v>
      </c>
      <c r="SV14">
        <v>256</v>
      </c>
      <c r="SW14">
        <v>534</v>
      </c>
      <c r="SX14">
        <v>400</v>
      </c>
      <c r="SY14">
        <v>253</v>
      </c>
      <c r="SZ14">
        <v>311</v>
      </c>
      <c r="TA14">
        <v>352</v>
      </c>
      <c r="TB14">
        <v>304</v>
      </c>
      <c r="TC14">
        <v>434</v>
      </c>
      <c r="TD14">
        <v>306</v>
      </c>
      <c r="TE14">
        <v>862</v>
      </c>
      <c r="TF14">
        <v>422</v>
      </c>
      <c r="TG14">
        <v>318</v>
      </c>
      <c r="TH14">
        <v>295</v>
      </c>
      <c r="TI14">
        <v>221</v>
      </c>
      <c r="TJ14">
        <v>264</v>
      </c>
      <c r="TK14">
        <v>356</v>
      </c>
      <c r="TL14">
        <v>245</v>
      </c>
      <c r="TM14">
        <v>279</v>
      </c>
      <c r="TN14">
        <v>156</v>
      </c>
      <c r="TO14">
        <v>291</v>
      </c>
      <c r="TP14">
        <v>66</v>
      </c>
      <c r="TQ14">
        <v>54</v>
      </c>
      <c r="TR14">
        <v>126</v>
      </c>
      <c r="TS14">
        <v>91</v>
      </c>
      <c r="TT14">
        <v>81</v>
      </c>
      <c r="TU14">
        <v>66</v>
      </c>
      <c r="TV14">
        <v>127</v>
      </c>
      <c r="TW14">
        <v>147</v>
      </c>
      <c r="TX14">
        <v>57</v>
      </c>
      <c r="TY14">
        <v>90</v>
      </c>
      <c r="TZ14">
        <v>116</v>
      </c>
      <c r="UA14">
        <v>166</v>
      </c>
      <c r="UB14">
        <v>171</v>
      </c>
      <c r="UC14">
        <v>76</v>
      </c>
      <c r="UD14">
        <v>76</v>
      </c>
      <c r="UE14">
        <v>16</v>
      </c>
      <c r="UF14">
        <v>122</v>
      </c>
      <c r="UG14">
        <v>122</v>
      </c>
      <c r="UH14">
        <v>92</v>
      </c>
      <c r="UI14">
        <v>92</v>
      </c>
      <c r="UJ14">
        <v>100</v>
      </c>
      <c r="UK14">
        <v>100</v>
      </c>
      <c r="UL14">
        <v>100</v>
      </c>
      <c r="UM14">
        <v>30</v>
      </c>
      <c r="UN14">
        <v>38</v>
      </c>
      <c r="UO14">
        <v>38</v>
      </c>
      <c r="UP14">
        <v>38</v>
      </c>
      <c r="UQ14">
        <v>38</v>
      </c>
      <c r="UR14">
        <v>38</v>
      </c>
      <c r="US14">
        <v>30</v>
      </c>
      <c r="UT14">
        <v>30</v>
      </c>
      <c r="UU14">
        <v>66</v>
      </c>
      <c r="UV14">
        <v>66</v>
      </c>
      <c r="UW14">
        <v>39</v>
      </c>
      <c r="UX14">
        <v>39</v>
      </c>
      <c r="UY14">
        <v>39</v>
      </c>
      <c r="UZ14">
        <v>39</v>
      </c>
      <c r="VA14">
        <v>47</v>
      </c>
      <c r="VB14">
        <v>56</v>
      </c>
      <c r="VC14">
        <v>56</v>
      </c>
      <c r="VD14">
        <v>56</v>
      </c>
      <c r="VE14">
        <v>56</v>
      </c>
      <c r="VF14">
        <v>56</v>
      </c>
      <c r="VG14">
        <v>15</v>
      </c>
      <c r="VH14">
        <v>15</v>
      </c>
      <c r="VI14">
        <v>15</v>
      </c>
      <c r="VJ14">
        <v>15</v>
      </c>
      <c r="VK14">
        <v>15</v>
      </c>
      <c r="VL14">
        <v>69</v>
      </c>
      <c r="VM14">
        <v>69</v>
      </c>
      <c r="VN14">
        <v>69</v>
      </c>
      <c r="VO14">
        <v>69</v>
      </c>
      <c r="VP14">
        <v>35</v>
      </c>
      <c r="VQ14">
        <v>35</v>
      </c>
      <c r="VR14">
        <v>44</v>
      </c>
      <c r="VS14">
        <v>44</v>
      </c>
      <c r="VT14">
        <v>22</v>
      </c>
      <c r="VU14">
        <v>55</v>
      </c>
      <c r="VV14">
        <v>52</v>
      </c>
      <c r="VW14">
        <v>64</v>
      </c>
      <c r="VX14">
        <v>40</v>
      </c>
      <c r="VY14">
        <v>67</v>
      </c>
      <c r="VZ14">
        <v>64</v>
      </c>
      <c r="WA14">
        <v>126</v>
      </c>
      <c r="WB14">
        <v>87</v>
      </c>
      <c r="WC14">
        <v>79</v>
      </c>
      <c r="WD14">
        <v>102</v>
      </c>
      <c r="WE14">
        <v>72</v>
      </c>
      <c r="WF14">
        <v>63</v>
      </c>
      <c r="WG14">
        <v>76</v>
      </c>
      <c r="WH14">
        <v>142</v>
      </c>
      <c r="WI14">
        <v>107</v>
      </c>
      <c r="WJ14">
        <v>130</v>
      </c>
      <c r="WK14">
        <v>163</v>
      </c>
      <c r="WL14">
        <v>90</v>
      </c>
      <c r="WM14">
        <v>109</v>
      </c>
      <c r="WN14">
        <v>97</v>
      </c>
      <c r="WO14">
        <v>101</v>
      </c>
      <c r="WP14">
        <v>113</v>
      </c>
      <c r="WQ14">
        <v>183</v>
      </c>
      <c r="WR14">
        <v>222</v>
      </c>
      <c r="WS14">
        <v>324</v>
      </c>
      <c r="WT14">
        <v>500</v>
      </c>
      <c r="WU14">
        <v>466</v>
      </c>
      <c r="WV14">
        <v>264</v>
      </c>
      <c r="WW14">
        <v>299</v>
      </c>
      <c r="WX14">
        <v>307</v>
      </c>
      <c r="WY14">
        <v>497</v>
      </c>
      <c r="WZ14">
        <v>558</v>
      </c>
      <c r="XA14">
        <v>483</v>
      </c>
      <c r="XB14">
        <v>532</v>
      </c>
      <c r="XC14">
        <v>827</v>
      </c>
      <c r="XD14">
        <v>652</v>
      </c>
      <c r="XE14">
        <v>830</v>
      </c>
      <c r="XF14">
        <v>570</v>
      </c>
      <c r="XG14">
        <v>543</v>
      </c>
      <c r="XH14">
        <v>537</v>
      </c>
      <c r="XI14">
        <v>706</v>
      </c>
      <c r="XJ14">
        <v>918</v>
      </c>
      <c r="XK14">
        <v>896</v>
      </c>
      <c r="XL14">
        <v>746</v>
      </c>
      <c r="XM14">
        <v>737</v>
      </c>
      <c r="XN14">
        <v>903</v>
      </c>
      <c r="XO14">
        <v>963</v>
      </c>
      <c r="XP14">
        <v>755</v>
      </c>
      <c r="XQ14">
        <v>794</v>
      </c>
      <c r="XR14">
        <v>603</v>
      </c>
      <c r="XS14">
        <v>515</v>
      </c>
      <c r="XT14">
        <v>875</v>
      </c>
      <c r="XU14">
        <v>941</v>
      </c>
      <c r="XV14">
        <v>962</v>
      </c>
      <c r="XW14">
        <v>982</v>
      </c>
      <c r="XX14">
        <v>902</v>
      </c>
      <c r="XY14">
        <v>902</v>
      </c>
      <c r="XZ14">
        <v>902</v>
      </c>
      <c r="YA14">
        <v>902</v>
      </c>
      <c r="YB14">
        <v>902</v>
      </c>
      <c r="YC14">
        <v>1014</v>
      </c>
      <c r="YD14">
        <v>1014</v>
      </c>
      <c r="YE14">
        <v>874</v>
      </c>
      <c r="YF14" s="1">
        <v>874</v>
      </c>
      <c r="YG14" s="1">
        <v>874</v>
      </c>
      <c r="YH14" s="1">
        <v>874</v>
      </c>
      <c r="YI14" s="1">
        <v>874</v>
      </c>
      <c r="YJ14">
        <v>1080</v>
      </c>
      <c r="YK14">
        <v>1080</v>
      </c>
      <c r="YL14">
        <v>1080</v>
      </c>
      <c r="YM14">
        <v>1317</v>
      </c>
      <c r="YN14">
        <v>1317</v>
      </c>
      <c r="YO14">
        <v>736</v>
      </c>
      <c r="YP14">
        <v>736</v>
      </c>
      <c r="YQ14">
        <v>736</v>
      </c>
      <c r="YR14">
        <v>736</v>
      </c>
      <c r="YS14">
        <v>496</v>
      </c>
      <c r="YT14">
        <v>496</v>
      </c>
      <c r="YU14">
        <v>496</v>
      </c>
      <c r="YV14">
        <v>496</v>
      </c>
      <c r="YW14">
        <v>532</v>
      </c>
      <c r="YX14">
        <v>532</v>
      </c>
      <c r="YY14">
        <v>532</v>
      </c>
      <c r="YZ14">
        <v>532</v>
      </c>
      <c r="ZA14">
        <v>532</v>
      </c>
      <c r="ZB14">
        <v>532</v>
      </c>
      <c r="ZC14">
        <v>532</v>
      </c>
      <c r="ZD14">
        <v>532</v>
      </c>
      <c r="ZE14">
        <v>532</v>
      </c>
      <c r="ZF14">
        <v>532</v>
      </c>
      <c r="ZG14">
        <v>532</v>
      </c>
      <c r="ZH14">
        <v>467</v>
      </c>
      <c r="ZI14">
        <v>467</v>
      </c>
      <c r="ZJ14">
        <v>352</v>
      </c>
      <c r="ZK14">
        <v>621</v>
      </c>
      <c r="ZL14">
        <v>621</v>
      </c>
      <c r="ZM14">
        <v>621</v>
      </c>
      <c r="ZN14">
        <v>571</v>
      </c>
      <c r="ZO14">
        <v>571</v>
      </c>
      <c r="ZP14">
        <v>571</v>
      </c>
      <c r="ZQ14">
        <v>417</v>
      </c>
      <c r="ZR14">
        <v>417</v>
      </c>
      <c r="ZS14">
        <v>417</v>
      </c>
      <c r="ZT14">
        <v>417</v>
      </c>
      <c r="ZU14">
        <v>288</v>
      </c>
      <c r="ZV14">
        <v>288</v>
      </c>
      <c r="ZW14">
        <v>288</v>
      </c>
      <c r="ZX14">
        <v>172</v>
      </c>
      <c r="ZY14">
        <v>172</v>
      </c>
      <c r="ZZ14">
        <v>172</v>
      </c>
      <c r="AAA14">
        <v>172</v>
      </c>
      <c r="AAB14">
        <v>172</v>
      </c>
      <c r="AAC14">
        <v>278</v>
      </c>
      <c r="AAD14">
        <v>278</v>
      </c>
      <c r="AAE14">
        <v>278</v>
      </c>
      <c r="AAF14">
        <v>278</v>
      </c>
      <c r="AAG14">
        <v>272</v>
      </c>
      <c r="AAH14">
        <v>272</v>
      </c>
      <c r="AAI14">
        <v>272</v>
      </c>
      <c r="AAJ14">
        <v>272</v>
      </c>
      <c r="AAK14">
        <v>170</v>
      </c>
      <c r="AAL14">
        <v>170</v>
      </c>
      <c r="AAM14">
        <v>170</v>
      </c>
      <c r="AAN14">
        <v>170</v>
      </c>
      <c r="AAO14">
        <v>170</v>
      </c>
      <c r="AAP14">
        <v>170</v>
      </c>
      <c r="AAQ14">
        <v>326</v>
      </c>
      <c r="AAR14">
        <v>326</v>
      </c>
      <c r="AAS14">
        <v>326</v>
      </c>
      <c r="AAT14">
        <v>326</v>
      </c>
      <c r="AAU14">
        <v>326</v>
      </c>
      <c r="AAV14">
        <v>326</v>
      </c>
      <c r="AAW14">
        <v>326</v>
      </c>
      <c r="AAX14">
        <v>307</v>
      </c>
      <c r="AAY14">
        <v>307</v>
      </c>
      <c r="AAZ14">
        <v>307</v>
      </c>
      <c r="ABA14">
        <v>307</v>
      </c>
      <c r="ABB14">
        <v>307</v>
      </c>
      <c r="ABC14">
        <v>307</v>
      </c>
      <c r="ABD14">
        <v>307</v>
      </c>
      <c r="ABE14">
        <v>242</v>
      </c>
      <c r="ABF14">
        <v>320</v>
      </c>
      <c r="ABG14">
        <v>320</v>
      </c>
      <c r="ABH14">
        <v>320</v>
      </c>
      <c r="ABI14">
        <v>340</v>
      </c>
      <c r="ABJ14">
        <v>340</v>
      </c>
      <c r="ABK14">
        <v>340</v>
      </c>
      <c r="ABL14">
        <v>340</v>
      </c>
      <c r="ABM14">
        <v>340</v>
      </c>
      <c r="ABN14">
        <v>340</v>
      </c>
      <c r="ABO14">
        <v>340</v>
      </c>
      <c r="ABP14">
        <v>340</v>
      </c>
      <c r="ABQ14">
        <v>127</v>
      </c>
      <c r="ABR14">
        <v>127</v>
      </c>
      <c r="ABS14">
        <v>127</v>
      </c>
      <c r="ABT14">
        <v>127</v>
      </c>
      <c r="ABU14">
        <v>127</v>
      </c>
      <c r="ABV14">
        <v>127</v>
      </c>
      <c r="ABW14">
        <v>127</v>
      </c>
      <c r="ABX14">
        <v>127</v>
      </c>
      <c r="ABY14">
        <v>127</v>
      </c>
      <c r="ABZ14">
        <v>127</v>
      </c>
      <c r="ACA14">
        <v>127</v>
      </c>
      <c r="ACB14">
        <v>20</v>
      </c>
      <c r="ACC14">
        <v>20</v>
      </c>
      <c r="ACD14">
        <v>20</v>
      </c>
      <c r="ACE14">
        <v>20</v>
      </c>
      <c r="ACF14">
        <v>20</v>
      </c>
      <c r="ACG14">
        <v>20</v>
      </c>
      <c r="ACH14">
        <v>20</v>
      </c>
      <c r="ACI14">
        <v>20</v>
      </c>
      <c r="ACJ14">
        <v>20</v>
      </c>
      <c r="ACK14">
        <v>20</v>
      </c>
      <c r="ACL14">
        <v>20</v>
      </c>
      <c r="ACM14">
        <v>20</v>
      </c>
      <c r="ACN14">
        <v>20</v>
      </c>
      <c r="ACO14">
        <v>20</v>
      </c>
      <c r="ACP14">
        <v>20</v>
      </c>
      <c r="ACQ14">
        <v>20</v>
      </c>
      <c r="ACR14">
        <v>20</v>
      </c>
      <c r="ACS14">
        <v>20</v>
      </c>
      <c r="ACT14">
        <v>20</v>
      </c>
      <c r="ACU14">
        <v>20</v>
      </c>
      <c r="ACV14">
        <v>20</v>
      </c>
      <c r="ACW14">
        <v>20</v>
      </c>
      <c r="ACX14">
        <v>20</v>
      </c>
      <c r="ACY14">
        <v>20</v>
      </c>
      <c r="ACZ14">
        <v>20</v>
      </c>
      <c r="ADA14">
        <v>20</v>
      </c>
      <c r="ADB14">
        <v>20</v>
      </c>
      <c r="ADC14">
        <v>20</v>
      </c>
      <c r="ADD14">
        <v>20</v>
      </c>
      <c r="ADE14">
        <v>20</v>
      </c>
      <c r="ADF14">
        <v>20</v>
      </c>
      <c r="ADG14">
        <v>20</v>
      </c>
      <c r="ADH14">
        <v>20</v>
      </c>
      <c r="ADI14">
        <v>20</v>
      </c>
      <c r="ADJ14">
        <v>20</v>
      </c>
      <c r="ADK14">
        <v>20</v>
      </c>
      <c r="ADL14">
        <v>50</v>
      </c>
      <c r="ADM14">
        <v>50</v>
      </c>
      <c r="ADN14">
        <v>50</v>
      </c>
      <c r="ADO14">
        <v>50</v>
      </c>
      <c r="ADP14">
        <v>50</v>
      </c>
      <c r="ADQ14">
        <v>50</v>
      </c>
      <c r="ADR14">
        <v>150</v>
      </c>
      <c r="ADS14">
        <v>150</v>
      </c>
      <c r="ADT14">
        <v>150</v>
      </c>
      <c r="ADU14">
        <v>150</v>
      </c>
      <c r="ADV14">
        <v>150</v>
      </c>
      <c r="ADW14">
        <v>328</v>
      </c>
      <c r="ADX14">
        <v>328</v>
      </c>
      <c r="ADY14">
        <v>349</v>
      </c>
      <c r="ADZ14">
        <v>349</v>
      </c>
      <c r="AEA14">
        <v>349</v>
      </c>
      <c r="AEB14">
        <v>349</v>
      </c>
      <c r="AEC14">
        <v>349</v>
      </c>
      <c r="AED14">
        <v>349</v>
      </c>
      <c r="AEE14">
        <v>349</v>
      </c>
      <c r="AEF14">
        <v>349</v>
      </c>
      <c r="AEG14">
        <v>349</v>
      </c>
      <c r="AEH14">
        <v>349</v>
      </c>
      <c r="AEI14">
        <v>349</v>
      </c>
      <c r="AEJ14">
        <v>349</v>
      </c>
      <c r="AEK14">
        <v>349</v>
      </c>
      <c r="AEL14">
        <v>349</v>
      </c>
      <c r="AEM14">
        <v>349</v>
      </c>
      <c r="AEN14">
        <v>349</v>
      </c>
      <c r="AEO14">
        <v>349</v>
      </c>
      <c r="AEP14">
        <v>349</v>
      </c>
      <c r="AEQ14">
        <v>349</v>
      </c>
      <c r="AER14">
        <v>349</v>
      </c>
      <c r="AES14">
        <v>349</v>
      </c>
      <c r="AET14">
        <v>349</v>
      </c>
      <c r="AEU14">
        <v>349</v>
      </c>
      <c r="AEV14">
        <v>349</v>
      </c>
      <c r="AEW14">
        <v>349</v>
      </c>
      <c r="AEX14">
        <v>349</v>
      </c>
      <c r="AEY14">
        <v>349</v>
      </c>
      <c r="AEZ14">
        <v>349</v>
      </c>
      <c r="AFA14">
        <v>349</v>
      </c>
      <c r="AFB14">
        <v>349</v>
      </c>
      <c r="AFC14">
        <v>349</v>
      </c>
      <c r="AFD14">
        <v>349</v>
      </c>
      <c r="AFE14">
        <v>349</v>
      </c>
      <c r="AFF14">
        <v>349</v>
      </c>
      <c r="AFG14">
        <v>349</v>
      </c>
      <c r="AFH14">
        <v>349</v>
      </c>
      <c r="AFI14">
        <v>349</v>
      </c>
      <c r="AFJ14">
        <v>349</v>
      </c>
      <c r="AFK14">
        <v>349</v>
      </c>
      <c r="AFL14">
        <v>349</v>
      </c>
      <c r="AFM14">
        <v>349</v>
      </c>
      <c r="AFN14">
        <v>349</v>
      </c>
      <c r="AFO14">
        <v>349</v>
      </c>
      <c r="AFP14">
        <v>349</v>
      </c>
      <c r="AFQ14">
        <v>349</v>
      </c>
      <c r="AFR14">
        <v>349</v>
      </c>
      <c r="AFS14">
        <v>349</v>
      </c>
      <c r="AFT14">
        <v>349</v>
      </c>
      <c r="AFU14">
        <v>349</v>
      </c>
      <c r="AFV14">
        <v>349</v>
      </c>
      <c r="AFW14">
        <v>349</v>
      </c>
      <c r="AFX14">
        <v>349</v>
      </c>
      <c r="AFY14">
        <v>349</v>
      </c>
      <c r="AFZ14">
        <v>349</v>
      </c>
      <c r="AGA14">
        <v>349</v>
      </c>
      <c r="AGB14">
        <v>349</v>
      </c>
      <c r="AGC14">
        <v>349</v>
      </c>
      <c r="AGD14">
        <v>349</v>
      </c>
      <c r="AGE14">
        <v>349</v>
      </c>
      <c r="AGF14">
        <v>349</v>
      </c>
      <c r="AGG14">
        <v>349</v>
      </c>
      <c r="AGH14">
        <v>349</v>
      </c>
      <c r="AGI14">
        <v>349</v>
      </c>
      <c r="AGJ14">
        <v>349</v>
      </c>
      <c r="AGK14">
        <v>349</v>
      </c>
      <c r="AGL14">
        <v>349</v>
      </c>
      <c r="AGM14">
        <v>349</v>
      </c>
      <c r="AGN14">
        <v>349</v>
      </c>
      <c r="AGO14">
        <v>349</v>
      </c>
      <c r="AGP14">
        <v>349</v>
      </c>
      <c r="AGQ14">
        <v>349</v>
      </c>
      <c r="AGR14">
        <v>349</v>
      </c>
      <c r="AGS14">
        <v>349</v>
      </c>
      <c r="AGT14">
        <v>349</v>
      </c>
      <c r="AGU14">
        <v>349</v>
      </c>
      <c r="AGV14">
        <v>349</v>
      </c>
      <c r="AGW14">
        <v>349</v>
      </c>
      <c r="AGX14">
        <v>349</v>
      </c>
      <c r="AGY14">
        <v>349</v>
      </c>
      <c r="AGZ14">
        <v>349</v>
      </c>
      <c r="AHA14">
        <v>349</v>
      </c>
      <c r="AHB14">
        <v>349</v>
      </c>
      <c r="AHC14">
        <v>349</v>
      </c>
      <c r="AHD14">
        <v>349</v>
      </c>
      <c r="AHE14">
        <v>349</v>
      </c>
      <c r="AHF14">
        <v>349</v>
      </c>
      <c r="AHG14">
        <v>349</v>
      </c>
      <c r="AHH14">
        <v>349</v>
      </c>
      <c r="AHI14">
        <v>349</v>
      </c>
      <c r="AHJ14">
        <v>349</v>
      </c>
      <c r="AHK14">
        <v>349</v>
      </c>
      <c r="AHL14">
        <v>349</v>
      </c>
      <c r="AHM14">
        <v>349</v>
      </c>
      <c r="AHN14">
        <v>349</v>
      </c>
      <c r="AHO14">
        <v>349</v>
      </c>
      <c r="AHP14">
        <v>349</v>
      </c>
      <c r="AHQ14">
        <v>349</v>
      </c>
    </row>
    <row r="15" spans="1:901">
      <c r="A15" s="1" t="s">
        <v>96</v>
      </c>
      <c r="B15">
        <v>1379</v>
      </c>
      <c r="C15">
        <v>1302</v>
      </c>
      <c r="D15">
        <v>1556</v>
      </c>
      <c r="E15">
        <v>1338</v>
      </c>
      <c r="F15">
        <v>0</v>
      </c>
      <c r="G15">
        <v>703</v>
      </c>
      <c r="H15">
        <v>1087</v>
      </c>
      <c r="I15">
        <v>1370</v>
      </c>
      <c r="J15">
        <v>1400</v>
      </c>
      <c r="K15">
        <v>1357</v>
      </c>
      <c r="L15">
        <v>0</v>
      </c>
      <c r="M15">
        <v>935</v>
      </c>
      <c r="N15">
        <v>890</v>
      </c>
      <c r="O15">
        <v>1156</v>
      </c>
      <c r="P15">
        <v>1068</v>
      </c>
      <c r="Q15">
        <v>1001</v>
      </c>
      <c r="R15">
        <v>1353</v>
      </c>
      <c r="S15">
        <v>0</v>
      </c>
      <c r="T15">
        <v>1947</v>
      </c>
      <c r="U15">
        <v>1013</v>
      </c>
      <c r="V15">
        <v>1355</v>
      </c>
      <c r="W15">
        <v>1331</v>
      </c>
      <c r="X15">
        <v>1225</v>
      </c>
      <c r="Y15">
        <v>1386</v>
      </c>
      <c r="Z15">
        <v>0</v>
      </c>
      <c r="AA15">
        <v>733</v>
      </c>
      <c r="AB15">
        <v>1015</v>
      </c>
      <c r="AC15">
        <v>1542</v>
      </c>
      <c r="AD15">
        <v>1372</v>
      </c>
      <c r="AE15">
        <v>1196</v>
      </c>
      <c r="AF15">
        <v>1166</v>
      </c>
      <c r="AG15">
        <v>0</v>
      </c>
      <c r="AH15">
        <v>632</v>
      </c>
      <c r="AI15">
        <v>847</v>
      </c>
      <c r="AJ15">
        <v>1503</v>
      </c>
      <c r="AK15">
        <v>1191</v>
      </c>
      <c r="AL15">
        <v>1210</v>
      </c>
      <c r="AM15">
        <v>1262</v>
      </c>
      <c r="AN15">
        <v>0</v>
      </c>
      <c r="AO15">
        <v>511</v>
      </c>
      <c r="AP15">
        <v>862</v>
      </c>
      <c r="AQ15">
        <v>1231</v>
      </c>
      <c r="AR15">
        <v>1017</v>
      </c>
      <c r="AS15">
        <v>1296</v>
      </c>
      <c r="AT15">
        <v>1105</v>
      </c>
      <c r="AU15">
        <v>0</v>
      </c>
      <c r="AV15">
        <v>540</v>
      </c>
      <c r="AW15">
        <v>863</v>
      </c>
      <c r="AX15">
        <v>1141</v>
      </c>
      <c r="AY15">
        <v>1106</v>
      </c>
      <c r="AZ15">
        <v>1050</v>
      </c>
      <c r="BA15">
        <v>946</v>
      </c>
      <c r="BB15">
        <v>0</v>
      </c>
      <c r="BC15">
        <v>488</v>
      </c>
      <c r="BD15">
        <v>979</v>
      </c>
      <c r="BE15">
        <v>1202</v>
      </c>
      <c r="BF15">
        <v>1171</v>
      </c>
      <c r="BG15">
        <v>1184</v>
      </c>
      <c r="BH15">
        <v>1100</v>
      </c>
      <c r="BI15">
        <v>0</v>
      </c>
      <c r="BJ15">
        <v>643</v>
      </c>
      <c r="BK15">
        <v>998</v>
      </c>
      <c r="BL15">
        <v>1422</v>
      </c>
      <c r="BM15">
        <v>1219</v>
      </c>
      <c r="BN15">
        <v>1187</v>
      </c>
      <c r="BO15">
        <v>0</v>
      </c>
      <c r="BP15">
        <v>0</v>
      </c>
      <c r="BQ15">
        <v>618</v>
      </c>
      <c r="BR15">
        <v>895</v>
      </c>
      <c r="BS15">
        <v>1330</v>
      </c>
      <c r="BT15">
        <v>1222</v>
      </c>
      <c r="BU15">
        <v>1351</v>
      </c>
      <c r="BV15">
        <v>0</v>
      </c>
      <c r="BW15">
        <v>0</v>
      </c>
      <c r="BX15">
        <v>539</v>
      </c>
      <c r="BY15">
        <v>534</v>
      </c>
      <c r="BZ15">
        <v>1168</v>
      </c>
      <c r="CA15">
        <v>1165</v>
      </c>
      <c r="CB15">
        <v>1180</v>
      </c>
      <c r="CC15">
        <v>0</v>
      </c>
      <c r="CD15">
        <v>0</v>
      </c>
      <c r="CE15">
        <v>576</v>
      </c>
      <c r="CF15">
        <v>1009</v>
      </c>
      <c r="CG15">
        <v>1258</v>
      </c>
      <c r="CH15">
        <v>1127</v>
      </c>
      <c r="CI15">
        <v>1132</v>
      </c>
      <c r="CJ15">
        <v>0</v>
      </c>
      <c r="CK15">
        <v>0</v>
      </c>
      <c r="CL15">
        <v>549</v>
      </c>
      <c r="CM15">
        <v>927</v>
      </c>
      <c r="CN15">
        <v>1167</v>
      </c>
      <c r="CO15">
        <v>1125</v>
      </c>
      <c r="CP15">
        <v>1084</v>
      </c>
      <c r="CQ15">
        <v>0</v>
      </c>
      <c r="CR15">
        <v>0</v>
      </c>
      <c r="CS15">
        <v>635</v>
      </c>
      <c r="CT15">
        <v>911</v>
      </c>
      <c r="CU15">
        <v>1138</v>
      </c>
      <c r="CV15">
        <v>1048</v>
      </c>
      <c r="CW15">
        <v>0</v>
      </c>
      <c r="CX15">
        <v>0</v>
      </c>
      <c r="CY15">
        <v>0</v>
      </c>
      <c r="CZ15">
        <v>558</v>
      </c>
      <c r="DA15">
        <v>1037</v>
      </c>
      <c r="DB15">
        <v>1315</v>
      </c>
      <c r="DC15">
        <v>1207</v>
      </c>
      <c r="DD15">
        <v>0</v>
      </c>
      <c r="DE15">
        <v>0</v>
      </c>
      <c r="DF15">
        <v>0</v>
      </c>
      <c r="DG15">
        <v>717</v>
      </c>
      <c r="DH15">
        <v>1155</v>
      </c>
      <c r="DI15">
        <v>1447</v>
      </c>
      <c r="DJ15">
        <v>1369</v>
      </c>
      <c r="DK15">
        <v>1207</v>
      </c>
      <c r="DL15">
        <v>0</v>
      </c>
      <c r="DM15">
        <v>0</v>
      </c>
      <c r="DN15">
        <v>656</v>
      </c>
      <c r="DO15">
        <v>1032</v>
      </c>
      <c r="DP15">
        <v>1063</v>
      </c>
      <c r="DQ15">
        <v>1086</v>
      </c>
      <c r="DR15">
        <v>945</v>
      </c>
      <c r="DS15">
        <v>0</v>
      </c>
      <c r="DT15">
        <v>0</v>
      </c>
      <c r="DU15">
        <v>363</v>
      </c>
      <c r="DV15">
        <v>861</v>
      </c>
      <c r="DW15">
        <v>835</v>
      </c>
      <c r="DX15">
        <v>765</v>
      </c>
      <c r="DY15">
        <v>831</v>
      </c>
      <c r="DZ15">
        <v>0</v>
      </c>
      <c r="EA15">
        <v>0</v>
      </c>
      <c r="EB15">
        <v>355</v>
      </c>
      <c r="EC15">
        <v>600</v>
      </c>
      <c r="ED15">
        <v>721</v>
      </c>
      <c r="EE15">
        <v>571</v>
      </c>
      <c r="EF15">
        <v>639</v>
      </c>
      <c r="EG15">
        <v>0</v>
      </c>
      <c r="EH15">
        <v>0</v>
      </c>
      <c r="EI15">
        <v>289</v>
      </c>
      <c r="EJ15">
        <v>440</v>
      </c>
      <c r="EK15">
        <v>528</v>
      </c>
      <c r="EL15">
        <v>455</v>
      </c>
      <c r="EM15">
        <v>446</v>
      </c>
      <c r="EN15">
        <v>0</v>
      </c>
      <c r="EO15">
        <v>0</v>
      </c>
      <c r="EP15">
        <v>210</v>
      </c>
      <c r="EQ15">
        <v>417</v>
      </c>
      <c r="ER15">
        <v>486</v>
      </c>
      <c r="ES15">
        <v>418</v>
      </c>
      <c r="ET15">
        <v>431</v>
      </c>
      <c r="EU15">
        <v>0</v>
      </c>
      <c r="EV15">
        <v>0</v>
      </c>
      <c r="EW15">
        <v>182</v>
      </c>
      <c r="EX15">
        <v>430</v>
      </c>
      <c r="EY15">
        <v>434</v>
      </c>
      <c r="EZ15">
        <v>353</v>
      </c>
      <c r="FA15">
        <v>437</v>
      </c>
      <c r="FB15">
        <v>0</v>
      </c>
      <c r="FC15">
        <v>0</v>
      </c>
      <c r="FD15">
        <v>208</v>
      </c>
      <c r="FE15">
        <v>423</v>
      </c>
      <c r="FF15">
        <v>399</v>
      </c>
      <c r="FG15">
        <v>418</v>
      </c>
      <c r="FH15">
        <v>427</v>
      </c>
      <c r="FI15">
        <v>0</v>
      </c>
      <c r="FJ15">
        <v>0</v>
      </c>
      <c r="FK15">
        <v>180</v>
      </c>
      <c r="FL15">
        <v>428</v>
      </c>
      <c r="FM15">
        <v>376</v>
      </c>
      <c r="FN15">
        <v>403</v>
      </c>
      <c r="FO15">
        <v>347</v>
      </c>
      <c r="FP15">
        <v>0</v>
      </c>
      <c r="FQ15">
        <v>0</v>
      </c>
      <c r="FR15">
        <v>0</v>
      </c>
      <c r="FS15">
        <v>372</v>
      </c>
      <c r="FT15">
        <v>0</v>
      </c>
      <c r="FU15">
        <v>0</v>
      </c>
      <c r="FV15">
        <v>376</v>
      </c>
      <c r="FW15">
        <v>0</v>
      </c>
      <c r="FX15">
        <v>0</v>
      </c>
      <c r="FY15">
        <v>0</v>
      </c>
      <c r="FZ15">
        <v>431</v>
      </c>
      <c r="GA15">
        <v>0</v>
      </c>
      <c r="GB15">
        <v>0</v>
      </c>
      <c r="GC15">
        <v>470</v>
      </c>
      <c r="GD15">
        <v>0</v>
      </c>
      <c r="GE15">
        <v>0</v>
      </c>
      <c r="GF15">
        <v>0</v>
      </c>
      <c r="GG15">
        <v>1535</v>
      </c>
      <c r="GH15">
        <v>0</v>
      </c>
      <c r="GI15">
        <v>0</v>
      </c>
      <c r="GJ15">
        <v>1740</v>
      </c>
      <c r="GK15">
        <v>0</v>
      </c>
      <c r="GL15">
        <v>0</v>
      </c>
      <c r="GM15">
        <v>0</v>
      </c>
      <c r="GN15">
        <v>1586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1690</v>
      </c>
      <c r="GV15">
        <v>0</v>
      </c>
      <c r="GW15">
        <v>0</v>
      </c>
      <c r="GX15">
        <v>2698</v>
      </c>
      <c r="GY15">
        <v>0</v>
      </c>
      <c r="GZ15">
        <v>0</v>
      </c>
      <c r="HA15">
        <v>0</v>
      </c>
      <c r="HB15">
        <v>2799</v>
      </c>
      <c r="HC15">
        <v>0</v>
      </c>
      <c r="HD15">
        <v>1121</v>
      </c>
      <c r="HE15">
        <v>1044</v>
      </c>
      <c r="HF15">
        <v>0</v>
      </c>
      <c r="HG15">
        <v>0</v>
      </c>
      <c r="HH15">
        <v>536</v>
      </c>
      <c r="HI15">
        <v>1130</v>
      </c>
      <c r="HJ15">
        <v>1531</v>
      </c>
      <c r="HK15">
        <v>1776</v>
      </c>
      <c r="HL15">
        <v>1656</v>
      </c>
      <c r="HM15">
        <v>1830</v>
      </c>
      <c r="HN15">
        <v>0</v>
      </c>
      <c r="HO15">
        <v>1203</v>
      </c>
      <c r="HP15">
        <v>1927</v>
      </c>
      <c r="HQ15">
        <v>2434</v>
      </c>
      <c r="HR15">
        <v>2781</v>
      </c>
      <c r="HS15">
        <v>2609</v>
      </c>
      <c r="HT15">
        <v>0</v>
      </c>
      <c r="HU15">
        <v>0</v>
      </c>
      <c r="HV15">
        <v>1855</v>
      </c>
      <c r="HW15">
        <v>1304</v>
      </c>
      <c r="HX15">
        <v>2555</v>
      </c>
      <c r="HY15">
        <v>2559</v>
      </c>
      <c r="HZ15">
        <v>2392</v>
      </c>
      <c r="IA15">
        <v>0</v>
      </c>
      <c r="IB15">
        <v>0</v>
      </c>
      <c r="IC15">
        <v>1500</v>
      </c>
      <c r="ID15">
        <v>2236</v>
      </c>
      <c r="IE15">
        <v>3173</v>
      </c>
      <c r="IF15">
        <v>3039</v>
      </c>
      <c r="IG15">
        <v>2815</v>
      </c>
      <c r="IH15">
        <v>0</v>
      </c>
      <c r="II15">
        <v>0</v>
      </c>
      <c r="IJ15">
        <v>1322</v>
      </c>
      <c r="IK15">
        <v>2294</v>
      </c>
      <c r="IL15">
        <v>2900</v>
      </c>
      <c r="IM15">
        <v>2812</v>
      </c>
      <c r="IN15">
        <v>2587</v>
      </c>
      <c r="IO15">
        <v>0</v>
      </c>
      <c r="IP15">
        <v>0</v>
      </c>
      <c r="IQ15">
        <v>1139</v>
      </c>
      <c r="IR15">
        <v>2370</v>
      </c>
      <c r="IS15">
        <v>2587</v>
      </c>
      <c r="IT15">
        <v>2436</v>
      </c>
      <c r="IU15">
        <v>2180</v>
      </c>
      <c r="IV15">
        <v>0</v>
      </c>
      <c r="IW15">
        <v>0</v>
      </c>
      <c r="IX15">
        <v>1141</v>
      </c>
      <c r="IY15">
        <v>2293</v>
      </c>
      <c r="IZ15">
        <v>2319</v>
      </c>
      <c r="JA15">
        <v>2181</v>
      </c>
      <c r="JB15">
        <v>2200</v>
      </c>
      <c r="JC15">
        <v>0</v>
      </c>
      <c r="JD15">
        <v>0</v>
      </c>
      <c r="JE15">
        <v>928</v>
      </c>
      <c r="JF15">
        <v>1900</v>
      </c>
      <c r="JG15">
        <v>2187</v>
      </c>
      <c r="JH15">
        <v>2041</v>
      </c>
      <c r="JI15">
        <v>1852</v>
      </c>
      <c r="JJ15">
        <v>0</v>
      </c>
      <c r="JK15">
        <v>0</v>
      </c>
      <c r="JL15">
        <v>866</v>
      </c>
      <c r="JM15">
        <v>1708</v>
      </c>
      <c r="JN15">
        <v>1845</v>
      </c>
      <c r="JO15">
        <v>1869</v>
      </c>
      <c r="JP15">
        <v>1604</v>
      </c>
      <c r="JQ15">
        <v>0</v>
      </c>
      <c r="JR15">
        <v>0</v>
      </c>
      <c r="JS15">
        <v>797</v>
      </c>
      <c r="JT15">
        <v>1525</v>
      </c>
      <c r="JU15">
        <v>1903</v>
      </c>
      <c r="JV15">
        <v>1743</v>
      </c>
      <c r="JW15">
        <v>1739</v>
      </c>
      <c r="JX15">
        <v>0</v>
      </c>
      <c r="JY15">
        <v>0</v>
      </c>
      <c r="JZ15">
        <v>792</v>
      </c>
      <c r="KA15">
        <v>1857</v>
      </c>
      <c r="KB15">
        <v>1777</v>
      </c>
      <c r="KC15">
        <v>1602</v>
      </c>
      <c r="KD15">
        <v>1666</v>
      </c>
      <c r="KE15">
        <v>0</v>
      </c>
      <c r="KF15">
        <v>0</v>
      </c>
      <c r="KG15">
        <v>690</v>
      </c>
      <c r="KH15">
        <v>1488</v>
      </c>
      <c r="KI15">
        <v>1279</v>
      </c>
      <c r="KJ15">
        <v>1847</v>
      </c>
      <c r="KK15">
        <v>1544</v>
      </c>
      <c r="KL15">
        <v>0</v>
      </c>
      <c r="KM15">
        <v>0</v>
      </c>
      <c r="KN15">
        <v>785</v>
      </c>
      <c r="KO15">
        <v>1569</v>
      </c>
      <c r="KP15">
        <v>1653</v>
      </c>
      <c r="KQ15">
        <v>1576</v>
      </c>
      <c r="KR15">
        <v>1500</v>
      </c>
      <c r="KS15">
        <v>0</v>
      </c>
      <c r="KT15">
        <v>0</v>
      </c>
      <c r="KU15">
        <v>742</v>
      </c>
      <c r="KV15">
        <v>1354</v>
      </c>
      <c r="KW15">
        <v>1532</v>
      </c>
      <c r="KX15">
        <v>1802</v>
      </c>
      <c r="KY15">
        <v>1139</v>
      </c>
      <c r="KZ15">
        <v>0</v>
      </c>
      <c r="LA15">
        <v>0</v>
      </c>
      <c r="LB15">
        <v>0</v>
      </c>
      <c r="LC15">
        <v>856</v>
      </c>
      <c r="LD15">
        <v>1467</v>
      </c>
      <c r="LE15">
        <v>1695</v>
      </c>
      <c r="LF15">
        <v>1608</v>
      </c>
      <c r="LG15">
        <v>0</v>
      </c>
      <c r="LH15">
        <v>0</v>
      </c>
      <c r="LI15">
        <v>0</v>
      </c>
      <c r="LJ15">
        <v>943</v>
      </c>
      <c r="LK15">
        <v>1795</v>
      </c>
      <c r="LL15">
        <v>1827</v>
      </c>
      <c r="LM15">
        <v>1932</v>
      </c>
      <c r="LN15">
        <v>0</v>
      </c>
      <c r="LO15">
        <v>0</v>
      </c>
      <c r="LP15">
        <v>888</v>
      </c>
      <c r="LQ15">
        <v>1882</v>
      </c>
      <c r="LR15">
        <v>2128</v>
      </c>
      <c r="LS15">
        <v>2002</v>
      </c>
      <c r="LT15">
        <v>1821</v>
      </c>
      <c r="LU15">
        <v>0</v>
      </c>
      <c r="LV15">
        <v>0</v>
      </c>
      <c r="LW15">
        <v>878</v>
      </c>
      <c r="LX15">
        <v>1932</v>
      </c>
      <c r="LY15">
        <v>2195</v>
      </c>
      <c r="LZ15">
        <v>2311</v>
      </c>
      <c r="MA15">
        <v>2060</v>
      </c>
      <c r="MB15">
        <v>0</v>
      </c>
      <c r="MC15">
        <v>0</v>
      </c>
      <c r="MD15">
        <v>1480</v>
      </c>
      <c r="ME15">
        <v>2230</v>
      </c>
      <c r="MF15">
        <v>2619</v>
      </c>
      <c r="MG15">
        <v>2706</v>
      </c>
      <c r="MH15">
        <v>2787</v>
      </c>
      <c r="MI15">
        <v>0</v>
      </c>
      <c r="MJ15">
        <v>0</v>
      </c>
      <c r="MK15">
        <v>1454</v>
      </c>
      <c r="ML15">
        <v>2581</v>
      </c>
      <c r="MM15">
        <v>2848</v>
      </c>
      <c r="MN15">
        <v>2991</v>
      </c>
      <c r="MO15">
        <v>2750</v>
      </c>
      <c r="MP15">
        <v>0</v>
      </c>
      <c r="MQ15">
        <v>0</v>
      </c>
      <c r="MR15">
        <v>1435</v>
      </c>
      <c r="MS15">
        <v>2956</v>
      </c>
      <c r="MT15">
        <v>2884</v>
      </c>
      <c r="MU15">
        <v>2975</v>
      </c>
      <c r="MV15">
        <v>2825</v>
      </c>
      <c r="MW15">
        <v>0</v>
      </c>
      <c r="MX15">
        <v>0</v>
      </c>
      <c r="MY15">
        <v>0</v>
      </c>
      <c r="MZ15">
        <v>1376</v>
      </c>
      <c r="NA15">
        <v>2725</v>
      </c>
      <c r="NB15">
        <v>2901</v>
      </c>
      <c r="NC15">
        <v>2801</v>
      </c>
      <c r="ND15">
        <v>0</v>
      </c>
      <c r="NE15">
        <v>0</v>
      </c>
      <c r="NF15">
        <v>1514</v>
      </c>
      <c r="NG15">
        <v>2731</v>
      </c>
      <c r="NH15">
        <v>2547</v>
      </c>
      <c r="NI15">
        <v>2701</v>
      </c>
      <c r="NJ15">
        <v>2550</v>
      </c>
      <c r="NK15">
        <v>0</v>
      </c>
      <c r="NL15">
        <v>0</v>
      </c>
      <c r="NM15">
        <v>1178</v>
      </c>
      <c r="NN15">
        <v>2078</v>
      </c>
      <c r="NO15">
        <v>2036</v>
      </c>
      <c r="NP15">
        <v>2072</v>
      </c>
      <c r="NQ15">
        <v>1688</v>
      </c>
      <c r="NR15">
        <v>0</v>
      </c>
      <c r="NS15">
        <v>0</v>
      </c>
      <c r="NT15">
        <v>881</v>
      </c>
      <c r="NU15">
        <v>1506</v>
      </c>
      <c r="NV15">
        <v>1614</v>
      </c>
      <c r="NW15">
        <v>1617</v>
      </c>
      <c r="NX15">
        <v>1368</v>
      </c>
      <c r="NY15">
        <v>0</v>
      </c>
      <c r="NZ15">
        <v>0</v>
      </c>
      <c r="OA15">
        <v>565</v>
      </c>
      <c r="OB15">
        <v>1319</v>
      </c>
      <c r="OC15">
        <v>1170</v>
      </c>
      <c r="OD15">
        <v>1050</v>
      </c>
      <c r="OE15">
        <v>1010</v>
      </c>
      <c r="OF15">
        <v>0</v>
      </c>
      <c r="OG15">
        <v>0</v>
      </c>
      <c r="OH15">
        <v>358</v>
      </c>
      <c r="OI15">
        <v>708</v>
      </c>
      <c r="OJ15">
        <v>943</v>
      </c>
      <c r="OK15">
        <v>0</v>
      </c>
      <c r="OL15">
        <v>618</v>
      </c>
      <c r="OM15">
        <v>0</v>
      </c>
      <c r="ON15">
        <v>0</v>
      </c>
      <c r="OO15">
        <v>276</v>
      </c>
      <c r="OP15">
        <v>757</v>
      </c>
      <c r="OQ15">
        <v>732</v>
      </c>
      <c r="OR15">
        <v>596</v>
      </c>
      <c r="OS15" s="3">
        <v>448</v>
      </c>
      <c r="OT15">
        <v>0</v>
      </c>
      <c r="OU15">
        <v>0</v>
      </c>
      <c r="OV15">
        <v>219</v>
      </c>
      <c r="OW15">
        <v>491</v>
      </c>
      <c r="OX15">
        <v>378</v>
      </c>
      <c r="OY15">
        <v>397</v>
      </c>
      <c r="OZ15">
        <v>487</v>
      </c>
      <c r="PA15">
        <v>0</v>
      </c>
      <c r="PB15">
        <v>0</v>
      </c>
      <c r="PC15">
        <v>154</v>
      </c>
      <c r="PD15">
        <v>324</v>
      </c>
      <c r="PE15">
        <v>0</v>
      </c>
      <c r="PF15">
        <v>314</v>
      </c>
      <c r="PG15">
        <v>235</v>
      </c>
      <c r="PH15">
        <v>0</v>
      </c>
      <c r="PI15">
        <v>0</v>
      </c>
      <c r="PJ15">
        <v>118</v>
      </c>
      <c r="PK15">
        <v>239</v>
      </c>
      <c r="PL15">
        <v>195</v>
      </c>
      <c r="PM15">
        <v>251</v>
      </c>
      <c r="PN15">
        <v>201</v>
      </c>
      <c r="PO15">
        <v>0</v>
      </c>
      <c r="PP15">
        <v>0</v>
      </c>
      <c r="PQ15">
        <v>71</v>
      </c>
      <c r="PR15">
        <v>167</v>
      </c>
      <c r="PS15">
        <v>177</v>
      </c>
      <c r="PT15">
        <v>133</v>
      </c>
      <c r="PU15">
        <v>131</v>
      </c>
      <c r="PV15">
        <v>0</v>
      </c>
      <c r="PW15">
        <v>0</v>
      </c>
      <c r="PX15">
        <v>0</v>
      </c>
      <c r="PY15">
        <v>48</v>
      </c>
      <c r="PZ15">
        <v>120</v>
      </c>
      <c r="QA15">
        <v>304</v>
      </c>
      <c r="QB15">
        <v>120</v>
      </c>
      <c r="QC15">
        <v>0</v>
      </c>
      <c r="QD15">
        <v>0</v>
      </c>
      <c r="QE15">
        <v>51</v>
      </c>
      <c r="QF15">
        <v>92</v>
      </c>
      <c r="QG15">
        <v>118</v>
      </c>
      <c r="QH15">
        <v>82</v>
      </c>
      <c r="QI15">
        <v>89</v>
      </c>
      <c r="QJ15">
        <v>0</v>
      </c>
      <c r="QK15">
        <v>0</v>
      </c>
      <c r="QL15">
        <v>59</v>
      </c>
      <c r="QM15">
        <v>81</v>
      </c>
      <c r="QN15">
        <v>68</v>
      </c>
      <c r="QO15">
        <v>55</v>
      </c>
      <c r="QP15">
        <v>110</v>
      </c>
      <c r="QQ15">
        <v>0</v>
      </c>
      <c r="QR15">
        <v>0</v>
      </c>
      <c r="QS15">
        <v>0</v>
      </c>
      <c r="QT15">
        <v>105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421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1500</v>
      </c>
      <c r="RI15">
        <v>2542</v>
      </c>
      <c r="RJ15">
        <v>2981</v>
      </c>
      <c r="RK15">
        <v>3153</v>
      </c>
      <c r="RL15">
        <v>0</v>
      </c>
      <c r="RM15">
        <v>0</v>
      </c>
      <c r="RN15">
        <v>2089</v>
      </c>
      <c r="RO15">
        <v>4050</v>
      </c>
      <c r="RP15">
        <v>4170</v>
      </c>
      <c r="RQ15">
        <v>4693</v>
      </c>
      <c r="RR15">
        <v>5224</v>
      </c>
      <c r="RS15">
        <v>0</v>
      </c>
      <c r="RT15">
        <v>0</v>
      </c>
      <c r="RU15">
        <v>2825</v>
      </c>
      <c r="RV15">
        <v>5365</v>
      </c>
      <c r="RW15">
        <v>5359</v>
      </c>
      <c r="RX15">
        <v>6016</v>
      </c>
      <c r="RY15">
        <v>6169</v>
      </c>
      <c r="RZ15">
        <v>0</v>
      </c>
      <c r="SA15">
        <v>0</v>
      </c>
      <c r="SB15">
        <v>2696</v>
      </c>
      <c r="SC15">
        <v>5859</v>
      </c>
      <c r="SD15">
        <v>6525</v>
      </c>
      <c r="SE15">
        <v>6969</v>
      </c>
      <c r="SF15">
        <v>7302</v>
      </c>
      <c r="SG15">
        <v>0</v>
      </c>
      <c r="SH15">
        <v>0</v>
      </c>
      <c r="SI15">
        <v>2940</v>
      </c>
      <c r="SJ15">
        <v>6606</v>
      </c>
      <c r="SK15">
        <v>7089</v>
      </c>
      <c r="SL15">
        <v>7189</v>
      </c>
      <c r="SM15">
        <v>6222</v>
      </c>
      <c r="SN15">
        <v>0</v>
      </c>
      <c r="SO15">
        <v>0</v>
      </c>
      <c r="SP15">
        <v>2746</v>
      </c>
      <c r="SQ15">
        <v>6136</v>
      </c>
      <c r="SR15">
        <v>6105</v>
      </c>
      <c r="SS15">
        <v>5656</v>
      </c>
      <c r="ST15">
        <v>5488</v>
      </c>
      <c r="SU15">
        <v>0</v>
      </c>
      <c r="SV15">
        <v>0</v>
      </c>
      <c r="SW15">
        <v>2085</v>
      </c>
      <c r="SX15">
        <v>4507</v>
      </c>
      <c r="SY15">
        <v>4291</v>
      </c>
      <c r="SZ15">
        <v>4005</v>
      </c>
      <c r="TA15">
        <v>4114</v>
      </c>
      <c r="TB15">
        <v>0</v>
      </c>
      <c r="TC15">
        <v>0</v>
      </c>
      <c r="TD15">
        <v>1775</v>
      </c>
      <c r="TE15">
        <v>3391</v>
      </c>
      <c r="TF15">
        <v>3195</v>
      </c>
      <c r="TG15">
        <v>2796</v>
      </c>
      <c r="TH15">
        <v>2646</v>
      </c>
      <c r="TI15">
        <v>0</v>
      </c>
      <c r="TJ15">
        <v>0</v>
      </c>
      <c r="TK15">
        <v>1264</v>
      </c>
      <c r="TL15">
        <v>2203</v>
      </c>
      <c r="TM15">
        <v>1909</v>
      </c>
      <c r="TN15">
        <v>1772</v>
      </c>
      <c r="TO15">
        <v>1771</v>
      </c>
      <c r="TP15">
        <v>0</v>
      </c>
      <c r="TQ15">
        <v>0</v>
      </c>
      <c r="TR15">
        <v>820</v>
      </c>
      <c r="TS15">
        <v>1458</v>
      </c>
      <c r="TT15">
        <v>1449</v>
      </c>
      <c r="TU15">
        <v>1368</v>
      </c>
      <c r="TV15">
        <v>1122</v>
      </c>
      <c r="TW15">
        <v>0</v>
      </c>
      <c r="TX15">
        <v>789</v>
      </c>
      <c r="TY15">
        <v>454</v>
      </c>
      <c r="TZ15">
        <v>1093</v>
      </c>
      <c r="UA15">
        <v>1095</v>
      </c>
      <c r="UB15">
        <v>1096</v>
      </c>
      <c r="UC15">
        <v>0</v>
      </c>
      <c r="UD15">
        <v>0</v>
      </c>
      <c r="UE15">
        <v>0</v>
      </c>
      <c r="UF15">
        <v>424</v>
      </c>
      <c r="UG15">
        <v>902</v>
      </c>
      <c r="UH15">
        <v>912</v>
      </c>
      <c r="UI15">
        <v>943</v>
      </c>
      <c r="UJ15">
        <v>817</v>
      </c>
      <c r="UK15">
        <v>0</v>
      </c>
      <c r="UL15">
        <v>0</v>
      </c>
      <c r="UM15">
        <v>0</v>
      </c>
      <c r="UN15">
        <v>0</v>
      </c>
      <c r="UO15">
        <v>742</v>
      </c>
      <c r="UP15">
        <v>709</v>
      </c>
      <c r="UQ15">
        <v>0</v>
      </c>
      <c r="UR15">
        <v>0</v>
      </c>
      <c r="US15">
        <v>0</v>
      </c>
      <c r="UT15">
        <v>0</v>
      </c>
      <c r="UU15">
        <v>685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289</v>
      </c>
      <c r="VB15">
        <v>288</v>
      </c>
      <c r="VC15">
        <v>0</v>
      </c>
      <c r="VD15">
        <v>0</v>
      </c>
      <c r="VE15">
        <v>0</v>
      </c>
      <c r="VF15">
        <v>0</v>
      </c>
      <c r="VG15">
        <v>0</v>
      </c>
      <c r="VH15">
        <v>787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0</v>
      </c>
      <c r="VO15">
        <v>0</v>
      </c>
      <c r="VP15">
        <v>711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1032</v>
      </c>
      <c r="VX15">
        <v>0</v>
      </c>
      <c r="VY15">
        <v>0</v>
      </c>
      <c r="VZ15">
        <v>0</v>
      </c>
      <c r="WA15">
        <v>0</v>
      </c>
      <c r="WB15">
        <v>0</v>
      </c>
      <c r="WC15">
        <v>0</v>
      </c>
      <c r="WD15">
        <v>1697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2034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 s="1">
        <v>0</v>
      </c>
      <c r="YG15" s="1">
        <v>0</v>
      </c>
      <c r="YH15" s="1">
        <v>0</v>
      </c>
      <c r="YI15" s="1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0</v>
      </c>
      <c r="YS15">
        <v>0</v>
      </c>
      <c r="YT15">
        <v>0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0</v>
      </c>
      <c r="ZZ15">
        <v>0</v>
      </c>
      <c r="AAA15">
        <v>0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0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0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0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0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0</v>
      </c>
      <c r="ADL15">
        <v>0</v>
      </c>
      <c r="ADM15">
        <v>0</v>
      </c>
      <c r="ADN15">
        <v>0</v>
      </c>
      <c r="ADO15">
        <v>0</v>
      </c>
      <c r="ADP15">
        <v>0</v>
      </c>
      <c r="ADQ15">
        <v>0</v>
      </c>
      <c r="ADR15">
        <v>0</v>
      </c>
      <c r="ADS15">
        <v>0</v>
      </c>
      <c r="ADT15">
        <v>0</v>
      </c>
      <c r="ADU15">
        <v>0</v>
      </c>
      <c r="ADV15">
        <v>0</v>
      </c>
      <c r="ADW15">
        <v>0</v>
      </c>
      <c r="ADX15">
        <v>0</v>
      </c>
      <c r="ADY15">
        <v>0</v>
      </c>
      <c r="ADZ15">
        <v>0</v>
      </c>
      <c r="AEA15">
        <v>0</v>
      </c>
      <c r="AEB15">
        <v>0</v>
      </c>
      <c r="AEC15">
        <v>0</v>
      </c>
      <c r="AED15">
        <v>0</v>
      </c>
      <c r="AEE15">
        <v>0</v>
      </c>
      <c r="AEF15">
        <v>0</v>
      </c>
      <c r="AEG15">
        <v>0</v>
      </c>
      <c r="AEH15">
        <v>0</v>
      </c>
      <c r="AEI15">
        <v>0</v>
      </c>
      <c r="AEJ15">
        <v>0</v>
      </c>
      <c r="AEK15">
        <v>0</v>
      </c>
      <c r="AEL15">
        <v>0</v>
      </c>
      <c r="AEM15">
        <v>0</v>
      </c>
      <c r="AEN15">
        <v>0</v>
      </c>
      <c r="AEO15">
        <v>0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0</v>
      </c>
      <c r="AFL15">
        <v>0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0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0</v>
      </c>
      <c r="AGM15">
        <v>0</v>
      </c>
      <c r="AGN15">
        <v>0</v>
      </c>
      <c r="AGO15">
        <v>0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0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0</v>
      </c>
      <c r="AHM15">
        <v>0</v>
      </c>
      <c r="AHN15">
        <v>0</v>
      </c>
      <c r="AHO15">
        <v>0</v>
      </c>
      <c r="AHP15">
        <v>0</v>
      </c>
      <c r="AHQ15">
        <v>0</v>
      </c>
    </row>
    <row r="16" spans="1:901">
      <c r="A16" s="1" t="s">
        <v>159</v>
      </c>
      <c r="B16">
        <v>29</v>
      </c>
      <c r="C16">
        <v>20</v>
      </c>
      <c r="D16">
        <v>14</v>
      </c>
      <c r="E16">
        <v>14</v>
      </c>
      <c r="F16">
        <v>13</v>
      </c>
      <c r="G16">
        <v>10</v>
      </c>
      <c r="H16">
        <v>7</v>
      </c>
      <c r="I16">
        <v>12</v>
      </c>
      <c r="J16">
        <v>13</v>
      </c>
      <c r="K16">
        <v>8</v>
      </c>
      <c r="L16">
        <v>10</v>
      </c>
      <c r="M16">
        <v>2</v>
      </c>
      <c r="N16">
        <v>23</v>
      </c>
      <c r="O16">
        <v>13</v>
      </c>
      <c r="P16">
        <v>15</v>
      </c>
      <c r="Q16">
        <v>36</v>
      </c>
      <c r="R16">
        <v>25</v>
      </c>
      <c r="S16">
        <v>23</v>
      </c>
      <c r="T16">
        <v>10</v>
      </c>
      <c r="U16">
        <v>22</v>
      </c>
      <c r="V16">
        <v>29</v>
      </c>
      <c r="W16">
        <v>20</v>
      </c>
      <c r="X16">
        <v>25</v>
      </c>
      <c r="Y16">
        <v>17</v>
      </c>
      <c r="Z16">
        <v>26</v>
      </c>
      <c r="AA16">
        <v>19</v>
      </c>
      <c r="AB16">
        <v>24</v>
      </c>
      <c r="AC16">
        <v>51</v>
      </c>
      <c r="AD16">
        <v>29</v>
      </c>
      <c r="AE16">
        <v>33</v>
      </c>
      <c r="AF16">
        <v>51</v>
      </c>
      <c r="AG16">
        <v>30</v>
      </c>
      <c r="AH16">
        <v>29</v>
      </c>
      <c r="AI16">
        <v>63</v>
      </c>
      <c r="AJ16">
        <v>40</v>
      </c>
      <c r="AK16">
        <v>38</v>
      </c>
      <c r="AL16">
        <v>58</v>
      </c>
      <c r="AM16">
        <v>48</v>
      </c>
      <c r="AN16">
        <v>44</v>
      </c>
      <c r="AO16">
        <v>21</v>
      </c>
      <c r="AP16">
        <v>44</v>
      </c>
      <c r="AQ16">
        <v>65</v>
      </c>
      <c r="AR16">
        <v>63</v>
      </c>
      <c r="AS16">
        <v>38</v>
      </c>
      <c r="AT16">
        <v>42</v>
      </c>
      <c r="AU16">
        <v>25</v>
      </c>
      <c r="AV16">
        <v>16</v>
      </c>
      <c r="AW16">
        <v>31</v>
      </c>
      <c r="AX16">
        <v>49</v>
      </c>
      <c r="AY16">
        <v>64</v>
      </c>
      <c r="AZ16">
        <v>61</v>
      </c>
      <c r="BA16">
        <v>71</v>
      </c>
      <c r="BB16">
        <v>73</v>
      </c>
      <c r="BC16">
        <v>46</v>
      </c>
      <c r="BD16">
        <v>60</v>
      </c>
      <c r="BE16">
        <v>80</v>
      </c>
      <c r="BF16">
        <v>95</v>
      </c>
      <c r="BG16">
        <v>88</v>
      </c>
      <c r="BH16">
        <v>74</v>
      </c>
      <c r="BI16">
        <v>73</v>
      </c>
      <c r="BJ16">
        <v>74</v>
      </c>
      <c r="BK16">
        <v>104</v>
      </c>
      <c r="BL16">
        <v>88</v>
      </c>
      <c r="BM16">
        <v>81</v>
      </c>
      <c r="BN16">
        <v>100</v>
      </c>
      <c r="BO16">
        <v>87</v>
      </c>
      <c r="BP16">
        <v>135</v>
      </c>
      <c r="BQ16">
        <v>64</v>
      </c>
      <c r="BR16">
        <v>107</v>
      </c>
      <c r="BS16">
        <v>118</v>
      </c>
      <c r="BT16">
        <v>129</v>
      </c>
      <c r="BU16">
        <v>186</v>
      </c>
      <c r="BV16">
        <v>208</v>
      </c>
      <c r="BW16">
        <v>205</v>
      </c>
      <c r="BX16">
        <v>141</v>
      </c>
      <c r="BY16">
        <v>167</v>
      </c>
      <c r="BZ16">
        <v>201</v>
      </c>
      <c r="CA16">
        <v>230</v>
      </c>
      <c r="CB16">
        <v>276</v>
      </c>
      <c r="CC16">
        <v>234</v>
      </c>
      <c r="CD16">
        <v>338</v>
      </c>
      <c r="CE16">
        <v>202</v>
      </c>
      <c r="CF16">
        <v>301</v>
      </c>
      <c r="CG16">
        <v>298</v>
      </c>
      <c r="CH16">
        <v>383</v>
      </c>
      <c r="CI16">
        <v>362</v>
      </c>
      <c r="CJ16">
        <v>331</v>
      </c>
      <c r="CK16">
        <v>528</v>
      </c>
      <c r="CL16">
        <v>321</v>
      </c>
      <c r="CM16">
        <v>389</v>
      </c>
      <c r="CN16">
        <v>475</v>
      </c>
      <c r="CO16">
        <v>543</v>
      </c>
      <c r="CP16">
        <v>514</v>
      </c>
      <c r="CQ16">
        <v>607</v>
      </c>
      <c r="CR16">
        <v>491</v>
      </c>
      <c r="CS16">
        <v>429</v>
      </c>
      <c r="CT16">
        <v>524</v>
      </c>
      <c r="CU16">
        <v>709</v>
      </c>
      <c r="CV16">
        <v>747</v>
      </c>
      <c r="CW16">
        <v>391</v>
      </c>
      <c r="CX16">
        <v>370</v>
      </c>
      <c r="CY16">
        <v>510</v>
      </c>
      <c r="CZ16">
        <v>578</v>
      </c>
      <c r="DA16">
        <v>656</v>
      </c>
      <c r="DB16">
        <v>518</v>
      </c>
      <c r="DC16">
        <v>639</v>
      </c>
      <c r="DD16">
        <v>634</v>
      </c>
      <c r="DE16">
        <v>522</v>
      </c>
      <c r="DF16">
        <v>548</v>
      </c>
      <c r="DG16">
        <v>603</v>
      </c>
      <c r="DH16">
        <v>678</v>
      </c>
      <c r="DI16">
        <v>944</v>
      </c>
      <c r="DJ16">
        <v>759</v>
      </c>
      <c r="DK16">
        <v>532</v>
      </c>
      <c r="DL16">
        <v>635</v>
      </c>
      <c r="DM16">
        <v>1212</v>
      </c>
      <c r="DN16">
        <v>715</v>
      </c>
      <c r="DO16">
        <v>945</v>
      </c>
      <c r="DP16">
        <v>629</v>
      </c>
      <c r="DQ16">
        <v>1514</v>
      </c>
      <c r="DR16">
        <v>957</v>
      </c>
      <c r="DS16">
        <v>723</v>
      </c>
      <c r="DT16">
        <v>709</v>
      </c>
      <c r="DU16">
        <v>485</v>
      </c>
      <c r="DV16">
        <v>583</v>
      </c>
      <c r="DW16">
        <v>848</v>
      </c>
      <c r="DX16">
        <v>698</v>
      </c>
      <c r="DY16">
        <v>1178</v>
      </c>
      <c r="DZ16">
        <v>797</v>
      </c>
      <c r="EA16">
        <v>666</v>
      </c>
      <c r="EB16">
        <v>408</v>
      </c>
      <c r="EC16">
        <v>639</v>
      </c>
      <c r="ED16">
        <v>648</v>
      </c>
      <c r="EE16">
        <v>559</v>
      </c>
      <c r="EF16">
        <v>642</v>
      </c>
      <c r="EG16">
        <v>652</v>
      </c>
      <c r="EH16">
        <v>557</v>
      </c>
      <c r="EI16">
        <v>390</v>
      </c>
      <c r="EJ16">
        <v>539</v>
      </c>
      <c r="EK16">
        <v>548</v>
      </c>
      <c r="EL16">
        <v>589</v>
      </c>
      <c r="EM16">
        <v>499</v>
      </c>
      <c r="EN16">
        <v>509</v>
      </c>
      <c r="EO16">
        <v>499</v>
      </c>
      <c r="EP16">
        <v>339</v>
      </c>
      <c r="EQ16">
        <v>503</v>
      </c>
      <c r="ER16">
        <v>625</v>
      </c>
      <c r="ES16">
        <v>476</v>
      </c>
      <c r="ET16">
        <v>574</v>
      </c>
      <c r="EU16">
        <v>631</v>
      </c>
      <c r="EV16">
        <v>450</v>
      </c>
      <c r="EW16">
        <v>451</v>
      </c>
      <c r="EX16">
        <v>365</v>
      </c>
      <c r="EY16">
        <v>483</v>
      </c>
      <c r="EZ16">
        <v>544</v>
      </c>
      <c r="FA16">
        <v>625</v>
      </c>
      <c r="FB16">
        <v>786</v>
      </c>
      <c r="FC16">
        <v>652</v>
      </c>
      <c r="FD16">
        <v>495</v>
      </c>
      <c r="FE16">
        <v>663</v>
      </c>
      <c r="FF16">
        <v>901</v>
      </c>
      <c r="FG16">
        <v>821</v>
      </c>
      <c r="FH16">
        <v>847</v>
      </c>
      <c r="FI16">
        <v>820</v>
      </c>
      <c r="FJ16">
        <v>632</v>
      </c>
      <c r="FK16">
        <v>595</v>
      </c>
      <c r="FL16">
        <v>582</v>
      </c>
      <c r="FM16">
        <v>903</v>
      </c>
      <c r="FN16">
        <v>871</v>
      </c>
      <c r="FO16">
        <v>984</v>
      </c>
      <c r="FP16">
        <v>1081</v>
      </c>
      <c r="FQ16">
        <v>827</v>
      </c>
      <c r="FR16">
        <v>863</v>
      </c>
      <c r="FS16">
        <v>827</v>
      </c>
      <c r="FT16">
        <v>957</v>
      </c>
      <c r="FU16">
        <v>1233</v>
      </c>
      <c r="FV16">
        <v>1357</v>
      </c>
      <c r="FW16">
        <v>1059</v>
      </c>
      <c r="FX16">
        <v>1558</v>
      </c>
      <c r="FY16">
        <v>1171</v>
      </c>
      <c r="FZ16">
        <v>908</v>
      </c>
      <c r="GA16">
        <v>1368</v>
      </c>
      <c r="GB16">
        <v>1678</v>
      </c>
      <c r="GC16">
        <v>1585</v>
      </c>
      <c r="GD16">
        <v>1522</v>
      </c>
      <c r="GE16">
        <v>1614</v>
      </c>
      <c r="GF16">
        <v>2693</v>
      </c>
      <c r="GG16">
        <v>1777</v>
      </c>
      <c r="GH16">
        <v>1805</v>
      </c>
      <c r="GI16">
        <v>1646</v>
      </c>
      <c r="GJ16">
        <v>1793</v>
      </c>
      <c r="GK16">
        <v>2136</v>
      </c>
      <c r="GL16">
        <v>1539</v>
      </c>
      <c r="GM16">
        <v>2178</v>
      </c>
      <c r="GN16">
        <v>2877</v>
      </c>
      <c r="GO16">
        <v>3088</v>
      </c>
      <c r="GP16">
        <v>2639</v>
      </c>
      <c r="GQ16">
        <v>3380</v>
      </c>
      <c r="GR16">
        <v>2336</v>
      </c>
      <c r="GS16">
        <v>3853</v>
      </c>
      <c r="GT16">
        <v>2201</v>
      </c>
      <c r="GU16">
        <v>3105</v>
      </c>
      <c r="GV16">
        <v>3924</v>
      </c>
      <c r="GW16">
        <v>3670</v>
      </c>
      <c r="GX16">
        <v>7289</v>
      </c>
      <c r="GY16">
        <v>3434</v>
      </c>
      <c r="GZ16">
        <v>3262</v>
      </c>
      <c r="HA16">
        <v>2531</v>
      </c>
      <c r="HB16">
        <v>2257</v>
      </c>
      <c r="HC16">
        <v>2659</v>
      </c>
      <c r="HD16">
        <v>4410</v>
      </c>
      <c r="HE16">
        <v>3070</v>
      </c>
      <c r="HF16">
        <v>2831</v>
      </c>
      <c r="HG16">
        <v>2344</v>
      </c>
      <c r="HH16">
        <v>2289</v>
      </c>
      <c r="HI16">
        <v>2294</v>
      </c>
      <c r="HJ16">
        <v>3274</v>
      </c>
      <c r="HK16">
        <v>3290</v>
      </c>
      <c r="HL16">
        <v>3646</v>
      </c>
      <c r="HM16">
        <v>2789</v>
      </c>
      <c r="HN16">
        <v>2539</v>
      </c>
      <c r="HO16">
        <v>2484</v>
      </c>
      <c r="HP16">
        <v>2747</v>
      </c>
      <c r="HQ16">
        <v>2931</v>
      </c>
      <c r="HR16">
        <v>2707</v>
      </c>
      <c r="HS16">
        <v>2694</v>
      </c>
      <c r="HT16">
        <v>2480</v>
      </c>
      <c r="HU16">
        <v>1584</v>
      </c>
      <c r="HV16">
        <v>1628</v>
      </c>
      <c r="HW16">
        <v>2826</v>
      </c>
      <c r="HX16">
        <v>2921</v>
      </c>
      <c r="HY16">
        <v>3582</v>
      </c>
      <c r="HZ16">
        <v>2697</v>
      </c>
      <c r="IA16">
        <v>2654</v>
      </c>
      <c r="IB16">
        <v>1883</v>
      </c>
      <c r="IC16">
        <v>2187</v>
      </c>
      <c r="ID16">
        <v>2977</v>
      </c>
      <c r="IE16">
        <v>2255</v>
      </c>
      <c r="IF16">
        <v>3799</v>
      </c>
      <c r="IG16">
        <v>3305</v>
      </c>
      <c r="IH16">
        <v>2873</v>
      </c>
      <c r="II16">
        <v>2433</v>
      </c>
      <c r="IJ16">
        <v>2394</v>
      </c>
      <c r="IK16">
        <v>3120</v>
      </c>
      <c r="IL16">
        <v>3339</v>
      </c>
      <c r="IM16">
        <v>4576</v>
      </c>
      <c r="IN16">
        <v>4599</v>
      </c>
      <c r="IO16">
        <v>3469</v>
      </c>
      <c r="IP16">
        <v>3089</v>
      </c>
      <c r="IQ16">
        <v>2790</v>
      </c>
      <c r="IR16">
        <v>3971</v>
      </c>
      <c r="IS16">
        <v>4576</v>
      </c>
      <c r="IT16">
        <v>3937</v>
      </c>
      <c r="IU16">
        <v>1826</v>
      </c>
      <c r="IV16">
        <v>3593</v>
      </c>
      <c r="IW16">
        <v>3316</v>
      </c>
      <c r="IX16">
        <v>3015</v>
      </c>
      <c r="IY16">
        <v>3503</v>
      </c>
      <c r="IZ16">
        <v>3518</v>
      </c>
      <c r="JA16">
        <v>2887</v>
      </c>
      <c r="JB16">
        <v>4079</v>
      </c>
      <c r="JC16">
        <v>4213</v>
      </c>
      <c r="JD16">
        <v>3832</v>
      </c>
      <c r="JE16">
        <v>2248</v>
      </c>
      <c r="JF16">
        <v>4195</v>
      </c>
      <c r="JG16">
        <v>3427</v>
      </c>
      <c r="JH16">
        <v>3622</v>
      </c>
      <c r="JI16">
        <v>3457</v>
      </c>
      <c r="JJ16">
        <v>2986</v>
      </c>
      <c r="JK16">
        <v>2043</v>
      </c>
      <c r="JL16">
        <v>2305</v>
      </c>
      <c r="JM16">
        <v>2797</v>
      </c>
      <c r="JN16">
        <v>2900</v>
      </c>
      <c r="JO16">
        <v>2147</v>
      </c>
      <c r="JP16">
        <v>2716</v>
      </c>
      <c r="JQ16">
        <v>1999</v>
      </c>
      <c r="JR16">
        <v>1488</v>
      </c>
      <c r="JS16">
        <v>1517</v>
      </c>
      <c r="JT16">
        <v>2079</v>
      </c>
      <c r="JU16">
        <v>1786</v>
      </c>
      <c r="JV16">
        <v>1747</v>
      </c>
      <c r="JW16">
        <v>1586</v>
      </c>
      <c r="JX16">
        <v>1279</v>
      </c>
      <c r="JY16">
        <v>1007</v>
      </c>
      <c r="JZ16">
        <v>1049</v>
      </c>
      <c r="KA16">
        <v>1263</v>
      </c>
      <c r="KB16">
        <v>1172</v>
      </c>
      <c r="KC16">
        <v>1250</v>
      </c>
      <c r="KD16">
        <v>817</v>
      </c>
      <c r="KE16">
        <v>761</v>
      </c>
      <c r="KF16">
        <v>531</v>
      </c>
      <c r="KG16">
        <v>577</v>
      </c>
      <c r="KH16">
        <v>733</v>
      </c>
      <c r="KI16">
        <v>646</v>
      </c>
      <c r="KJ16">
        <v>633</v>
      </c>
      <c r="KK16">
        <v>604</v>
      </c>
      <c r="KL16">
        <v>379</v>
      </c>
      <c r="KM16">
        <v>298</v>
      </c>
      <c r="KN16">
        <v>297</v>
      </c>
      <c r="KO16">
        <v>421</v>
      </c>
      <c r="KP16">
        <v>407</v>
      </c>
      <c r="KQ16">
        <v>337</v>
      </c>
      <c r="KR16">
        <v>439</v>
      </c>
      <c r="KS16">
        <v>253</v>
      </c>
      <c r="KT16">
        <v>142</v>
      </c>
      <c r="KU16">
        <v>197</v>
      </c>
      <c r="KV16">
        <v>304</v>
      </c>
      <c r="KW16">
        <v>237</v>
      </c>
      <c r="KX16">
        <v>298</v>
      </c>
      <c r="KY16">
        <v>240</v>
      </c>
      <c r="KZ16">
        <v>160</v>
      </c>
      <c r="LA16">
        <v>120</v>
      </c>
      <c r="LB16">
        <v>153</v>
      </c>
      <c r="LC16">
        <v>209</v>
      </c>
      <c r="LD16">
        <v>183</v>
      </c>
      <c r="LE16">
        <v>211</v>
      </c>
      <c r="LF16">
        <v>177</v>
      </c>
      <c r="LG16">
        <v>153</v>
      </c>
      <c r="LH16">
        <v>52</v>
      </c>
      <c r="LI16">
        <v>146</v>
      </c>
      <c r="LJ16">
        <v>138</v>
      </c>
      <c r="LK16">
        <v>141</v>
      </c>
      <c r="LL16">
        <v>161</v>
      </c>
      <c r="LM16">
        <v>140</v>
      </c>
      <c r="LN16">
        <v>65</v>
      </c>
      <c r="LO16">
        <v>146</v>
      </c>
      <c r="LP16">
        <v>101</v>
      </c>
      <c r="LQ16">
        <v>114</v>
      </c>
      <c r="LR16">
        <v>152</v>
      </c>
      <c r="LS16">
        <v>124</v>
      </c>
      <c r="LT16">
        <v>104</v>
      </c>
      <c r="LU16">
        <v>111</v>
      </c>
      <c r="LV16">
        <v>80</v>
      </c>
      <c r="LW16">
        <v>95</v>
      </c>
      <c r="LX16">
        <v>133</v>
      </c>
      <c r="LY16">
        <v>140</v>
      </c>
      <c r="LZ16">
        <v>113</v>
      </c>
      <c r="MA16">
        <v>145</v>
      </c>
      <c r="MB16">
        <v>123</v>
      </c>
      <c r="MC16">
        <v>68</v>
      </c>
      <c r="MD16">
        <v>87</v>
      </c>
      <c r="ME16">
        <v>106</v>
      </c>
      <c r="MF16">
        <v>105</v>
      </c>
      <c r="MG16">
        <v>66</v>
      </c>
      <c r="MH16">
        <v>73</v>
      </c>
      <c r="MI16">
        <v>91</v>
      </c>
      <c r="MJ16">
        <v>70</v>
      </c>
      <c r="MK16">
        <v>86</v>
      </c>
      <c r="ML16">
        <v>156</v>
      </c>
      <c r="MM16">
        <v>144</v>
      </c>
      <c r="MN16">
        <v>186</v>
      </c>
      <c r="MO16">
        <v>159</v>
      </c>
      <c r="MP16">
        <v>134</v>
      </c>
      <c r="MQ16">
        <v>103</v>
      </c>
      <c r="MR16">
        <v>120</v>
      </c>
      <c r="MS16">
        <v>146</v>
      </c>
      <c r="MT16">
        <v>156</v>
      </c>
      <c r="MU16">
        <v>176</v>
      </c>
      <c r="MV16">
        <v>152</v>
      </c>
      <c r="MW16">
        <v>152</v>
      </c>
      <c r="MX16">
        <v>139</v>
      </c>
      <c r="MY16">
        <v>172</v>
      </c>
      <c r="MZ16">
        <v>155</v>
      </c>
      <c r="NA16">
        <v>128</v>
      </c>
      <c r="NB16">
        <v>143</v>
      </c>
      <c r="NC16">
        <v>150</v>
      </c>
      <c r="ND16">
        <v>106</v>
      </c>
      <c r="NE16">
        <v>72</v>
      </c>
      <c r="NF16">
        <v>117</v>
      </c>
      <c r="NG16">
        <v>178</v>
      </c>
      <c r="NH16">
        <v>146</v>
      </c>
      <c r="NI16">
        <v>123</v>
      </c>
      <c r="NJ16">
        <v>122</v>
      </c>
      <c r="NK16">
        <v>111</v>
      </c>
      <c r="NL16">
        <v>78</v>
      </c>
      <c r="NM16">
        <v>70</v>
      </c>
      <c r="NN16">
        <v>128</v>
      </c>
      <c r="NO16">
        <v>122</v>
      </c>
      <c r="NP16">
        <v>106</v>
      </c>
      <c r="NQ16">
        <v>97</v>
      </c>
      <c r="NR16">
        <v>99</v>
      </c>
      <c r="NS16">
        <v>61</v>
      </c>
      <c r="NT16">
        <v>75</v>
      </c>
      <c r="NU16">
        <v>103</v>
      </c>
      <c r="NV16">
        <v>142</v>
      </c>
      <c r="NW16">
        <v>156</v>
      </c>
      <c r="NX16">
        <v>156</v>
      </c>
      <c r="NY16">
        <v>118</v>
      </c>
      <c r="NZ16">
        <v>103</v>
      </c>
      <c r="OA16">
        <v>77</v>
      </c>
      <c r="OB16">
        <v>119</v>
      </c>
      <c r="OC16">
        <v>160</v>
      </c>
      <c r="OD16">
        <v>181</v>
      </c>
      <c r="OE16">
        <v>187</v>
      </c>
      <c r="OF16">
        <v>153</v>
      </c>
      <c r="OG16">
        <v>129</v>
      </c>
      <c r="OH16">
        <v>123</v>
      </c>
      <c r="OI16">
        <v>191</v>
      </c>
      <c r="OJ16">
        <v>164</v>
      </c>
      <c r="OK16">
        <v>178</v>
      </c>
      <c r="OL16">
        <v>190</v>
      </c>
      <c r="OM16">
        <v>139</v>
      </c>
      <c r="ON16">
        <v>119</v>
      </c>
      <c r="OO16">
        <v>171</v>
      </c>
      <c r="OP16">
        <v>266</v>
      </c>
      <c r="OQ16">
        <v>294</v>
      </c>
      <c r="OR16">
        <v>260</v>
      </c>
      <c r="OS16" s="3">
        <v>315</v>
      </c>
      <c r="OT16">
        <v>264</v>
      </c>
      <c r="OU16">
        <v>181</v>
      </c>
      <c r="OV16">
        <v>154</v>
      </c>
      <c r="OW16">
        <v>195</v>
      </c>
      <c r="OX16">
        <v>195</v>
      </c>
      <c r="OY16">
        <v>236</v>
      </c>
      <c r="OZ16">
        <v>235</v>
      </c>
      <c r="PA16">
        <v>185</v>
      </c>
      <c r="PB16">
        <v>169</v>
      </c>
      <c r="PC16">
        <v>142</v>
      </c>
      <c r="PD16">
        <v>200</v>
      </c>
      <c r="PE16">
        <v>195</v>
      </c>
      <c r="PF16">
        <v>159</v>
      </c>
      <c r="PG16">
        <v>211</v>
      </c>
      <c r="PH16">
        <v>227</v>
      </c>
      <c r="PI16">
        <v>143</v>
      </c>
      <c r="PJ16">
        <v>132</v>
      </c>
      <c r="PK16">
        <v>211</v>
      </c>
      <c r="PL16">
        <v>255</v>
      </c>
      <c r="PM16">
        <v>175</v>
      </c>
      <c r="PN16">
        <v>231</v>
      </c>
      <c r="PO16">
        <v>163</v>
      </c>
      <c r="PP16">
        <v>129</v>
      </c>
      <c r="PQ16">
        <v>149</v>
      </c>
      <c r="PR16">
        <v>223</v>
      </c>
      <c r="PS16">
        <v>223</v>
      </c>
      <c r="PT16">
        <v>240</v>
      </c>
      <c r="PU16">
        <v>214</v>
      </c>
      <c r="PV16">
        <v>291</v>
      </c>
      <c r="PW16">
        <v>167</v>
      </c>
      <c r="PX16">
        <v>156</v>
      </c>
      <c r="PY16">
        <v>191</v>
      </c>
      <c r="PZ16">
        <v>271</v>
      </c>
      <c r="QA16">
        <v>309</v>
      </c>
      <c r="QB16">
        <v>267</v>
      </c>
      <c r="QC16">
        <v>279</v>
      </c>
      <c r="QD16">
        <v>104</v>
      </c>
      <c r="QE16">
        <v>178</v>
      </c>
      <c r="QF16">
        <v>237</v>
      </c>
      <c r="QG16">
        <v>300</v>
      </c>
      <c r="QH16">
        <v>257</v>
      </c>
      <c r="QI16">
        <v>252</v>
      </c>
      <c r="QJ16">
        <v>234</v>
      </c>
      <c r="QK16">
        <v>126</v>
      </c>
      <c r="QL16">
        <v>210</v>
      </c>
      <c r="QM16">
        <v>259</v>
      </c>
      <c r="QN16">
        <v>315</v>
      </c>
      <c r="QO16">
        <v>289</v>
      </c>
      <c r="QP16">
        <v>317</v>
      </c>
      <c r="QQ16">
        <v>356</v>
      </c>
      <c r="QR16">
        <v>205</v>
      </c>
      <c r="QS16">
        <v>361</v>
      </c>
      <c r="QT16">
        <v>415</v>
      </c>
      <c r="QU16">
        <v>445</v>
      </c>
      <c r="QV16">
        <v>446</v>
      </c>
      <c r="QW16">
        <v>612</v>
      </c>
      <c r="QX16">
        <v>360</v>
      </c>
      <c r="QY16">
        <v>282</v>
      </c>
      <c r="QZ16">
        <v>600</v>
      </c>
      <c r="RA16">
        <v>913</v>
      </c>
      <c r="RB16">
        <v>1417</v>
      </c>
      <c r="RC16">
        <v>1347</v>
      </c>
      <c r="RD16">
        <v>1725</v>
      </c>
      <c r="RE16">
        <v>911</v>
      </c>
      <c r="RF16">
        <v>955</v>
      </c>
      <c r="RG16">
        <v>1721</v>
      </c>
      <c r="RH16">
        <v>3138</v>
      </c>
      <c r="RI16">
        <v>5328</v>
      </c>
      <c r="RJ16">
        <v>5522</v>
      </c>
      <c r="RK16">
        <v>6104</v>
      </c>
      <c r="RL16">
        <v>6374</v>
      </c>
      <c r="RM16">
        <v>5986</v>
      </c>
      <c r="RN16">
        <v>6757</v>
      </c>
      <c r="RO16">
        <v>7178</v>
      </c>
      <c r="RP16">
        <v>9823</v>
      </c>
      <c r="RQ16">
        <v>10640</v>
      </c>
      <c r="RR16">
        <v>6806</v>
      </c>
      <c r="RS16">
        <v>9641</v>
      </c>
      <c r="RT16">
        <v>12574</v>
      </c>
      <c r="RU16">
        <v>7981</v>
      </c>
      <c r="RV16">
        <v>10630</v>
      </c>
      <c r="RW16">
        <v>11714</v>
      </c>
      <c r="RX16">
        <v>12997</v>
      </c>
      <c r="RY16">
        <v>12874</v>
      </c>
      <c r="RZ16">
        <v>11029</v>
      </c>
      <c r="SA16">
        <v>8929</v>
      </c>
      <c r="SB16">
        <v>10045</v>
      </c>
      <c r="SC16">
        <v>10745</v>
      </c>
      <c r="SD16">
        <v>11668</v>
      </c>
      <c r="SE16">
        <v>9566</v>
      </c>
      <c r="SF16">
        <v>13612</v>
      </c>
      <c r="SG16">
        <v>9222</v>
      </c>
      <c r="SH16">
        <v>7588</v>
      </c>
      <c r="SI16">
        <v>6984</v>
      </c>
      <c r="SJ16">
        <v>11453</v>
      </c>
      <c r="SK16">
        <v>10618</v>
      </c>
      <c r="SL16">
        <v>10015</v>
      </c>
      <c r="SM16">
        <v>10363</v>
      </c>
      <c r="SN16">
        <v>9074</v>
      </c>
      <c r="SO16">
        <v>6094</v>
      </c>
      <c r="SP16">
        <v>6968</v>
      </c>
      <c r="SQ16">
        <v>8444</v>
      </c>
      <c r="SR16">
        <v>8100</v>
      </c>
      <c r="SS16">
        <v>8812</v>
      </c>
      <c r="ST16">
        <v>7594</v>
      </c>
      <c r="SU16">
        <v>6797</v>
      </c>
      <c r="SV16">
        <v>4733</v>
      </c>
      <c r="SW16">
        <v>5066</v>
      </c>
      <c r="SX16">
        <v>6120</v>
      </c>
      <c r="SY16">
        <v>6640</v>
      </c>
      <c r="SZ16">
        <v>5517</v>
      </c>
      <c r="TA16">
        <v>7179</v>
      </c>
      <c r="TB16">
        <v>4355</v>
      </c>
      <c r="TC16">
        <v>3337</v>
      </c>
      <c r="TD16">
        <v>3675</v>
      </c>
      <c r="TE16">
        <v>4405</v>
      </c>
      <c r="TF16">
        <v>4030</v>
      </c>
      <c r="TG16">
        <v>4136</v>
      </c>
      <c r="TH16">
        <v>3396</v>
      </c>
      <c r="TI16">
        <v>2995</v>
      </c>
      <c r="TJ16">
        <v>2170</v>
      </c>
      <c r="TK16">
        <v>1951</v>
      </c>
      <c r="TL16">
        <v>1938</v>
      </c>
      <c r="TM16">
        <v>2468</v>
      </c>
      <c r="TN16">
        <v>2182</v>
      </c>
      <c r="TO16">
        <v>2191</v>
      </c>
      <c r="TP16">
        <v>1929</v>
      </c>
      <c r="TQ16">
        <v>1205</v>
      </c>
      <c r="TR16">
        <v>1508</v>
      </c>
      <c r="TS16">
        <v>1752</v>
      </c>
      <c r="TT16">
        <v>1530</v>
      </c>
      <c r="TU16">
        <v>1498</v>
      </c>
      <c r="TV16">
        <v>1490</v>
      </c>
      <c r="TW16">
        <v>1212</v>
      </c>
      <c r="TX16">
        <v>1011</v>
      </c>
      <c r="TY16">
        <v>1268</v>
      </c>
      <c r="TZ16">
        <v>1638</v>
      </c>
      <c r="UA16">
        <v>1670</v>
      </c>
      <c r="UB16">
        <v>2129</v>
      </c>
      <c r="UC16">
        <v>1466</v>
      </c>
      <c r="UD16">
        <v>1466</v>
      </c>
      <c r="UE16">
        <v>909</v>
      </c>
      <c r="UF16">
        <v>1087</v>
      </c>
      <c r="UG16">
        <v>1363</v>
      </c>
      <c r="UH16">
        <v>1855</v>
      </c>
      <c r="UI16">
        <v>1534</v>
      </c>
      <c r="UJ16">
        <v>1227</v>
      </c>
      <c r="UK16">
        <v>975</v>
      </c>
      <c r="UL16">
        <v>727</v>
      </c>
      <c r="UM16">
        <v>661</v>
      </c>
      <c r="UN16">
        <v>1238</v>
      </c>
      <c r="UO16">
        <v>1048</v>
      </c>
      <c r="UP16">
        <v>907</v>
      </c>
      <c r="UQ16">
        <v>493</v>
      </c>
      <c r="UR16">
        <v>381</v>
      </c>
      <c r="US16">
        <v>381</v>
      </c>
      <c r="UT16">
        <v>627</v>
      </c>
      <c r="UU16">
        <v>840</v>
      </c>
      <c r="UV16">
        <v>820</v>
      </c>
      <c r="UW16">
        <v>654</v>
      </c>
      <c r="UX16">
        <v>555</v>
      </c>
      <c r="UY16">
        <v>566</v>
      </c>
      <c r="UZ16">
        <v>334</v>
      </c>
      <c r="VA16">
        <v>358</v>
      </c>
      <c r="VB16">
        <v>363</v>
      </c>
      <c r="VC16">
        <v>256</v>
      </c>
      <c r="VD16">
        <v>256</v>
      </c>
      <c r="VE16">
        <v>141</v>
      </c>
      <c r="VF16">
        <v>183</v>
      </c>
      <c r="VG16">
        <v>183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2817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945</v>
      </c>
      <c r="WY16">
        <v>945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 s="1">
        <v>0</v>
      </c>
      <c r="YG16" s="1">
        <v>0</v>
      </c>
      <c r="YH16" s="1">
        <v>0</v>
      </c>
      <c r="YI16" s="1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0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1024</v>
      </c>
      <c r="ABT16">
        <v>0</v>
      </c>
      <c r="ABU16">
        <v>0</v>
      </c>
      <c r="ABV16">
        <v>0</v>
      </c>
      <c r="ABW16">
        <v>0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964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659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0</v>
      </c>
      <c r="ADL16">
        <v>0</v>
      </c>
      <c r="ADM16">
        <v>0</v>
      </c>
      <c r="ADN16">
        <v>0</v>
      </c>
      <c r="ADO16">
        <v>0</v>
      </c>
      <c r="ADP16">
        <v>0</v>
      </c>
      <c r="ADQ16">
        <v>0</v>
      </c>
      <c r="ADR16">
        <v>0</v>
      </c>
      <c r="ADS16">
        <v>0</v>
      </c>
      <c r="ADT16">
        <v>0</v>
      </c>
      <c r="ADU16">
        <v>0</v>
      </c>
      <c r="ADV16">
        <v>0</v>
      </c>
      <c r="ADW16">
        <v>0</v>
      </c>
      <c r="ADX16">
        <v>0</v>
      </c>
      <c r="ADY16">
        <v>0</v>
      </c>
      <c r="ADZ16">
        <v>0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0</v>
      </c>
      <c r="AEL16">
        <v>0</v>
      </c>
      <c r="AEM16">
        <v>0</v>
      </c>
      <c r="AEN16">
        <v>0</v>
      </c>
      <c r="AEO16">
        <v>0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5649</v>
      </c>
      <c r="AFF16">
        <v>5649</v>
      </c>
      <c r="AFG16">
        <v>5649</v>
      </c>
      <c r="AFH16">
        <v>5649</v>
      </c>
      <c r="AFI16">
        <v>5649</v>
      </c>
      <c r="AFJ16">
        <v>5649</v>
      </c>
      <c r="AFK16">
        <v>5649</v>
      </c>
      <c r="AFL16">
        <v>5649</v>
      </c>
      <c r="AFM16">
        <v>5649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0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0</v>
      </c>
      <c r="AGM16">
        <v>0</v>
      </c>
      <c r="AGN16">
        <v>0</v>
      </c>
      <c r="AGO16">
        <v>0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257</v>
      </c>
      <c r="AHD16">
        <v>257</v>
      </c>
      <c r="AHE16">
        <v>257</v>
      </c>
      <c r="AHF16">
        <v>257</v>
      </c>
      <c r="AHG16">
        <v>257</v>
      </c>
      <c r="AHH16">
        <v>257</v>
      </c>
      <c r="AHI16">
        <v>257</v>
      </c>
      <c r="AHJ16">
        <v>257</v>
      </c>
      <c r="AHK16">
        <v>0</v>
      </c>
      <c r="AHL16">
        <v>0</v>
      </c>
      <c r="AHM16">
        <v>0</v>
      </c>
      <c r="AHN16">
        <v>0</v>
      </c>
      <c r="AHO16">
        <v>0</v>
      </c>
      <c r="AHP16">
        <v>0</v>
      </c>
      <c r="AHQ16">
        <v>0</v>
      </c>
    </row>
    <row r="17" spans="1:901">
      <c r="A17" s="1" t="s">
        <v>95</v>
      </c>
      <c r="B17">
        <v>761</v>
      </c>
      <c r="C17">
        <v>868</v>
      </c>
      <c r="D17">
        <v>890</v>
      </c>
      <c r="E17">
        <v>775</v>
      </c>
      <c r="F17">
        <v>707</v>
      </c>
      <c r="G17">
        <v>787</v>
      </c>
      <c r="H17">
        <v>1010</v>
      </c>
      <c r="I17">
        <v>986</v>
      </c>
      <c r="J17">
        <v>967</v>
      </c>
      <c r="K17">
        <v>867</v>
      </c>
      <c r="L17">
        <v>751</v>
      </c>
      <c r="M17">
        <v>837</v>
      </c>
      <c r="N17">
        <v>835</v>
      </c>
      <c r="O17">
        <v>759</v>
      </c>
      <c r="P17">
        <v>907</v>
      </c>
      <c r="Q17">
        <v>791</v>
      </c>
      <c r="R17">
        <v>826</v>
      </c>
      <c r="S17">
        <v>788</v>
      </c>
      <c r="T17">
        <v>683</v>
      </c>
      <c r="U17">
        <v>679</v>
      </c>
      <c r="V17">
        <v>608</v>
      </c>
      <c r="W17">
        <v>615</v>
      </c>
      <c r="X17">
        <v>677</v>
      </c>
      <c r="Y17">
        <v>757</v>
      </c>
      <c r="Z17">
        <v>684</v>
      </c>
      <c r="AA17">
        <v>619</v>
      </c>
      <c r="AB17">
        <v>635</v>
      </c>
      <c r="AC17">
        <v>614</v>
      </c>
      <c r="AD17">
        <v>464</v>
      </c>
      <c r="AE17">
        <v>289</v>
      </c>
      <c r="AF17">
        <v>531</v>
      </c>
      <c r="AG17">
        <v>347</v>
      </c>
      <c r="AH17">
        <v>525</v>
      </c>
      <c r="AI17">
        <v>483</v>
      </c>
      <c r="AJ17">
        <v>391</v>
      </c>
      <c r="AK17">
        <v>381</v>
      </c>
      <c r="AL17">
        <v>302</v>
      </c>
      <c r="AM17">
        <v>424</v>
      </c>
      <c r="AN17">
        <v>423</v>
      </c>
      <c r="AO17">
        <v>482</v>
      </c>
      <c r="AP17">
        <v>353</v>
      </c>
      <c r="AQ17">
        <v>476</v>
      </c>
      <c r="AR17">
        <v>404</v>
      </c>
      <c r="AS17">
        <v>309</v>
      </c>
      <c r="AT17">
        <v>424</v>
      </c>
      <c r="AU17">
        <v>312</v>
      </c>
      <c r="AV17">
        <v>380</v>
      </c>
      <c r="AW17">
        <v>395</v>
      </c>
      <c r="AX17">
        <v>380</v>
      </c>
      <c r="AY17">
        <v>441</v>
      </c>
      <c r="AZ17">
        <v>384</v>
      </c>
      <c r="BA17">
        <v>393</v>
      </c>
      <c r="BB17">
        <v>185</v>
      </c>
      <c r="BC17">
        <v>266</v>
      </c>
      <c r="BD17">
        <v>296</v>
      </c>
      <c r="BE17">
        <v>305</v>
      </c>
      <c r="BF17">
        <v>390</v>
      </c>
      <c r="BG17">
        <v>301</v>
      </c>
      <c r="BH17">
        <v>492</v>
      </c>
      <c r="BI17">
        <v>419</v>
      </c>
      <c r="BJ17">
        <v>387</v>
      </c>
      <c r="BK17">
        <v>311</v>
      </c>
      <c r="BL17">
        <v>300</v>
      </c>
      <c r="BM17">
        <v>315</v>
      </c>
      <c r="BN17">
        <v>352</v>
      </c>
      <c r="BO17">
        <v>418</v>
      </c>
      <c r="BP17">
        <v>400</v>
      </c>
      <c r="BQ17">
        <v>308</v>
      </c>
      <c r="BR17">
        <v>355</v>
      </c>
      <c r="BS17">
        <v>319</v>
      </c>
      <c r="BT17">
        <v>398</v>
      </c>
      <c r="BU17">
        <v>309</v>
      </c>
      <c r="BV17">
        <v>236</v>
      </c>
      <c r="BW17">
        <v>280</v>
      </c>
      <c r="BX17">
        <v>354</v>
      </c>
      <c r="BY17">
        <v>227</v>
      </c>
      <c r="BZ17">
        <v>446</v>
      </c>
      <c r="CA17">
        <v>481</v>
      </c>
      <c r="CB17">
        <v>329</v>
      </c>
      <c r="CC17">
        <v>300</v>
      </c>
      <c r="CD17">
        <v>265</v>
      </c>
      <c r="CE17">
        <v>462</v>
      </c>
      <c r="CF17">
        <v>480</v>
      </c>
      <c r="CG17">
        <v>468</v>
      </c>
      <c r="CH17">
        <v>428</v>
      </c>
      <c r="CI17">
        <v>435</v>
      </c>
      <c r="CJ17">
        <v>462</v>
      </c>
      <c r="CK17">
        <v>609</v>
      </c>
      <c r="CL17">
        <v>339</v>
      </c>
      <c r="CM17">
        <v>355</v>
      </c>
      <c r="CN17">
        <v>237</v>
      </c>
      <c r="CO17">
        <v>364</v>
      </c>
      <c r="CP17">
        <v>314</v>
      </c>
      <c r="CQ17">
        <v>386</v>
      </c>
      <c r="CR17">
        <v>294</v>
      </c>
      <c r="CS17">
        <v>438</v>
      </c>
      <c r="CT17">
        <v>315</v>
      </c>
      <c r="CU17">
        <v>196</v>
      </c>
      <c r="CV17">
        <v>221</v>
      </c>
      <c r="CW17">
        <v>358</v>
      </c>
      <c r="CX17">
        <v>348</v>
      </c>
      <c r="CY17">
        <v>365</v>
      </c>
      <c r="CZ17">
        <v>320</v>
      </c>
      <c r="DA17">
        <v>225</v>
      </c>
      <c r="DB17">
        <v>260</v>
      </c>
      <c r="DC17">
        <v>437</v>
      </c>
      <c r="DD17">
        <v>326</v>
      </c>
      <c r="DE17">
        <v>199</v>
      </c>
      <c r="DF17">
        <v>147</v>
      </c>
      <c r="DG17">
        <v>177</v>
      </c>
      <c r="DH17">
        <v>255</v>
      </c>
      <c r="DI17">
        <v>246</v>
      </c>
      <c r="DJ17">
        <v>414</v>
      </c>
      <c r="DK17">
        <v>345</v>
      </c>
      <c r="DL17">
        <v>505</v>
      </c>
      <c r="DM17">
        <v>438</v>
      </c>
      <c r="DN17">
        <v>373</v>
      </c>
      <c r="DO17">
        <v>316</v>
      </c>
      <c r="DP17">
        <v>512</v>
      </c>
      <c r="DQ17">
        <v>604</v>
      </c>
      <c r="DR17">
        <v>441</v>
      </c>
      <c r="DS17">
        <v>450</v>
      </c>
      <c r="DT17">
        <v>497</v>
      </c>
      <c r="DU17">
        <v>641</v>
      </c>
      <c r="DV17">
        <v>673</v>
      </c>
      <c r="DW17">
        <v>574</v>
      </c>
      <c r="DX17">
        <v>569</v>
      </c>
      <c r="DY17">
        <v>535</v>
      </c>
      <c r="DZ17">
        <v>450</v>
      </c>
      <c r="EA17">
        <v>464</v>
      </c>
      <c r="EB17">
        <v>403</v>
      </c>
      <c r="EC17">
        <v>413</v>
      </c>
      <c r="ED17">
        <v>433</v>
      </c>
      <c r="EE17">
        <v>406</v>
      </c>
      <c r="EF17">
        <v>412</v>
      </c>
      <c r="EG17">
        <v>547</v>
      </c>
      <c r="EH17">
        <v>604</v>
      </c>
      <c r="EI17">
        <v>419</v>
      </c>
      <c r="EJ17">
        <v>406</v>
      </c>
      <c r="EK17">
        <v>563</v>
      </c>
      <c r="EL17">
        <v>460</v>
      </c>
      <c r="EM17">
        <v>456</v>
      </c>
      <c r="EN17">
        <v>412</v>
      </c>
      <c r="EO17">
        <v>473</v>
      </c>
      <c r="EP17">
        <v>480</v>
      </c>
      <c r="EQ17">
        <v>500</v>
      </c>
      <c r="ER17">
        <v>380</v>
      </c>
      <c r="ES17">
        <v>352</v>
      </c>
      <c r="ET17">
        <v>431</v>
      </c>
      <c r="EU17">
        <v>484</v>
      </c>
      <c r="EV17">
        <v>475</v>
      </c>
      <c r="EW17">
        <v>359</v>
      </c>
      <c r="EX17">
        <v>350</v>
      </c>
      <c r="EY17">
        <v>392</v>
      </c>
      <c r="EZ17">
        <v>462</v>
      </c>
      <c r="FA17">
        <v>333</v>
      </c>
      <c r="FB17">
        <v>489</v>
      </c>
      <c r="FC17">
        <v>465</v>
      </c>
      <c r="FD17">
        <v>477</v>
      </c>
      <c r="FE17">
        <v>441</v>
      </c>
      <c r="FF17">
        <v>459</v>
      </c>
      <c r="FG17">
        <v>426</v>
      </c>
      <c r="FH17">
        <v>424</v>
      </c>
      <c r="FI17">
        <v>444</v>
      </c>
      <c r="FJ17">
        <v>377</v>
      </c>
      <c r="FK17">
        <v>429</v>
      </c>
      <c r="FL17">
        <v>389</v>
      </c>
      <c r="FM17">
        <v>449</v>
      </c>
      <c r="FN17">
        <v>577</v>
      </c>
      <c r="FO17">
        <v>396</v>
      </c>
      <c r="FP17">
        <v>529</v>
      </c>
      <c r="FQ17">
        <v>453</v>
      </c>
      <c r="FR17">
        <v>436</v>
      </c>
      <c r="FS17">
        <v>547</v>
      </c>
      <c r="FT17">
        <v>0</v>
      </c>
      <c r="FU17">
        <v>481</v>
      </c>
      <c r="FV17">
        <v>509</v>
      </c>
      <c r="FW17">
        <v>593</v>
      </c>
      <c r="FX17">
        <v>0</v>
      </c>
      <c r="FY17">
        <v>535</v>
      </c>
      <c r="FZ17">
        <v>540</v>
      </c>
      <c r="GA17">
        <v>549</v>
      </c>
      <c r="GB17">
        <v>631</v>
      </c>
      <c r="GC17">
        <v>937</v>
      </c>
      <c r="GD17">
        <v>1161</v>
      </c>
      <c r="GE17">
        <v>817</v>
      </c>
      <c r="GF17">
        <v>771</v>
      </c>
      <c r="GG17">
        <v>614</v>
      </c>
      <c r="GH17">
        <v>807</v>
      </c>
      <c r="GI17">
        <v>850</v>
      </c>
      <c r="GJ17">
        <v>740</v>
      </c>
      <c r="GK17">
        <v>758</v>
      </c>
      <c r="GL17">
        <v>992</v>
      </c>
      <c r="GM17">
        <v>1288</v>
      </c>
      <c r="GN17">
        <v>1206</v>
      </c>
      <c r="GO17">
        <v>1348</v>
      </c>
      <c r="GP17">
        <v>1254</v>
      </c>
      <c r="GQ17">
        <v>979</v>
      </c>
      <c r="GR17">
        <v>1607</v>
      </c>
      <c r="GS17">
        <v>1786</v>
      </c>
      <c r="GT17">
        <v>1425</v>
      </c>
      <c r="GU17">
        <v>1526</v>
      </c>
      <c r="GV17">
        <v>1115</v>
      </c>
      <c r="GW17">
        <v>1184</v>
      </c>
      <c r="GX17">
        <v>1088</v>
      </c>
      <c r="GY17">
        <v>1325</v>
      </c>
      <c r="GZ17">
        <v>1101</v>
      </c>
      <c r="HA17">
        <v>925</v>
      </c>
      <c r="HB17">
        <v>1160</v>
      </c>
      <c r="HC17">
        <v>1122</v>
      </c>
      <c r="HD17">
        <v>1271</v>
      </c>
      <c r="HE17">
        <v>1244</v>
      </c>
      <c r="HF17">
        <v>1294</v>
      </c>
      <c r="HG17">
        <v>1287</v>
      </c>
      <c r="HH17">
        <v>1405</v>
      </c>
      <c r="HI17">
        <v>1141</v>
      </c>
      <c r="HJ17">
        <v>1009</v>
      </c>
      <c r="HK17">
        <v>1318</v>
      </c>
      <c r="HL17">
        <v>1318</v>
      </c>
      <c r="HM17">
        <v>1142</v>
      </c>
      <c r="HN17">
        <v>995</v>
      </c>
      <c r="HO17">
        <v>980</v>
      </c>
      <c r="HP17">
        <v>1223</v>
      </c>
      <c r="HQ17">
        <v>1238</v>
      </c>
      <c r="HR17">
        <v>1427</v>
      </c>
      <c r="HS17">
        <v>1297</v>
      </c>
      <c r="HT17">
        <v>1182</v>
      </c>
      <c r="HU17">
        <v>1202</v>
      </c>
      <c r="HV17">
        <v>864</v>
      </c>
      <c r="HW17">
        <v>876</v>
      </c>
      <c r="HX17">
        <v>771</v>
      </c>
      <c r="HY17">
        <v>1479</v>
      </c>
      <c r="HZ17">
        <v>1124</v>
      </c>
      <c r="IA17">
        <v>1368</v>
      </c>
      <c r="IB17">
        <v>1321</v>
      </c>
      <c r="IC17">
        <v>1292</v>
      </c>
      <c r="ID17">
        <v>954</v>
      </c>
      <c r="IE17">
        <v>832</v>
      </c>
      <c r="IF17">
        <v>890</v>
      </c>
      <c r="IG17">
        <v>1160</v>
      </c>
      <c r="IH17">
        <v>1233</v>
      </c>
      <c r="II17">
        <v>1070</v>
      </c>
      <c r="IJ17">
        <v>1114</v>
      </c>
      <c r="IK17">
        <v>1188</v>
      </c>
      <c r="IL17">
        <v>1211</v>
      </c>
      <c r="IM17">
        <v>1050</v>
      </c>
      <c r="IN17">
        <v>1178</v>
      </c>
      <c r="IO17">
        <v>1010</v>
      </c>
      <c r="IP17">
        <v>1293</v>
      </c>
      <c r="IQ17">
        <v>1474</v>
      </c>
      <c r="IR17">
        <v>1317</v>
      </c>
      <c r="IS17">
        <v>1271</v>
      </c>
      <c r="IT17">
        <v>1421</v>
      </c>
      <c r="IU17">
        <v>1319</v>
      </c>
      <c r="IV17">
        <v>1296</v>
      </c>
      <c r="IW17">
        <v>1357</v>
      </c>
      <c r="IX17">
        <v>1365</v>
      </c>
      <c r="IY17">
        <v>1402</v>
      </c>
      <c r="IZ17">
        <v>1188</v>
      </c>
      <c r="JA17">
        <v>1258</v>
      </c>
      <c r="JB17">
        <v>1239</v>
      </c>
      <c r="JC17">
        <v>1462</v>
      </c>
      <c r="JD17">
        <v>1424</v>
      </c>
      <c r="JE17">
        <v>1483</v>
      </c>
      <c r="JF17">
        <v>1679</v>
      </c>
      <c r="JG17">
        <v>1464</v>
      </c>
      <c r="JH17">
        <v>1083</v>
      </c>
      <c r="JI17">
        <v>973</v>
      </c>
      <c r="JJ17">
        <v>1489</v>
      </c>
      <c r="JK17">
        <v>1377</v>
      </c>
      <c r="JL17">
        <v>1197</v>
      </c>
      <c r="JM17">
        <v>1233</v>
      </c>
      <c r="JN17">
        <v>1341</v>
      </c>
      <c r="JO17">
        <v>1405</v>
      </c>
      <c r="JP17">
        <v>1278</v>
      </c>
      <c r="JQ17">
        <v>1273</v>
      </c>
      <c r="JR17">
        <v>1327</v>
      </c>
      <c r="JS17">
        <v>1298</v>
      </c>
      <c r="JT17">
        <v>1334</v>
      </c>
      <c r="JU17">
        <v>1179</v>
      </c>
      <c r="JV17">
        <v>1091</v>
      </c>
      <c r="JW17">
        <v>1310</v>
      </c>
      <c r="JX17">
        <v>1397</v>
      </c>
      <c r="JY17">
        <v>1286</v>
      </c>
      <c r="JZ17">
        <v>1019</v>
      </c>
      <c r="KA17">
        <v>1025</v>
      </c>
      <c r="KB17">
        <v>1033</v>
      </c>
      <c r="KC17">
        <v>1312</v>
      </c>
      <c r="KD17">
        <v>1181</v>
      </c>
      <c r="KE17">
        <v>1190</v>
      </c>
      <c r="KF17">
        <v>1240</v>
      </c>
      <c r="KG17">
        <v>1030</v>
      </c>
      <c r="KH17">
        <v>1148</v>
      </c>
      <c r="KI17">
        <v>1167</v>
      </c>
      <c r="KJ17">
        <v>927</v>
      </c>
      <c r="KK17">
        <v>1033</v>
      </c>
      <c r="KL17">
        <v>802</v>
      </c>
      <c r="KM17">
        <v>1200</v>
      </c>
      <c r="KN17">
        <v>968</v>
      </c>
      <c r="KO17">
        <v>1080</v>
      </c>
      <c r="KP17">
        <v>1109</v>
      </c>
      <c r="KQ17">
        <v>1263</v>
      </c>
      <c r="KR17">
        <v>1162</v>
      </c>
      <c r="KS17">
        <v>1192</v>
      </c>
      <c r="KT17">
        <v>1063</v>
      </c>
      <c r="KU17">
        <v>1087</v>
      </c>
      <c r="KV17">
        <v>861</v>
      </c>
      <c r="KW17">
        <v>1019</v>
      </c>
      <c r="KX17">
        <v>1117</v>
      </c>
      <c r="KY17">
        <v>919</v>
      </c>
      <c r="KZ17">
        <v>1022</v>
      </c>
      <c r="LA17">
        <v>1018</v>
      </c>
      <c r="LB17">
        <v>1097</v>
      </c>
      <c r="LC17">
        <v>1060</v>
      </c>
      <c r="LD17">
        <v>1009</v>
      </c>
      <c r="LE17">
        <v>809</v>
      </c>
      <c r="LF17">
        <v>929</v>
      </c>
      <c r="LG17">
        <v>1040</v>
      </c>
      <c r="LH17">
        <v>907</v>
      </c>
      <c r="LI17">
        <v>897</v>
      </c>
      <c r="LJ17">
        <v>882</v>
      </c>
      <c r="LK17">
        <v>766</v>
      </c>
      <c r="LL17">
        <v>763</v>
      </c>
      <c r="LM17">
        <v>979</v>
      </c>
      <c r="LN17">
        <v>1155</v>
      </c>
      <c r="LO17">
        <v>816</v>
      </c>
      <c r="LP17">
        <v>653</v>
      </c>
      <c r="LQ17">
        <v>896</v>
      </c>
      <c r="LR17">
        <v>1018</v>
      </c>
      <c r="LS17">
        <v>951</v>
      </c>
      <c r="LT17">
        <v>885</v>
      </c>
      <c r="LU17">
        <v>851</v>
      </c>
      <c r="LV17">
        <v>909</v>
      </c>
      <c r="LW17">
        <v>861</v>
      </c>
      <c r="LX17">
        <v>967</v>
      </c>
      <c r="LY17">
        <v>1005</v>
      </c>
      <c r="LZ17">
        <v>830</v>
      </c>
      <c r="MA17">
        <v>769</v>
      </c>
      <c r="MB17">
        <v>1116</v>
      </c>
      <c r="MC17">
        <v>1074</v>
      </c>
      <c r="MD17">
        <v>806</v>
      </c>
      <c r="ME17">
        <v>928</v>
      </c>
      <c r="MF17">
        <v>1100</v>
      </c>
      <c r="MG17">
        <v>1186</v>
      </c>
      <c r="MH17">
        <v>1376</v>
      </c>
      <c r="MI17">
        <v>1060</v>
      </c>
      <c r="MJ17">
        <v>953</v>
      </c>
      <c r="MK17">
        <v>1218</v>
      </c>
      <c r="ML17">
        <v>890</v>
      </c>
      <c r="MM17">
        <v>855</v>
      </c>
      <c r="MN17">
        <v>1271</v>
      </c>
      <c r="MO17">
        <v>941</v>
      </c>
      <c r="MP17">
        <v>955</v>
      </c>
      <c r="MQ17">
        <v>932</v>
      </c>
      <c r="MR17">
        <v>1127</v>
      </c>
      <c r="MS17">
        <v>834</v>
      </c>
      <c r="MT17">
        <v>1030</v>
      </c>
      <c r="MU17">
        <v>1119</v>
      </c>
      <c r="MV17">
        <v>1263</v>
      </c>
      <c r="MW17">
        <v>1195</v>
      </c>
      <c r="MX17">
        <v>892</v>
      </c>
      <c r="MY17">
        <v>1226</v>
      </c>
      <c r="MZ17">
        <v>858</v>
      </c>
      <c r="NA17">
        <v>1064</v>
      </c>
      <c r="NB17">
        <v>1260</v>
      </c>
      <c r="NC17">
        <v>1346</v>
      </c>
      <c r="ND17">
        <v>838</v>
      </c>
      <c r="NE17">
        <v>822</v>
      </c>
      <c r="NF17">
        <v>1201</v>
      </c>
      <c r="NG17">
        <v>1060</v>
      </c>
      <c r="NH17">
        <v>1140</v>
      </c>
      <c r="NI17">
        <v>1171</v>
      </c>
      <c r="NJ17">
        <v>1216</v>
      </c>
      <c r="NK17">
        <v>1191</v>
      </c>
      <c r="NL17">
        <v>1260</v>
      </c>
      <c r="NM17">
        <v>1458</v>
      </c>
      <c r="NN17">
        <v>1392</v>
      </c>
      <c r="NO17">
        <v>1522</v>
      </c>
      <c r="NP17">
        <v>1296</v>
      </c>
      <c r="NQ17">
        <v>1400</v>
      </c>
      <c r="NR17">
        <v>1638</v>
      </c>
      <c r="NS17">
        <v>1326</v>
      </c>
      <c r="NT17">
        <v>1527</v>
      </c>
      <c r="NU17">
        <v>1452</v>
      </c>
      <c r="NV17">
        <v>1522</v>
      </c>
      <c r="NW17">
        <v>1519</v>
      </c>
      <c r="NX17">
        <v>1504</v>
      </c>
      <c r="NY17">
        <v>1410</v>
      </c>
      <c r="NZ17">
        <v>1110</v>
      </c>
      <c r="OA17">
        <v>1292</v>
      </c>
      <c r="OB17">
        <v>1284</v>
      </c>
      <c r="OC17">
        <v>1441</v>
      </c>
      <c r="OD17">
        <v>1350</v>
      </c>
      <c r="OE17">
        <v>1302</v>
      </c>
      <c r="OF17">
        <v>1368</v>
      </c>
      <c r="OG17">
        <v>1349</v>
      </c>
      <c r="OH17">
        <v>1299</v>
      </c>
      <c r="OI17">
        <v>1162</v>
      </c>
      <c r="OJ17">
        <v>1254</v>
      </c>
      <c r="OK17">
        <v>0</v>
      </c>
      <c r="OL17">
        <v>1241</v>
      </c>
      <c r="OM17">
        <v>1056</v>
      </c>
      <c r="ON17">
        <v>844</v>
      </c>
      <c r="OO17">
        <v>748</v>
      </c>
      <c r="OP17">
        <v>1148</v>
      </c>
      <c r="OQ17">
        <v>911</v>
      </c>
      <c r="OR17">
        <v>1069</v>
      </c>
      <c r="OS17" s="3">
        <v>1058</v>
      </c>
      <c r="OT17">
        <v>794</v>
      </c>
      <c r="OU17">
        <v>912</v>
      </c>
      <c r="OV17">
        <v>715</v>
      </c>
      <c r="OW17">
        <v>861</v>
      </c>
      <c r="OX17">
        <v>968</v>
      </c>
      <c r="OY17">
        <v>953</v>
      </c>
      <c r="OZ17">
        <v>926</v>
      </c>
      <c r="PA17">
        <v>898</v>
      </c>
      <c r="PB17">
        <v>663</v>
      </c>
      <c r="PC17">
        <v>1085</v>
      </c>
      <c r="PD17">
        <v>980</v>
      </c>
      <c r="PE17">
        <v>990</v>
      </c>
      <c r="PF17">
        <v>930</v>
      </c>
      <c r="PG17">
        <v>878</v>
      </c>
      <c r="PH17">
        <v>902</v>
      </c>
      <c r="PI17">
        <v>845</v>
      </c>
      <c r="PJ17">
        <v>755</v>
      </c>
      <c r="PK17">
        <v>811</v>
      </c>
      <c r="PL17">
        <v>918</v>
      </c>
      <c r="PM17">
        <v>0</v>
      </c>
      <c r="PN17">
        <v>718</v>
      </c>
      <c r="PO17">
        <v>808</v>
      </c>
      <c r="PP17">
        <v>772</v>
      </c>
      <c r="PQ17">
        <v>801</v>
      </c>
      <c r="PR17">
        <v>785</v>
      </c>
      <c r="PS17">
        <v>619</v>
      </c>
      <c r="PT17">
        <v>1035</v>
      </c>
      <c r="PU17">
        <v>907</v>
      </c>
      <c r="PV17">
        <v>686</v>
      </c>
      <c r="PW17">
        <v>650</v>
      </c>
      <c r="PX17">
        <v>600</v>
      </c>
      <c r="PY17">
        <v>649</v>
      </c>
      <c r="PZ17">
        <v>569</v>
      </c>
      <c r="QA17">
        <v>694</v>
      </c>
      <c r="QB17">
        <v>452</v>
      </c>
      <c r="QC17">
        <v>473</v>
      </c>
      <c r="QD17">
        <v>785</v>
      </c>
      <c r="QE17">
        <v>543</v>
      </c>
      <c r="QF17">
        <v>364</v>
      </c>
      <c r="QG17">
        <v>353</v>
      </c>
      <c r="QH17">
        <v>424</v>
      </c>
      <c r="QI17">
        <v>511</v>
      </c>
      <c r="QJ17">
        <v>774</v>
      </c>
      <c r="QK17">
        <v>796</v>
      </c>
      <c r="QL17">
        <v>406</v>
      </c>
      <c r="QM17">
        <v>355</v>
      </c>
      <c r="QN17">
        <v>491</v>
      </c>
      <c r="QO17">
        <v>463</v>
      </c>
      <c r="QP17">
        <v>386</v>
      </c>
      <c r="QQ17">
        <v>444</v>
      </c>
      <c r="QR17">
        <v>334</v>
      </c>
      <c r="QS17">
        <v>375</v>
      </c>
      <c r="QT17">
        <v>241</v>
      </c>
      <c r="QU17">
        <v>253</v>
      </c>
      <c r="QV17">
        <v>326</v>
      </c>
      <c r="QW17">
        <v>242</v>
      </c>
      <c r="QX17">
        <v>168</v>
      </c>
      <c r="QY17">
        <v>165</v>
      </c>
      <c r="QZ17">
        <v>280</v>
      </c>
      <c r="RA17">
        <v>371</v>
      </c>
      <c r="RB17">
        <v>203</v>
      </c>
      <c r="RC17">
        <v>225</v>
      </c>
      <c r="RD17">
        <v>224</v>
      </c>
      <c r="RE17">
        <v>193</v>
      </c>
      <c r="RF17">
        <v>144</v>
      </c>
      <c r="RG17">
        <v>110</v>
      </c>
      <c r="RH17">
        <v>287</v>
      </c>
      <c r="RI17">
        <v>311</v>
      </c>
      <c r="RJ17">
        <v>346</v>
      </c>
      <c r="RK17">
        <v>401</v>
      </c>
      <c r="RL17">
        <v>414</v>
      </c>
      <c r="RM17">
        <v>447</v>
      </c>
      <c r="RN17">
        <v>577</v>
      </c>
      <c r="RO17">
        <v>598</v>
      </c>
      <c r="RP17">
        <v>1267</v>
      </c>
      <c r="RQ17">
        <v>1162</v>
      </c>
      <c r="RR17">
        <v>1538</v>
      </c>
      <c r="RS17">
        <v>1544</v>
      </c>
      <c r="RT17">
        <v>1049</v>
      </c>
      <c r="RU17">
        <v>1618</v>
      </c>
      <c r="RV17">
        <v>2090</v>
      </c>
      <c r="RW17">
        <v>2328</v>
      </c>
      <c r="RX17">
        <v>2086</v>
      </c>
      <c r="RY17">
        <v>2318</v>
      </c>
      <c r="RZ17">
        <v>2401</v>
      </c>
      <c r="SA17">
        <v>1702</v>
      </c>
      <c r="SB17">
        <v>1823</v>
      </c>
      <c r="SC17">
        <v>1736</v>
      </c>
      <c r="SD17">
        <v>2010</v>
      </c>
      <c r="SE17">
        <v>1887</v>
      </c>
      <c r="SF17">
        <v>1989</v>
      </c>
      <c r="SG17">
        <v>2364</v>
      </c>
      <c r="SH17">
        <v>2646</v>
      </c>
      <c r="SI17">
        <v>1953</v>
      </c>
      <c r="SJ17">
        <v>1801</v>
      </c>
      <c r="SK17">
        <v>1530</v>
      </c>
      <c r="SL17">
        <v>1711</v>
      </c>
      <c r="SM17">
        <v>1662</v>
      </c>
      <c r="SN17">
        <v>2157</v>
      </c>
      <c r="SO17">
        <v>1448</v>
      </c>
      <c r="SP17">
        <v>1694</v>
      </c>
      <c r="SQ17">
        <v>1560</v>
      </c>
      <c r="SR17">
        <v>1008</v>
      </c>
      <c r="SS17">
        <v>1041</v>
      </c>
      <c r="ST17">
        <v>1576</v>
      </c>
      <c r="SU17">
        <v>1557</v>
      </c>
      <c r="SV17">
        <v>1228</v>
      </c>
      <c r="SW17">
        <v>1030</v>
      </c>
      <c r="SX17">
        <v>1065</v>
      </c>
      <c r="SY17">
        <v>926</v>
      </c>
      <c r="SZ17">
        <v>632</v>
      </c>
      <c r="TA17">
        <v>347</v>
      </c>
      <c r="TB17">
        <v>606</v>
      </c>
      <c r="TC17">
        <v>520</v>
      </c>
      <c r="TD17">
        <v>699</v>
      </c>
      <c r="TE17">
        <v>397</v>
      </c>
      <c r="TF17">
        <v>391</v>
      </c>
      <c r="TG17">
        <v>387</v>
      </c>
      <c r="TH17">
        <v>480</v>
      </c>
      <c r="TI17">
        <v>888</v>
      </c>
      <c r="TJ17">
        <v>480</v>
      </c>
      <c r="TK17">
        <v>329</v>
      </c>
      <c r="TL17">
        <v>458</v>
      </c>
      <c r="TM17">
        <v>180</v>
      </c>
      <c r="TN17">
        <v>181</v>
      </c>
      <c r="TO17">
        <v>293</v>
      </c>
      <c r="TP17">
        <v>342</v>
      </c>
      <c r="TQ17">
        <v>239</v>
      </c>
      <c r="TR17">
        <v>149</v>
      </c>
      <c r="TS17">
        <v>198</v>
      </c>
      <c r="TT17">
        <v>352</v>
      </c>
      <c r="TU17">
        <v>204</v>
      </c>
      <c r="TV17">
        <v>279</v>
      </c>
      <c r="TW17">
        <v>304</v>
      </c>
      <c r="TX17">
        <v>107</v>
      </c>
      <c r="TY17">
        <v>50</v>
      </c>
      <c r="TZ17">
        <v>290</v>
      </c>
      <c r="UA17">
        <v>309</v>
      </c>
      <c r="UB17">
        <v>186</v>
      </c>
      <c r="UC17">
        <v>0</v>
      </c>
      <c r="UD17">
        <v>138</v>
      </c>
      <c r="UE17">
        <v>112</v>
      </c>
      <c r="UF17">
        <v>54</v>
      </c>
      <c r="UG17">
        <v>73</v>
      </c>
      <c r="UH17">
        <v>75</v>
      </c>
      <c r="UI17">
        <v>71</v>
      </c>
      <c r="UJ17">
        <v>95</v>
      </c>
      <c r="UK17">
        <v>39</v>
      </c>
      <c r="UL17">
        <v>36</v>
      </c>
      <c r="UM17">
        <v>56</v>
      </c>
      <c r="UN17">
        <v>135</v>
      </c>
      <c r="UO17">
        <v>69</v>
      </c>
      <c r="UP17">
        <v>124</v>
      </c>
      <c r="UQ17">
        <v>81</v>
      </c>
      <c r="UR17">
        <v>135</v>
      </c>
      <c r="US17">
        <v>135</v>
      </c>
      <c r="UT17">
        <v>62</v>
      </c>
      <c r="UU17">
        <v>125</v>
      </c>
      <c r="UV17">
        <v>75</v>
      </c>
      <c r="UW17">
        <v>81</v>
      </c>
      <c r="UX17">
        <v>139</v>
      </c>
      <c r="UY17">
        <v>48</v>
      </c>
      <c r="UZ17">
        <v>98</v>
      </c>
      <c r="VA17">
        <v>75</v>
      </c>
      <c r="VB17">
        <v>72</v>
      </c>
      <c r="VC17">
        <v>0</v>
      </c>
      <c r="VD17">
        <v>166</v>
      </c>
      <c r="VE17">
        <v>88</v>
      </c>
      <c r="VF17">
        <v>8</v>
      </c>
      <c r="VG17">
        <v>8</v>
      </c>
      <c r="VH17">
        <v>7</v>
      </c>
      <c r="VI17">
        <v>6</v>
      </c>
      <c r="VJ17">
        <v>1</v>
      </c>
      <c r="VK17">
        <v>14</v>
      </c>
      <c r="VL17">
        <v>33</v>
      </c>
      <c r="VM17">
        <v>55</v>
      </c>
      <c r="VN17">
        <v>55</v>
      </c>
      <c r="VO17">
        <v>58</v>
      </c>
      <c r="VP17">
        <v>9</v>
      </c>
      <c r="VQ17">
        <v>20</v>
      </c>
      <c r="VR17">
        <v>8</v>
      </c>
      <c r="VS17">
        <v>20</v>
      </c>
      <c r="VT17">
        <v>80</v>
      </c>
      <c r="VU17">
        <v>0</v>
      </c>
      <c r="VV17">
        <v>0</v>
      </c>
      <c r="VW17">
        <v>36</v>
      </c>
      <c r="VX17">
        <v>14</v>
      </c>
      <c r="VY17">
        <v>38</v>
      </c>
      <c r="VZ17">
        <v>47</v>
      </c>
      <c r="WA17">
        <v>47</v>
      </c>
      <c r="WB17">
        <v>77</v>
      </c>
      <c r="WC17">
        <v>0</v>
      </c>
      <c r="WD17">
        <v>36</v>
      </c>
      <c r="WE17">
        <v>40</v>
      </c>
      <c r="WF17">
        <v>50</v>
      </c>
      <c r="WG17">
        <v>0</v>
      </c>
      <c r="WH17">
        <v>0</v>
      </c>
      <c r="WI17">
        <v>0</v>
      </c>
      <c r="WJ17">
        <v>39</v>
      </c>
      <c r="WK17">
        <v>60</v>
      </c>
      <c r="WL17">
        <v>30</v>
      </c>
      <c r="WM17">
        <v>25</v>
      </c>
      <c r="WN17">
        <v>77</v>
      </c>
      <c r="WO17">
        <v>77</v>
      </c>
      <c r="WP17">
        <v>77</v>
      </c>
      <c r="WQ17">
        <v>33</v>
      </c>
      <c r="WR17">
        <v>33</v>
      </c>
      <c r="WS17">
        <v>33</v>
      </c>
      <c r="WT17">
        <v>33</v>
      </c>
      <c r="WU17">
        <v>53</v>
      </c>
      <c r="WV17">
        <v>53</v>
      </c>
      <c r="WW17">
        <v>53</v>
      </c>
      <c r="WX17">
        <v>29</v>
      </c>
      <c r="WY17">
        <v>29</v>
      </c>
      <c r="WZ17">
        <v>56</v>
      </c>
      <c r="XA17">
        <v>36</v>
      </c>
      <c r="XB17">
        <v>36</v>
      </c>
      <c r="XC17">
        <v>68</v>
      </c>
      <c r="XD17">
        <v>68</v>
      </c>
      <c r="XE17">
        <v>36</v>
      </c>
      <c r="XF17">
        <v>64</v>
      </c>
      <c r="XG17">
        <v>64</v>
      </c>
      <c r="XH17">
        <v>64</v>
      </c>
      <c r="XI17">
        <v>64</v>
      </c>
      <c r="XJ17">
        <v>64</v>
      </c>
      <c r="XK17">
        <v>75</v>
      </c>
      <c r="XL17">
        <v>30</v>
      </c>
      <c r="XM17">
        <v>105</v>
      </c>
      <c r="XN17">
        <v>105</v>
      </c>
      <c r="XO17">
        <v>105</v>
      </c>
      <c r="XP17">
        <v>105</v>
      </c>
      <c r="XQ17">
        <v>105</v>
      </c>
      <c r="XR17">
        <v>177</v>
      </c>
      <c r="XS17">
        <v>177</v>
      </c>
      <c r="XT17">
        <v>177</v>
      </c>
      <c r="XU17">
        <v>177</v>
      </c>
      <c r="XV17">
        <v>177</v>
      </c>
      <c r="XW17">
        <v>177</v>
      </c>
      <c r="XX17">
        <v>177</v>
      </c>
      <c r="XY17">
        <v>66</v>
      </c>
      <c r="XZ17">
        <v>45</v>
      </c>
      <c r="YA17">
        <v>102</v>
      </c>
      <c r="YB17">
        <v>93</v>
      </c>
      <c r="YC17">
        <v>234</v>
      </c>
      <c r="YD17">
        <v>304</v>
      </c>
      <c r="YE17">
        <v>82</v>
      </c>
      <c r="YF17" s="1">
        <v>167</v>
      </c>
      <c r="YG17" s="1">
        <v>167</v>
      </c>
      <c r="YH17" s="1">
        <v>167</v>
      </c>
      <c r="YI17" s="1">
        <v>106</v>
      </c>
      <c r="YJ17">
        <v>246</v>
      </c>
      <c r="YK17">
        <v>175</v>
      </c>
      <c r="YL17">
        <v>328</v>
      </c>
      <c r="YM17">
        <v>137</v>
      </c>
      <c r="YN17">
        <v>137</v>
      </c>
      <c r="YO17">
        <v>137</v>
      </c>
      <c r="YP17">
        <v>219</v>
      </c>
      <c r="YQ17">
        <v>390</v>
      </c>
      <c r="YR17">
        <v>346</v>
      </c>
      <c r="YS17">
        <v>346</v>
      </c>
      <c r="YT17">
        <v>672</v>
      </c>
      <c r="YU17">
        <v>247</v>
      </c>
      <c r="YV17">
        <v>326</v>
      </c>
      <c r="YW17">
        <v>513</v>
      </c>
      <c r="YX17">
        <v>513</v>
      </c>
      <c r="YY17">
        <v>513</v>
      </c>
      <c r="YZ17">
        <v>513</v>
      </c>
      <c r="ZA17">
        <v>426</v>
      </c>
      <c r="ZB17">
        <v>293</v>
      </c>
      <c r="ZC17">
        <v>184</v>
      </c>
      <c r="ZD17">
        <v>635</v>
      </c>
      <c r="ZE17">
        <v>437</v>
      </c>
      <c r="ZF17">
        <v>371</v>
      </c>
      <c r="ZG17">
        <v>559</v>
      </c>
      <c r="ZH17">
        <v>250</v>
      </c>
      <c r="ZI17">
        <v>500</v>
      </c>
      <c r="ZJ17">
        <v>591</v>
      </c>
      <c r="ZK17">
        <v>310</v>
      </c>
      <c r="ZL17">
        <v>313</v>
      </c>
      <c r="ZM17">
        <v>355</v>
      </c>
      <c r="ZN17">
        <v>280</v>
      </c>
      <c r="ZO17">
        <v>196</v>
      </c>
      <c r="ZP17">
        <v>246</v>
      </c>
      <c r="ZQ17">
        <v>328</v>
      </c>
      <c r="ZR17">
        <v>0</v>
      </c>
      <c r="ZS17">
        <v>323</v>
      </c>
      <c r="ZT17">
        <v>373</v>
      </c>
      <c r="ZU17">
        <v>120</v>
      </c>
      <c r="ZV17">
        <v>200</v>
      </c>
      <c r="ZW17">
        <v>259</v>
      </c>
      <c r="ZX17">
        <v>115</v>
      </c>
      <c r="ZY17">
        <v>181</v>
      </c>
      <c r="ZZ17">
        <v>210</v>
      </c>
      <c r="AAA17">
        <v>0</v>
      </c>
      <c r="AAB17">
        <v>83</v>
      </c>
      <c r="AAC17">
        <v>195</v>
      </c>
      <c r="AAD17">
        <v>108</v>
      </c>
      <c r="AAE17">
        <v>99</v>
      </c>
      <c r="AAF17">
        <v>99</v>
      </c>
      <c r="AAG17">
        <v>133</v>
      </c>
      <c r="AAH17">
        <v>160</v>
      </c>
      <c r="AAI17">
        <v>53</v>
      </c>
      <c r="AAJ17">
        <v>29</v>
      </c>
      <c r="AAK17">
        <v>116</v>
      </c>
      <c r="AAL17">
        <v>111</v>
      </c>
      <c r="AAM17">
        <v>0</v>
      </c>
      <c r="AAN17">
        <v>170</v>
      </c>
      <c r="AAO17">
        <v>0</v>
      </c>
      <c r="AAP17">
        <v>78</v>
      </c>
      <c r="AAQ17">
        <v>73</v>
      </c>
      <c r="AAR17">
        <v>98</v>
      </c>
      <c r="AAS17">
        <v>81</v>
      </c>
      <c r="AAT17">
        <v>0</v>
      </c>
      <c r="AAU17">
        <v>179</v>
      </c>
      <c r="AAV17">
        <v>0</v>
      </c>
      <c r="AAW17">
        <v>52</v>
      </c>
      <c r="AAX17">
        <v>21</v>
      </c>
      <c r="AAY17">
        <v>41</v>
      </c>
      <c r="AAZ17">
        <v>57</v>
      </c>
      <c r="ABA17">
        <v>127</v>
      </c>
      <c r="ABB17">
        <v>0</v>
      </c>
      <c r="ABC17">
        <v>0</v>
      </c>
      <c r="ABD17">
        <v>75</v>
      </c>
      <c r="ABE17">
        <v>38</v>
      </c>
      <c r="ABF17">
        <v>22</v>
      </c>
      <c r="ABG17">
        <v>40</v>
      </c>
      <c r="ABH17">
        <v>45</v>
      </c>
      <c r="ABI17">
        <v>45</v>
      </c>
      <c r="ABJ17">
        <v>45</v>
      </c>
      <c r="ABK17">
        <v>75</v>
      </c>
      <c r="ABL17">
        <v>6</v>
      </c>
      <c r="ABM17">
        <v>89</v>
      </c>
      <c r="ABN17">
        <v>67</v>
      </c>
      <c r="ABO17">
        <v>73</v>
      </c>
      <c r="ABP17">
        <v>43</v>
      </c>
      <c r="ABQ17">
        <v>14</v>
      </c>
      <c r="ABR17">
        <v>14</v>
      </c>
      <c r="ABS17">
        <v>10</v>
      </c>
      <c r="ABT17">
        <v>0</v>
      </c>
      <c r="ABU17">
        <v>11</v>
      </c>
      <c r="ABV17">
        <v>14</v>
      </c>
      <c r="ABW17">
        <v>14</v>
      </c>
      <c r="ABX17">
        <v>14</v>
      </c>
      <c r="ABY17">
        <v>14</v>
      </c>
      <c r="ABZ17">
        <v>14</v>
      </c>
      <c r="ACA17">
        <v>47</v>
      </c>
      <c r="ACB17">
        <v>92</v>
      </c>
      <c r="ACC17">
        <v>92</v>
      </c>
      <c r="ACD17">
        <v>92</v>
      </c>
      <c r="ACE17">
        <v>92</v>
      </c>
      <c r="ACF17">
        <v>92</v>
      </c>
      <c r="ACG17">
        <v>54</v>
      </c>
      <c r="ACH17">
        <v>0</v>
      </c>
      <c r="ACI17">
        <v>72</v>
      </c>
      <c r="ACJ17">
        <v>0</v>
      </c>
      <c r="ACK17">
        <v>15</v>
      </c>
      <c r="ACL17">
        <v>15</v>
      </c>
      <c r="ACM17">
        <v>15</v>
      </c>
      <c r="ACN17">
        <v>49</v>
      </c>
      <c r="ACO17">
        <v>49</v>
      </c>
      <c r="ACP17">
        <v>59</v>
      </c>
      <c r="ACQ17">
        <v>59</v>
      </c>
      <c r="ACR17">
        <v>39</v>
      </c>
      <c r="ACS17">
        <v>39</v>
      </c>
      <c r="ACT17">
        <v>39</v>
      </c>
      <c r="ACU17">
        <v>27</v>
      </c>
      <c r="ACV17">
        <v>12</v>
      </c>
      <c r="ACW17">
        <v>12</v>
      </c>
      <c r="ACX17">
        <v>12</v>
      </c>
      <c r="ACY17">
        <v>12</v>
      </c>
      <c r="ACZ17">
        <v>12</v>
      </c>
      <c r="ADA17">
        <v>12</v>
      </c>
      <c r="ADB17">
        <v>12</v>
      </c>
      <c r="ADC17">
        <v>15</v>
      </c>
      <c r="ADD17">
        <v>27</v>
      </c>
      <c r="ADE17">
        <v>27</v>
      </c>
      <c r="ADF17">
        <v>51</v>
      </c>
      <c r="ADG17">
        <v>51</v>
      </c>
      <c r="ADH17">
        <v>51</v>
      </c>
      <c r="ADI17">
        <v>45</v>
      </c>
      <c r="ADJ17">
        <v>45</v>
      </c>
      <c r="ADK17">
        <v>45</v>
      </c>
      <c r="ADL17">
        <v>47</v>
      </c>
      <c r="ADM17">
        <v>47</v>
      </c>
      <c r="ADN17">
        <v>47</v>
      </c>
      <c r="ADO17">
        <v>47</v>
      </c>
      <c r="ADP17">
        <v>47</v>
      </c>
      <c r="ADQ17">
        <v>47</v>
      </c>
      <c r="ADR17">
        <v>50</v>
      </c>
      <c r="ADS17">
        <v>50</v>
      </c>
      <c r="ADT17">
        <v>50</v>
      </c>
      <c r="ADU17">
        <v>50</v>
      </c>
      <c r="ADV17">
        <v>50</v>
      </c>
      <c r="ADW17">
        <v>0</v>
      </c>
      <c r="ADX17">
        <v>0</v>
      </c>
      <c r="ADY17">
        <v>69</v>
      </c>
      <c r="ADZ17">
        <v>69</v>
      </c>
      <c r="AEA17">
        <v>69</v>
      </c>
      <c r="AEB17">
        <v>69</v>
      </c>
      <c r="AEC17">
        <v>69</v>
      </c>
      <c r="AED17">
        <v>59</v>
      </c>
      <c r="AEE17">
        <v>59</v>
      </c>
      <c r="AEF17">
        <v>59</v>
      </c>
      <c r="AEG17">
        <v>59</v>
      </c>
      <c r="AEH17">
        <v>59</v>
      </c>
      <c r="AEI17">
        <v>59</v>
      </c>
      <c r="AEJ17">
        <v>59</v>
      </c>
      <c r="AEK17">
        <v>122</v>
      </c>
      <c r="AEL17">
        <v>122</v>
      </c>
      <c r="AEM17">
        <v>122</v>
      </c>
      <c r="AEN17">
        <v>122</v>
      </c>
      <c r="AEO17">
        <v>122</v>
      </c>
      <c r="AEP17">
        <v>122</v>
      </c>
      <c r="AEQ17">
        <v>122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7</v>
      </c>
      <c r="AFF17">
        <v>7</v>
      </c>
      <c r="AFG17">
        <v>7</v>
      </c>
      <c r="AFH17">
        <v>7</v>
      </c>
      <c r="AFI17">
        <v>7</v>
      </c>
      <c r="AFJ17">
        <v>7</v>
      </c>
      <c r="AFK17">
        <v>7</v>
      </c>
      <c r="AFL17">
        <v>7</v>
      </c>
      <c r="AFM17">
        <v>7</v>
      </c>
      <c r="AFN17">
        <v>27</v>
      </c>
      <c r="AFO17">
        <v>27</v>
      </c>
      <c r="AFP17">
        <v>27</v>
      </c>
      <c r="AFQ17">
        <v>27</v>
      </c>
      <c r="AFR17">
        <v>27</v>
      </c>
      <c r="AFS17">
        <v>27</v>
      </c>
      <c r="AFT17">
        <v>12</v>
      </c>
      <c r="AFU17">
        <v>12</v>
      </c>
      <c r="AFV17">
        <v>12</v>
      </c>
      <c r="AFW17">
        <v>12</v>
      </c>
      <c r="AFX17">
        <v>12</v>
      </c>
      <c r="AFY17">
        <v>12</v>
      </c>
      <c r="AFZ17">
        <v>12</v>
      </c>
      <c r="AGA17">
        <v>2</v>
      </c>
      <c r="AGB17">
        <v>2</v>
      </c>
      <c r="AGC17">
        <v>2</v>
      </c>
      <c r="AGD17">
        <v>2</v>
      </c>
      <c r="AGE17">
        <v>2</v>
      </c>
      <c r="AGF17">
        <v>2</v>
      </c>
      <c r="AGG17">
        <v>2</v>
      </c>
      <c r="AGH17">
        <v>2</v>
      </c>
      <c r="AGI17">
        <v>2</v>
      </c>
      <c r="AGJ17">
        <v>2</v>
      </c>
      <c r="AGK17">
        <v>2</v>
      </c>
      <c r="AGL17">
        <v>2</v>
      </c>
      <c r="AGM17">
        <v>2</v>
      </c>
      <c r="AGN17">
        <v>2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7</v>
      </c>
      <c r="AHD17">
        <v>7</v>
      </c>
      <c r="AHE17">
        <v>7</v>
      </c>
      <c r="AHF17">
        <v>7</v>
      </c>
      <c r="AHG17">
        <v>7</v>
      </c>
      <c r="AHH17">
        <v>7</v>
      </c>
      <c r="AHI17">
        <v>7</v>
      </c>
      <c r="AHJ17">
        <v>7</v>
      </c>
      <c r="AHK17">
        <v>29</v>
      </c>
      <c r="AHL17">
        <v>29</v>
      </c>
      <c r="AHM17">
        <v>29</v>
      </c>
      <c r="AHN17">
        <v>29</v>
      </c>
      <c r="AHO17">
        <v>29</v>
      </c>
      <c r="AHP17">
        <v>29</v>
      </c>
      <c r="AHQ17">
        <v>29</v>
      </c>
    </row>
    <row r="18" spans="1:901">
      <c r="A18" s="1" t="s">
        <v>140</v>
      </c>
      <c r="B18">
        <v>73</v>
      </c>
      <c r="C18">
        <v>57</v>
      </c>
      <c r="D18">
        <v>71</v>
      </c>
      <c r="E18">
        <v>51</v>
      </c>
      <c r="F18">
        <v>36</v>
      </c>
      <c r="G18">
        <v>50</v>
      </c>
      <c r="H18">
        <v>81</v>
      </c>
      <c r="I18">
        <v>48</v>
      </c>
      <c r="J18">
        <v>40</v>
      </c>
      <c r="K18">
        <v>40</v>
      </c>
      <c r="L18">
        <v>45</v>
      </c>
      <c r="M18">
        <v>26</v>
      </c>
      <c r="N18">
        <v>48</v>
      </c>
      <c r="O18">
        <v>66</v>
      </c>
      <c r="P18">
        <v>73</v>
      </c>
      <c r="Q18">
        <v>48</v>
      </c>
      <c r="R18">
        <v>62</v>
      </c>
      <c r="S18">
        <v>29</v>
      </c>
      <c r="T18">
        <v>36</v>
      </c>
      <c r="U18">
        <v>38</v>
      </c>
      <c r="V18">
        <v>15</v>
      </c>
      <c r="W18">
        <v>19</v>
      </c>
      <c r="X18">
        <v>26</v>
      </c>
      <c r="Y18">
        <v>5</v>
      </c>
      <c r="Z18">
        <v>30</v>
      </c>
      <c r="AA18">
        <v>22</v>
      </c>
      <c r="AB18">
        <v>17</v>
      </c>
      <c r="AC18">
        <v>18</v>
      </c>
      <c r="AD18">
        <v>27</v>
      </c>
      <c r="AE18">
        <v>56</v>
      </c>
      <c r="AF18">
        <v>52</v>
      </c>
      <c r="AG18">
        <v>50</v>
      </c>
      <c r="AH18">
        <v>38</v>
      </c>
      <c r="AI18">
        <v>47</v>
      </c>
      <c r="AJ18">
        <v>63</v>
      </c>
      <c r="AK18">
        <v>53</v>
      </c>
      <c r="AL18">
        <v>58</v>
      </c>
      <c r="AM18">
        <v>55</v>
      </c>
      <c r="AN18">
        <v>32</v>
      </c>
      <c r="AO18">
        <v>29</v>
      </c>
      <c r="AP18">
        <v>83</v>
      </c>
      <c r="AQ18">
        <v>49</v>
      </c>
      <c r="AR18">
        <v>39</v>
      </c>
      <c r="AS18">
        <v>35</v>
      </c>
      <c r="AT18">
        <v>86</v>
      </c>
      <c r="AU18">
        <v>48</v>
      </c>
      <c r="AV18">
        <v>35</v>
      </c>
      <c r="AW18">
        <v>65</v>
      </c>
      <c r="AX18">
        <v>109</v>
      </c>
      <c r="AY18">
        <v>40</v>
      </c>
      <c r="AZ18">
        <v>44</v>
      </c>
      <c r="BA18">
        <v>39</v>
      </c>
      <c r="BB18">
        <v>30</v>
      </c>
      <c r="BC18">
        <v>52</v>
      </c>
      <c r="BD18">
        <v>43</v>
      </c>
      <c r="BE18">
        <v>37</v>
      </c>
      <c r="BF18">
        <v>58</v>
      </c>
      <c r="BG18">
        <v>54</v>
      </c>
      <c r="BH18">
        <v>27</v>
      </c>
      <c r="BI18">
        <v>22</v>
      </c>
      <c r="BJ18">
        <v>49</v>
      </c>
      <c r="BK18">
        <v>28</v>
      </c>
      <c r="BL18">
        <v>37</v>
      </c>
      <c r="BM18">
        <v>21</v>
      </c>
      <c r="BN18">
        <v>38</v>
      </c>
      <c r="BO18">
        <v>35</v>
      </c>
      <c r="BP18">
        <v>48</v>
      </c>
      <c r="BQ18">
        <v>33</v>
      </c>
      <c r="BR18">
        <v>71</v>
      </c>
      <c r="BS18">
        <v>76</v>
      </c>
      <c r="BT18">
        <v>49</v>
      </c>
      <c r="BU18">
        <v>35</v>
      </c>
      <c r="BV18">
        <v>63</v>
      </c>
      <c r="BW18">
        <v>60</v>
      </c>
      <c r="BX18">
        <v>51</v>
      </c>
      <c r="BY18">
        <v>97</v>
      </c>
      <c r="BZ18">
        <v>75</v>
      </c>
      <c r="CA18">
        <v>75</v>
      </c>
      <c r="CB18">
        <v>79</v>
      </c>
      <c r="CC18">
        <v>104</v>
      </c>
      <c r="CD18">
        <v>68</v>
      </c>
      <c r="CE18">
        <v>124</v>
      </c>
      <c r="CF18">
        <v>76</v>
      </c>
      <c r="CG18">
        <v>124</v>
      </c>
      <c r="CH18">
        <v>75</v>
      </c>
      <c r="CI18">
        <v>86</v>
      </c>
      <c r="CJ18">
        <v>87</v>
      </c>
      <c r="CK18">
        <v>69</v>
      </c>
      <c r="CL18">
        <v>69</v>
      </c>
      <c r="CM18">
        <v>96</v>
      </c>
      <c r="CN18">
        <v>83</v>
      </c>
      <c r="CO18">
        <v>100</v>
      </c>
      <c r="CP18">
        <v>122</v>
      </c>
      <c r="CQ18">
        <v>131</v>
      </c>
      <c r="CR18">
        <v>103</v>
      </c>
      <c r="CS18">
        <v>115</v>
      </c>
      <c r="CT18">
        <v>142</v>
      </c>
      <c r="CU18">
        <v>116</v>
      </c>
      <c r="CV18">
        <v>217</v>
      </c>
      <c r="CW18">
        <v>183</v>
      </c>
      <c r="CX18">
        <v>138</v>
      </c>
      <c r="CY18">
        <v>167</v>
      </c>
      <c r="CZ18">
        <v>229</v>
      </c>
      <c r="DA18">
        <v>167</v>
      </c>
      <c r="DB18">
        <v>86</v>
      </c>
      <c r="DC18">
        <v>176</v>
      </c>
      <c r="DD18">
        <v>193</v>
      </c>
      <c r="DE18">
        <v>169</v>
      </c>
      <c r="DF18">
        <v>199</v>
      </c>
      <c r="DG18">
        <v>316</v>
      </c>
      <c r="DH18">
        <v>224</v>
      </c>
      <c r="DI18">
        <v>201</v>
      </c>
      <c r="DJ18">
        <v>314</v>
      </c>
      <c r="DK18">
        <v>344</v>
      </c>
      <c r="DL18">
        <v>365</v>
      </c>
      <c r="DM18">
        <v>388</v>
      </c>
      <c r="DN18">
        <v>431</v>
      </c>
      <c r="DO18">
        <v>487</v>
      </c>
      <c r="DP18">
        <v>550</v>
      </c>
      <c r="DQ18">
        <v>505</v>
      </c>
      <c r="DR18">
        <v>547</v>
      </c>
      <c r="DS18">
        <v>405</v>
      </c>
      <c r="DT18">
        <v>650</v>
      </c>
      <c r="DU18">
        <v>292</v>
      </c>
      <c r="DV18">
        <v>330</v>
      </c>
      <c r="DW18">
        <v>349</v>
      </c>
      <c r="DX18">
        <v>408</v>
      </c>
      <c r="DY18">
        <v>530</v>
      </c>
      <c r="DZ18">
        <v>567</v>
      </c>
      <c r="EA18">
        <v>634</v>
      </c>
      <c r="EB18">
        <v>567</v>
      </c>
      <c r="EC18">
        <v>786</v>
      </c>
      <c r="ED18">
        <v>825</v>
      </c>
      <c r="EE18">
        <v>666</v>
      </c>
      <c r="EF18">
        <v>659</v>
      </c>
      <c r="EG18">
        <v>910</v>
      </c>
      <c r="EH18">
        <v>1012</v>
      </c>
      <c r="EI18">
        <v>906</v>
      </c>
      <c r="EJ18">
        <v>1044</v>
      </c>
      <c r="EK18">
        <v>893</v>
      </c>
      <c r="EL18">
        <v>816</v>
      </c>
      <c r="EM18">
        <v>845</v>
      </c>
      <c r="EN18">
        <v>821</v>
      </c>
      <c r="EO18">
        <v>820</v>
      </c>
      <c r="EP18">
        <v>653</v>
      </c>
      <c r="EQ18">
        <v>580</v>
      </c>
      <c r="ER18">
        <v>858</v>
      </c>
      <c r="ES18">
        <v>850</v>
      </c>
      <c r="ET18">
        <v>823</v>
      </c>
      <c r="EU18">
        <v>888</v>
      </c>
      <c r="EV18">
        <v>806</v>
      </c>
      <c r="EW18">
        <v>715</v>
      </c>
      <c r="EX18">
        <v>937</v>
      </c>
      <c r="EY18">
        <v>824</v>
      </c>
      <c r="EZ18">
        <v>923</v>
      </c>
      <c r="FA18">
        <v>859</v>
      </c>
      <c r="FB18">
        <v>937</v>
      </c>
      <c r="FC18">
        <v>1039</v>
      </c>
      <c r="FD18">
        <v>838</v>
      </c>
      <c r="FE18">
        <v>836</v>
      </c>
      <c r="FF18">
        <v>699</v>
      </c>
      <c r="FG18">
        <v>670</v>
      </c>
      <c r="FH18">
        <v>875</v>
      </c>
      <c r="FI18">
        <v>720</v>
      </c>
      <c r="FJ18">
        <v>618</v>
      </c>
      <c r="FK18">
        <v>811</v>
      </c>
      <c r="FL18">
        <v>997</v>
      </c>
      <c r="FM18">
        <v>914</v>
      </c>
      <c r="FN18">
        <v>807</v>
      </c>
      <c r="FO18">
        <v>777</v>
      </c>
      <c r="FP18">
        <v>750</v>
      </c>
      <c r="FQ18">
        <v>858</v>
      </c>
      <c r="FR18">
        <v>873</v>
      </c>
      <c r="FS18">
        <v>1041</v>
      </c>
      <c r="FT18">
        <v>772</v>
      </c>
      <c r="FU18">
        <v>778</v>
      </c>
      <c r="FV18">
        <v>762</v>
      </c>
      <c r="FW18">
        <v>639</v>
      </c>
      <c r="FX18">
        <v>914</v>
      </c>
      <c r="FY18">
        <v>734</v>
      </c>
      <c r="FZ18">
        <v>792</v>
      </c>
      <c r="GA18">
        <v>727</v>
      </c>
      <c r="GB18">
        <v>689</v>
      </c>
      <c r="GC18">
        <v>735</v>
      </c>
      <c r="GD18">
        <v>813</v>
      </c>
      <c r="GE18">
        <v>796</v>
      </c>
      <c r="GF18">
        <v>718</v>
      </c>
      <c r="GG18">
        <v>774</v>
      </c>
      <c r="GH18">
        <v>736</v>
      </c>
      <c r="GI18">
        <v>816</v>
      </c>
      <c r="GJ18">
        <v>832</v>
      </c>
      <c r="GK18">
        <v>950</v>
      </c>
      <c r="GL18">
        <v>919</v>
      </c>
      <c r="GM18">
        <v>701</v>
      </c>
      <c r="GN18">
        <v>1008</v>
      </c>
      <c r="GO18">
        <v>1051</v>
      </c>
      <c r="GP18">
        <v>1013</v>
      </c>
      <c r="GQ18">
        <v>1077</v>
      </c>
      <c r="GR18">
        <v>1029</v>
      </c>
      <c r="GS18">
        <v>1162</v>
      </c>
      <c r="GT18">
        <v>1066</v>
      </c>
      <c r="GU18">
        <v>1030</v>
      </c>
      <c r="GV18">
        <v>961</v>
      </c>
      <c r="GW18">
        <v>914</v>
      </c>
      <c r="GX18">
        <v>1017</v>
      </c>
      <c r="GY18">
        <v>1040</v>
      </c>
      <c r="GZ18">
        <v>959</v>
      </c>
      <c r="HA18">
        <v>854</v>
      </c>
      <c r="HB18">
        <v>1060</v>
      </c>
      <c r="HC18">
        <v>959</v>
      </c>
      <c r="HD18">
        <v>1004</v>
      </c>
      <c r="HE18">
        <v>1040</v>
      </c>
      <c r="HF18">
        <v>1026</v>
      </c>
      <c r="HG18">
        <v>1037</v>
      </c>
      <c r="HH18">
        <v>1060</v>
      </c>
      <c r="HI18">
        <v>1183</v>
      </c>
      <c r="HJ18">
        <v>1006</v>
      </c>
      <c r="HK18">
        <v>1207</v>
      </c>
      <c r="HL18">
        <v>1241</v>
      </c>
      <c r="HM18">
        <v>1110</v>
      </c>
      <c r="HN18">
        <v>1185</v>
      </c>
      <c r="HO18">
        <v>938</v>
      </c>
      <c r="HP18">
        <v>1083</v>
      </c>
      <c r="HQ18">
        <v>988</v>
      </c>
      <c r="HR18">
        <v>1149</v>
      </c>
      <c r="HS18">
        <v>1046</v>
      </c>
      <c r="HT18">
        <v>915</v>
      </c>
      <c r="HU18">
        <v>1071</v>
      </c>
      <c r="HV18">
        <v>932</v>
      </c>
      <c r="HW18">
        <v>1019</v>
      </c>
      <c r="HX18">
        <v>1010</v>
      </c>
      <c r="HY18">
        <v>1060</v>
      </c>
      <c r="HZ18">
        <v>1162</v>
      </c>
      <c r="IA18">
        <v>1036</v>
      </c>
      <c r="IB18">
        <v>1069</v>
      </c>
      <c r="IC18">
        <v>1116</v>
      </c>
      <c r="ID18">
        <v>1071</v>
      </c>
      <c r="IE18">
        <v>1207</v>
      </c>
      <c r="IF18">
        <v>1186</v>
      </c>
      <c r="IG18">
        <v>1277</v>
      </c>
      <c r="IH18">
        <v>1383</v>
      </c>
      <c r="II18">
        <v>1233</v>
      </c>
      <c r="IJ18">
        <v>1057</v>
      </c>
      <c r="IK18">
        <v>1244</v>
      </c>
      <c r="IL18">
        <v>1339</v>
      </c>
      <c r="IM18">
        <v>1252</v>
      </c>
      <c r="IN18">
        <v>1197</v>
      </c>
      <c r="IO18">
        <v>1289</v>
      </c>
      <c r="IP18">
        <v>1221</v>
      </c>
      <c r="IQ18">
        <v>1155</v>
      </c>
      <c r="IR18">
        <v>1291</v>
      </c>
      <c r="IS18">
        <v>1129</v>
      </c>
      <c r="IT18">
        <v>1102</v>
      </c>
      <c r="IU18">
        <v>1169</v>
      </c>
      <c r="IV18">
        <v>1188</v>
      </c>
      <c r="IW18">
        <v>1079</v>
      </c>
      <c r="IX18">
        <v>1100</v>
      </c>
      <c r="IY18">
        <v>1057</v>
      </c>
      <c r="IZ18">
        <v>1191</v>
      </c>
      <c r="JA18">
        <v>1053</v>
      </c>
      <c r="JB18">
        <v>1129</v>
      </c>
      <c r="JC18">
        <v>1135</v>
      </c>
      <c r="JD18">
        <v>1087</v>
      </c>
      <c r="JE18">
        <v>1185</v>
      </c>
      <c r="JF18">
        <v>1156</v>
      </c>
      <c r="JG18">
        <v>1161</v>
      </c>
      <c r="JH18">
        <v>1158</v>
      </c>
      <c r="JI18">
        <v>1288</v>
      </c>
      <c r="JJ18">
        <v>1372</v>
      </c>
      <c r="JK18">
        <v>1470</v>
      </c>
      <c r="JL18">
        <v>1349</v>
      </c>
      <c r="JM18">
        <v>1537</v>
      </c>
      <c r="JN18">
        <v>1403</v>
      </c>
      <c r="JO18">
        <v>1418</v>
      </c>
      <c r="JP18">
        <v>1481</v>
      </c>
      <c r="JQ18">
        <v>1472</v>
      </c>
      <c r="JR18">
        <v>1436</v>
      </c>
      <c r="JS18">
        <v>1561</v>
      </c>
      <c r="JT18">
        <v>1489</v>
      </c>
      <c r="JU18">
        <v>2055</v>
      </c>
      <c r="JV18">
        <v>1880</v>
      </c>
      <c r="JW18">
        <v>2464</v>
      </c>
      <c r="JX18">
        <v>2403</v>
      </c>
      <c r="JY18">
        <v>2698</v>
      </c>
      <c r="JZ18">
        <v>2589</v>
      </c>
      <c r="KA18">
        <v>3080</v>
      </c>
      <c r="KB18">
        <v>2970</v>
      </c>
      <c r="KC18">
        <v>2952</v>
      </c>
      <c r="KD18">
        <v>3308</v>
      </c>
      <c r="KE18">
        <v>3475</v>
      </c>
      <c r="KF18">
        <v>3519</v>
      </c>
      <c r="KG18">
        <v>3075</v>
      </c>
      <c r="KH18">
        <v>3591</v>
      </c>
      <c r="KI18">
        <v>3664</v>
      </c>
      <c r="KJ18">
        <v>3819</v>
      </c>
      <c r="KK18">
        <v>6422</v>
      </c>
      <c r="KL18">
        <v>6750</v>
      </c>
      <c r="KM18">
        <v>6923</v>
      </c>
      <c r="KN18">
        <v>6423</v>
      </c>
      <c r="KO18">
        <v>5613</v>
      </c>
      <c r="KP18">
        <v>6080</v>
      </c>
      <c r="KQ18">
        <v>6479</v>
      </c>
      <c r="KR18">
        <v>6460</v>
      </c>
      <c r="KS18">
        <v>6062</v>
      </c>
      <c r="KT18">
        <v>6279</v>
      </c>
      <c r="KU18">
        <v>6505</v>
      </c>
      <c r="KV18">
        <v>6057</v>
      </c>
      <c r="KW18">
        <v>6405</v>
      </c>
      <c r="KX18">
        <v>7745</v>
      </c>
      <c r="KY18">
        <v>7784</v>
      </c>
      <c r="KZ18">
        <v>7732</v>
      </c>
      <c r="LA18">
        <v>8853</v>
      </c>
      <c r="LB18">
        <v>8184</v>
      </c>
      <c r="LC18">
        <v>7903</v>
      </c>
      <c r="LD18">
        <v>9323</v>
      </c>
      <c r="LE18">
        <v>8607</v>
      </c>
      <c r="LF18">
        <v>8736</v>
      </c>
      <c r="LG18">
        <v>8875</v>
      </c>
      <c r="LH18">
        <v>9747</v>
      </c>
      <c r="LI18">
        <v>9279</v>
      </c>
      <c r="LJ18">
        <v>9629</v>
      </c>
      <c r="LK18">
        <v>9363</v>
      </c>
      <c r="LL18">
        <v>8399</v>
      </c>
      <c r="LM18">
        <v>8886</v>
      </c>
      <c r="LN18">
        <v>8893</v>
      </c>
      <c r="LO18">
        <v>9427</v>
      </c>
      <c r="LP18">
        <v>7950</v>
      </c>
      <c r="LQ18">
        <v>8936</v>
      </c>
      <c r="LR18">
        <v>8605</v>
      </c>
      <c r="LS18">
        <v>8194</v>
      </c>
      <c r="LT18">
        <v>8312</v>
      </c>
      <c r="LU18">
        <v>8816</v>
      </c>
      <c r="LV18">
        <v>8636</v>
      </c>
      <c r="LW18">
        <v>9169</v>
      </c>
      <c r="LX18">
        <v>9772</v>
      </c>
      <c r="LY18">
        <v>8666</v>
      </c>
      <c r="LZ18">
        <v>8972</v>
      </c>
      <c r="MA18">
        <v>9764</v>
      </c>
      <c r="MB18">
        <v>9740</v>
      </c>
      <c r="MC18">
        <v>9548</v>
      </c>
      <c r="MD18">
        <v>9320</v>
      </c>
      <c r="ME18">
        <v>9907</v>
      </c>
      <c r="MF18">
        <v>8637</v>
      </c>
      <c r="MG18">
        <v>8509</v>
      </c>
      <c r="MH18">
        <v>7639</v>
      </c>
      <c r="MI18">
        <v>6850</v>
      </c>
      <c r="MJ18">
        <v>6277</v>
      </c>
      <c r="MK18">
        <v>6075</v>
      </c>
      <c r="ML18">
        <v>6342</v>
      </c>
      <c r="MM18">
        <v>6609</v>
      </c>
      <c r="MN18">
        <v>6208</v>
      </c>
      <c r="MO18">
        <v>6927</v>
      </c>
      <c r="MP18">
        <v>7854</v>
      </c>
      <c r="MQ18">
        <v>9221</v>
      </c>
      <c r="MR18">
        <v>7230</v>
      </c>
      <c r="MS18">
        <v>7771</v>
      </c>
      <c r="MT18">
        <v>8317</v>
      </c>
      <c r="MU18">
        <v>7747</v>
      </c>
      <c r="MV18">
        <v>8394</v>
      </c>
      <c r="MW18">
        <v>8035</v>
      </c>
      <c r="MX18">
        <v>8034</v>
      </c>
      <c r="MY18">
        <v>8342</v>
      </c>
      <c r="MZ18">
        <v>7516</v>
      </c>
      <c r="NA18">
        <v>7437</v>
      </c>
      <c r="NB18">
        <v>7628</v>
      </c>
      <c r="NC18">
        <v>8291</v>
      </c>
      <c r="ND18">
        <v>8517</v>
      </c>
      <c r="NE18">
        <v>8434</v>
      </c>
      <c r="NF18">
        <v>8544</v>
      </c>
      <c r="NG18">
        <v>8289</v>
      </c>
      <c r="NH18">
        <v>7151</v>
      </c>
      <c r="NI18">
        <v>6935</v>
      </c>
      <c r="NJ18">
        <v>7695</v>
      </c>
      <c r="NK18">
        <v>7513</v>
      </c>
      <c r="NL18">
        <v>6673</v>
      </c>
      <c r="NM18">
        <v>6632</v>
      </c>
      <c r="NN18">
        <v>6009</v>
      </c>
      <c r="NO18">
        <v>5617</v>
      </c>
      <c r="NP18">
        <v>5003</v>
      </c>
      <c r="NQ18">
        <v>5049</v>
      </c>
      <c r="NR18">
        <v>4873</v>
      </c>
      <c r="NS18">
        <v>4097</v>
      </c>
      <c r="NT18">
        <v>4272</v>
      </c>
      <c r="NU18">
        <v>4793</v>
      </c>
      <c r="NV18">
        <v>3596</v>
      </c>
      <c r="NW18">
        <v>3833</v>
      </c>
      <c r="NX18">
        <v>3396</v>
      </c>
      <c r="NY18">
        <v>3442</v>
      </c>
      <c r="NZ18">
        <v>3604</v>
      </c>
      <c r="OA18">
        <v>2945</v>
      </c>
      <c r="OB18">
        <v>2638</v>
      </c>
      <c r="OC18">
        <v>2354</v>
      </c>
      <c r="OD18">
        <v>2364</v>
      </c>
      <c r="OE18">
        <v>2138</v>
      </c>
      <c r="OF18">
        <v>1946</v>
      </c>
      <c r="OG18">
        <v>2197</v>
      </c>
      <c r="OH18">
        <v>1844</v>
      </c>
      <c r="OI18">
        <v>1768</v>
      </c>
      <c r="OJ18">
        <v>1550</v>
      </c>
      <c r="OK18">
        <v>1435</v>
      </c>
      <c r="OL18">
        <v>1476</v>
      </c>
      <c r="OM18">
        <v>1393</v>
      </c>
      <c r="ON18">
        <v>1319</v>
      </c>
      <c r="OO18">
        <v>1210</v>
      </c>
      <c r="OP18">
        <v>975</v>
      </c>
      <c r="OQ18">
        <v>912</v>
      </c>
      <c r="OR18">
        <v>900</v>
      </c>
      <c r="OS18" s="3">
        <v>866</v>
      </c>
      <c r="OT18">
        <v>712</v>
      </c>
      <c r="OU18">
        <v>676</v>
      </c>
      <c r="OV18">
        <v>633</v>
      </c>
      <c r="OW18">
        <v>549</v>
      </c>
      <c r="OX18">
        <v>567</v>
      </c>
      <c r="OY18">
        <v>592</v>
      </c>
      <c r="OZ18">
        <v>606</v>
      </c>
      <c r="PA18">
        <v>550</v>
      </c>
      <c r="PB18">
        <v>483</v>
      </c>
      <c r="PC18">
        <v>471</v>
      </c>
      <c r="PD18">
        <v>467</v>
      </c>
      <c r="PE18">
        <v>413</v>
      </c>
      <c r="PF18">
        <v>403</v>
      </c>
      <c r="PG18">
        <v>362</v>
      </c>
      <c r="PH18">
        <v>293</v>
      </c>
      <c r="PI18">
        <v>348</v>
      </c>
      <c r="PJ18">
        <v>326</v>
      </c>
      <c r="PK18">
        <v>243</v>
      </c>
      <c r="PL18">
        <v>246</v>
      </c>
      <c r="PM18">
        <v>316</v>
      </c>
      <c r="PN18">
        <v>316</v>
      </c>
      <c r="PO18">
        <v>287</v>
      </c>
      <c r="PP18">
        <v>330</v>
      </c>
      <c r="PQ18">
        <v>240</v>
      </c>
      <c r="PR18">
        <v>234</v>
      </c>
      <c r="PS18">
        <v>182</v>
      </c>
      <c r="PT18">
        <v>240</v>
      </c>
      <c r="PU18">
        <v>186</v>
      </c>
      <c r="PV18">
        <v>183</v>
      </c>
      <c r="PW18">
        <v>153</v>
      </c>
      <c r="PX18">
        <v>130</v>
      </c>
      <c r="PY18">
        <v>136</v>
      </c>
      <c r="PZ18">
        <v>142</v>
      </c>
      <c r="QA18">
        <v>150</v>
      </c>
      <c r="QB18">
        <v>114</v>
      </c>
      <c r="QC18">
        <v>110</v>
      </c>
      <c r="QD18">
        <v>88</v>
      </c>
      <c r="QE18">
        <v>104</v>
      </c>
      <c r="QF18">
        <v>75</v>
      </c>
      <c r="QG18">
        <v>78</v>
      </c>
      <c r="QH18">
        <v>81</v>
      </c>
      <c r="QI18">
        <v>65</v>
      </c>
      <c r="QJ18">
        <v>73</v>
      </c>
      <c r="QK18">
        <v>62</v>
      </c>
      <c r="QL18">
        <v>65</v>
      </c>
      <c r="QM18">
        <v>58</v>
      </c>
      <c r="QN18">
        <v>62</v>
      </c>
      <c r="QO18">
        <v>72</v>
      </c>
      <c r="QP18">
        <v>73</v>
      </c>
      <c r="QQ18">
        <v>77</v>
      </c>
      <c r="QR18">
        <v>62</v>
      </c>
      <c r="QS18">
        <v>79</v>
      </c>
      <c r="QT18">
        <v>61</v>
      </c>
      <c r="QU18">
        <v>80</v>
      </c>
      <c r="QV18">
        <v>89</v>
      </c>
      <c r="QW18">
        <v>76</v>
      </c>
      <c r="QX18">
        <v>125</v>
      </c>
      <c r="QY18">
        <v>122</v>
      </c>
      <c r="QZ18">
        <v>128</v>
      </c>
      <c r="RA18">
        <v>145</v>
      </c>
      <c r="RB18">
        <v>241</v>
      </c>
      <c r="RC18">
        <v>328</v>
      </c>
      <c r="RD18">
        <v>433</v>
      </c>
      <c r="RE18">
        <v>469</v>
      </c>
      <c r="RF18">
        <v>469</v>
      </c>
      <c r="RG18">
        <v>556</v>
      </c>
      <c r="RH18">
        <v>673</v>
      </c>
      <c r="RI18">
        <v>967</v>
      </c>
      <c r="RJ18">
        <v>1429</v>
      </c>
      <c r="RK18">
        <v>1946</v>
      </c>
      <c r="RL18">
        <v>2174</v>
      </c>
      <c r="RM18">
        <v>2723</v>
      </c>
      <c r="RN18">
        <v>2519</v>
      </c>
      <c r="RO18">
        <v>2685</v>
      </c>
      <c r="RP18">
        <v>2788</v>
      </c>
      <c r="RQ18">
        <v>3387</v>
      </c>
      <c r="RR18">
        <v>3336</v>
      </c>
      <c r="RS18">
        <v>3506</v>
      </c>
      <c r="RT18">
        <v>3562</v>
      </c>
      <c r="RU18">
        <v>3306</v>
      </c>
      <c r="RV18">
        <v>3150</v>
      </c>
      <c r="RW18">
        <v>2967</v>
      </c>
      <c r="RX18">
        <v>3195</v>
      </c>
      <c r="RY18">
        <v>3392</v>
      </c>
      <c r="RZ18">
        <v>3401</v>
      </c>
      <c r="SA18">
        <v>3508</v>
      </c>
      <c r="SB18">
        <v>3307</v>
      </c>
      <c r="SC18">
        <v>2764</v>
      </c>
      <c r="SD18">
        <v>2987</v>
      </c>
      <c r="SE18">
        <v>2814</v>
      </c>
      <c r="SF18">
        <v>2799</v>
      </c>
      <c r="SG18">
        <v>3059</v>
      </c>
      <c r="SH18">
        <v>2829</v>
      </c>
      <c r="SI18">
        <v>2119</v>
      </c>
      <c r="SJ18">
        <v>1610</v>
      </c>
      <c r="SK18">
        <v>1460</v>
      </c>
      <c r="SL18">
        <v>1546</v>
      </c>
      <c r="SM18">
        <v>1434</v>
      </c>
      <c r="SN18">
        <v>1380</v>
      </c>
      <c r="SO18">
        <v>1340</v>
      </c>
      <c r="SP18">
        <v>1349</v>
      </c>
      <c r="SQ18">
        <v>1018</v>
      </c>
      <c r="SR18">
        <v>919</v>
      </c>
      <c r="SS18">
        <v>951</v>
      </c>
      <c r="ST18">
        <v>1149</v>
      </c>
      <c r="SU18">
        <v>888</v>
      </c>
      <c r="SV18">
        <v>898</v>
      </c>
      <c r="SW18">
        <v>792</v>
      </c>
      <c r="SX18">
        <v>630</v>
      </c>
      <c r="SY18">
        <v>594</v>
      </c>
      <c r="SZ18">
        <v>733</v>
      </c>
      <c r="TA18">
        <v>647</v>
      </c>
      <c r="TB18">
        <v>629</v>
      </c>
      <c r="TC18">
        <v>628</v>
      </c>
      <c r="TD18">
        <v>562</v>
      </c>
      <c r="TE18">
        <v>467</v>
      </c>
      <c r="TF18">
        <v>513</v>
      </c>
      <c r="TG18">
        <v>595</v>
      </c>
      <c r="TH18">
        <v>626</v>
      </c>
      <c r="TI18">
        <v>609</v>
      </c>
      <c r="TJ18">
        <v>630</v>
      </c>
      <c r="TK18">
        <v>475</v>
      </c>
      <c r="TL18">
        <v>396</v>
      </c>
      <c r="TM18">
        <v>472</v>
      </c>
      <c r="TN18">
        <v>596</v>
      </c>
      <c r="TO18">
        <v>638</v>
      </c>
      <c r="TP18">
        <v>510</v>
      </c>
      <c r="TQ18">
        <v>482</v>
      </c>
      <c r="TR18">
        <v>548</v>
      </c>
      <c r="TS18">
        <v>447</v>
      </c>
      <c r="TT18">
        <v>518</v>
      </c>
      <c r="TU18">
        <v>561</v>
      </c>
      <c r="TV18">
        <v>586</v>
      </c>
      <c r="TW18">
        <v>613</v>
      </c>
      <c r="TX18">
        <v>556</v>
      </c>
      <c r="TY18">
        <v>620</v>
      </c>
      <c r="TZ18">
        <v>561</v>
      </c>
      <c r="UA18">
        <v>559</v>
      </c>
      <c r="UB18">
        <v>586</v>
      </c>
      <c r="UC18">
        <v>833</v>
      </c>
      <c r="UD18">
        <v>833</v>
      </c>
      <c r="UE18">
        <v>786</v>
      </c>
      <c r="UF18">
        <v>729</v>
      </c>
      <c r="UG18">
        <v>679</v>
      </c>
      <c r="UH18">
        <v>811</v>
      </c>
      <c r="UI18">
        <v>877</v>
      </c>
      <c r="UJ18">
        <v>836</v>
      </c>
      <c r="UK18">
        <v>957</v>
      </c>
      <c r="UL18">
        <v>822</v>
      </c>
      <c r="UM18">
        <v>834</v>
      </c>
      <c r="UN18">
        <v>621</v>
      </c>
      <c r="UO18">
        <v>814</v>
      </c>
      <c r="UP18">
        <v>833</v>
      </c>
      <c r="UQ18">
        <v>789</v>
      </c>
      <c r="UR18">
        <v>695</v>
      </c>
      <c r="US18">
        <v>695</v>
      </c>
      <c r="UT18">
        <v>619</v>
      </c>
      <c r="UU18">
        <v>510</v>
      </c>
      <c r="UV18">
        <v>676</v>
      </c>
      <c r="UW18">
        <v>654</v>
      </c>
      <c r="UX18">
        <v>619</v>
      </c>
      <c r="UY18">
        <v>609</v>
      </c>
      <c r="UZ18">
        <v>603</v>
      </c>
      <c r="VA18">
        <v>496</v>
      </c>
      <c r="VB18">
        <v>342</v>
      </c>
      <c r="VC18">
        <v>449</v>
      </c>
      <c r="VD18">
        <v>449</v>
      </c>
      <c r="VE18">
        <v>402</v>
      </c>
      <c r="VF18">
        <v>292</v>
      </c>
      <c r="VG18">
        <v>292</v>
      </c>
      <c r="VH18">
        <v>337</v>
      </c>
      <c r="VI18">
        <v>239</v>
      </c>
      <c r="VJ18">
        <v>297</v>
      </c>
      <c r="VK18">
        <v>329</v>
      </c>
      <c r="VL18">
        <v>266</v>
      </c>
      <c r="VM18">
        <v>245</v>
      </c>
      <c r="VN18">
        <v>245</v>
      </c>
      <c r="VO18">
        <v>237</v>
      </c>
      <c r="VP18">
        <v>196</v>
      </c>
      <c r="VQ18">
        <v>191</v>
      </c>
      <c r="VR18">
        <v>204</v>
      </c>
      <c r="VS18">
        <v>191</v>
      </c>
      <c r="VT18">
        <v>155</v>
      </c>
      <c r="VU18">
        <v>109</v>
      </c>
      <c r="VV18">
        <v>109</v>
      </c>
      <c r="VW18">
        <v>109</v>
      </c>
      <c r="VX18">
        <v>93</v>
      </c>
      <c r="VY18">
        <v>147</v>
      </c>
      <c r="VZ18">
        <v>123</v>
      </c>
      <c r="WA18">
        <v>123</v>
      </c>
      <c r="WB18">
        <v>104</v>
      </c>
      <c r="WC18">
        <v>77</v>
      </c>
      <c r="WD18">
        <v>53</v>
      </c>
      <c r="WE18">
        <v>96</v>
      </c>
      <c r="WF18">
        <v>110</v>
      </c>
      <c r="WG18">
        <v>103</v>
      </c>
      <c r="WH18">
        <v>103</v>
      </c>
      <c r="WI18">
        <v>103</v>
      </c>
      <c r="WJ18">
        <v>72</v>
      </c>
      <c r="WK18">
        <v>46</v>
      </c>
      <c r="WL18">
        <v>62</v>
      </c>
      <c r="WM18">
        <v>61</v>
      </c>
      <c r="WN18">
        <v>44</v>
      </c>
      <c r="WO18">
        <v>44</v>
      </c>
      <c r="WP18">
        <v>44</v>
      </c>
      <c r="WQ18">
        <v>44</v>
      </c>
      <c r="WR18">
        <v>44</v>
      </c>
      <c r="WS18">
        <v>44</v>
      </c>
      <c r="WT18">
        <v>44</v>
      </c>
      <c r="WU18">
        <v>46</v>
      </c>
      <c r="WV18">
        <v>46</v>
      </c>
      <c r="WW18">
        <v>46</v>
      </c>
      <c r="WX18">
        <v>29</v>
      </c>
      <c r="WY18">
        <v>29</v>
      </c>
      <c r="WZ18">
        <v>41</v>
      </c>
      <c r="XA18">
        <v>24</v>
      </c>
      <c r="XB18">
        <v>24</v>
      </c>
      <c r="XC18">
        <v>18</v>
      </c>
      <c r="XD18">
        <v>18</v>
      </c>
      <c r="XE18">
        <v>16</v>
      </c>
      <c r="XF18">
        <v>15</v>
      </c>
      <c r="XG18">
        <v>15</v>
      </c>
      <c r="XH18">
        <v>15</v>
      </c>
      <c r="XI18">
        <v>15</v>
      </c>
      <c r="XJ18">
        <v>15</v>
      </c>
      <c r="XK18">
        <v>20</v>
      </c>
      <c r="XL18">
        <v>19</v>
      </c>
      <c r="XM18">
        <v>22</v>
      </c>
      <c r="XN18">
        <v>22</v>
      </c>
      <c r="XO18">
        <v>22</v>
      </c>
      <c r="XP18">
        <v>22</v>
      </c>
      <c r="XQ18">
        <v>22</v>
      </c>
      <c r="XR18">
        <v>21</v>
      </c>
      <c r="XS18">
        <v>21</v>
      </c>
      <c r="XT18">
        <v>21</v>
      </c>
      <c r="XU18">
        <v>21</v>
      </c>
      <c r="XV18">
        <v>21</v>
      </c>
      <c r="XW18">
        <v>21</v>
      </c>
      <c r="XX18">
        <v>21</v>
      </c>
      <c r="XY18">
        <v>28</v>
      </c>
      <c r="XZ18">
        <v>26</v>
      </c>
      <c r="YA18">
        <v>17</v>
      </c>
      <c r="YB18">
        <v>22</v>
      </c>
      <c r="YC18">
        <v>42</v>
      </c>
      <c r="YD18">
        <v>37</v>
      </c>
      <c r="YE18">
        <v>43</v>
      </c>
      <c r="YF18" s="1">
        <v>36</v>
      </c>
      <c r="YG18" s="1">
        <v>36</v>
      </c>
      <c r="YH18" s="1">
        <v>36</v>
      </c>
      <c r="YI18" s="1">
        <v>37</v>
      </c>
      <c r="YJ18">
        <v>43</v>
      </c>
      <c r="YK18">
        <v>38</v>
      </c>
      <c r="YL18">
        <v>57</v>
      </c>
      <c r="YM18">
        <v>37</v>
      </c>
      <c r="YN18">
        <v>31</v>
      </c>
      <c r="YO18">
        <v>31</v>
      </c>
      <c r="YP18">
        <v>63</v>
      </c>
      <c r="YQ18">
        <v>64</v>
      </c>
      <c r="YR18">
        <v>64</v>
      </c>
      <c r="YS18">
        <v>64</v>
      </c>
      <c r="YT18">
        <v>68</v>
      </c>
      <c r="YU18">
        <v>81</v>
      </c>
      <c r="YV18">
        <v>51</v>
      </c>
      <c r="YW18">
        <v>114</v>
      </c>
      <c r="YX18">
        <v>114</v>
      </c>
      <c r="YY18">
        <v>114</v>
      </c>
      <c r="YZ18">
        <v>114</v>
      </c>
      <c r="ZA18">
        <v>96</v>
      </c>
      <c r="ZB18">
        <v>103</v>
      </c>
      <c r="ZC18">
        <v>100</v>
      </c>
      <c r="ZD18">
        <v>98</v>
      </c>
      <c r="ZE18">
        <v>92</v>
      </c>
      <c r="ZF18">
        <v>97</v>
      </c>
      <c r="ZG18">
        <v>109</v>
      </c>
      <c r="ZH18">
        <v>107</v>
      </c>
      <c r="ZI18">
        <v>60</v>
      </c>
      <c r="ZJ18">
        <v>100</v>
      </c>
      <c r="ZK18">
        <v>131</v>
      </c>
      <c r="ZL18">
        <v>129</v>
      </c>
      <c r="ZM18">
        <v>85</v>
      </c>
      <c r="ZN18">
        <v>121</v>
      </c>
      <c r="ZO18">
        <v>68</v>
      </c>
      <c r="ZP18">
        <v>87</v>
      </c>
      <c r="ZQ18">
        <v>95</v>
      </c>
      <c r="ZR18">
        <v>116</v>
      </c>
      <c r="ZS18">
        <v>66</v>
      </c>
      <c r="ZT18">
        <v>101</v>
      </c>
      <c r="ZU18">
        <v>73</v>
      </c>
      <c r="ZV18">
        <v>87</v>
      </c>
      <c r="ZW18">
        <v>57</v>
      </c>
      <c r="ZX18">
        <v>72</v>
      </c>
      <c r="ZY18">
        <v>103</v>
      </c>
      <c r="ZZ18">
        <v>85</v>
      </c>
      <c r="AAA18">
        <v>81</v>
      </c>
      <c r="AAB18">
        <v>81</v>
      </c>
      <c r="AAC18">
        <v>62</v>
      </c>
      <c r="AAD18">
        <v>48</v>
      </c>
      <c r="AAE18">
        <v>57</v>
      </c>
      <c r="AAF18">
        <v>59</v>
      </c>
      <c r="AAG18">
        <v>59</v>
      </c>
      <c r="AAH18">
        <v>60</v>
      </c>
      <c r="AAI18">
        <v>70</v>
      </c>
      <c r="AAJ18">
        <v>57</v>
      </c>
      <c r="AAK18">
        <v>33</v>
      </c>
      <c r="AAL18">
        <v>42</v>
      </c>
      <c r="AAM18">
        <v>47</v>
      </c>
      <c r="AAN18">
        <v>37</v>
      </c>
      <c r="AAO18">
        <v>45</v>
      </c>
      <c r="AAP18">
        <v>45</v>
      </c>
      <c r="AAQ18">
        <v>29</v>
      </c>
      <c r="AAR18">
        <v>17</v>
      </c>
      <c r="AAS18">
        <v>31</v>
      </c>
      <c r="AAT18">
        <v>18</v>
      </c>
      <c r="AAU18">
        <v>32</v>
      </c>
      <c r="AAV18">
        <v>36</v>
      </c>
      <c r="AAW18">
        <v>36</v>
      </c>
      <c r="AAX18">
        <v>24</v>
      </c>
      <c r="AAY18">
        <v>9</v>
      </c>
      <c r="AAZ18">
        <v>21</v>
      </c>
      <c r="ABA18">
        <v>23</v>
      </c>
      <c r="ABB18">
        <v>21</v>
      </c>
      <c r="ABC18">
        <v>20</v>
      </c>
      <c r="ABD18">
        <v>20</v>
      </c>
      <c r="ABE18">
        <v>14</v>
      </c>
      <c r="ABF18">
        <v>22</v>
      </c>
      <c r="ABG18">
        <v>13</v>
      </c>
      <c r="ABH18">
        <v>16</v>
      </c>
      <c r="ABI18">
        <v>19</v>
      </c>
      <c r="ABJ18">
        <v>19</v>
      </c>
      <c r="ABK18">
        <v>18</v>
      </c>
      <c r="ABL18">
        <v>15</v>
      </c>
      <c r="ABM18">
        <v>3</v>
      </c>
      <c r="ABN18">
        <v>6</v>
      </c>
      <c r="ABO18">
        <v>9</v>
      </c>
      <c r="ABP18">
        <v>7</v>
      </c>
      <c r="ABQ18">
        <v>6</v>
      </c>
      <c r="ABR18">
        <v>6</v>
      </c>
      <c r="ABS18">
        <v>6</v>
      </c>
      <c r="ABT18">
        <v>1</v>
      </c>
      <c r="ABU18">
        <v>11</v>
      </c>
      <c r="ABV18">
        <v>6</v>
      </c>
      <c r="ABW18">
        <v>4</v>
      </c>
      <c r="ABX18">
        <v>4</v>
      </c>
      <c r="ABY18">
        <v>4</v>
      </c>
      <c r="ABZ18">
        <v>4</v>
      </c>
      <c r="ACA18">
        <v>0</v>
      </c>
      <c r="ACB18">
        <v>7</v>
      </c>
      <c r="ACC18">
        <v>7</v>
      </c>
      <c r="ACD18">
        <v>7</v>
      </c>
      <c r="ACE18">
        <v>7</v>
      </c>
      <c r="ACF18">
        <v>7</v>
      </c>
      <c r="ACG18">
        <v>2</v>
      </c>
      <c r="ACH18">
        <v>0</v>
      </c>
      <c r="ACI18">
        <v>3</v>
      </c>
      <c r="ACJ18">
        <v>2</v>
      </c>
      <c r="ACK18">
        <v>0</v>
      </c>
      <c r="ACL18">
        <v>0</v>
      </c>
      <c r="ACM18">
        <v>0</v>
      </c>
      <c r="ACN18">
        <v>1</v>
      </c>
      <c r="ACO18">
        <v>1</v>
      </c>
      <c r="ACP18">
        <v>1</v>
      </c>
      <c r="ACQ18">
        <v>1</v>
      </c>
      <c r="ACR18">
        <v>3</v>
      </c>
      <c r="ACS18">
        <v>3</v>
      </c>
      <c r="ACT18">
        <v>3</v>
      </c>
      <c r="ACU18">
        <v>1</v>
      </c>
      <c r="ACV18">
        <v>4</v>
      </c>
      <c r="ACW18">
        <v>4</v>
      </c>
      <c r="ACX18">
        <v>4</v>
      </c>
      <c r="ACY18">
        <v>4</v>
      </c>
      <c r="ACZ18">
        <v>4</v>
      </c>
      <c r="ADA18">
        <v>4</v>
      </c>
      <c r="ADB18">
        <v>2</v>
      </c>
      <c r="ADC18">
        <v>2</v>
      </c>
      <c r="ADD18">
        <v>8</v>
      </c>
      <c r="ADE18">
        <v>8</v>
      </c>
      <c r="ADF18">
        <v>4</v>
      </c>
      <c r="ADG18">
        <v>4</v>
      </c>
      <c r="ADH18">
        <v>4</v>
      </c>
      <c r="ADI18">
        <v>2</v>
      </c>
      <c r="ADJ18">
        <v>2</v>
      </c>
      <c r="ADK18">
        <v>2</v>
      </c>
      <c r="ADL18">
        <v>0</v>
      </c>
      <c r="ADM18">
        <v>0</v>
      </c>
      <c r="ADN18">
        <v>0</v>
      </c>
      <c r="ADO18">
        <v>0</v>
      </c>
      <c r="ADP18">
        <v>0</v>
      </c>
      <c r="ADQ18">
        <v>0</v>
      </c>
      <c r="ADR18">
        <v>7</v>
      </c>
      <c r="ADS18">
        <v>7</v>
      </c>
      <c r="ADT18">
        <v>7</v>
      </c>
      <c r="ADU18">
        <v>7</v>
      </c>
      <c r="ADV18">
        <v>7</v>
      </c>
      <c r="ADW18">
        <v>5</v>
      </c>
      <c r="ADX18">
        <v>5</v>
      </c>
      <c r="ADY18">
        <v>13</v>
      </c>
      <c r="ADZ18">
        <v>13</v>
      </c>
      <c r="AEA18">
        <v>13</v>
      </c>
      <c r="AEB18">
        <v>13</v>
      </c>
      <c r="AEC18">
        <v>13</v>
      </c>
      <c r="AED18">
        <v>19</v>
      </c>
      <c r="AEE18">
        <v>19</v>
      </c>
      <c r="AEF18">
        <v>19</v>
      </c>
      <c r="AEG18">
        <v>19</v>
      </c>
      <c r="AEH18">
        <v>19</v>
      </c>
      <c r="AEI18">
        <v>19</v>
      </c>
      <c r="AEJ18">
        <v>19</v>
      </c>
      <c r="AEK18">
        <v>23</v>
      </c>
      <c r="AEL18">
        <v>23</v>
      </c>
      <c r="AEM18">
        <v>23</v>
      </c>
      <c r="AEN18">
        <v>23</v>
      </c>
      <c r="AEO18">
        <v>23</v>
      </c>
      <c r="AEP18">
        <v>23</v>
      </c>
      <c r="AEQ18">
        <v>23</v>
      </c>
      <c r="AER18">
        <v>21</v>
      </c>
      <c r="AES18">
        <v>21</v>
      </c>
      <c r="AET18">
        <v>21</v>
      </c>
      <c r="AEU18">
        <v>21</v>
      </c>
      <c r="AEV18">
        <v>21</v>
      </c>
      <c r="AEW18">
        <v>21</v>
      </c>
      <c r="AEX18">
        <v>21</v>
      </c>
      <c r="AEY18">
        <v>21</v>
      </c>
      <c r="AEZ18">
        <v>21</v>
      </c>
      <c r="AFA18">
        <v>21</v>
      </c>
      <c r="AFB18">
        <v>21</v>
      </c>
      <c r="AFC18">
        <v>21</v>
      </c>
      <c r="AFD18">
        <v>21</v>
      </c>
      <c r="AFE18">
        <v>24</v>
      </c>
      <c r="AFF18">
        <v>24</v>
      </c>
      <c r="AFG18">
        <v>24</v>
      </c>
      <c r="AFH18">
        <v>24</v>
      </c>
      <c r="AFI18">
        <v>24</v>
      </c>
      <c r="AFJ18">
        <v>24</v>
      </c>
      <c r="AFK18">
        <v>24</v>
      </c>
      <c r="AFL18">
        <v>24</v>
      </c>
      <c r="AFM18">
        <v>24</v>
      </c>
      <c r="AFN18">
        <v>17</v>
      </c>
      <c r="AFO18">
        <v>17</v>
      </c>
      <c r="AFP18">
        <v>17</v>
      </c>
      <c r="AFQ18">
        <v>17</v>
      </c>
      <c r="AFR18">
        <v>17</v>
      </c>
      <c r="AFS18">
        <v>17</v>
      </c>
      <c r="AFT18">
        <v>9</v>
      </c>
      <c r="AFU18">
        <v>9</v>
      </c>
      <c r="AFV18">
        <v>9</v>
      </c>
      <c r="AFW18">
        <v>9</v>
      </c>
      <c r="AFX18">
        <v>9</v>
      </c>
      <c r="AFY18">
        <v>9</v>
      </c>
      <c r="AFZ18">
        <v>9</v>
      </c>
      <c r="AGA18">
        <v>11</v>
      </c>
      <c r="AGB18">
        <v>11</v>
      </c>
      <c r="AGC18">
        <v>11</v>
      </c>
      <c r="AGD18">
        <v>11</v>
      </c>
      <c r="AGE18">
        <v>11</v>
      </c>
      <c r="AGF18">
        <v>11</v>
      </c>
      <c r="AGG18">
        <v>11</v>
      </c>
      <c r="AGH18">
        <v>11</v>
      </c>
      <c r="AGI18">
        <v>11</v>
      </c>
      <c r="AGJ18">
        <v>11</v>
      </c>
      <c r="AGK18">
        <v>11</v>
      </c>
      <c r="AGL18">
        <v>11</v>
      </c>
      <c r="AGM18">
        <v>11</v>
      </c>
      <c r="AGN18">
        <v>11</v>
      </c>
      <c r="AGO18">
        <v>5</v>
      </c>
      <c r="AGP18">
        <v>5</v>
      </c>
      <c r="AGQ18">
        <v>5</v>
      </c>
      <c r="AGR18">
        <v>5</v>
      </c>
      <c r="AGS18">
        <v>5</v>
      </c>
      <c r="AGT18">
        <v>5</v>
      </c>
      <c r="AGU18">
        <v>5</v>
      </c>
      <c r="AGV18">
        <v>5</v>
      </c>
      <c r="AGW18">
        <v>5</v>
      </c>
      <c r="AGX18">
        <v>5</v>
      </c>
      <c r="AGY18">
        <v>5</v>
      </c>
      <c r="AGZ18">
        <v>5</v>
      </c>
      <c r="AHA18">
        <v>5</v>
      </c>
      <c r="AHB18">
        <v>5</v>
      </c>
      <c r="AHC18">
        <v>10</v>
      </c>
      <c r="AHD18">
        <v>10</v>
      </c>
      <c r="AHE18">
        <v>10</v>
      </c>
      <c r="AHF18">
        <v>10</v>
      </c>
      <c r="AHG18">
        <v>10</v>
      </c>
      <c r="AHH18">
        <v>10</v>
      </c>
      <c r="AHI18">
        <v>10</v>
      </c>
      <c r="AHJ18">
        <v>10</v>
      </c>
      <c r="AHK18">
        <v>6</v>
      </c>
      <c r="AHL18">
        <v>6</v>
      </c>
      <c r="AHM18">
        <v>6</v>
      </c>
      <c r="AHN18">
        <v>6</v>
      </c>
      <c r="AHO18">
        <v>6</v>
      </c>
      <c r="AHP18">
        <v>6</v>
      </c>
      <c r="AHQ18">
        <v>6</v>
      </c>
    </row>
    <row r="19" spans="1:901">
      <c r="A19" s="1" t="s">
        <v>114</v>
      </c>
      <c r="B19">
        <v>11</v>
      </c>
      <c r="C19">
        <v>15</v>
      </c>
      <c r="D19">
        <v>44</v>
      </c>
      <c r="E19">
        <v>0</v>
      </c>
      <c r="F19">
        <v>4</v>
      </c>
      <c r="G19">
        <v>5</v>
      </c>
      <c r="H19">
        <v>9</v>
      </c>
      <c r="I19">
        <v>13</v>
      </c>
      <c r="J19">
        <v>22</v>
      </c>
      <c r="K19">
        <v>16</v>
      </c>
      <c r="L19">
        <v>17</v>
      </c>
      <c r="M19">
        <v>0</v>
      </c>
      <c r="N19">
        <v>0</v>
      </c>
      <c r="O19">
        <v>26</v>
      </c>
      <c r="P19">
        <v>15</v>
      </c>
      <c r="Q19">
        <v>11</v>
      </c>
      <c r="R19">
        <v>19</v>
      </c>
      <c r="S19">
        <v>8</v>
      </c>
      <c r="T19">
        <v>8</v>
      </c>
      <c r="U19">
        <v>11</v>
      </c>
      <c r="V19">
        <v>0</v>
      </c>
      <c r="W19">
        <v>16</v>
      </c>
      <c r="X19">
        <v>0</v>
      </c>
      <c r="Y19">
        <v>6</v>
      </c>
      <c r="Z19">
        <v>22</v>
      </c>
      <c r="AA19">
        <v>0</v>
      </c>
      <c r="AB19">
        <v>5</v>
      </c>
      <c r="AC19">
        <v>21</v>
      </c>
      <c r="AD19">
        <v>17</v>
      </c>
      <c r="AE19">
        <v>0</v>
      </c>
      <c r="AF19">
        <v>31</v>
      </c>
      <c r="AG19">
        <v>8</v>
      </c>
      <c r="AH19">
        <v>12</v>
      </c>
      <c r="AI19">
        <v>0</v>
      </c>
      <c r="AJ19">
        <v>3</v>
      </c>
      <c r="AK19">
        <v>28</v>
      </c>
      <c r="AL19">
        <v>8</v>
      </c>
      <c r="AM19">
        <v>0</v>
      </c>
      <c r="AN19">
        <v>11</v>
      </c>
      <c r="AO19">
        <v>0</v>
      </c>
      <c r="AP19">
        <v>14</v>
      </c>
      <c r="AQ19">
        <v>6</v>
      </c>
      <c r="AR19">
        <v>11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43</v>
      </c>
      <c r="AY19">
        <v>9</v>
      </c>
      <c r="AZ19">
        <v>18</v>
      </c>
      <c r="BA19">
        <v>0</v>
      </c>
      <c r="BB19">
        <v>0</v>
      </c>
      <c r="BC19">
        <v>10</v>
      </c>
      <c r="BD19">
        <v>0</v>
      </c>
      <c r="BE19">
        <v>15</v>
      </c>
      <c r="BF19">
        <v>8</v>
      </c>
      <c r="BG19">
        <v>8</v>
      </c>
      <c r="BH19">
        <v>0</v>
      </c>
      <c r="BI19">
        <v>0</v>
      </c>
      <c r="BJ19">
        <v>20</v>
      </c>
      <c r="BK19">
        <v>3</v>
      </c>
      <c r="BL19">
        <v>0</v>
      </c>
      <c r="BM19">
        <v>17</v>
      </c>
      <c r="BN19">
        <v>3</v>
      </c>
      <c r="BO19">
        <v>3</v>
      </c>
      <c r="BP19">
        <v>0</v>
      </c>
      <c r="BQ19">
        <v>10</v>
      </c>
      <c r="BR19">
        <v>5</v>
      </c>
      <c r="BS19">
        <v>19</v>
      </c>
      <c r="BT19">
        <v>8</v>
      </c>
      <c r="BU19">
        <v>8</v>
      </c>
      <c r="BV19">
        <v>8</v>
      </c>
      <c r="BW19">
        <v>0</v>
      </c>
      <c r="BX19">
        <v>22</v>
      </c>
      <c r="BY19">
        <v>2</v>
      </c>
      <c r="BZ19">
        <v>17</v>
      </c>
      <c r="CA19">
        <v>18</v>
      </c>
      <c r="CB19">
        <v>16</v>
      </c>
      <c r="CC19">
        <v>23</v>
      </c>
      <c r="CD19">
        <v>0</v>
      </c>
      <c r="CE19">
        <v>29</v>
      </c>
      <c r="CF19">
        <v>0</v>
      </c>
      <c r="CG19">
        <v>35</v>
      </c>
      <c r="CH19">
        <v>0</v>
      </c>
      <c r="CI19">
        <v>31</v>
      </c>
      <c r="CJ19">
        <v>26</v>
      </c>
      <c r="CK19">
        <v>0</v>
      </c>
      <c r="CL19">
        <v>23</v>
      </c>
      <c r="CM19">
        <v>9</v>
      </c>
      <c r="CN19">
        <v>0</v>
      </c>
      <c r="CO19">
        <v>30</v>
      </c>
      <c r="CP19">
        <v>21</v>
      </c>
      <c r="CQ19">
        <v>26</v>
      </c>
      <c r="CR19">
        <v>0</v>
      </c>
      <c r="CS19">
        <v>89</v>
      </c>
      <c r="CT19">
        <v>8</v>
      </c>
      <c r="CU19">
        <v>34</v>
      </c>
      <c r="CV19">
        <v>0</v>
      </c>
      <c r="CW19">
        <v>0</v>
      </c>
      <c r="CX19">
        <v>0</v>
      </c>
      <c r="CY19">
        <v>142</v>
      </c>
      <c r="CZ19">
        <v>11</v>
      </c>
      <c r="DA19">
        <v>41</v>
      </c>
      <c r="DB19">
        <v>0</v>
      </c>
      <c r="DC19">
        <v>16</v>
      </c>
      <c r="DD19">
        <v>0</v>
      </c>
      <c r="DE19">
        <v>62</v>
      </c>
      <c r="DF19">
        <v>50</v>
      </c>
      <c r="DG19">
        <v>0</v>
      </c>
      <c r="DH19">
        <v>0</v>
      </c>
      <c r="DI19">
        <v>0</v>
      </c>
      <c r="DJ19">
        <v>76</v>
      </c>
      <c r="DK19">
        <v>38</v>
      </c>
      <c r="DL19">
        <v>31</v>
      </c>
      <c r="DM19">
        <v>0</v>
      </c>
      <c r="DN19">
        <v>114</v>
      </c>
      <c r="DO19">
        <v>29</v>
      </c>
      <c r="DP19">
        <v>154</v>
      </c>
      <c r="DQ19">
        <v>66</v>
      </c>
      <c r="DR19">
        <v>0</v>
      </c>
      <c r="DS19">
        <v>46</v>
      </c>
      <c r="DT19">
        <v>0</v>
      </c>
      <c r="DU19">
        <v>126</v>
      </c>
      <c r="DV19">
        <v>0</v>
      </c>
      <c r="DW19">
        <v>56</v>
      </c>
      <c r="DX19">
        <v>72</v>
      </c>
      <c r="DY19">
        <v>0</v>
      </c>
      <c r="DZ19">
        <v>64</v>
      </c>
      <c r="EA19">
        <v>82</v>
      </c>
      <c r="EB19">
        <v>105</v>
      </c>
      <c r="EC19">
        <v>45</v>
      </c>
      <c r="ED19">
        <v>0</v>
      </c>
      <c r="EE19">
        <v>71</v>
      </c>
      <c r="EF19">
        <v>58</v>
      </c>
      <c r="EG19">
        <v>73</v>
      </c>
      <c r="EH19">
        <v>57</v>
      </c>
      <c r="EI19">
        <v>0</v>
      </c>
      <c r="EJ19">
        <v>82</v>
      </c>
      <c r="EK19">
        <v>20</v>
      </c>
      <c r="EL19">
        <v>0</v>
      </c>
      <c r="EM19">
        <v>66</v>
      </c>
      <c r="EN19">
        <v>48</v>
      </c>
      <c r="EO19">
        <v>0</v>
      </c>
      <c r="EP19">
        <v>48</v>
      </c>
      <c r="EQ19">
        <v>61</v>
      </c>
      <c r="ER19">
        <v>47</v>
      </c>
      <c r="ES19">
        <v>0</v>
      </c>
      <c r="ET19">
        <v>0</v>
      </c>
      <c r="EU19">
        <v>29</v>
      </c>
      <c r="EV19">
        <v>0</v>
      </c>
      <c r="EW19">
        <v>49</v>
      </c>
      <c r="EX19">
        <v>14</v>
      </c>
      <c r="EY19">
        <v>0</v>
      </c>
      <c r="EZ19">
        <v>0</v>
      </c>
      <c r="FA19">
        <v>48</v>
      </c>
      <c r="FB19">
        <v>35</v>
      </c>
      <c r="FC19">
        <v>0</v>
      </c>
      <c r="FD19">
        <v>0</v>
      </c>
      <c r="FE19">
        <v>16</v>
      </c>
      <c r="FF19">
        <v>27</v>
      </c>
      <c r="FG19">
        <v>38</v>
      </c>
      <c r="FH19">
        <v>40</v>
      </c>
      <c r="FI19">
        <v>18</v>
      </c>
      <c r="FJ19">
        <v>0</v>
      </c>
      <c r="FK19">
        <v>45</v>
      </c>
      <c r="FL19">
        <v>38</v>
      </c>
      <c r="FM19">
        <v>5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58</v>
      </c>
      <c r="FT19">
        <v>0</v>
      </c>
      <c r="FU19">
        <v>0</v>
      </c>
      <c r="FV19">
        <v>38</v>
      </c>
      <c r="FW19">
        <v>0</v>
      </c>
      <c r="FX19">
        <v>32</v>
      </c>
      <c r="FY19">
        <v>0</v>
      </c>
      <c r="FZ19">
        <v>5</v>
      </c>
      <c r="GA19">
        <v>17</v>
      </c>
      <c r="GB19">
        <v>12</v>
      </c>
      <c r="GC19">
        <v>16</v>
      </c>
      <c r="GD19">
        <v>0</v>
      </c>
      <c r="GE19">
        <v>0</v>
      </c>
      <c r="GF19">
        <v>8</v>
      </c>
      <c r="GG19">
        <v>10</v>
      </c>
      <c r="GH19">
        <v>0</v>
      </c>
      <c r="GI19">
        <v>4</v>
      </c>
      <c r="GJ19">
        <v>0</v>
      </c>
      <c r="GK19">
        <v>0</v>
      </c>
      <c r="GL19">
        <v>0</v>
      </c>
      <c r="GM19">
        <v>0</v>
      </c>
      <c r="GN19">
        <v>24</v>
      </c>
      <c r="GO19">
        <v>2</v>
      </c>
      <c r="GP19">
        <v>26</v>
      </c>
      <c r="GQ19">
        <v>0</v>
      </c>
      <c r="GR19">
        <v>0</v>
      </c>
      <c r="GS19">
        <v>0</v>
      </c>
      <c r="GT19">
        <v>15</v>
      </c>
      <c r="GU19">
        <v>0</v>
      </c>
      <c r="GV19">
        <v>0</v>
      </c>
      <c r="GW19">
        <v>13</v>
      </c>
      <c r="GX19">
        <v>24</v>
      </c>
      <c r="GY19">
        <v>0</v>
      </c>
      <c r="GZ19">
        <v>0</v>
      </c>
      <c r="HA19">
        <v>15</v>
      </c>
      <c r="HB19">
        <v>0</v>
      </c>
      <c r="HC19">
        <v>2</v>
      </c>
      <c r="HD19">
        <v>19</v>
      </c>
      <c r="HE19">
        <v>30</v>
      </c>
      <c r="HF19">
        <v>12</v>
      </c>
      <c r="HG19">
        <v>0</v>
      </c>
      <c r="HH19">
        <v>0</v>
      </c>
      <c r="HI19">
        <v>0</v>
      </c>
      <c r="HJ19">
        <v>26</v>
      </c>
      <c r="HK19">
        <v>0</v>
      </c>
      <c r="HL19">
        <v>0</v>
      </c>
      <c r="HM19">
        <v>14</v>
      </c>
      <c r="HN19">
        <v>0</v>
      </c>
      <c r="HO19">
        <v>41</v>
      </c>
      <c r="HP19">
        <v>18</v>
      </c>
      <c r="HQ19">
        <v>0</v>
      </c>
      <c r="HR19">
        <v>0</v>
      </c>
      <c r="HS19">
        <v>77</v>
      </c>
      <c r="HT19">
        <v>0</v>
      </c>
      <c r="HU19">
        <v>0</v>
      </c>
      <c r="HV19">
        <v>41</v>
      </c>
      <c r="HW19">
        <v>14</v>
      </c>
      <c r="HX19">
        <v>0</v>
      </c>
      <c r="HY19">
        <v>15</v>
      </c>
      <c r="HZ19">
        <v>0</v>
      </c>
      <c r="IA19">
        <v>0</v>
      </c>
      <c r="IB19">
        <v>0</v>
      </c>
      <c r="IC19">
        <v>63</v>
      </c>
      <c r="ID19">
        <v>0</v>
      </c>
      <c r="IE19">
        <v>41</v>
      </c>
      <c r="IF19">
        <v>0</v>
      </c>
      <c r="IG19">
        <v>85</v>
      </c>
      <c r="IH19">
        <v>0</v>
      </c>
      <c r="II19">
        <v>0</v>
      </c>
      <c r="IJ19">
        <v>107</v>
      </c>
      <c r="IK19">
        <v>60</v>
      </c>
      <c r="IL19">
        <v>78</v>
      </c>
      <c r="IM19">
        <v>26</v>
      </c>
      <c r="IN19">
        <v>0</v>
      </c>
      <c r="IO19">
        <v>111</v>
      </c>
      <c r="IP19">
        <v>171</v>
      </c>
      <c r="IQ19">
        <v>0</v>
      </c>
      <c r="IR19">
        <v>131</v>
      </c>
      <c r="IS19">
        <v>0</v>
      </c>
      <c r="IT19">
        <v>0</v>
      </c>
      <c r="IU19">
        <v>91</v>
      </c>
      <c r="IV19">
        <v>130</v>
      </c>
      <c r="IW19">
        <v>0</v>
      </c>
      <c r="IX19">
        <v>195</v>
      </c>
      <c r="IY19">
        <v>478</v>
      </c>
      <c r="IZ19">
        <v>127</v>
      </c>
      <c r="JA19">
        <v>0</v>
      </c>
      <c r="JB19">
        <v>237</v>
      </c>
      <c r="JC19">
        <v>0</v>
      </c>
      <c r="JD19">
        <v>169</v>
      </c>
      <c r="JE19">
        <v>150</v>
      </c>
      <c r="JF19">
        <v>141</v>
      </c>
      <c r="JG19">
        <v>13</v>
      </c>
      <c r="JH19">
        <v>171</v>
      </c>
      <c r="JI19">
        <v>127</v>
      </c>
      <c r="JJ19">
        <v>0</v>
      </c>
      <c r="JK19">
        <v>150</v>
      </c>
      <c r="JL19">
        <v>306</v>
      </c>
      <c r="JM19">
        <v>113</v>
      </c>
      <c r="JN19">
        <v>84</v>
      </c>
      <c r="JO19">
        <v>107</v>
      </c>
      <c r="JP19">
        <v>82</v>
      </c>
      <c r="JQ19">
        <v>191</v>
      </c>
      <c r="JR19">
        <v>0</v>
      </c>
      <c r="JS19">
        <v>232</v>
      </c>
      <c r="JT19">
        <v>107</v>
      </c>
      <c r="JU19">
        <v>192</v>
      </c>
      <c r="JV19">
        <v>61</v>
      </c>
      <c r="JW19">
        <v>110</v>
      </c>
      <c r="JX19">
        <v>139</v>
      </c>
      <c r="JY19">
        <v>0</v>
      </c>
      <c r="JZ19">
        <v>119</v>
      </c>
      <c r="KA19">
        <v>102</v>
      </c>
      <c r="KB19">
        <v>96</v>
      </c>
      <c r="KC19">
        <v>7</v>
      </c>
      <c r="KD19">
        <v>179</v>
      </c>
      <c r="KE19">
        <v>0</v>
      </c>
      <c r="KF19">
        <v>209</v>
      </c>
      <c r="KG19">
        <v>0</v>
      </c>
      <c r="KH19">
        <v>54</v>
      </c>
      <c r="KI19">
        <v>65</v>
      </c>
      <c r="KJ19">
        <v>48</v>
      </c>
      <c r="KK19">
        <v>0</v>
      </c>
      <c r="KL19">
        <v>0</v>
      </c>
      <c r="KM19">
        <v>0</v>
      </c>
      <c r="KN19">
        <v>75</v>
      </c>
      <c r="KO19">
        <v>79</v>
      </c>
      <c r="KP19">
        <v>0</v>
      </c>
      <c r="KQ19">
        <v>0</v>
      </c>
      <c r="KR19">
        <v>138</v>
      </c>
      <c r="KS19">
        <v>0</v>
      </c>
      <c r="KT19">
        <v>35</v>
      </c>
      <c r="KU19">
        <v>16</v>
      </c>
      <c r="KV19">
        <v>64</v>
      </c>
      <c r="KW19">
        <v>0</v>
      </c>
      <c r="KX19">
        <v>135</v>
      </c>
      <c r="KY19">
        <v>0</v>
      </c>
      <c r="KZ19">
        <v>21</v>
      </c>
      <c r="LA19">
        <v>34</v>
      </c>
      <c r="LB19">
        <v>59</v>
      </c>
      <c r="LC19">
        <v>124</v>
      </c>
      <c r="LD19">
        <v>77</v>
      </c>
      <c r="LE19">
        <v>39</v>
      </c>
      <c r="LF19">
        <v>41</v>
      </c>
      <c r="LG19">
        <v>0</v>
      </c>
      <c r="LH19">
        <v>0</v>
      </c>
      <c r="LI19">
        <v>150</v>
      </c>
      <c r="LJ19">
        <v>0</v>
      </c>
      <c r="LK19">
        <v>19</v>
      </c>
      <c r="LL19">
        <v>0</v>
      </c>
      <c r="LM19">
        <v>37</v>
      </c>
      <c r="LN19">
        <v>0</v>
      </c>
      <c r="LO19">
        <v>26</v>
      </c>
      <c r="LP19">
        <v>44</v>
      </c>
      <c r="LQ19">
        <v>0</v>
      </c>
      <c r="LR19">
        <v>74</v>
      </c>
      <c r="LS19">
        <v>0</v>
      </c>
      <c r="LT19">
        <v>49</v>
      </c>
      <c r="LU19">
        <v>0</v>
      </c>
      <c r="LV19">
        <v>0</v>
      </c>
      <c r="LW19">
        <v>29</v>
      </c>
      <c r="LX19">
        <v>64</v>
      </c>
      <c r="LY19">
        <v>40</v>
      </c>
      <c r="LZ19">
        <v>30</v>
      </c>
      <c r="MA19">
        <v>0</v>
      </c>
      <c r="MB19">
        <v>0</v>
      </c>
      <c r="MC19">
        <v>0</v>
      </c>
      <c r="MD19">
        <v>27</v>
      </c>
      <c r="ME19">
        <v>57</v>
      </c>
      <c r="MF19">
        <v>30</v>
      </c>
      <c r="MG19">
        <v>12</v>
      </c>
      <c r="MH19">
        <v>5</v>
      </c>
      <c r="MI19">
        <v>0</v>
      </c>
      <c r="MJ19">
        <v>0</v>
      </c>
      <c r="MK19">
        <v>46</v>
      </c>
      <c r="ML19">
        <v>20</v>
      </c>
      <c r="MM19">
        <v>15</v>
      </c>
      <c r="MN19">
        <v>31</v>
      </c>
      <c r="MO19">
        <v>15</v>
      </c>
      <c r="MP19">
        <v>0</v>
      </c>
      <c r="MQ19">
        <v>92</v>
      </c>
      <c r="MR19">
        <v>25</v>
      </c>
      <c r="MS19">
        <v>30</v>
      </c>
      <c r="MT19">
        <v>38</v>
      </c>
      <c r="MU19">
        <v>0</v>
      </c>
      <c r="MV19">
        <v>30</v>
      </c>
      <c r="MW19">
        <v>0</v>
      </c>
      <c r="MX19">
        <v>52</v>
      </c>
      <c r="MY19">
        <v>27</v>
      </c>
      <c r="MZ19">
        <v>47</v>
      </c>
      <c r="NA19">
        <v>0</v>
      </c>
      <c r="NB19">
        <v>0</v>
      </c>
      <c r="NC19">
        <v>20</v>
      </c>
      <c r="ND19">
        <v>0</v>
      </c>
      <c r="NE19">
        <v>75</v>
      </c>
      <c r="NF19">
        <v>0</v>
      </c>
      <c r="NG19">
        <v>0</v>
      </c>
      <c r="NH19">
        <v>40</v>
      </c>
      <c r="NI19">
        <v>33</v>
      </c>
      <c r="NJ19">
        <v>54</v>
      </c>
      <c r="NK19">
        <v>0</v>
      </c>
      <c r="NL19">
        <v>0</v>
      </c>
      <c r="NM19">
        <v>107</v>
      </c>
      <c r="NN19">
        <v>0</v>
      </c>
      <c r="NO19">
        <v>0</v>
      </c>
      <c r="NP19">
        <v>43</v>
      </c>
      <c r="NQ19">
        <v>56</v>
      </c>
      <c r="NR19">
        <v>0</v>
      </c>
      <c r="NS19">
        <v>0</v>
      </c>
      <c r="NT19">
        <v>153</v>
      </c>
      <c r="NU19">
        <v>148</v>
      </c>
      <c r="NV19">
        <v>81</v>
      </c>
      <c r="NW19">
        <v>0</v>
      </c>
      <c r="NX19">
        <v>0</v>
      </c>
      <c r="NY19">
        <v>28</v>
      </c>
      <c r="NZ19">
        <v>144</v>
      </c>
      <c r="OA19">
        <v>88</v>
      </c>
      <c r="OB19">
        <v>61</v>
      </c>
      <c r="OC19">
        <v>56</v>
      </c>
      <c r="OD19">
        <v>96</v>
      </c>
      <c r="OE19">
        <v>0</v>
      </c>
      <c r="OF19">
        <v>106</v>
      </c>
      <c r="OG19">
        <v>0</v>
      </c>
      <c r="OH19">
        <v>109</v>
      </c>
      <c r="OI19">
        <v>282</v>
      </c>
      <c r="OJ19">
        <v>82</v>
      </c>
      <c r="OK19">
        <v>0</v>
      </c>
      <c r="OL19">
        <v>0</v>
      </c>
      <c r="OM19">
        <v>0</v>
      </c>
      <c r="ON19">
        <v>0</v>
      </c>
      <c r="OO19">
        <v>213</v>
      </c>
      <c r="OP19">
        <v>0</v>
      </c>
      <c r="OQ19">
        <v>154</v>
      </c>
      <c r="OR19">
        <v>50</v>
      </c>
      <c r="OS19" s="3">
        <v>0</v>
      </c>
      <c r="OT19">
        <v>33</v>
      </c>
      <c r="OU19">
        <v>0</v>
      </c>
      <c r="OV19">
        <v>0</v>
      </c>
      <c r="OW19">
        <v>44</v>
      </c>
      <c r="OX19">
        <v>0</v>
      </c>
      <c r="OY19">
        <v>28</v>
      </c>
      <c r="OZ19">
        <v>41</v>
      </c>
      <c r="PA19">
        <v>0</v>
      </c>
      <c r="PB19">
        <v>0</v>
      </c>
      <c r="PC19">
        <v>160</v>
      </c>
      <c r="PD19">
        <v>0</v>
      </c>
      <c r="PE19">
        <v>0</v>
      </c>
      <c r="PF19">
        <v>0</v>
      </c>
      <c r="PG19">
        <v>310</v>
      </c>
      <c r="PH19">
        <v>0</v>
      </c>
      <c r="PI19">
        <v>0</v>
      </c>
      <c r="PJ19">
        <v>92</v>
      </c>
      <c r="PK19">
        <v>75</v>
      </c>
      <c r="PL19">
        <v>0</v>
      </c>
      <c r="PM19">
        <v>0</v>
      </c>
      <c r="PN19">
        <v>58</v>
      </c>
      <c r="PO19">
        <v>0</v>
      </c>
      <c r="PP19">
        <v>0</v>
      </c>
      <c r="PQ19">
        <v>182</v>
      </c>
      <c r="PR19">
        <v>0</v>
      </c>
      <c r="PS19">
        <v>24</v>
      </c>
      <c r="PT19">
        <v>0</v>
      </c>
      <c r="PU19">
        <v>53</v>
      </c>
      <c r="PV19">
        <v>0</v>
      </c>
      <c r="PW19">
        <v>0</v>
      </c>
      <c r="PX19">
        <v>148</v>
      </c>
      <c r="PY19">
        <v>0</v>
      </c>
      <c r="PZ19">
        <v>176</v>
      </c>
      <c r="QA19">
        <v>0</v>
      </c>
      <c r="QB19">
        <v>112</v>
      </c>
      <c r="QC19">
        <v>47</v>
      </c>
      <c r="QD19">
        <v>0</v>
      </c>
      <c r="QE19">
        <v>128</v>
      </c>
      <c r="QF19">
        <v>0</v>
      </c>
      <c r="QG19">
        <v>53</v>
      </c>
      <c r="QH19">
        <v>53</v>
      </c>
      <c r="QI19">
        <v>0</v>
      </c>
      <c r="QJ19">
        <v>0</v>
      </c>
      <c r="QK19">
        <v>0</v>
      </c>
      <c r="QL19">
        <v>121</v>
      </c>
      <c r="QM19">
        <v>0</v>
      </c>
      <c r="QN19">
        <v>0</v>
      </c>
      <c r="QO19">
        <v>42</v>
      </c>
      <c r="QP19">
        <v>0</v>
      </c>
      <c r="QQ19">
        <v>13</v>
      </c>
      <c r="QR19">
        <v>0</v>
      </c>
      <c r="QS19">
        <v>3</v>
      </c>
      <c r="QT19">
        <v>0</v>
      </c>
      <c r="QU19">
        <v>18</v>
      </c>
      <c r="QV19">
        <v>4</v>
      </c>
      <c r="QW19">
        <v>5</v>
      </c>
      <c r="QX19">
        <v>0</v>
      </c>
      <c r="QY19">
        <v>0</v>
      </c>
      <c r="QZ19">
        <v>24</v>
      </c>
      <c r="RA19">
        <v>2</v>
      </c>
      <c r="RB19">
        <v>9</v>
      </c>
      <c r="RC19">
        <v>0</v>
      </c>
      <c r="RD19">
        <v>0</v>
      </c>
      <c r="RE19">
        <v>0</v>
      </c>
      <c r="RF19">
        <v>0</v>
      </c>
      <c r="RG19">
        <v>71</v>
      </c>
      <c r="RH19">
        <v>0</v>
      </c>
      <c r="RI19">
        <v>203</v>
      </c>
      <c r="RJ19">
        <v>45</v>
      </c>
      <c r="RK19">
        <v>0</v>
      </c>
      <c r="RL19">
        <v>0</v>
      </c>
      <c r="RM19">
        <v>350</v>
      </c>
      <c r="RN19">
        <v>153</v>
      </c>
      <c r="RO19">
        <v>0</v>
      </c>
      <c r="RP19">
        <v>0</v>
      </c>
      <c r="RQ19">
        <v>275</v>
      </c>
      <c r="RR19">
        <v>0</v>
      </c>
      <c r="RS19">
        <v>0</v>
      </c>
      <c r="RT19">
        <v>0</v>
      </c>
      <c r="RU19">
        <v>737</v>
      </c>
      <c r="RV19">
        <v>0</v>
      </c>
      <c r="RW19">
        <v>211</v>
      </c>
      <c r="RX19">
        <v>87</v>
      </c>
      <c r="RY19">
        <v>0</v>
      </c>
      <c r="RZ19">
        <v>235</v>
      </c>
      <c r="SA19">
        <v>119</v>
      </c>
      <c r="SB19">
        <v>90</v>
      </c>
      <c r="SC19">
        <v>0</v>
      </c>
      <c r="SD19">
        <v>0</v>
      </c>
      <c r="SE19">
        <v>314</v>
      </c>
      <c r="SF19">
        <v>0</v>
      </c>
      <c r="SG19">
        <v>0</v>
      </c>
      <c r="SH19">
        <v>0</v>
      </c>
      <c r="SI19">
        <v>342</v>
      </c>
      <c r="SJ19">
        <v>106</v>
      </c>
      <c r="SK19">
        <v>0</v>
      </c>
      <c r="SL19">
        <v>0</v>
      </c>
      <c r="SM19">
        <v>270</v>
      </c>
      <c r="SN19">
        <v>0</v>
      </c>
      <c r="SO19">
        <v>122</v>
      </c>
      <c r="SP19">
        <v>117</v>
      </c>
      <c r="SQ19">
        <v>47</v>
      </c>
      <c r="SR19">
        <v>9</v>
      </c>
      <c r="SS19">
        <v>19</v>
      </c>
      <c r="ST19">
        <v>32</v>
      </c>
      <c r="SU19">
        <v>0</v>
      </c>
      <c r="SV19">
        <v>30</v>
      </c>
      <c r="SW19">
        <v>14</v>
      </c>
      <c r="SX19">
        <v>72</v>
      </c>
      <c r="SY19">
        <v>66</v>
      </c>
      <c r="SZ19">
        <v>41</v>
      </c>
      <c r="TA19">
        <v>0</v>
      </c>
      <c r="TB19">
        <v>0</v>
      </c>
      <c r="TC19">
        <v>64</v>
      </c>
      <c r="TD19">
        <v>34</v>
      </c>
      <c r="TE19">
        <v>27</v>
      </c>
      <c r="TF19">
        <v>12</v>
      </c>
      <c r="TG19">
        <v>37</v>
      </c>
      <c r="TH19">
        <v>0</v>
      </c>
      <c r="TI19">
        <v>4</v>
      </c>
      <c r="TJ19">
        <v>2</v>
      </c>
      <c r="TK19">
        <v>0</v>
      </c>
      <c r="TL19">
        <v>0</v>
      </c>
      <c r="TM19">
        <v>8</v>
      </c>
      <c r="TN19">
        <v>3</v>
      </c>
      <c r="TO19">
        <v>29</v>
      </c>
      <c r="TP19">
        <v>3</v>
      </c>
      <c r="TQ19">
        <v>0</v>
      </c>
      <c r="TR19">
        <v>0</v>
      </c>
      <c r="TS19">
        <v>0</v>
      </c>
      <c r="TT19">
        <v>45</v>
      </c>
      <c r="TU19">
        <v>3</v>
      </c>
      <c r="TV19">
        <v>5</v>
      </c>
      <c r="TW19">
        <v>8</v>
      </c>
      <c r="TX19">
        <v>15</v>
      </c>
      <c r="TY19">
        <v>0</v>
      </c>
      <c r="TZ19">
        <v>12</v>
      </c>
      <c r="UA19">
        <v>5</v>
      </c>
      <c r="UB19">
        <v>0</v>
      </c>
      <c r="UC19">
        <v>0</v>
      </c>
      <c r="UD19">
        <v>0</v>
      </c>
      <c r="UE19">
        <v>0</v>
      </c>
      <c r="UF19">
        <v>31</v>
      </c>
      <c r="UG19">
        <v>2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18</v>
      </c>
      <c r="UN19">
        <v>0</v>
      </c>
      <c r="UO19">
        <v>16</v>
      </c>
      <c r="UP19">
        <v>2</v>
      </c>
      <c r="UQ19">
        <v>2</v>
      </c>
      <c r="UR19">
        <v>0</v>
      </c>
      <c r="US19">
        <v>0</v>
      </c>
      <c r="UT19">
        <v>18</v>
      </c>
      <c r="UU19">
        <v>0</v>
      </c>
      <c r="UV19">
        <v>8</v>
      </c>
      <c r="UW19">
        <v>0</v>
      </c>
      <c r="UX19">
        <v>3</v>
      </c>
      <c r="UY19">
        <v>7</v>
      </c>
      <c r="UZ19">
        <v>0</v>
      </c>
      <c r="VA19">
        <v>1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21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15</v>
      </c>
      <c r="VQ19">
        <v>0</v>
      </c>
      <c r="VR19">
        <v>0</v>
      </c>
      <c r="VS19">
        <v>0</v>
      </c>
      <c r="VT19">
        <v>7</v>
      </c>
      <c r="VU19">
        <v>0</v>
      </c>
      <c r="VV19">
        <v>0</v>
      </c>
      <c r="VW19">
        <v>0</v>
      </c>
      <c r="VX19">
        <v>6</v>
      </c>
      <c r="VY19">
        <v>0</v>
      </c>
      <c r="VZ19">
        <v>0</v>
      </c>
      <c r="WA19">
        <v>0</v>
      </c>
      <c r="WB19">
        <v>0</v>
      </c>
      <c r="WC19">
        <v>4</v>
      </c>
      <c r="WD19">
        <v>0</v>
      </c>
      <c r="WE19">
        <v>0</v>
      </c>
      <c r="WF19">
        <v>6</v>
      </c>
      <c r="WG19">
        <v>0</v>
      </c>
      <c r="WH19">
        <v>0</v>
      </c>
      <c r="WI19">
        <v>0</v>
      </c>
      <c r="WJ19">
        <v>12</v>
      </c>
      <c r="WK19">
        <v>0</v>
      </c>
      <c r="WL19">
        <v>0</v>
      </c>
      <c r="WM19">
        <v>9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18</v>
      </c>
      <c r="WY19">
        <v>18</v>
      </c>
      <c r="WZ19">
        <v>43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53</v>
      </c>
      <c r="XS19">
        <v>53</v>
      </c>
      <c r="XT19">
        <v>53</v>
      </c>
      <c r="XU19">
        <v>53</v>
      </c>
      <c r="XV19">
        <v>53</v>
      </c>
      <c r="XW19">
        <v>53</v>
      </c>
      <c r="XX19">
        <v>53</v>
      </c>
      <c r="XY19">
        <v>0</v>
      </c>
      <c r="XZ19">
        <v>109</v>
      </c>
      <c r="YA19">
        <v>60</v>
      </c>
      <c r="YB19">
        <v>80</v>
      </c>
      <c r="YC19">
        <v>0</v>
      </c>
      <c r="YD19">
        <v>0</v>
      </c>
      <c r="YE19">
        <v>74</v>
      </c>
      <c r="YF19" s="1">
        <v>0</v>
      </c>
      <c r="YG19" s="1">
        <v>0</v>
      </c>
      <c r="YH19" s="1">
        <v>0</v>
      </c>
      <c r="YI19" s="1">
        <v>90</v>
      </c>
      <c r="YJ19">
        <v>0</v>
      </c>
      <c r="YK19">
        <v>0</v>
      </c>
      <c r="YL19">
        <v>0</v>
      </c>
      <c r="YM19">
        <v>141</v>
      </c>
      <c r="YN19">
        <v>72</v>
      </c>
      <c r="YO19">
        <v>72</v>
      </c>
      <c r="YP19">
        <v>0</v>
      </c>
      <c r="YQ19">
        <v>0</v>
      </c>
      <c r="YR19">
        <v>33</v>
      </c>
      <c r="YS19">
        <v>33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47</v>
      </c>
      <c r="ZC19">
        <v>45</v>
      </c>
      <c r="ZD19">
        <v>0</v>
      </c>
      <c r="ZE19">
        <v>0</v>
      </c>
      <c r="ZF19">
        <v>15</v>
      </c>
      <c r="ZG19">
        <v>0</v>
      </c>
      <c r="ZH19">
        <v>9</v>
      </c>
      <c r="ZI19">
        <v>0</v>
      </c>
      <c r="ZJ19">
        <v>24</v>
      </c>
      <c r="ZK19">
        <v>168</v>
      </c>
      <c r="ZL19">
        <v>0</v>
      </c>
      <c r="ZM19">
        <v>0</v>
      </c>
      <c r="ZN19">
        <v>0</v>
      </c>
      <c r="ZO19">
        <v>0</v>
      </c>
      <c r="ZP19">
        <v>113</v>
      </c>
      <c r="ZQ19">
        <v>0</v>
      </c>
      <c r="ZR19">
        <v>0</v>
      </c>
      <c r="ZS19">
        <v>73</v>
      </c>
      <c r="ZT19">
        <v>53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140</v>
      </c>
      <c r="AAD19">
        <v>151</v>
      </c>
      <c r="AAE19">
        <v>0</v>
      </c>
      <c r="AAF19">
        <v>139</v>
      </c>
      <c r="AAG19">
        <v>0</v>
      </c>
      <c r="AAH19">
        <v>162</v>
      </c>
      <c r="AAI19">
        <v>0</v>
      </c>
      <c r="AAJ19">
        <v>86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83</v>
      </c>
      <c r="AAR19">
        <v>0</v>
      </c>
      <c r="AAS19">
        <v>0</v>
      </c>
      <c r="AAT19">
        <v>0</v>
      </c>
      <c r="AAU19">
        <v>107</v>
      </c>
      <c r="AAV19">
        <v>0</v>
      </c>
      <c r="AAW19">
        <v>0</v>
      </c>
      <c r="AAX19">
        <v>44</v>
      </c>
      <c r="AAY19">
        <v>0</v>
      </c>
      <c r="AAZ19">
        <v>0</v>
      </c>
      <c r="ABA19">
        <v>19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12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47</v>
      </c>
      <c r="ACQ19">
        <v>47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4</v>
      </c>
      <c r="ADG19">
        <v>4</v>
      </c>
      <c r="ADH19">
        <v>4</v>
      </c>
      <c r="ADI19">
        <v>0</v>
      </c>
      <c r="ADJ19">
        <v>0</v>
      </c>
      <c r="ADK19">
        <v>0</v>
      </c>
      <c r="ADL19">
        <v>0</v>
      </c>
      <c r="ADM19">
        <v>0</v>
      </c>
      <c r="ADN19">
        <v>0</v>
      </c>
      <c r="ADO19">
        <v>0</v>
      </c>
      <c r="ADP19">
        <v>0</v>
      </c>
      <c r="ADQ19">
        <v>0</v>
      </c>
      <c r="ADR19">
        <v>0</v>
      </c>
      <c r="ADS19">
        <v>0</v>
      </c>
      <c r="ADT19">
        <v>0</v>
      </c>
      <c r="ADU19">
        <v>0</v>
      </c>
      <c r="ADV19">
        <v>0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0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0</v>
      </c>
      <c r="AHM19">
        <v>0</v>
      </c>
      <c r="AHN19">
        <v>0</v>
      </c>
      <c r="AHO19">
        <v>0</v>
      </c>
      <c r="AHP19">
        <v>0</v>
      </c>
      <c r="AHQ19">
        <v>0</v>
      </c>
    </row>
    <row r="20" spans="1:901">
      <c r="A20" s="1" t="s">
        <v>120</v>
      </c>
      <c r="B20">
        <v>1121</v>
      </c>
      <c r="C20">
        <v>694</v>
      </c>
      <c r="D20">
        <v>1014</v>
      </c>
      <c r="E20">
        <v>888</v>
      </c>
      <c r="F20">
        <v>505</v>
      </c>
      <c r="G20">
        <v>740</v>
      </c>
      <c r="H20">
        <v>568</v>
      </c>
      <c r="I20">
        <v>743</v>
      </c>
      <c r="J20">
        <v>833</v>
      </c>
      <c r="K20">
        <v>822</v>
      </c>
      <c r="L20">
        <v>762</v>
      </c>
      <c r="M20">
        <v>748</v>
      </c>
      <c r="N20">
        <v>669</v>
      </c>
      <c r="O20">
        <v>657</v>
      </c>
      <c r="P20">
        <v>1041</v>
      </c>
      <c r="Q20">
        <v>885</v>
      </c>
      <c r="R20">
        <v>768</v>
      </c>
      <c r="S20">
        <v>730</v>
      </c>
      <c r="T20">
        <v>533</v>
      </c>
      <c r="U20">
        <v>932</v>
      </c>
      <c r="V20">
        <v>788</v>
      </c>
      <c r="W20">
        <v>881</v>
      </c>
      <c r="X20">
        <v>959</v>
      </c>
      <c r="Y20">
        <v>703</v>
      </c>
      <c r="Z20">
        <v>697</v>
      </c>
      <c r="AA20">
        <v>669</v>
      </c>
      <c r="AB20">
        <v>853</v>
      </c>
      <c r="AC20">
        <v>648</v>
      </c>
      <c r="AD20">
        <v>751</v>
      </c>
      <c r="AE20">
        <v>886</v>
      </c>
      <c r="AF20">
        <v>533</v>
      </c>
      <c r="AG20">
        <v>709</v>
      </c>
      <c r="AH20">
        <v>728</v>
      </c>
      <c r="AI20">
        <v>621</v>
      </c>
      <c r="AJ20">
        <v>746</v>
      </c>
      <c r="AK20">
        <v>707</v>
      </c>
      <c r="AL20">
        <v>733</v>
      </c>
      <c r="AM20">
        <v>784</v>
      </c>
      <c r="AN20">
        <v>551</v>
      </c>
      <c r="AO20">
        <v>515</v>
      </c>
      <c r="AP20">
        <v>448</v>
      </c>
      <c r="AQ20">
        <v>733</v>
      </c>
      <c r="AR20">
        <v>760</v>
      </c>
      <c r="AS20">
        <v>546</v>
      </c>
      <c r="AT20">
        <v>589</v>
      </c>
      <c r="AU20">
        <v>546</v>
      </c>
      <c r="AV20">
        <v>425</v>
      </c>
      <c r="AW20">
        <v>472</v>
      </c>
      <c r="AX20">
        <v>630</v>
      </c>
      <c r="AY20">
        <v>520</v>
      </c>
      <c r="AZ20">
        <v>703</v>
      </c>
      <c r="BA20">
        <v>460</v>
      </c>
      <c r="BB20">
        <v>648</v>
      </c>
      <c r="BC20">
        <v>359</v>
      </c>
      <c r="BD20">
        <v>549</v>
      </c>
      <c r="BE20">
        <v>609</v>
      </c>
      <c r="BF20">
        <v>547</v>
      </c>
      <c r="BG20">
        <v>739</v>
      </c>
      <c r="BH20">
        <v>673</v>
      </c>
      <c r="BI20">
        <v>509</v>
      </c>
      <c r="BJ20">
        <v>525</v>
      </c>
      <c r="BK20">
        <v>758</v>
      </c>
      <c r="BL20">
        <v>782</v>
      </c>
      <c r="BM20">
        <v>856</v>
      </c>
      <c r="BN20">
        <v>563</v>
      </c>
      <c r="BO20">
        <v>799</v>
      </c>
      <c r="BP20">
        <v>619</v>
      </c>
      <c r="BQ20">
        <v>596</v>
      </c>
      <c r="BR20">
        <v>819</v>
      </c>
      <c r="BS20">
        <v>987</v>
      </c>
      <c r="BT20">
        <v>639</v>
      </c>
      <c r="BU20">
        <v>919</v>
      </c>
      <c r="BV20">
        <v>695</v>
      </c>
      <c r="BW20">
        <v>775</v>
      </c>
      <c r="BX20">
        <v>518</v>
      </c>
      <c r="BY20">
        <v>1055</v>
      </c>
      <c r="BZ20">
        <v>1003</v>
      </c>
      <c r="CA20">
        <v>995</v>
      </c>
      <c r="CB20">
        <v>1022</v>
      </c>
      <c r="CC20">
        <v>714</v>
      </c>
      <c r="CD20">
        <v>707</v>
      </c>
      <c r="CE20">
        <v>803</v>
      </c>
      <c r="CF20">
        <v>698</v>
      </c>
      <c r="CG20">
        <v>725</v>
      </c>
      <c r="CH20">
        <v>812</v>
      </c>
      <c r="CI20">
        <v>1155</v>
      </c>
      <c r="CJ20">
        <v>800</v>
      </c>
      <c r="CK20">
        <v>669</v>
      </c>
      <c r="CL20">
        <v>641</v>
      </c>
      <c r="CM20">
        <v>1130</v>
      </c>
      <c r="CN20">
        <v>856</v>
      </c>
      <c r="CO20">
        <v>819</v>
      </c>
      <c r="CP20">
        <v>1268</v>
      </c>
      <c r="CQ20">
        <v>861</v>
      </c>
      <c r="CR20">
        <v>632</v>
      </c>
      <c r="CS20">
        <v>823</v>
      </c>
      <c r="CT20">
        <v>932</v>
      </c>
      <c r="CU20">
        <v>827</v>
      </c>
      <c r="CV20">
        <v>958</v>
      </c>
      <c r="CW20">
        <v>559</v>
      </c>
      <c r="CX20">
        <v>274</v>
      </c>
      <c r="CY20">
        <v>260</v>
      </c>
      <c r="CZ20">
        <v>952</v>
      </c>
      <c r="DA20">
        <v>762</v>
      </c>
      <c r="DB20">
        <v>822</v>
      </c>
      <c r="DC20">
        <v>974</v>
      </c>
      <c r="DD20">
        <v>417</v>
      </c>
      <c r="DE20">
        <v>369</v>
      </c>
      <c r="DF20">
        <v>355</v>
      </c>
      <c r="DG20">
        <v>764</v>
      </c>
      <c r="DH20">
        <v>959</v>
      </c>
      <c r="DI20">
        <v>898</v>
      </c>
      <c r="DJ20">
        <v>1162</v>
      </c>
      <c r="DK20">
        <v>1138</v>
      </c>
      <c r="DL20">
        <v>1032</v>
      </c>
      <c r="DM20">
        <v>707</v>
      </c>
      <c r="DN20">
        <v>802</v>
      </c>
      <c r="DO20">
        <v>1055</v>
      </c>
      <c r="DP20">
        <v>1002</v>
      </c>
      <c r="DQ20">
        <v>1048</v>
      </c>
      <c r="DR20">
        <v>1149</v>
      </c>
      <c r="DS20">
        <v>859</v>
      </c>
      <c r="DT20">
        <v>512</v>
      </c>
      <c r="DU20">
        <v>428</v>
      </c>
      <c r="DV20">
        <v>771</v>
      </c>
      <c r="DW20">
        <v>1088</v>
      </c>
      <c r="DX20">
        <v>1071</v>
      </c>
      <c r="DY20">
        <v>852</v>
      </c>
      <c r="DZ20">
        <v>711</v>
      </c>
      <c r="EA20">
        <v>571</v>
      </c>
      <c r="EB20">
        <v>714</v>
      </c>
      <c r="EC20">
        <v>1028</v>
      </c>
      <c r="ED20">
        <v>769</v>
      </c>
      <c r="EE20">
        <v>754</v>
      </c>
      <c r="EF20">
        <v>969</v>
      </c>
      <c r="EG20">
        <v>662</v>
      </c>
      <c r="EH20">
        <v>679</v>
      </c>
      <c r="EI20">
        <v>554</v>
      </c>
      <c r="EJ20">
        <v>701</v>
      </c>
      <c r="EK20">
        <v>747</v>
      </c>
      <c r="EL20">
        <v>794</v>
      </c>
      <c r="EM20">
        <v>867</v>
      </c>
      <c r="EN20">
        <v>713</v>
      </c>
      <c r="EO20">
        <v>515</v>
      </c>
      <c r="EP20">
        <v>827</v>
      </c>
      <c r="EQ20">
        <v>874</v>
      </c>
      <c r="ER20">
        <v>978</v>
      </c>
      <c r="ES20">
        <v>978</v>
      </c>
      <c r="ET20">
        <v>823</v>
      </c>
      <c r="EU20">
        <v>845</v>
      </c>
      <c r="EV20">
        <v>599</v>
      </c>
      <c r="EW20">
        <v>1053</v>
      </c>
      <c r="EX20">
        <v>1121</v>
      </c>
      <c r="EY20">
        <v>1037</v>
      </c>
      <c r="EZ20">
        <v>1369</v>
      </c>
      <c r="FA20">
        <v>1062</v>
      </c>
      <c r="FB20">
        <v>1047</v>
      </c>
      <c r="FC20">
        <v>987</v>
      </c>
      <c r="FD20">
        <v>940</v>
      </c>
      <c r="FE20">
        <v>1132</v>
      </c>
      <c r="FF20">
        <v>1114</v>
      </c>
      <c r="FG20">
        <v>1285</v>
      </c>
      <c r="FH20">
        <v>1414</v>
      </c>
      <c r="FI20">
        <v>934</v>
      </c>
      <c r="FJ20">
        <v>937</v>
      </c>
      <c r="FK20">
        <v>974</v>
      </c>
      <c r="FL20">
        <v>1082</v>
      </c>
      <c r="FM20">
        <v>1341</v>
      </c>
      <c r="FN20">
        <v>1439</v>
      </c>
      <c r="FO20">
        <v>1501</v>
      </c>
      <c r="FP20">
        <v>1158</v>
      </c>
      <c r="FQ20">
        <v>1074</v>
      </c>
      <c r="FR20">
        <v>1817</v>
      </c>
      <c r="FS20">
        <v>2125</v>
      </c>
      <c r="FT20">
        <v>2028</v>
      </c>
      <c r="FU20">
        <v>1814</v>
      </c>
      <c r="FV20">
        <v>1766</v>
      </c>
      <c r="FW20">
        <v>1479</v>
      </c>
      <c r="FX20">
        <v>942</v>
      </c>
      <c r="FY20">
        <v>1400</v>
      </c>
      <c r="FZ20">
        <v>1934</v>
      </c>
      <c r="GA20">
        <v>2540</v>
      </c>
      <c r="GB20">
        <v>2605</v>
      </c>
      <c r="GC20">
        <v>2006</v>
      </c>
      <c r="GD20">
        <v>2100</v>
      </c>
      <c r="GE20">
        <v>1523</v>
      </c>
      <c r="GF20">
        <v>1990</v>
      </c>
      <c r="GG20">
        <v>2023</v>
      </c>
      <c r="GH20">
        <v>2688</v>
      </c>
      <c r="GI20">
        <v>1877</v>
      </c>
      <c r="GJ20">
        <v>2004</v>
      </c>
      <c r="GK20">
        <v>1893</v>
      </c>
      <c r="GL20">
        <v>2058</v>
      </c>
      <c r="GM20">
        <v>1770</v>
      </c>
      <c r="GN20">
        <v>2266</v>
      </c>
      <c r="GO20">
        <v>1976</v>
      </c>
      <c r="GP20">
        <v>1611</v>
      </c>
      <c r="GQ20">
        <v>1608</v>
      </c>
      <c r="GR20">
        <v>1507</v>
      </c>
      <c r="GS20">
        <v>1814</v>
      </c>
      <c r="GT20">
        <v>1456</v>
      </c>
      <c r="GU20">
        <v>2073</v>
      </c>
      <c r="GV20">
        <v>2380</v>
      </c>
      <c r="GW20">
        <v>2479</v>
      </c>
      <c r="GX20">
        <v>2547</v>
      </c>
      <c r="GY20">
        <v>1603</v>
      </c>
      <c r="GZ20">
        <v>1547</v>
      </c>
      <c r="HA20">
        <v>2250</v>
      </c>
      <c r="HB20">
        <v>2599</v>
      </c>
      <c r="HC20">
        <v>2020</v>
      </c>
      <c r="HD20">
        <v>2367</v>
      </c>
      <c r="HE20">
        <v>0</v>
      </c>
      <c r="HF20">
        <v>1558</v>
      </c>
      <c r="HG20">
        <v>1801</v>
      </c>
      <c r="HH20">
        <v>2278</v>
      </c>
      <c r="HI20">
        <v>2603</v>
      </c>
      <c r="HJ20">
        <v>2660</v>
      </c>
      <c r="HK20">
        <v>2676</v>
      </c>
      <c r="HL20">
        <v>2752</v>
      </c>
      <c r="HM20">
        <v>2162</v>
      </c>
      <c r="HN20">
        <v>1786</v>
      </c>
      <c r="HO20">
        <v>2271</v>
      </c>
      <c r="HP20">
        <v>2461</v>
      </c>
      <c r="HQ20">
        <v>2356</v>
      </c>
      <c r="HR20">
        <v>2695</v>
      </c>
      <c r="HS20">
        <v>2212</v>
      </c>
      <c r="HT20">
        <v>1946</v>
      </c>
      <c r="HU20">
        <v>1520</v>
      </c>
      <c r="HV20">
        <v>1910</v>
      </c>
      <c r="HW20">
        <v>2214</v>
      </c>
      <c r="HX20">
        <v>2307</v>
      </c>
      <c r="HY20">
        <v>2566</v>
      </c>
      <c r="HZ20">
        <v>2693</v>
      </c>
      <c r="IA20">
        <v>2073</v>
      </c>
      <c r="IB20">
        <v>1483</v>
      </c>
      <c r="IC20">
        <v>1895</v>
      </c>
      <c r="ID20">
        <v>2377</v>
      </c>
      <c r="IE20">
        <v>2828</v>
      </c>
      <c r="IF20">
        <v>2568</v>
      </c>
      <c r="IG20">
        <v>2181</v>
      </c>
      <c r="IH20">
        <v>2108</v>
      </c>
      <c r="II20">
        <v>1781</v>
      </c>
      <c r="IJ20">
        <v>2020</v>
      </c>
      <c r="IK20">
        <v>2704</v>
      </c>
      <c r="IL20">
        <v>2781</v>
      </c>
      <c r="IM20">
        <v>3031</v>
      </c>
      <c r="IN20">
        <v>3166</v>
      </c>
      <c r="IO20">
        <v>3228</v>
      </c>
      <c r="IP20">
        <v>2514</v>
      </c>
      <c r="IQ20">
        <v>2720</v>
      </c>
      <c r="IR20">
        <v>3223</v>
      </c>
      <c r="IS20">
        <v>3307</v>
      </c>
      <c r="IT20">
        <v>3136</v>
      </c>
      <c r="IU20">
        <v>2827</v>
      </c>
      <c r="IV20">
        <v>2429</v>
      </c>
      <c r="IW20">
        <v>2075</v>
      </c>
      <c r="IX20">
        <v>2696</v>
      </c>
      <c r="IY20">
        <v>2860</v>
      </c>
      <c r="IZ20">
        <v>3196</v>
      </c>
      <c r="JA20">
        <v>3262</v>
      </c>
      <c r="JB20">
        <v>3481</v>
      </c>
      <c r="JC20">
        <v>2838</v>
      </c>
      <c r="JD20">
        <v>2144</v>
      </c>
      <c r="JE20">
        <v>2831</v>
      </c>
      <c r="JF20">
        <v>3135</v>
      </c>
      <c r="JG20">
        <v>3100</v>
      </c>
      <c r="JH20">
        <v>2758</v>
      </c>
      <c r="JI20">
        <v>2698</v>
      </c>
      <c r="JJ20">
        <v>1963</v>
      </c>
      <c r="JK20">
        <v>1786</v>
      </c>
      <c r="JL20">
        <v>2046</v>
      </c>
      <c r="JM20">
        <v>2667</v>
      </c>
      <c r="JN20">
        <v>2612</v>
      </c>
      <c r="JO20">
        <v>2482</v>
      </c>
      <c r="JP20">
        <v>2149</v>
      </c>
      <c r="JQ20">
        <v>1683</v>
      </c>
      <c r="JR20">
        <v>1145</v>
      </c>
      <c r="JS20">
        <v>1501</v>
      </c>
      <c r="JT20">
        <v>1746</v>
      </c>
      <c r="JU20">
        <v>2148</v>
      </c>
      <c r="JV20">
        <v>1842</v>
      </c>
      <c r="JW20">
        <v>1863</v>
      </c>
      <c r="JX20">
        <v>1523</v>
      </c>
      <c r="JY20">
        <v>1487</v>
      </c>
      <c r="JZ20">
        <v>1434</v>
      </c>
      <c r="KA20">
        <v>1825</v>
      </c>
      <c r="KB20">
        <v>1693</v>
      </c>
      <c r="KC20">
        <v>1716</v>
      </c>
      <c r="KD20">
        <v>1320</v>
      </c>
      <c r="KE20">
        <v>1224</v>
      </c>
      <c r="KF20">
        <v>1201</v>
      </c>
      <c r="KG20">
        <v>1141</v>
      </c>
      <c r="KH20">
        <v>1483</v>
      </c>
      <c r="KI20">
        <v>1434</v>
      </c>
      <c r="KJ20">
        <v>1463</v>
      </c>
      <c r="KK20">
        <v>1258</v>
      </c>
      <c r="KL20">
        <v>1102</v>
      </c>
      <c r="KM20">
        <v>1095</v>
      </c>
      <c r="KN20">
        <v>1045</v>
      </c>
      <c r="KO20">
        <v>1133</v>
      </c>
      <c r="KP20">
        <v>1159</v>
      </c>
      <c r="KQ20">
        <v>1151</v>
      </c>
      <c r="KR20">
        <v>1171</v>
      </c>
      <c r="KS20">
        <v>1049</v>
      </c>
      <c r="KT20">
        <v>565</v>
      </c>
      <c r="KU20">
        <v>573</v>
      </c>
      <c r="KV20">
        <v>702</v>
      </c>
      <c r="KW20">
        <v>879</v>
      </c>
      <c r="KX20">
        <v>718</v>
      </c>
      <c r="KY20">
        <v>644</v>
      </c>
      <c r="KZ20">
        <v>410</v>
      </c>
      <c r="LA20">
        <v>423</v>
      </c>
      <c r="LB20">
        <v>561</v>
      </c>
      <c r="LC20">
        <v>592</v>
      </c>
      <c r="LD20">
        <v>664</v>
      </c>
      <c r="LE20">
        <v>537</v>
      </c>
      <c r="LF20">
        <v>390</v>
      </c>
      <c r="LG20">
        <v>303</v>
      </c>
      <c r="LH20">
        <v>310</v>
      </c>
      <c r="LI20">
        <v>333</v>
      </c>
      <c r="LJ20">
        <v>336</v>
      </c>
      <c r="LK20">
        <v>427</v>
      </c>
      <c r="LL20">
        <v>400</v>
      </c>
      <c r="LM20">
        <v>348</v>
      </c>
      <c r="LN20">
        <v>323</v>
      </c>
      <c r="LO20">
        <v>255</v>
      </c>
      <c r="LP20">
        <v>269</v>
      </c>
      <c r="LQ20">
        <v>291</v>
      </c>
      <c r="LR20">
        <v>384</v>
      </c>
      <c r="LS20">
        <v>227</v>
      </c>
      <c r="LT20">
        <v>193</v>
      </c>
      <c r="LU20">
        <v>105</v>
      </c>
      <c r="LV20">
        <v>106</v>
      </c>
      <c r="LW20">
        <v>147</v>
      </c>
      <c r="LX20">
        <v>181</v>
      </c>
      <c r="LY20">
        <v>199</v>
      </c>
      <c r="LZ20">
        <v>127</v>
      </c>
      <c r="MA20">
        <v>123</v>
      </c>
      <c r="MB20">
        <v>140</v>
      </c>
      <c r="MC20">
        <v>113</v>
      </c>
      <c r="MD20">
        <v>113</v>
      </c>
      <c r="ME20">
        <v>133</v>
      </c>
      <c r="MF20">
        <v>145</v>
      </c>
      <c r="MG20">
        <v>91</v>
      </c>
      <c r="MH20">
        <v>22</v>
      </c>
      <c r="MI20">
        <v>62</v>
      </c>
      <c r="MJ20">
        <v>43</v>
      </c>
      <c r="MK20">
        <v>51</v>
      </c>
      <c r="ML20">
        <v>73</v>
      </c>
      <c r="MM20">
        <v>86</v>
      </c>
      <c r="MN20">
        <v>102</v>
      </c>
      <c r="MO20">
        <v>83</v>
      </c>
      <c r="MP20">
        <v>45</v>
      </c>
      <c r="MQ20">
        <v>40</v>
      </c>
      <c r="MR20">
        <v>38</v>
      </c>
      <c r="MS20">
        <v>55</v>
      </c>
      <c r="MT20">
        <v>85</v>
      </c>
      <c r="MU20">
        <v>71</v>
      </c>
      <c r="MV20">
        <v>74</v>
      </c>
      <c r="MW20">
        <v>50</v>
      </c>
      <c r="MX20">
        <v>34</v>
      </c>
      <c r="MY20">
        <v>49</v>
      </c>
      <c r="MZ20">
        <v>51</v>
      </c>
      <c r="NA20">
        <v>70</v>
      </c>
      <c r="NB20">
        <v>63</v>
      </c>
      <c r="NC20">
        <v>56</v>
      </c>
      <c r="ND20">
        <v>42</v>
      </c>
      <c r="NE20">
        <v>28</v>
      </c>
      <c r="NF20">
        <v>15</v>
      </c>
      <c r="NG20">
        <v>30</v>
      </c>
      <c r="NH20">
        <v>25</v>
      </c>
      <c r="NI20">
        <v>31</v>
      </c>
      <c r="NJ20">
        <v>28</v>
      </c>
      <c r="NK20">
        <v>25</v>
      </c>
      <c r="NL20">
        <v>24</v>
      </c>
      <c r="NM20">
        <v>27</v>
      </c>
      <c r="NN20">
        <v>44</v>
      </c>
      <c r="NO20">
        <v>49</v>
      </c>
      <c r="NP20">
        <v>19</v>
      </c>
      <c r="NQ20">
        <v>30</v>
      </c>
      <c r="NR20">
        <v>25</v>
      </c>
      <c r="NS20">
        <v>19</v>
      </c>
      <c r="NT20">
        <v>20</v>
      </c>
      <c r="NU20">
        <v>23</v>
      </c>
      <c r="NV20">
        <v>29</v>
      </c>
      <c r="NW20">
        <v>25</v>
      </c>
      <c r="NX20">
        <v>33</v>
      </c>
      <c r="NY20">
        <v>19</v>
      </c>
      <c r="NZ20">
        <v>13</v>
      </c>
      <c r="OA20">
        <v>15</v>
      </c>
      <c r="OB20">
        <v>26</v>
      </c>
      <c r="OC20">
        <v>33</v>
      </c>
      <c r="OD20">
        <v>24</v>
      </c>
      <c r="OE20">
        <v>21</v>
      </c>
      <c r="OF20">
        <v>19</v>
      </c>
      <c r="OG20">
        <v>188</v>
      </c>
      <c r="OH20">
        <v>24</v>
      </c>
      <c r="OI20">
        <v>29</v>
      </c>
      <c r="OJ20">
        <v>33</v>
      </c>
      <c r="OK20">
        <v>31</v>
      </c>
      <c r="OL20">
        <v>33</v>
      </c>
      <c r="OM20">
        <v>22</v>
      </c>
      <c r="ON20">
        <v>22</v>
      </c>
      <c r="OO20">
        <v>31</v>
      </c>
      <c r="OP20">
        <v>61</v>
      </c>
      <c r="OQ20">
        <v>79</v>
      </c>
      <c r="OR20">
        <v>50</v>
      </c>
      <c r="OS20" s="3">
        <v>30</v>
      </c>
      <c r="OT20">
        <v>32</v>
      </c>
      <c r="OU20">
        <v>35</v>
      </c>
      <c r="OV20">
        <v>45</v>
      </c>
      <c r="OW20">
        <v>46</v>
      </c>
      <c r="OX20">
        <v>52</v>
      </c>
      <c r="OY20">
        <v>41</v>
      </c>
      <c r="OZ20">
        <v>50</v>
      </c>
      <c r="PA20">
        <v>38</v>
      </c>
      <c r="PB20">
        <v>48</v>
      </c>
      <c r="PC20">
        <v>52</v>
      </c>
      <c r="PD20">
        <v>53</v>
      </c>
      <c r="PE20">
        <v>54</v>
      </c>
      <c r="PF20">
        <v>54</v>
      </c>
      <c r="PG20">
        <v>50</v>
      </c>
      <c r="PH20">
        <v>47</v>
      </c>
      <c r="PI20">
        <v>45</v>
      </c>
      <c r="PJ20">
        <v>46</v>
      </c>
      <c r="PK20">
        <v>56</v>
      </c>
      <c r="PL20">
        <v>50</v>
      </c>
      <c r="PM20">
        <v>37</v>
      </c>
      <c r="PN20">
        <v>52</v>
      </c>
      <c r="PO20">
        <v>44</v>
      </c>
      <c r="PP20">
        <v>41</v>
      </c>
      <c r="PQ20">
        <v>48</v>
      </c>
      <c r="PR20">
        <v>58</v>
      </c>
      <c r="PS20">
        <v>64</v>
      </c>
      <c r="PT20">
        <v>80</v>
      </c>
      <c r="PU20">
        <v>72</v>
      </c>
      <c r="PV20">
        <v>53</v>
      </c>
      <c r="PW20">
        <v>48</v>
      </c>
      <c r="PX20">
        <v>45</v>
      </c>
      <c r="PY20">
        <v>57</v>
      </c>
      <c r="PZ20">
        <v>63</v>
      </c>
      <c r="QA20">
        <v>78</v>
      </c>
      <c r="QB20">
        <v>61</v>
      </c>
      <c r="QC20">
        <v>55</v>
      </c>
      <c r="QD20">
        <v>57</v>
      </c>
      <c r="QE20">
        <v>55</v>
      </c>
      <c r="QF20">
        <v>52</v>
      </c>
      <c r="QG20">
        <v>43</v>
      </c>
      <c r="QH20">
        <v>58</v>
      </c>
      <c r="QI20">
        <v>70</v>
      </c>
      <c r="QJ20">
        <v>57</v>
      </c>
      <c r="QK20">
        <v>48</v>
      </c>
      <c r="QL20">
        <v>73</v>
      </c>
      <c r="QM20">
        <v>98</v>
      </c>
      <c r="QN20">
        <v>78</v>
      </c>
      <c r="QO20">
        <v>92</v>
      </c>
      <c r="QP20">
        <v>80</v>
      </c>
      <c r="QQ20">
        <v>56</v>
      </c>
      <c r="QR20">
        <v>48</v>
      </c>
      <c r="QS20">
        <v>73</v>
      </c>
      <c r="QT20">
        <v>90</v>
      </c>
      <c r="QU20">
        <v>102</v>
      </c>
      <c r="QV20">
        <v>133</v>
      </c>
      <c r="QW20">
        <v>102</v>
      </c>
      <c r="QX20">
        <v>103</v>
      </c>
      <c r="QY20">
        <v>105</v>
      </c>
      <c r="QZ20">
        <v>226</v>
      </c>
      <c r="RA20">
        <v>260</v>
      </c>
      <c r="RB20">
        <v>277</v>
      </c>
      <c r="RC20">
        <v>1021</v>
      </c>
      <c r="RD20">
        <v>903</v>
      </c>
      <c r="RE20">
        <v>321</v>
      </c>
      <c r="RF20">
        <v>587</v>
      </c>
      <c r="RG20">
        <v>590</v>
      </c>
      <c r="RH20">
        <v>937</v>
      </c>
      <c r="RI20">
        <v>974</v>
      </c>
      <c r="RJ20">
        <v>1239</v>
      </c>
      <c r="RK20">
        <v>1664</v>
      </c>
      <c r="RL20">
        <v>1349</v>
      </c>
      <c r="RM20">
        <v>1206</v>
      </c>
      <c r="RN20">
        <v>3079</v>
      </c>
      <c r="RO20">
        <v>2535</v>
      </c>
      <c r="RP20">
        <v>4017</v>
      </c>
      <c r="RQ20">
        <v>3366</v>
      </c>
      <c r="RR20">
        <v>4145</v>
      </c>
      <c r="RS20">
        <v>3302</v>
      </c>
      <c r="RT20">
        <v>3853</v>
      </c>
      <c r="RU20">
        <v>3191</v>
      </c>
      <c r="RV20">
        <v>5415</v>
      </c>
      <c r="RW20">
        <v>6760</v>
      </c>
      <c r="RX20">
        <v>6770</v>
      </c>
      <c r="RY20">
        <v>5353</v>
      </c>
      <c r="RZ20">
        <v>3970</v>
      </c>
      <c r="SA20">
        <v>4329</v>
      </c>
      <c r="SB20">
        <v>5411</v>
      </c>
      <c r="SC20">
        <v>5864</v>
      </c>
      <c r="SD20">
        <v>5930</v>
      </c>
      <c r="SE20">
        <v>5724</v>
      </c>
      <c r="SF20">
        <v>5462</v>
      </c>
      <c r="SG20">
        <v>5101</v>
      </c>
      <c r="SH20">
        <v>6340</v>
      </c>
      <c r="SI20">
        <v>6853</v>
      </c>
      <c r="SJ20">
        <v>5656</v>
      </c>
      <c r="SK20">
        <v>5112</v>
      </c>
      <c r="SL20">
        <v>3740</v>
      </c>
      <c r="SM20">
        <v>3646</v>
      </c>
      <c r="SN20">
        <v>3189</v>
      </c>
      <c r="SO20">
        <v>2942</v>
      </c>
      <c r="SP20">
        <v>2260</v>
      </c>
      <c r="SQ20">
        <v>2686</v>
      </c>
      <c r="SR20">
        <v>3018</v>
      </c>
      <c r="SS20">
        <v>2904</v>
      </c>
      <c r="ST20">
        <v>1893</v>
      </c>
      <c r="SU20">
        <v>1877</v>
      </c>
      <c r="SV20">
        <v>1890</v>
      </c>
      <c r="SW20">
        <v>1880</v>
      </c>
      <c r="SX20">
        <v>2219</v>
      </c>
      <c r="SY20">
        <v>2144</v>
      </c>
      <c r="SZ20">
        <v>1726</v>
      </c>
      <c r="TA20">
        <v>1534</v>
      </c>
      <c r="TB20">
        <v>802</v>
      </c>
      <c r="TC20">
        <v>811</v>
      </c>
      <c r="TD20">
        <v>929</v>
      </c>
      <c r="TE20">
        <v>705</v>
      </c>
      <c r="TF20">
        <v>928</v>
      </c>
      <c r="TG20">
        <v>925</v>
      </c>
      <c r="TH20">
        <v>735</v>
      </c>
      <c r="TI20">
        <v>739</v>
      </c>
      <c r="TJ20">
        <v>769</v>
      </c>
      <c r="TK20">
        <v>446</v>
      </c>
      <c r="TL20">
        <v>417</v>
      </c>
      <c r="TM20">
        <v>389</v>
      </c>
      <c r="TN20">
        <v>409</v>
      </c>
      <c r="TO20">
        <v>360</v>
      </c>
      <c r="TP20">
        <v>277</v>
      </c>
      <c r="TQ20">
        <v>260</v>
      </c>
      <c r="TR20">
        <v>320</v>
      </c>
      <c r="TS20">
        <v>410</v>
      </c>
      <c r="TT20">
        <v>411</v>
      </c>
      <c r="TU20">
        <v>363</v>
      </c>
      <c r="TV20">
        <v>272</v>
      </c>
      <c r="TW20">
        <v>113</v>
      </c>
      <c r="TX20">
        <v>115</v>
      </c>
      <c r="TY20">
        <v>171</v>
      </c>
      <c r="TZ20">
        <v>229</v>
      </c>
      <c r="UA20">
        <v>212</v>
      </c>
      <c r="UB20">
        <v>135</v>
      </c>
      <c r="UC20">
        <v>125</v>
      </c>
      <c r="UD20">
        <v>125</v>
      </c>
      <c r="UE20">
        <v>131</v>
      </c>
      <c r="UF20">
        <v>169</v>
      </c>
      <c r="UG20">
        <v>160</v>
      </c>
      <c r="UH20">
        <v>110</v>
      </c>
      <c r="UI20">
        <v>134</v>
      </c>
      <c r="UJ20">
        <v>90</v>
      </c>
      <c r="UK20">
        <v>74</v>
      </c>
      <c r="UL20">
        <v>70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93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236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263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211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 s="1">
        <v>0</v>
      </c>
      <c r="YG20" s="1">
        <v>0</v>
      </c>
      <c r="YH20" s="1">
        <v>0</v>
      </c>
      <c r="YI20" s="1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2139</v>
      </c>
      <c r="YR20">
        <v>0</v>
      </c>
      <c r="YS20">
        <v>0</v>
      </c>
      <c r="YT20">
        <v>0</v>
      </c>
      <c r="YU20">
        <v>0</v>
      </c>
      <c r="YV20">
        <v>0</v>
      </c>
      <c r="YW20">
        <v>0</v>
      </c>
      <c r="YX20">
        <v>0</v>
      </c>
      <c r="YY20">
        <v>0</v>
      </c>
      <c r="YZ20">
        <v>0</v>
      </c>
      <c r="ZA20">
        <v>0</v>
      </c>
      <c r="ZB20">
        <v>0</v>
      </c>
      <c r="ZC20">
        <v>0</v>
      </c>
      <c r="ZD20">
        <v>0</v>
      </c>
      <c r="ZE20">
        <v>0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541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289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152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484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0</v>
      </c>
      <c r="ADL20">
        <v>0</v>
      </c>
      <c r="ADM20">
        <v>0</v>
      </c>
      <c r="ADN20">
        <v>0</v>
      </c>
      <c r="ADO20">
        <v>0</v>
      </c>
      <c r="ADP20">
        <v>0</v>
      </c>
      <c r="ADQ20">
        <v>0</v>
      </c>
      <c r="ADR20">
        <v>0</v>
      </c>
      <c r="ADS20">
        <v>0</v>
      </c>
      <c r="ADT20">
        <v>0</v>
      </c>
      <c r="ADU20">
        <v>0</v>
      </c>
      <c r="ADV20">
        <v>0</v>
      </c>
      <c r="ADW20">
        <v>0</v>
      </c>
      <c r="ADX20">
        <v>0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0</v>
      </c>
      <c r="AEL20">
        <v>0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0</v>
      </c>
      <c r="AFL20">
        <v>0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0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0</v>
      </c>
      <c r="AGM20">
        <v>0</v>
      </c>
      <c r="AGN20">
        <v>0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</v>
      </c>
    </row>
    <row r="22" spans="1:901">
      <c r="A22" s="43" t="s">
        <v>241</v>
      </c>
      <c r="B22" s="38">
        <v>44091</v>
      </c>
      <c r="C22" s="38">
        <v>44092</v>
      </c>
      <c r="D22" s="38">
        <v>44093</v>
      </c>
      <c r="E22" s="38">
        <v>44094</v>
      </c>
      <c r="F22" s="38">
        <v>44095</v>
      </c>
      <c r="G22" s="38">
        <v>44096</v>
      </c>
      <c r="H22" s="38">
        <v>44097</v>
      </c>
      <c r="I22" s="38">
        <v>44098</v>
      </c>
      <c r="J22" s="38">
        <v>44099</v>
      </c>
      <c r="K22" s="38">
        <v>44100</v>
      </c>
      <c r="L22" s="38">
        <v>44101</v>
      </c>
      <c r="M22" s="38">
        <v>44102</v>
      </c>
      <c r="N22" s="38">
        <v>44103</v>
      </c>
      <c r="O22" s="38">
        <v>44104</v>
      </c>
      <c r="P22" s="38">
        <v>44105</v>
      </c>
      <c r="Q22" s="38">
        <v>44106</v>
      </c>
      <c r="R22" s="38">
        <v>44107</v>
      </c>
      <c r="S22" s="38">
        <v>44108</v>
      </c>
      <c r="T22" s="38">
        <v>44109</v>
      </c>
      <c r="U22" s="38">
        <v>44110</v>
      </c>
      <c r="V22" s="38">
        <v>44111</v>
      </c>
      <c r="W22" s="38">
        <v>44112</v>
      </c>
      <c r="X22" s="38">
        <v>44113</v>
      </c>
      <c r="Y22" s="38">
        <v>44114</v>
      </c>
      <c r="Z22" s="38">
        <v>44115</v>
      </c>
      <c r="AA22" s="38">
        <v>44116</v>
      </c>
      <c r="AB22" s="38">
        <v>44117</v>
      </c>
      <c r="AC22" s="38">
        <v>44118</v>
      </c>
      <c r="AD22" s="38">
        <v>44119</v>
      </c>
      <c r="AE22" s="38">
        <v>44120</v>
      </c>
      <c r="AF22" s="38">
        <v>44121</v>
      </c>
      <c r="AG22" s="38">
        <v>44122</v>
      </c>
      <c r="AH22" s="38">
        <v>44123</v>
      </c>
      <c r="AI22" s="38">
        <v>44124</v>
      </c>
      <c r="AJ22" s="38">
        <v>44125</v>
      </c>
      <c r="AK22" s="38">
        <v>44126</v>
      </c>
      <c r="AL22" s="38">
        <v>44127</v>
      </c>
      <c r="AM22" s="38">
        <v>44128</v>
      </c>
      <c r="AN22" s="38">
        <v>44129</v>
      </c>
      <c r="AO22" s="38">
        <v>44130</v>
      </c>
      <c r="AP22" s="38">
        <v>44131</v>
      </c>
      <c r="AQ22" s="38">
        <v>44132</v>
      </c>
      <c r="AR22" s="38">
        <v>44133</v>
      </c>
      <c r="AS22" s="38">
        <v>44134</v>
      </c>
      <c r="AT22" s="38">
        <v>44135</v>
      </c>
      <c r="AU22" s="38">
        <v>44136</v>
      </c>
      <c r="AV22" s="38">
        <v>44137</v>
      </c>
      <c r="AW22" s="38">
        <v>44138</v>
      </c>
      <c r="AX22" s="38">
        <v>44139</v>
      </c>
      <c r="AY22" s="38">
        <v>44140</v>
      </c>
      <c r="AZ22" s="38">
        <v>44141</v>
      </c>
      <c r="BA22" s="38">
        <v>44142</v>
      </c>
      <c r="BB22" s="38">
        <v>44143</v>
      </c>
      <c r="BC22" s="38">
        <v>44144</v>
      </c>
      <c r="BD22" s="38">
        <v>44145</v>
      </c>
      <c r="BE22" s="38">
        <v>44146</v>
      </c>
      <c r="BF22" s="38">
        <v>44147</v>
      </c>
      <c r="BG22" s="38">
        <v>44148</v>
      </c>
      <c r="BH22" s="38">
        <v>44149</v>
      </c>
      <c r="BI22" s="38">
        <v>44150</v>
      </c>
      <c r="BJ22" s="38">
        <v>44151</v>
      </c>
      <c r="BK22" s="38">
        <v>44152</v>
      </c>
      <c r="BL22" s="38">
        <v>44153</v>
      </c>
      <c r="BM22" s="38">
        <v>44154</v>
      </c>
      <c r="BN22" s="38">
        <v>44155</v>
      </c>
      <c r="BO22" s="38">
        <v>44156</v>
      </c>
      <c r="BP22" s="38">
        <v>44157</v>
      </c>
      <c r="BQ22" s="38">
        <v>44158</v>
      </c>
      <c r="BR22" s="38">
        <v>44159</v>
      </c>
      <c r="BS22" s="38">
        <v>44160</v>
      </c>
      <c r="BT22" s="38">
        <v>44161</v>
      </c>
      <c r="BU22" s="38">
        <v>44162</v>
      </c>
      <c r="BV22" s="38">
        <v>44163</v>
      </c>
      <c r="BW22" s="38">
        <v>44164</v>
      </c>
      <c r="BX22" s="38">
        <v>44165</v>
      </c>
      <c r="BY22" s="38">
        <v>44166</v>
      </c>
      <c r="BZ22" s="38">
        <v>44167</v>
      </c>
      <c r="CA22" s="38">
        <v>44168</v>
      </c>
      <c r="CB22" s="38">
        <v>44169</v>
      </c>
      <c r="CC22" s="38">
        <v>44170</v>
      </c>
      <c r="CD22" s="38">
        <v>44171</v>
      </c>
      <c r="CE22" s="38">
        <v>44172</v>
      </c>
      <c r="CF22" s="38">
        <v>44173</v>
      </c>
      <c r="CG22" s="38">
        <v>44174</v>
      </c>
      <c r="CH22" s="38">
        <v>44175</v>
      </c>
      <c r="CI22" s="38">
        <v>44176</v>
      </c>
      <c r="CJ22" s="38">
        <v>44177</v>
      </c>
      <c r="CK22" s="38">
        <v>44178</v>
      </c>
      <c r="CL22" s="38">
        <v>44179</v>
      </c>
      <c r="CM22" s="38">
        <v>44180</v>
      </c>
      <c r="CN22" s="38">
        <v>44181</v>
      </c>
      <c r="CO22" s="38">
        <v>44182</v>
      </c>
      <c r="CP22" s="38">
        <v>44183</v>
      </c>
      <c r="CQ22" s="38">
        <v>44184</v>
      </c>
      <c r="CR22" s="38">
        <v>44185</v>
      </c>
      <c r="CS22" s="38">
        <v>44186</v>
      </c>
      <c r="CT22" s="38">
        <v>44187</v>
      </c>
      <c r="CU22" s="38">
        <v>44188</v>
      </c>
      <c r="CV22" s="38">
        <v>44189</v>
      </c>
      <c r="CW22" s="38">
        <v>44190</v>
      </c>
      <c r="CX22" s="38">
        <v>44191</v>
      </c>
      <c r="CY22" s="38">
        <v>44192</v>
      </c>
      <c r="CZ22" s="38">
        <v>44193</v>
      </c>
      <c r="DA22" s="38">
        <v>44194</v>
      </c>
      <c r="DB22" s="38">
        <v>44195</v>
      </c>
      <c r="DC22" s="38">
        <v>44196</v>
      </c>
      <c r="DD22" s="38">
        <v>44197</v>
      </c>
      <c r="DE22" s="38">
        <v>44198</v>
      </c>
      <c r="DF22" s="38">
        <v>44199</v>
      </c>
      <c r="DG22" s="38">
        <v>44200</v>
      </c>
      <c r="DH22" s="38">
        <v>44201</v>
      </c>
      <c r="DI22" s="38">
        <v>44202</v>
      </c>
      <c r="DJ22" s="38">
        <v>44203</v>
      </c>
      <c r="DK22" s="38">
        <v>44204</v>
      </c>
      <c r="DL22" s="38">
        <v>44205</v>
      </c>
      <c r="DM22" s="38">
        <v>44206</v>
      </c>
      <c r="DN22" s="38">
        <v>44207</v>
      </c>
      <c r="DO22" s="38">
        <v>44208</v>
      </c>
      <c r="DP22" s="38">
        <v>44209</v>
      </c>
      <c r="DQ22" s="38">
        <v>44210</v>
      </c>
      <c r="DR22" s="38">
        <v>44211</v>
      </c>
      <c r="DS22" s="38">
        <v>44212</v>
      </c>
      <c r="DT22" s="38">
        <v>44213</v>
      </c>
      <c r="DU22" s="38">
        <v>44214</v>
      </c>
      <c r="DV22" s="38">
        <v>44215</v>
      </c>
      <c r="DW22" s="38">
        <v>44216</v>
      </c>
      <c r="DX22" s="38">
        <v>44217</v>
      </c>
      <c r="DY22" s="38">
        <v>44218</v>
      </c>
      <c r="DZ22" s="38">
        <v>44219</v>
      </c>
      <c r="EA22" s="38">
        <v>44220</v>
      </c>
      <c r="EB22" s="38">
        <v>44221</v>
      </c>
      <c r="EC22" s="38">
        <v>44222</v>
      </c>
      <c r="ED22" s="38">
        <v>44223</v>
      </c>
      <c r="EE22" s="38">
        <v>44224</v>
      </c>
      <c r="EF22" s="38">
        <v>44225</v>
      </c>
      <c r="EG22" s="38">
        <v>44226</v>
      </c>
      <c r="EH22" s="38">
        <v>44227</v>
      </c>
      <c r="EI22" s="38">
        <v>44228</v>
      </c>
      <c r="EJ22" s="38">
        <v>44229</v>
      </c>
      <c r="EK22" s="38">
        <v>44230</v>
      </c>
      <c r="EL22" s="38">
        <v>44231</v>
      </c>
      <c r="EM22" s="38">
        <v>44232</v>
      </c>
      <c r="EN22" s="38">
        <v>44233</v>
      </c>
      <c r="EO22" s="38">
        <v>44234</v>
      </c>
      <c r="EP22" s="38">
        <v>44235</v>
      </c>
      <c r="EQ22" s="38">
        <v>44236</v>
      </c>
      <c r="ER22" s="38">
        <v>44237</v>
      </c>
      <c r="ES22" s="38">
        <v>44238</v>
      </c>
      <c r="ET22" s="38">
        <v>44239</v>
      </c>
      <c r="EU22" s="38">
        <v>44240</v>
      </c>
      <c r="EV22" s="38">
        <v>44241</v>
      </c>
      <c r="EW22" s="38">
        <v>44242</v>
      </c>
      <c r="EX22" s="38">
        <v>44243</v>
      </c>
      <c r="EY22" s="38">
        <v>44244</v>
      </c>
      <c r="EZ22" s="38">
        <v>44245</v>
      </c>
      <c r="FA22" s="38">
        <v>44246</v>
      </c>
      <c r="FB22" s="38">
        <v>44247</v>
      </c>
      <c r="FC22" s="38">
        <v>44248</v>
      </c>
      <c r="FD22" s="38">
        <v>44249</v>
      </c>
      <c r="FE22" s="38">
        <v>44250</v>
      </c>
      <c r="FF22" s="38">
        <v>44251</v>
      </c>
      <c r="FG22" s="38">
        <v>44252</v>
      </c>
      <c r="FH22" s="38">
        <v>44253</v>
      </c>
      <c r="FI22" s="38">
        <v>44254</v>
      </c>
      <c r="FJ22" s="38">
        <v>44255</v>
      </c>
      <c r="FK22" s="38">
        <v>44256</v>
      </c>
      <c r="FL22" s="38">
        <v>44257</v>
      </c>
      <c r="FM22" s="38">
        <v>44258</v>
      </c>
      <c r="FN22" s="38">
        <v>44259</v>
      </c>
      <c r="FO22" s="38">
        <v>44260</v>
      </c>
      <c r="FP22" s="38">
        <v>44261</v>
      </c>
      <c r="FQ22" s="38">
        <v>44262</v>
      </c>
      <c r="FR22" s="38">
        <v>44263</v>
      </c>
      <c r="FS22" s="38">
        <v>44264</v>
      </c>
      <c r="FT22" s="38">
        <v>44265</v>
      </c>
      <c r="FU22" s="38">
        <v>44266</v>
      </c>
      <c r="FV22" s="38">
        <v>44267</v>
      </c>
      <c r="FW22" s="38">
        <v>44268</v>
      </c>
      <c r="FX22" s="38">
        <v>44269</v>
      </c>
      <c r="FY22" s="38">
        <v>44270</v>
      </c>
      <c r="FZ22" s="38">
        <v>44271</v>
      </c>
      <c r="GA22" s="38">
        <v>44272</v>
      </c>
      <c r="GB22" s="38">
        <v>44273</v>
      </c>
      <c r="GC22" s="38">
        <v>44274</v>
      </c>
      <c r="GD22" s="38">
        <v>44275</v>
      </c>
      <c r="GE22" s="38">
        <v>44276</v>
      </c>
      <c r="GF22" s="38">
        <v>44277</v>
      </c>
      <c r="GG22" s="38">
        <v>44278</v>
      </c>
      <c r="GH22" s="38">
        <v>44279</v>
      </c>
      <c r="GI22" s="38">
        <v>44280</v>
      </c>
      <c r="GJ22" s="38">
        <v>44281</v>
      </c>
      <c r="GK22" s="38">
        <v>44282</v>
      </c>
      <c r="GL22" s="38">
        <v>44283</v>
      </c>
      <c r="GM22" s="38">
        <v>44284</v>
      </c>
      <c r="GN22" s="38">
        <v>44285</v>
      </c>
      <c r="GO22" s="38">
        <v>44286</v>
      </c>
      <c r="GP22" s="38">
        <v>44287</v>
      </c>
      <c r="GQ22" s="38">
        <v>44288</v>
      </c>
      <c r="GR22" s="38">
        <v>44289</v>
      </c>
      <c r="GS22" s="38">
        <v>44290</v>
      </c>
      <c r="GT22" s="38">
        <v>44291</v>
      </c>
      <c r="GU22" s="38">
        <v>44292</v>
      </c>
      <c r="GV22" s="38">
        <v>44293</v>
      </c>
      <c r="GW22" s="38">
        <v>44294</v>
      </c>
      <c r="GX22" s="38">
        <v>44295</v>
      </c>
      <c r="GY22" s="38">
        <v>44296</v>
      </c>
      <c r="GZ22" s="38">
        <v>44297</v>
      </c>
      <c r="HA22" s="38">
        <v>44298</v>
      </c>
      <c r="HB22" s="38">
        <v>44299</v>
      </c>
      <c r="HC22" s="38">
        <v>44300</v>
      </c>
      <c r="HD22" s="38">
        <v>44301</v>
      </c>
      <c r="HE22" s="38">
        <v>44302</v>
      </c>
      <c r="HF22" s="38">
        <v>44303</v>
      </c>
      <c r="HG22" s="38">
        <v>44304</v>
      </c>
      <c r="HH22" s="38">
        <v>44305</v>
      </c>
      <c r="HI22" s="38">
        <v>44306</v>
      </c>
      <c r="HJ22" s="38">
        <v>44307</v>
      </c>
      <c r="HK22" s="38">
        <v>44308</v>
      </c>
      <c r="HL22" s="38">
        <v>44309</v>
      </c>
      <c r="HM22" s="38">
        <v>44310</v>
      </c>
      <c r="HN22" s="38">
        <v>44311</v>
      </c>
      <c r="HO22" s="38">
        <v>44312</v>
      </c>
      <c r="HP22" s="38">
        <v>44313</v>
      </c>
      <c r="HQ22" s="38">
        <v>44314</v>
      </c>
      <c r="HR22" s="38">
        <v>44315</v>
      </c>
      <c r="HS22" s="38">
        <v>44316</v>
      </c>
      <c r="HT22" s="38">
        <v>44317</v>
      </c>
      <c r="HU22" s="38">
        <v>44318</v>
      </c>
      <c r="HV22" s="38">
        <v>44319</v>
      </c>
      <c r="HW22" s="38">
        <v>44320</v>
      </c>
      <c r="HX22" s="38">
        <v>44321</v>
      </c>
      <c r="HY22" s="38">
        <v>44322</v>
      </c>
      <c r="HZ22" s="38">
        <v>44323</v>
      </c>
      <c r="IA22" s="38">
        <v>44324</v>
      </c>
      <c r="IB22" s="38">
        <v>44325</v>
      </c>
      <c r="IC22" s="38">
        <v>44326</v>
      </c>
      <c r="ID22" s="38">
        <v>44327</v>
      </c>
      <c r="IE22" s="38">
        <v>44328</v>
      </c>
      <c r="IF22" s="38">
        <v>44329</v>
      </c>
      <c r="IG22" s="38">
        <v>44330</v>
      </c>
      <c r="IH22" s="38">
        <v>44331</v>
      </c>
      <c r="II22" s="38">
        <v>44332</v>
      </c>
      <c r="IJ22" s="38">
        <v>44333</v>
      </c>
      <c r="IK22" s="38">
        <v>44334</v>
      </c>
      <c r="IL22" s="38">
        <v>44335</v>
      </c>
      <c r="IM22" s="38">
        <v>44336</v>
      </c>
      <c r="IN22" s="38">
        <v>44337</v>
      </c>
      <c r="IO22" s="38">
        <v>44338</v>
      </c>
      <c r="IP22" s="38">
        <v>44339</v>
      </c>
      <c r="IQ22" s="38">
        <v>44340</v>
      </c>
      <c r="IR22" s="38">
        <v>44341</v>
      </c>
      <c r="IS22" s="38">
        <v>44342</v>
      </c>
      <c r="IT22" s="38">
        <v>44343</v>
      </c>
      <c r="IU22" s="38">
        <v>44344</v>
      </c>
      <c r="IV22" s="38">
        <v>44345</v>
      </c>
      <c r="IW22" s="38">
        <v>44346</v>
      </c>
      <c r="IX22" s="38">
        <v>44347</v>
      </c>
      <c r="IY22" s="38">
        <v>44348</v>
      </c>
      <c r="IZ22" s="38">
        <v>44349</v>
      </c>
      <c r="JA22" s="38">
        <v>44350</v>
      </c>
      <c r="JB22" s="38">
        <v>44351</v>
      </c>
      <c r="JC22" s="38">
        <v>44352</v>
      </c>
      <c r="JD22" s="38">
        <v>44353</v>
      </c>
      <c r="JE22" s="38">
        <v>44354</v>
      </c>
      <c r="JF22" s="38">
        <v>44355</v>
      </c>
      <c r="JG22" s="38">
        <v>44356</v>
      </c>
      <c r="JH22" s="38">
        <v>44357</v>
      </c>
      <c r="JI22" s="38">
        <v>44358</v>
      </c>
      <c r="JJ22" s="38">
        <v>44359</v>
      </c>
      <c r="JK22" s="38">
        <v>44360</v>
      </c>
      <c r="JL22" s="38">
        <v>44361</v>
      </c>
      <c r="JM22" s="38">
        <v>44362</v>
      </c>
      <c r="JN22" s="38">
        <v>44363</v>
      </c>
      <c r="JO22" s="38">
        <v>44364</v>
      </c>
      <c r="JP22" s="38">
        <v>44365</v>
      </c>
      <c r="JQ22" s="38">
        <v>44366</v>
      </c>
      <c r="JR22" s="38">
        <v>44367</v>
      </c>
      <c r="JS22" s="38">
        <v>44368</v>
      </c>
      <c r="JT22" s="38">
        <v>44369</v>
      </c>
      <c r="JU22" s="38">
        <v>44370</v>
      </c>
      <c r="JV22" s="38">
        <v>44371</v>
      </c>
      <c r="JW22" s="38">
        <v>44372</v>
      </c>
      <c r="JX22" s="38">
        <v>44373</v>
      </c>
      <c r="JY22" s="38">
        <v>44374</v>
      </c>
      <c r="JZ22" s="38">
        <v>44375</v>
      </c>
      <c r="KA22" s="38">
        <v>44376</v>
      </c>
      <c r="KB22" s="38">
        <v>44377</v>
      </c>
      <c r="KC22" s="38">
        <v>44378</v>
      </c>
      <c r="KD22" s="38">
        <v>44379</v>
      </c>
      <c r="KE22" s="38">
        <v>44380</v>
      </c>
      <c r="KF22" s="38">
        <v>44381</v>
      </c>
      <c r="KG22" s="38">
        <v>44382</v>
      </c>
      <c r="KH22" s="38">
        <v>44383</v>
      </c>
      <c r="KI22" s="38">
        <v>44384</v>
      </c>
      <c r="KJ22" s="38">
        <v>44385</v>
      </c>
      <c r="KK22" s="38">
        <v>44386</v>
      </c>
      <c r="KL22" s="38">
        <v>44387</v>
      </c>
      <c r="KM22" s="38">
        <v>44388</v>
      </c>
      <c r="KN22" s="38">
        <v>44389</v>
      </c>
      <c r="KO22" s="38">
        <v>44390</v>
      </c>
      <c r="KP22" s="38">
        <v>44391</v>
      </c>
      <c r="KQ22" s="38">
        <v>44392</v>
      </c>
      <c r="KR22" s="38">
        <v>44393</v>
      </c>
      <c r="KS22" s="38">
        <v>44394</v>
      </c>
      <c r="KT22" s="38">
        <v>44395</v>
      </c>
      <c r="KU22" s="38">
        <v>44396</v>
      </c>
      <c r="KV22" s="38">
        <v>44397</v>
      </c>
      <c r="KW22" s="38">
        <v>44398</v>
      </c>
      <c r="KX22" s="38">
        <v>44399</v>
      </c>
      <c r="KY22" s="38">
        <v>44400</v>
      </c>
      <c r="KZ22" s="38">
        <v>44401</v>
      </c>
      <c r="LA22" s="38">
        <v>44402</v>
      </c>
      <c r="LB22" s="38">
        <v>44403</v>
      </c>
      <c r="LC22" s="38">
        <v>44404</v>
      </c>
      <c r="LD22" s="38">
        <v>44405</v>
      </c>
      <c r="LE22" s="38">
        <v>44406</v>
      </c>
      <c r="LF22" s="38">
        <v>44407</v>
      </c>
      <c r="LG22" s="38">
        <v>44408</v>
      </c>
      <c r="LH22" s="38">
        <v>44409</v>
      </c>
      <c r="LI22" s="38">
        <v>44410</v>
      </c>
      <c r="LJ22" s="38">
        <v>44411</v>
      </c>
      <c r="LK22" s="38">
        <v>44412</v>
      </c>
      <c r="LL22" s="38">
        <v>44413</v>
      </c>
      <c r="LM22" s="38">
        <v>44414</v>
      </c>
      <c r="LN22" s="38">
        <v>44415</v>
      </c>
      <c r="LO22" s="38">
        <v>44416</v>
      </c>
      <c r="LP22" s="38">
        <v>44417</v>
      </c>
      <c r="LQ22" s="38">
        <v>44418</v>
      </c>
      <c r="LR22" s="38">
        <v>44419</v>
      </c>
      <c r="LS22" s="38">
        <v>44420</v>
      </c>
      <c r="LT22" s="38">
        <v>44421</v>
      </c>
      <c r="LU22" s="38">
        <v>44422</v>
      </c>
      <c r="LV22" s="38">
        <v>44423</v>
      </c>
      <c r="LW22" s="38">
        <v>44424</v>
      </c>
      <c r="LX22" s="38">
        <v>44425</v>
      </c>
      <c r="LY22" s="38">
        <v>44426</v>
      </c>
      <c r="LZ22" s="38">
        <v>44427</v>
      </c>
      <c r="MA22" s="38">
        <v>44428</v>
      </c>
      <c r="MB22" s="38">
        <v>44429</v>
      </c>
      <c r="MC22" s="38">
        <v>44430</v>
      </c>
      <c r="MD22" s="38">
        <v>44431</v>
      </c>
      <c r="ME22" s="38">
        <v>44432</v>
      </c>
      <c r="MF22" s="38">
        <v>44433</v>
      </c>
      <c r="MG22" s="38">
        <v>44434</v>
      </c>
      <c r="MH22" s="38">
        <v>44435</v>
      </c>
      <c r="MI22" s="38">
        <v>44436</v>
      </c>
      <c r="MJ22" s="38">
        <v>44437</v>
      </c>
      <c r="MK22" s="38">
        <v>44438</v>
      </c>
      <c r="ML22" s="38">
        <v>44439</v>
      </c>
      <c r="MM22" s="38">
        <v>44440</v>
      </c>
      <c r="MN22" s="38">
        <v>44441</v>
      </c>
      <c r="MO22" s="38">
        <v>44442</v>
      </c>
      <c r="MP22" s="38">
        <v>44443</v>
      </c>
      <c r="MQ22" s="38">
        <v>44444</v>
      </c>
      <c r="MR22" s="38">
        <v>44445</v>
      </c>
      <c r="MS22" s="38">
        <v>44446</v>
      </c>
      <c r="MT22" s="38">
        <v>44447</v>
      </c>
      <c r="MU22" s="38">
        <v>44448</v>
      </c>
      <c r="MV22" s="38">
        <v>44449</v>
      </c>
      <c r="MW22" s="38">
        <v>44450</v>
      </c>
      <c r="MX22" s="38">
        <v>44451</v>
      </c>
      <c r="MY22" s="38">
        <v>44452</v>
      </c>
      <c r="MZ22" s="38">
        <v>44453</v>
      </c>
      <c r="NA22" s="38">
        <v>44454</v>
      </c>
      <c r="NB22" s="38">
        <v>44455</v>
      </c>
      <c r="NC22" s="38">
        <v>44456</v>
      </c>
      <c r="ND22" s="38">
        <v>44457</v>
      </c>
      <c r="NE22" s="38">
        <v>44458</v>
      </c>
      <c r="NF22" s="38">
        <v>44459</v>
      </c>
      <c r="NG22" s="38">
        <v>44460</v>
      </c>
      <c r="NH22" s="38">
        <v>44461</v>
      </c>
      <c r="NI22" s="38">
        <v>44462</v>
      </c>
      <c r="NJ22" s="38">
        <v>44463</v>
      </c>
      <c r="NK22" s="38">
        <v>44464</v>
      </c>
      <c r="NL22" s="38">
        <v>44465</v>
      </c>
      <c r="NM22" s="38">
        <v>44466</v>
      </c>
      <c r="NN22" s="38">
        <v>44467</v>
      </c>
      <c r="NO22" s="38">
        <v>44468</v>
      </c>
      <c r="NP22" s="38">
        <v>44469</v>
      </c>
      <c r="NQ22" s="38">
        <v>44470</v>
      </c>
      <c r="NR22" s="38">
        <v>44471</v>
      </c>
      <c r="NS22" s="38">
        <v>44472</v>
      </c>
      <c r="NT22" s="38">
        <v>44473</v>
      </c>
      <c r="NU22" s="38">
        <v>44474</v>
      </c>
      <c r="NV22" s="38">
        <v>44475</v>
      </c>
      <c r="NW22" s="38">
        <v>44476</v>
      </c>
      <c r="NX22" s="38">
        <v>44477</v>
      </c>
      <c r="NY22" s="38">
        <v>44478</v>
      </c>
      <c r="NZ22" s="38">
        <v>44479</v>
      </c>
      <c r="OA22" s="38">
        <v>44480</v>
      </c>
      <c r="OB22" s="38">
        <v>44481</v>
      </c>
      <c r="OC22" s="38">
        <v>44482</v>
      </c>
      <c r="OD22" s="38">
        <v>44483</v>
      </c>
      <c r="OE22" s="38">
        <v>44484</v>
      </c>
      <c r="OF22" s="38">
        <v>44485</v>
      </c>
      <c r="OG22" s="38">
        <v>44486</v>
      </c>
      <c r="OH22" s="38">
        <v>44487</v>
      </c>
      <c r="OI22" s="38">
        <v>44488</v>
      </c>
      <c r="OJ22" s="38">
        <v>44489</v>
      </c>
      <c r="OK22" s="38">
        <v>44490</v>
      </c>
      <c r="OL22" s="38">
        <v>44491</v>
      </c>
      <c r="OM22" s="38">
        <v>44492</v>
      </c>
      <c r="ON22" s="38">
        <v>44493</v>
      </c>
      <c r="OO22" s="38">
        <v>44494</v>
      </c>
      <c r="OP22" s="38">
        <v>44495</v>
      </c>
      <c r="OQ22" s="38">
        <v>44496</v>
      </c>
      <c r="OR22" s="38">
        <v>44497</v>
      </c>
      <c r="OS22" s="38">
        <v>44498</v>
      </c>
      <c r="OT22" s="38">
        <v>44499</v>
      </c>
      <c r="OU22" s="38">
        <v>44500</v>
      </c>
      <c r="OV22" s="38">
        <v>44501</v>
      </c>
      <c r="OW22" s="38">
        <v>44502</v>
      </c>
      <c r="OX22" s="38">
        <v>44503</v>
      </c>
      <c r="OY22" s="38">
        <v>44504</v>
      </c>
      <c r="OZ22" s="38">
        <v>44505</v>
      </c>
      <c r="PA22" s="38">
        <v>44506</v>
      </c>
      <c r="PB22" s="38">
        <v>44507</v>
      </c>
      <c r="PC22" s="38">
        <v>44508</v>
      </c>
      <c r="PD22" s="38">
        <v>44509</v>
      </c>
      <c r="PE22" s="38">
        <v>44510</v>
      </c>
      <c r="PF22" s="38">
        <v>44511</v>
      </c>
      <c r="PG22" s="38">
        <v>44512</v>
      </c>
      <c r="PH22" s="38">
        <v>44513</v>
      </c>
      <c r="PI22" s="38">
        <v>44514</v>
      </c>
      <c r="PJ22" s="38">
        <v>44515</v>
      </c>
      <c r="PK22" s="38">
        <v>44516</v>
      </c>
      <c r="PL22" s="38">
        <v>44517</v>
      </c>
      <c r="PM22" s="38">
        <v>44518</v>
      </c>
      <c r="PN22" s="38">
        <v>44519</v>
      </c>
      <c r="PO22" s="38">
        <v>44520</v>
      </c>
      <c r="PP22" s="38">
        <v>44521</v>
      </c>
      <c r="PQ22" s="38">
        <v>44522</v>
      </c>
      <c r="PR22" s="38">
        <v>44523</v>
      </c>
      <c r="PS22" s="38">
        <v>44524</v>
      </c>
      <c r="PT22" s="38">
        <v>44525</v>
      </c>
      <c r="PU22" s="38">
        <v>44526</v>
      </c>
      <c r="PV22" s="38">
        <v>44527</v>
      </c>
      <c r="PW22" s="38">
        <v>44528</v>
      </c>
      <c r="PX22" s="38">
        <v>44529</v>
      </c>
      <c r="PY22" s="38">
        <v>44530</v>
      </c>
      <c r="PZ22" s="38">
        <v>44531</v>
      </c>
      <c r="QA22" s="38">
        <v>44532</v>
      </c>
      <c r="QB22" s="38">
        <v>44533</v>
      </c>
      <c r="QC22" s="38">
        <v>44534</v>
      </c>
      <c r="QD22" s="38">
        <v>44535</v>
      </c>
      <c r="QE22" s="38">
        <v>44536</v>
      </c>
      <c r="QF22" s="38">
        <v>44537</v>
      </c>
      <c r="QG22" s="38">
        <v>44538</v>
      </c>
      <c r="QH22" s="38">
        <v>44539</v>
      </c>
      <c r="QI22" s="38">
        <v>44540</v>
      </c>
      <c r="QJ22" s="38">
        <v>44541</v>
      </c>
      <c r="QK22" s="38">
        <v>44542</v>
      </c>
      <c r="QL22" s="38">
        <v>44543</v>
      </c>
      <c r="QM22" s="38">
        <v>44544</v>
      </c>
      <c r="QN22" s="38">
        <v>44545</v>
      </c>
      <c r="QO22" s="38">
        <v>44546</v>
      </c>
      <c r="QP22" s="38">
        <v>44547</v>
      </c>
      <c r="QQ22" s="38">
        <v>44548</v>
      </c>
      <c r="QR22" s="38">
        <v>44549</v>
      </c>
      <c r="QS22" s="38">
        <v>44550</v>
      </c>
      <c r="QT22" s="38">
        <v>44551</v>
      </c>
      <c r="QU22" s="38">
        <v>44552</v>
      </c>
      <c r="QV22" s="38">
        <v>44553</v>
      </c>
      <c r="QW22" s="38">
        <v>44554</v>
      </c>
      <c r="QX22" s="38">
        <v>44555</v>
      </c>
      <c r="QY22" s="38">
        <v>44556</v>
      </c>
      <c r="QZ22" s="38">
        <v>44557</v>
      </c>
      <c r="RA22" s="38">
        <v>44558</v>
      </c>
      <c r="RB22" s="38">
        <v>44559</v>
      </c>
      <c r="RC22" s="38">
        <v>44560</v>
      </c>
      <c r="RD22" s="38">
        <v>44561</v>
      </c>
      <c r="RE22" s="38">
        <v>44562</v>
      </c>
      <c r="RF22" s="38">
        <v>44563</v>
      </c>
      <c r="RG22" s="38">
        <v>44564</v>
      </c>
      <c r="RH22" s="38">
        <v>44565</v>
      </c>
      <c r="RI22" s="38">
        <v>44566</v>
      </c>
      <c r="RJ22" s="38">
        <v>44567</v>
      </c>
      <c r="RK22" s="38">
        <v>44568</v>
      </c>
      <c r="RL22" s="38">
        <v>44569</v>
      </c>
      <c r="RM22" s="38">
        <v>44570</v>
      </c>
      <c r="RN22" s="38">
        <v>44571</v>
      </c>
      <c r="RO22" s="38">
        <v>44572</v>
      </c>
      <c r="RP22" s="38">
        <v>44573</v>
      </c>
      <c r="RQ22" s="38">
        <v>44574</v>
      </c>
      <c r="RR22" s="38">
        <v>44575</v>
      </c>
      <c r="RS22" s="38">
        <v>44576</v>
      </c>
      <c r="RT22" s="38">
        <v>44577</v>
      </c>
      <c r="RU22" s="38">
        <v>44578</v>
      </c>
      <c r="RV22" s="38">
        <v>44579</v>
      </c>
      <c r="RW22" s="38">
        <v>44580</v>
      </c>
      <c r="RX22" s="38">
        <v>44581</v>
      </c>
      <c r="RY22" s="38">
        <v>44582</v>
      </c>
      <c r="RZ22" s="38">
        <v>44583</v>
      </c>
      <c r="SA22" s="38">
        <v>44584</v>
      </c>
      <c r="SB22" s="38">
        <v>44585</v>
      </c>
      <c r="SC22" s="38">
        <v>44586</v>
      </c>
      <c r="SD22" s="38">
        <v>44587</v>
      </c>
      <c r="SE22" s="38">
        <v>44588</v>
      </c>
      <c r="SF22" s="38">
        <v>44589</v>
      </c>
      <c r="SG22" s="38">
        <v>44590</v>
      </c>
      <c r="SH22" s="38">
        <v>44591</v>
      </c>
      <c r="SI22" s="38">
        <v>44592</v>
      </c>
      <c r="SJ22" s="38">
        <v>44593</v>
      </c>
      <c r="SK22" s="38">
        <v>44594</v>
      </c>
      <c r="SL22" s="38">
        <v>44595</v>
      </c>
      <c r="SM22" s="38">
        <v>44596</v>
      </c>
      <c r="SN22" s="38">
        <v>44597</v>
      </c>
      <c r="SO22" s="38">
        <v>44598</v>
      </c>
      <c r="SP22" s="38">
        <v>44599</v>
      </c>
      <c r="SQ22" s="38">
        <v>44600</v>
      </c>
      <c r="SR22" s="38">
        <v>44601</v>
      </c>
      <c r="SS22" s="38">
        <v>44602</v>
      </c>
      <c r="ST22" s="38">
        <v>44603</v>
      </c>
      <c r="SU22" s="38">
        <v>44604</v>
      </c>
      <c r="SV22" s="38">
        <v>44605</v>
      </c>
      <c r="SW22" s="38">
        <v>44606</v>
      </c>
      <c r="SX22" s="38">
        <v>44607</v>
      </c>
      <c r="SY22" s="38">
        <v>44608</v>
      </c>
      <c r="SZ22" s="38">
        <v>44609</v>
      </c>
      <c r="TA22" s="38">
        <v>44610</v>
      </c>
      <c r="TB22" s="38">
        <v>44611</v>
      </c>
      <c r="TC22" s="38">
        <v>44612</v>
      </c>
      <c r="TD22" s="38">
        <v>44613</v>
      </c>
      <c r="TE22" s="38">
        <v>44614</v>
      </c>
      <c r="TF22" s="38">
        <v>44615</v>
      </c>
      <c r="TG22" s="38">
        <v>44616</v>
      </c>
      <c r="TH22" s="38">
        <v>44617</v>
      </c>
      <c r="TI22" s="38">
        <v>44618</v>
      </c>
      <c r="TJ22" s="38">
        <v>44619</v>
      </c>
      <c r="TK22" s="38">
        <v>44620</v>
      </c>
      <c r="TL22" s="38">
        <v>44621</v>
      </c>
      <c r="TM22" s="38">
        <v>44622</v>
      </c>
      <c r="TN22" s="38">
        <v>44623</v>
      </c>
      <c r="TO22" s="38">
        <v>44624</v>
      </c>
      <c r="TP22" s="38">
        <v>44625</v>
      </c>
      <c r="TQ22" s="38">
        <v>44626</v>
      </c>
      <c r="TR22" s="38">
        <v>44627</v>
      </c>
      <c r="TS22" s="38">
        <v>44628</v>
      </c>
      <c r="TT22" s="38">
        <v>44629</v>
      </c>
      <c r="TU22" s="38">
        <v>44630</v>
      </c>
      <c r="TV22" s="38">
        <v>44631</v>
      </c>
      <c r="TW22" s="38">
        <v>44632</v>
      </c>
      <c r="TX22" s="38">
        <v>44633</v>
      </c>
      <c r="TY22" s="38">
        <v>44634</v>
      </c>
      <c r="TZ22" s="38">
        <v>44635</v>
      </c>
      <c r="UA22" s="38">
        <v>44636</v>
      </c>
      <c r="UB22" s="38">
        <v>44637</v>
      </c>
      <c r="UC22" s="38">
        <v>44638</v>
      </c>
      <c r="UD22" s="38">
        <v>44639</v>
      </c>
      <c r="UE22" s="38">
        <v>44640</v>
      </c>
      <c r="UF22" s="38">
        <v>44641</v>
      </c>
      <c r="UG22" s="38">
        <v>44642</v>
      </c>
      <c r="UH22" s="38">
        <v>44643</v>
      </c>
      <c r="UI22" s="38">
        <v>44644</v>
      </c>
      <c r="UJ22" s="38">
        <v>44645</v>
      </c>
      <c r="UK22" s="38">
        <v>44646</v>
      </c>
      <c r="UL22" s="38">
        <v>44647</v>
      </c>
      <c r="UM22" s="38">
        <v>44648</v>
      </c>
      <c r="UN22" s="38">
        <v>44649</v>
      </c>
      <c r="UO22" s="38">
        <v>44650</v>
      </c>
      <c r="UP22" s="38">
        <v>44651</v>
      </c>
      <c r="UQ22" s="38">
        <v>44652</v>
      </c>
      <c r="UR22" s="38">
        <v>44653</v>
      </c>
      <c r="US22" s="38">
        <v>44654</v>
      </c>
      <c r="UT22" s="38">
        <v>44655</v>
      </c>
      <c r="UU22" s="38">
        <v>44656</v>
      </c>
      <c r="UV22" s="38">
        <v>44657</v>
      </c>
      <c r="UW22" s="38">
        <v>44658</v>
      </c>
      <c r="UX22" s="38">
        <v>44659</v>
      </c>
      <c r="UY22" s="38">
        <v>44660</v>
      </c>
      <c r="UZ22" s="38">
        <v>44661</v>
      </c>
      <c r="VA22" s="38">
        <v>44662</v>
      </c>
      <c r="VB22" s="38">
        <v>44663</v>
      </c>
      <c r="VC22" s="38">
        <v>44664</v>
      </c>
      <c r="VD22" s="38">
        <v>44665</v>
      </c>
      <c r="VE22" s="38">
        <v>44666</v>
      </c>
      <c r="VF22" s="38">
        <v>44667</v>
      </c>
      <c r="VG22" s="38">
        <v>44668</v>
      </c>
      <c r="VH22" s="38">
        <v>44669</v>
      </c>
      <c r="VI22" s="38">
        <v>44670</v>
      </c>
      <c r="VJ22" s="38">
        <v>44671</v>
      </c>
      <c r="VK22" s="38">
        <v>44672</v>
      </c>
      <c r="VL22" s="38">
        <v>44673</v>
      </c>
      <c r="VM22" s="38">
        <v>44674</v>
      </c>
      <c r="VN22" s="38">
        <v>44675</v>
      </c>
      <c r="VO22" s="38">
        <v>44676</v>
      </c>
      <c r="VP22" s="38">
        <v>44677</v>
      </c>
      <c r="VQ22" s="38">
        <v>44678</v>
      </c>
      <c r="VR22" s="38">
        <v>44679</v>
      </c>
      <c r="VS22" s="38">
        <v>44680</v>
      </c>
      <c r="VT22" s="38">
        <v>44681</v>
      </c>
      <c r="VU22" s="38">
        <v>44682</v>
      </c>
      <c r="VV22" s="38">
        <v>44683</v>
      </c>
      <c r="VW22" s="38">
        <v>44684</v>
      </c>
      <c r="VX22" s="38">
        <v>44685</v>
      </c>
      <c r="VY22" s="38">
        <v>44686</v>
      </c>
      <c r="VZ22" s="38">
        <v>44687</v>
      </c>
      <c r="WA22" s="38">
        <v>44688</v>
      </c>
      <c r="WB22" s="38">
        <v>44689</v>
      </c>
      <c r="WC22" s="38">
        <v>44690</v>
      </c>
      <c r="WD22" s="38">
        <v>44691</v>
      </c>
      <c r="WE22" s="38">
        <v>44692</v>
      </c>
      <c r="WF22" s="38">
        <v>44693</v>
      </c>
      <c r="WG22" s="38">
        <v>44694</v>
      </c>
      <c r="WH22" s="38">
        <v>44695</v>
      </c>
      <c r="WI22" s="38">
        <v>44696</v>
      </c>
      <c r="WJ22" s="38">
        <v>44697</v>
      </c>
      <c r="WK22" s="38">
        <v>44698</v>
      </c>
      <c r="WL22" s="38">
        <v>44699</v>
      </c>
      <c r="WM22" s="38">
        <v>44700</v>
      </c>
      <c r="WN22" s="38">
        <v>44701</v>
      </c>
      <c r="WO22" s="38">
        <v>44702</v>
      </c>
      <c r="WP22" s="38">
        <v>44703</v>
      </c>
      <c r="WQ22" s="38">
        <v>44704</v>
      </c>
      <c r="WR22" s="38">
        <v>44705</v>
      </c>
      <c r="WS22" s="38">
        <v>44706</v>
      </c>
      <c r="WT22" s="38">
        <v>44707</v>
      </c>
      <c r="WU22" s="38">
        <v>44708</v>
      </c>
      <c r="WV22" s="38">
        <v>44709</v>
      </c>
      <c r="WW22" s="38">
        <v>44710</v>
      </c>
      <c r="WX22" s="38">
        <v>44711</v>
      </c>
      <c r="WY22" s="38">
        <v>44712</v>
      </c>
      <c r="WZ22" s="38">
        <v>44713</v>
      </c>
      <c r="XA22" s="38">
        <v>44714</v>
      </c>
      <c r="XB22" s="38">
        <v>44715</v>
      </c>
      <c r="XC22" s="38">
        <v>44716</v>
      </c>
      <c r="XD22" s="38">
        <v>44717</v>
      </c>
      <c r="XE22" s="38">
        <v>44718</v>
      </c>
      <c r="XF22" s="38">
        <v>44719</v>
      </c>
      <c r="XG22" s="38">
        <v>44720</v>
      </c>
      <c r="XH22" s="38">
        <v>44721</v>
      </c>
      <c r="XI22" s="38">
        <v>44722</v>
      </c>
      <c r="XJ22" s="38">
        <v>44723</v>
      </c>
      <c r="XK22" s="38">
        <v>44724</v>
      </c>
      <c r="XL22" s="38">
        <v>44725</v>
      </c>
      <c r="XM22" s="38">
        <v>44726</v>
      </c>
      <c r="XN22" s="38">
        <v>44727</v>
      </c>
      <c r="XO22" s="38">
        <v>44728</v>
      </c>
      <c r="XP22" s="38">
        <v>44729</v>
      </c>
      <c r="XQ22" s="38">
        <v>44730</v>
      </c>
      <c r="XR22" s="38">
        <v>44731</v>
      </c>
      <c r="XS22" s="38">
        <v>44732</v>
      </c>
      <c r="XT22" s="38">
        <v>44733</v>
      </c>
      <c r="XU22" s="38">
        <v>44734</v>
      </c>
      <c r="XV22" s="38">
        <v>44735</v>
      </c>
      <c r="XW22" s="38">
        <v>44736</v>
      </c>
      <c r="XX22" s="38">
        <v>44737</v>
      </c>
      <c r="XY22" s="38">
        <v>44738</v>
      </c>
      <c r="XZ22" s="38">
        <v>44739</v>
      </c>
      <c r="YA22" s="38">
        <v>44740</v>
      </c>
      <c r="YB22" s="38">
        <v>44741</v>
      </c>
      <c r="YC22" s="38">
        <v>44742</v>
      </c>
      <c r="YD22" s="38">
        <v>44743</v>
      </c>
      <c r="YE22" s="38">
        <v>44744</v>
      </c>
      <c r="YF22" s="38">
        <v>44745</v>
      </c>
      <c r="YG22" s="38">
        <v>44746</v>
      </c>
      <c r="YH22" s="38">
        <v>44747</v>
      </c>
      <c r="YI22" s="38">
        <v>44748</v>
      </c>
      <c r="YJ22" s="38">
        <v>44749</v>
      </c>
      <c r="YK22" s="38">
        <v>44750</v>
      </c>
      <c r="YL22" s="38">
        <v>44751</v>
      </c>
      <c r="YM22" s="38">
        <v>44752</v>
      </c>
      <c r="YN22" s="38">
        <v>44753</v>
      </c>
      <c r="YO22" s="38">
        <v>44754</v>
      </c>
      <c r="YP22" s="38">
        <v>44755</v>
      </c>
      <c r="YQ22" s="38">
        <v>44756</v>
      </c>
      <c r="YR22" s="38">
        <v>44757</v>
      </c>
      <c r="YS22" s="38">
        <v>44758</v>
      </c>
      <c r="YT22" s="38">
        <v>44759</v>
      </c>
      <c r="YU22" s="38">
        <v>44760</v>
      </c>
      <c r="YV22" s="38">
        <v>44761</v>
      </c>
      <c r="YW22" s="38">
        <v>44762</v>
      </c>
      <c r="YX22" s="38">
        <v>44763</v>
      </c>
      <c r="YY22" s="38">
        <v>44764</v>
      </c>
      <c r="YZ22" s="38">
        <v>44765</v>
      </c>
      <c r="ZA22" s="38">
        <v>44766</v>
      </c>
      <c r="ZB22" s="38">
        <v>44767</v>
      </c>
      <c r="ZC22" s="38">
        <v>44768</v>
      </c>
      <c r="ZD22" s="38">
        <v>44769</v>
      </c>
      <c r="ZE22" s="38">
        <v>44770</v>
      </c>
      <c r="ZF22" s="38">
        <v>44771</v>
      </c>
      <c r="ZG22" s="38">
        <v>44772</v>
      </c>
      <c r="ZH22" s="38">
        <v>44774</v>
      </c>
      <c r="ZI22" s="38">
        <v>44775</v>
      </c>
      <c r="ZJ22" s="38">
        <v>44776</v>
      </c>
      <c r="ZK22" s="38">
        <v>44777</v>
      </c>
      <c r="ZL22" s="38">
        <v>44778</v>
      </c>
      <c r="ZM22" s="38">
        <v>44779</v>
      </c>
      <c r="ZN22" s="38">
        <v>44780</v>
      </c>
      <c r="ZO22" s="38">
        <v>44781</v>
      </c>
      <c r="ZP22" s="38">
        <v>44782</v>
      </c>
      <c r="ZQ22" s="38">
        <v>44783</v>
      </c>
      <c r="ZR22" s="38">
        <v>44784</v>
      </c>
      <c r="ZS22" s="46">
        <v>44785</v>
      </c>
      <c r="ZT22" s="46">
        <v>44786</v>
      </c>
      <c r="ZU22" s="38">
        <v>44787</v>
      </c>
      <c r="ZV22" s="38">
        <v>44788</v>
      </c>
      <c r="ZW22" s="38">
        <v>44789</v>
      </c>
      <c r="ZX22" s="38">
        <v>44790</v>
      </c>
      <c r="ZY22" s="38">
        <v>44791</v>
      </c>
      <c r="ZZ22" s="38">
        <v>44792</v>
      </c>
      <c r="AAA22" s="38">
        <v>44793</v>
      </c>
      <c r="AAB22" s="38">
        <v>44794</v>
      </c>
      <c r="AAC22" s="38">
        <v>44795</v>
      </c>
      <c r="AAD22" s="38">
        <v>44796</v>
      </c>
      <c r="AAE22" s="38">
        <v>44797</v>
      </c>
      <c r="AAF22" s="38">
        <v>44798</v>
      </c>
      <c r="AAG22" s="38">
        <v>44799</v>
      </c>
      <c r="AAH22" s="38">
        <v>44800</v>
      </c>
      <c r="AAI22" s="38">
        <v>44801</v>
      </c>
      <c r="AAJ22" s="38">
        <v>44802</v>
      </c>
      <c r="AAK22" s="38">
        <v>44803</v>
      </c>
      <c r="AAL22" s="38">
        <v>44804</v>
      </c>
      <c r="AAM22" s="38">
        <v>44805</v>
      </c>
      <c r="AAN22" s="38">
        <v>44806</v>
      </c>
      <c r="AAO22" s="38">
        <v>44807</v>
      </c>
      <c r="AAP22" s="38">
        <v>44808</v>
      </c>
      <c r="AAQ22" s="38">
        <v>44809</v>
      </c>
      <c r="AAR22" s="38">
        <v>44810</v>
      </c>
      <c r="AAS22" s="38">
        <v>44811</v>
      </c>
      <c r="AAT22" s="38">
        <v>44812</v>
      </c>
      <c r="AAU22" s="38">
        <v>44813</v>
      </c>
      <c r="AAV22" s="38">
        <v>44814</v>
      </c>
      <c r="AAW22" s="38">
        <v>44815</v>
      </c>
      <c r="AAX22" s="38">
        <v>44816</v>
      </c>
      <c r="AAY22" s="38">
        <v>44817</v>
      </c>
      <c r="AAZ22" s="38">
        <v>44818</v>
      </c>
      <c r="ABA22" s="38">
        <v>44819</v>
      </c>
      <c r="ABB22" s="38">
        <v>44820</v>
      </c>
      <c r="ABC22" s="38">
        <v>44821</v>
      </c>
      <c r="ABD22" s="38">
        <v>44822</v>
      </c>
      <c r="ABE22" s="38">
        <v>44823</v>
      </c>
      <c r="ABF22" s="38">
        <v>44824</v>
      </c>
      <c r="ABG22" s="38">
        <v>44825</v>
      </c>
      <c r="ABH22" s="38">
        <v>44826</v>
      </c>
      <c r="ABI22" s="38">
        <v>44827</v>
      </c>
      <c r="ABJ22" s="38">
        <v>44828</v>
      </c>
      <c r="ABK22" s="38">
        <v>44829</v>
      </c>
      <c r="ABL22" s="38">
        <v>44830</v>
      </c>
      <c r="ABM22" s="38">
        <v>44831</v>
      </c>
      <c r="ABN22" s="38">
        <v>44832</v>
      </c>
      <c r="ABO22" s="38">
        <v>44833</v>
      </c>
      <c r="ABP22" s="38">
        <v>44834</v>
      </c>
      <c r="ABQ22" s="38">
        <v>44835</v>
      </c>
      <c r="ABR22" s="38">
        <v>44836</v>
      </c>
      <c r="ABS22" s="38">
        <v>44837</v>
      </c>
      <c r="ABT22" s="38">
        <v>44838</v>
      </c>
      <c r="ABU22" s="38">
        <v>44839</v>
      </c>
      <c r="ABV22" s="38">
        <v>44840</v>
      </c>
      <c r="ABW22" s="38">
        <v>44841</v>
      </c>
      <c r="ABX22" s="38">
        <v>44842</v>
      </c>
      <c r="ABY22" s="38">
        <v>44843</v>
      </c>
      <c r="ABZ22" s="38">
        <v>44844</v>
      </c>
      <c r="ACA22" s="38">
        <v>44845</v>
      </c>
      <c r="ACB22" s="38">
        <v>44846</v>
      </c>
      <c r="ACC22" s="38">
        <v>44847</v>
      </c>
      <c r="ACD22" s="38">
        <v>44848</v>
      </c>
      <c r="ACE22" s="38">
        <v>44849</v>
      </c>
      <c r="ACF22" s="38">
        <v>44850</v>
      </c>
      <c r="ACG22" s="38">
        <v>44851</v>
      </c>
      <c r="ACH22" s="38">
        <v>44852</v>
      </c>
      <c r="ACI22" s="38">
        <v>44853</v>
      </c>
      <c r="ACJ22" s="38">
        <v>44854</v>
      </c>
      <c r="ACK22" s="38">
        <v>44855</v>
      </c>
      <c r="ACL22" s="38">
        <v>44856</v>
      </c>
      <c r="ACM22" s="38">
        <v>44857</v>
      </c>
      <c r="ACN22" s="38">
        <v>44858</v>
      </c>
      <c r="ACO22" s="38">
        <v>44859</v>
      </c>
      <c r="ACP22" s="38">
        <v>44860</v>
      </c>
      <c r="ACQ22" s="38">
        <v>44861</v>
      </c>
      <c r="ACR22" s="38">
        <v>44862</v>
      </c>
      <c r="ACS22" s="38">
        <v>44863</v>
      </c>
      <c r="ACT22" s="38">
        <v>44864</v>
      </c>
      <c r="ACU22" s="38">
        <v>44865</v>
      </c>
      <c r="ACV22" s="38">
        <v>44866</v>
      </c>
      <c r="ACW22" s="38">
        <v>44867</v>
      </c>
      <c r="ACX22" s="38">
        <v>44868</v>
      </c>
      <c r="ACY22" s="38">
        <v>44869</v>
      </c>
      <c r="ACZ22" s="38">
        <v>44870</v>
      </c>
      <c r="ADA22" s="38">
        <v>44871</v>
      </c>
      <c r="ADB22" s="38">
        <v>44872</v>
      </c>
      <c r="ADC22" s="38">
        <v>44873</v>
      </c>
      <c r="ADD22" s="38">
        <v>44874</v>
      </c>
      <c r="ADE22" s="38">
        <v>44875</v>
      </c>
      <c r="ADF22" s="38">
        <v>44876</v>
      </c>
      <c r="ADG22" s="38">
        <v>44877</v>
      </c>
      <c r="ADH22" s="38">
        <v>44878</v>
      </c>
      <c r="ADI22" s="38">
        <v>44879</v>
      </c>
      <c r="ADJ22" s="38">
        <v>44880</v>
      </c>
      <c r="ADK22" s="38">
        <v>44881</v>
      </c>
      <c r="ADL22" s="38">
        <v>44882</v>
      </c>
      <c r="ADM22" s="38">
        <v>44883</v>
      </c>
      <c r="ADN22" s="38">
        <v>44884</v>
      </c>
      <c r="ADO22" s="38">
        <v>44885</v>
      </c>
      <c r="ADP22" s="38">
        <v>44886</v>
      </c>
      <c r="ADQ22" s="38">
        <v>44887</v>
      </c>
      <c r="ADR22" s="38">
        <v>44888</v>
      </c>
      <c r="ADS22" s="38">
        <v>44889</v>
      </c>
      <c r="ADT22" s="38">
        <v>44890</v>
      </c>
      <c r="ADU22" s="38">
        <v>44891</v>
      </c>
      <c r="ADV22" s="38">
        <v>44892</v>
      </c>
      <c r="ADW22" s="38">
        <v>44893</v>
      </c>
      <c r="ADX22" s="38">
        <v>44894</v>
      </c>
      <c r="ADY22" s="38">
        <v>44895</v>
      </c>
      <c r="ADZ22" s="38">
        <v>44896</v>
      </c>
      <c r="AEA22" s="38">
        <v>44897</v>
      </c>
      <c r="AEB22" s="38">
        <v>44898</v>
      </c>
      <c r="AEC22" s="38">
        <v>44899</v>
      </c>
      <c r="AED22" s="38">
        <v>44900</v>
      </c>
      <c r="AEE22" s="38">
        <v>44901</v>
      </c>
      <c r="AEF22" s="38">
        <v>44902</v>
      </c>
      <c r="AEG22" s="38">
        <v>44903</v>
      </c>
      <c r="AEH22" s="38">
        <v>44904</v>
      </c>
      <c r="AEI22" s="38">
        <v>44905</v>
      </c>
      <c r="AEJ22" s="38">
        <v>44906</v>
      </c>
      <c r="AEK22" s="38">
        <v>44907</v>
      </c>
      <c r="AEL22" s="38">
        <v>44908</v>
      </c>
      <c r="AEM22" s="38">
        <v>44909</v>
      </c>
      <c r="AEN22" s="38">
        <v>44910</v>
      </c>
      <c r="AEO22" s="38">
        <v>44911</v>
      </c>
      <c r="AEP22" s="38">
        <v>44912</v>
      </c>
      <c r="AEQ22" s="38">
        <v>44913</v>
      </c>
      <c r="AER22" s="38">
        <v>44914</v>
      </c>
      <c r="AES22" s="38">
        <v>44915</v>
      </c>
      <c r="AET22" s="38">
        <v>44916</v>
      </c>
      <c r="AEU22" s="38">
        <v>44917</v>
      </c>
      <c r="AEV22" s="38">
        <v>44918</v>
      </c>
      <c r="AEW22" s="38">
        <v>44919</v>
      </c>
      <c r="AEX22" s="38">
        <v>44920</v>
      </c>
      <c r="AEY22" s="38">
        <v>44921</v>
      </c>
      <c r="AEZ22" s="38">
        <v>44922</v>
      </c>
      <c r="AFA22" s="38">
        <v>44923</v>
      </c>
      <c r="AFB22" s="38">
        <v>44924</v>
      </c>
      <c r="AFC22" s="38">
        <v>44925</v>
      </c>
      <c r="AFD22" s="38">
        <v>44926</v>
      </c>
      <c r="AFE22" s="38">
        <v>44927</v>
      </c>
      <c r="AFF22" s="38">
        <v>44928</v>
      </c>
      <c r="AFG22" s="38">
        <v>44929</v>
      </c>
      <c r="AFH22" s="38">
        <v>44930</v>
      </c>
      <c r="AFI22" s="38">
        <v>44931</v>
      </c>
      <c r="AFJ22" s="38">
        <v>44932</v>
      </c>
      <c r="AFK22" s="38">
        <v>44933</v>
      </c>
      <c r="AFL22" s="38">
        <v>44934</v>
      </c>
      <c r="AFM22" s="38">
        <v>44935</v>
      </c>
      <c r="AFN22" s="38">
        <v>44936</v>
      </c>
      <c r="AFO22" s="38">
        <v>44937</v>
      </c>
      <c r="AFP22" s="38">
        <v>44938</v>
      </c>
      <c r="AFQ22" s="38">
        <v>44939</v>
      </c>
      <c r="AFR22" s="38">
        <v>44940</v>
      </c>
      <c r="AFS22" s="38">
        <v>44941</v>
      </c>
      <c r="AFT22" s="38">
        <v>44942</v>
      </c>
      <c r="AFU22" s="38">
        <v>44943</v>
      </c>
      <c r="AFV22" s="38">
        <v>44944</v>
      </c>
      <c r="AFW22" s="38">
        <v>44945</v>
      </c>
      <c r="AFX22" s="38">
        <v>44946</v>
      </c>
      <c r="AFY22" s="38">
        <v>44947</v>
      </c>
      <c r="AFZ22" s="38">
        <v>44948</v>
      </c>
      <c r="AGA22" s="38">
        <v>44949</v>
      </c>
      <c r="AGB22" s="38">
        <v>44950</v>
      </c>
      <c r="AGC22" s="38">
        <v>44951</v>
      </c>
      <c r="AGD22" s="38">
        <v>44952</v>
      </c>
      <c r="AGE22" s="38">
        <v>44953</v>
      </c>
      <c r="AGF22" s="38">
        <v>44954</v>
      </c>
      <c r="AGG22" s="38">
        <v>44955</v>
      </c>
      <c r="AGH22" s="38">
        <v>44956</v>
      </c>
      <c r="AGI22" s="38">
        <v>44957</v>
      </c>
      <c r="AGJ22" s="38">
        <v>44958</v>
      </c>
      <c r="AGK22" s="38">
        <v>44959</v>
      </c>
      <c r="AGL22" s="38">
        <v>44960</v>
      </c>
      <c r="AGM22" s="38">
        <v>44961</v>
      </c>
      <c r="AGN22" s="38">
        <v>44962</v>
      </c>
      <c r="AGO22" s="38">
        <v>44963</v>
      </c>
      <c r="AGP22" s="38">
        <v>44964</v>
      </c>
      <c r="AGQ22" s="38">
        <v>44965</v>
      </c>
      <c r="AGR22" s="38">
        <v>44966</v>
      </c>
      <c r="AGS22" s="38">
        <v>44967</v>
      </c>
      <c r="AGT22" s="38">
        <v>44968</v>
      </c>
      <c r="AGU22" s="38">
        <v>44969</v>
      </c>
      <c r="AGV22" s="38">
        <v>44970</v>
      </c>
      <c r="AGW22" s="38">
        <v>44971</v>
      </c>
      <c r="AGX22" s="38">
        <v>44972</v>
      </c>
      <c r="AGY22" s="38">
        <v>44973</v>
      </c>
      <c r="AGZ22" s="38">
        <v>44974</v>
      </c>
      <c r="AHA22" s="38">
        <v>44975</v>
      </c>
      <c r="AHB22" s="38">
        <v>44976</v>
      </c>
      <c r="AHC22" s="38">
        <v>44977</v>
      </c>
      <c r="AHD22" s="38">
        <v>44978</v>
      </c>
      <c r="AHE22" s="38">
        <v>44979</v>
      </c>
      <c r="AHF22" s="38">
        <v>44980</v>
      </c>
      <c r="AHG22" s="38">
        <v>44981</v>
      </c>
      <c r="AHH22" s="38">
        <v>44982</v>
      </c>
      <c r="AHI22" s="38">
        <v>44983</v>
      </c>
      <c r="AHJ22" s="38">
        <v>44984</v>
      </c>
      <c r="AHK22" s="38">
        <v>44985</v>
      </c>
      <c r="AHL22" s="38">
        <v>44986</v>
      </c>
      <c r="AHM22" s="38">
        <v>44987</v>
      </c>
      <c r="AHN22" s="38">
        <v>44988</v>
      </c>
      <c r="AHO22" s="38">
        <v>44989</v>
      </c>
      <c r="AHP22" s="38">
        <v>44990</v>
      </c>
      <c r="AHQ22" s="49">
        <v>44991</v>
      </c>
    </row>
    <row r="23" spans="1:901">
      <c r="A23" s="1" t="s">
        <v>33</v>
      </c>
      <c r="B23" s="34">
        <v>1628194</v>
      </c>
      <c r="C23" s="34">
        <v>1653616</v>
      </c>
      <c r="D23">
        <v>1682249</v>
      </c>
      <c r="E23">
        <v>1707947</v>
      </c>
      <c r="F23">
        <v>1729040</v>
      </c>
      <c r="G23">
        <v>1765069</v>
      </c>
      <c r="H23">
        <v>1790835</v>
      </c>
      <c r="I23">
        <v>1815738</v>
      </c>
      <c r="J23">
        <v>1842991</v>
      </c>
      <c r="K23">
        <v>1868089</v>
      </c>
      <c r="L23">
        <v>1905361</v>
      </c>
      <c r="M23">
        <v>1926717</v>
      </c>
      <c r="N23">
        <v>1951789</v>
      </c>
      <c r="O23">
        <v>1951789</v>
      </c>
      <c r="P23">
        <v>2002975</v>
      </c>
      <c r="Q23">
        <v>2030512</v>
      </c>
      <c r="R23">
        <v>2051037</v>
      </c>
      <c r="S23">
        <v>2064250</v>
      </c>
      <c r="T23">
        <v>2084513</v>
      </c>
      <c r="U23">
        <v>2110994</v>
      </c>
      <c r="V23">
        <v>2140435</v>
      </c>
      <c r="W23">
        <v>2166276</v>
      </c>
      <c r="X23">
        <v>2191450</v>
      </c>
      <c r="Y23">
        <v>2211321</v>
      </c>
      <c r="Z23">
        <v>2225558</v>
      </c>
      <c r="AA23">
        <v>2239514</v>
      </c>
      <c r="AB23">
        <v>2260058</v>
      </c>
      <c r="AC23">
        <v>2283577</v>
      </c>
      <c r="AD23">
        <v>2311239</v>
      </c>
      <c r="AE23">
        <v>2338651</v>
      </c>
      <c r="AF23">
        <v>2359606</v>
      </c>
      <c r="AG23">
        <v>2373496</v>
      </c>
      <c r="AH23">
        <v>2626406</v>
      </c>
      <c r="AI23">
        <v>2663880</v>
      </c>
      <c r="AJ23">
        <v>2702220</v>
      </c>
      <c r="AK23">
        <v>2741416</v>
      </c>
      <c r="AL23">
        <v>2777087</v>
      </c>
      <c r="AM23">
        <v>2804114</v>
      </c>
      <c r="AN23">
        <v>2823654</v>
      </c>
      <c r="AO23">
        <v>2850102</v>
      </c>
      <c r="AP23">
        <v>2882949</v>
      </c>
      <c r="AQ23">
        <v>2915776</v>
      </c>
      <c r="AR23">
        <v>2947344</v>
      </c>
      <c r="AS23">
        <v>2980105</v>
      </c>
      <c r="AT23">
        <v>3006804</v>
      </c>
      <c r="AU23">
        <v>3022449</v>
      </c>
      <c r="AV23">
        <v>3047313</v>
      </c>
      <c r="AW23">
        <v>3078312</v>
      </c>
      <c r="AX23">
        <v>3114747</v>
      </c>
      <c r="AY23">
        <v>3142837</v>
      </c>
      <c r="AZ23">
        <v>3177564</v>
      </c>
      <c r="BA23">
        <v>3214626</v>
      </c>
      <c r="BB23">
        <v>3228651</v>
      </c>
      <c r="BC23">
        <v>3258221</v>
      </c>
      <c r="BD23">
        <v>3289756</v>
      </c>
      <c r="BE23">
        <v>3346229</v>
      </c>
      <c r="BF23">
        <v>3377749</v>
      </c>
      <c r="BG23">
        <v>3409487</v>
      </c>
      <c r="BH23">
        <v>3434801</v>
      </c>
      <c r="BI23">
        <v>3452519</v>
      </c>
      <c r="BJ23">
        <v>3474091</v>
      </c>
      <c r="BK23">
        <v>3508664</v>
      </c>
      <c r="BL23">
        <v>3508664</v>
      </c>
      <c r="BM23">
        <v>3585077</v>
      </c>
      <c r="BN23">
        <v>3622893</v>
      </c>
      <c r="BO23">
        <v>3661948</v>
      </c>
      <c r="BP23">
        <v>3677688</v>
      </c>
      <c r="BQ23">
        <v>3690837</v>
      </c>
      <c r="BR23">
        <v>3712880</v>
      </c>
      <c r="BS23">
        <v>3742317</v>
      </c>
      <c r="BT23">
        <v>3775098</v>
      </c>
      <c r="BU23">
        <v>3830421</v>
      </c>
      <c r="BV23">
        <v>3855893</v>
      </c>
      <c r="BW23">
        <v>3873231</v>
      </c>
      <c r="BX23">
        <v>3892522</v>
      </c>
      <c r="BY23">
        <v>3926286</v>
      </c>
      <c r="BZ23">
        <v>3975760</v>
      </c>
      <c r="CA23">
        <v>4022872</v>
      </c>
      <c r="CB23">
        <v>4055795</v>
      </c>
      <c r="CC23">
        <v>4084362</v>
      </c>
      <c r="CD23">
        <v>4101188</v>
      </c>
      <c r="CE23">
        <v>4111139</v>
      </c>
      <c r="CF23">
        <v>4124441</v>
      </c>
      <c r="CG23">
        <v>4145226</v>
      </c>
      <c r="CH23">
        <v>4173392</v>
      </c>
      <c r="CI23">
        <v>4210197</v>
      </c>
      <c r="CJ23">
        <v>4237401</v>
      </c>
      <c r="CK23">
        <v>4259194</v>
      </c>
      <c r="CL23">
        <v>4302194</v>
      </c>
      <c r="CM23">
        <v>4338785</v>
      </c>
      <c r="CN23">
        <v>4373384</v>
      </c>
      <c r="CO23">
        <v>4405320</v>
      </c>
      <c r="CP23">
        <v>4437322</v>
      </c>
      <c r="CQ23">
        <v>4464725</v>
      </c>
      <c r="CR23">
        <v>4496873</v>
      </c>
      <c r="CS23">
        <v>4520949</v>
      </c>
      <c r="CT23">
        <v>4558637</v>
      </c>
      <c r="CU23">
        <v>4597960</v>
      </c>
      <c r="CV23">
        <v>4597960</v>
      </c>
      <c r="CW23">
        <v>4597960</v>
      </c>
      <c r="CX23">
        <v>4661855</v>
      </c>
      <c r="CY23">
        <v>4683310</v>
      </c>
      <c r="CZ23">
        <v>4712288</v>
      </c>
      <c r="DA23">
        <v>4757372</v>
      </c>
      <c r="DB23">
        <v>4811498</v>
      </c>
      <c r="DC23">
        <v>4811498</v>
      </c>
      <c r="DD23">
        <v>4811498</v>
      </c>
      <c r="DE23">
        <v>4897167</v>
      </c>
      <c r="DF23">
        <v>4919347</v>
      </c>
      <c r="DG23">
        <v>4951166</v>
      </c>
      <c r="DH23">
        <v>5001234</v>
      </c>
      <c r="DI23">
        <v>5050350</v>
      </c>
      <c r="DJ23">
        <v>5099516</v>
      </c>
      <c r="DK23">
        <v>5157845</v>
      </c>
      <c r="DL23">
        <v>5189835</v>
      </c>
      <c r="DM23">
        <v>5228200</v>
      </c>
      <c r="DN23">
        <v>5260563</v>
      </c>
      <c r="DO23">
        <v>5314594</v>
      </c>
      <c r="DP23">
        <v>5365242</v>
      </c>
      <c r="DQ23">
        <v>5415971</v>
      </c>
      <c r="DR23">
        <v>5468091</v>
      </c>
      <c r="DS23">
        <v>5511604</v>
      </c>
      <c r="DT23">
        <v>5551195</v>
      </c>
      <c r="DU23">
        <v>5592646</v>
      </c>
      <c r="DV23">
        <v>5642212</v>
      </c>
      <c r="DW23">
        <v>5697210</v>
      </c>
      <c r="DX23">
        <v>5751173</v>
      </c>
      <c r="DY23">
        <v>5806612</v>
      </c>
      <c r="DZ23">
        <v>5853255</v>
      </c>
      <c r="EA23">
        <v>5882914</v>
      </c>
      <c r="EB23">
        <v>5919820</v>
      </c>
      <c r="EC23">
        <v>5974943</v>
      </c>
      <c r="ED23">
        <v>6024097</v>
      </c>
      <c r="EE23">
        <v>6070839</v>
      </c>
      <c r="EF23">
        <v>6116648</v>
      </c>
      <c r="EG23">
        <v>6157226</v>
      </c>
      <c r="EH23">
        <v>6191638</v>
      </c>
      <c r="EI23">
        <v>6226585</v>
      </c>
      <c r="EJ23">
        <v>6292787</v>
      </c>
      <c r="EK23">
        <v>6340947</v>
      </c>
      <c r="EL23">
        <v>6393504</v>
      </c>
      <c r="EM23">
        <v>6441249</v>
      </c>
      <c r="EN23">
        <v>6483493</v>
      </c>
      <c r="EO23">
        <v>6508214</v>
      </c>
      <c r="EP23">
        <v>6538865</v>
      </c>
      <c r="EQ23">
        <v>6588646</v>
      </c>
      <c r="ER23">
        <v>6638998</v>
      </c>
      <c r="ES23">
        <v>6690005</v>
      </c>
      <c r="ET23">
        <v>6739079</v>
      </c>
      <c r="EU23">
        <v>6793797</v>
      </c>
      <c r="EV23">
        <v>6835470</v>
      </c>
      <c r="EW23">
        <v>6865510</v>
      </c>
      <c r="EX23">
        <v>6901792</v>
      </c>
      <c r="EY23">
        <v>6947674</v>
      </c>
      <c r="EZ23">
        <v>7002049</v>
      </c>
      <c r="FA23">
        <v>7061619</v>
      </c>
      <c r="FB23">
        <v>7106842</v>
      </c>
      <c r="FC23">
        <v>7132192</v>
      </c>
      <c r="FD23">
        <v>7174337</v>
      </c>
      <c r="FE23">
        <v>7225225</v>
      </c>
      <c r="FF23">
        <v>7272015</v>
      </c>
      <c r="FG23">
        <v>7322351</v>
      </c>
      <c r="FH23">
        <v>7365796</v>
      </c>
      <c r="FI23">
        <v>7405891</v>
      </c>
      <c r="FJ23">
        <v>7436806</v>
      </c>
      <c r="FK23">
        <v>7466942</v>
      </c>
      <c r="FL23">
        <v>7510854</v>
      </c>
      <c r="FM23">
        <v>7565413</v>
      </c>
      <c r="FN23">
        <v>7617966</v>
      </c>
      <c r="FO23">
        <v>7660029</v>
      </c>
      <c r="FP23">
        <v>7697759</v>
      </c>
      <c r="FQ23">
        <v>7720598</v>
      </c>
      <c r="FR23">
        <v>7749005</v>
      </c>
      <c r="FS23">
        <v>7791570</v>
      </c>
      <c r="FT23">
        <v>7837030</v>
      </c>
      <c r="FU23">
        <v>7887278</v>
      </c>
      <c r="FV23">
        <v>7929640</v>
      </c>
      <c r="FW23">
        <v>7972452</v>
      </c>
      <c r="FX23">
        <v>7998673</v>
      </c>
      <c r="FY23">
        <v>8032713</v>
      </c>
      <c r="FZ23">
        <v>8082588</v>
      </c>
      <c r="GA23">
        <v>8137605</v>
      </c>
      <c r="GB23">
        <v>8189797</v>
      </c>
      <c r="GC23">
        <v>8251376</v>
      </c>
      <c r="GD23">
        <v>8309165</v>
      </c>
      <c r="GE23">
        <v>8340398</v>
      </c>
      <c r="GF23">
        <v>8383836</v>
      </c>
      <c r="GG23">
        <v>8433539</v>
      </c>
      <c r="GH23">
        <v>8477597</v>
      </c>
      <c r="GI23">
        <v>8517821</v>
      </c>
      <c r="GJ23">
        <v>8605895</v>
      </c>
      <c r="GK23">
        <v>8650723</v>
      </c>
      <c r="GL23">
        <v>8687916</v>
      </c>
      <c r="GM23">
        <v>8745746</v>
      </c>
      <c r="GN23">
        <v>8745746</v>
      </c>
      <c r="GO23">
        <v>8880480</v>
      </c>
      <c r="GP23">
        <v>8932772</v>
      </c>
      <c r="GQ23">
        <v>8982815</v>
      </c>
      <c r="GR23">
        <v>9036839</v>
      </c>
      <c r="GS23">
        <v>9069998</v>
      </c>
      <c r="GT23">
        <v>9116035</v>
      </c>
      <c r="GU23">
        <v>9191427</v>
      </c>
      <c r="GV23">
        <v>9266106</v>
      </c>
      <c r="GW23">
        <v>9361097</v>
      </c>
      <c r="GX23">
        <v>9451754</v>
      </c>
      <c r="GY23">
        <v>9527467</v>
      </c>
      <c r="GZ23">
        <v>9590737</v>
      </c>
      <c r="HA23" s="3">
        <v>9667041</v>
      </c>
      <c r="HB23">
        <v>9743345</v>
      </c>
      <c r="HC23">
        <v>9833106</v>
      </c>
      <c r="HD23">
        <v>9903405</v>
      </c>
      <c r="HE23">
        <v>10024309</v>
      </c>
      <c r="HF23">
        <v>10090767</v>
      </c>
      <c r="HG23">
        <v>10154530</v>
      </c>
      <c r="HH23">
        <v>10221233</v>
      </c>
      <c r="HI23">
        <v>10320622</v>
      </c>
      <c r="HJ23">
        <v>10421935</v>
      </c>
      <c r="HK23">
        <v>10521258</v>
      </c>
      <c r="HL23">
        <v>10608118</v>
      </c>
      <c r="HM23">
        <v>10689927</v>
      </c>
      <c r="HN23">
        <v>10733477</v>
      </c>
      <c r="HO23">
        <v>10800832</v>
      </c>
      <c r="HP23">
        <v>10887878</v>
      </c>
      <c r="HQ23">
        <v>10980050</v>
      </c>
      <c r="HR23">
        <v>11064135</v>
      </c>
      <c r="HS23">
        <v>11148350</v>
      </c>
      <c r="HT23">
        <v>11209847</v>
      </c>
      <c r="HU23">
        <v>11245454</v>
      </c>
      <c r="HV23">
        <v>11329752</v>
      </c>
      <c r="HW23">
        <v>11435298</v>
      </c>
      <c r="HX23">
        <v>11502946</v>
      </c>
      <c r="HY23">
        <v>11610358</v>
      </c>
      <c r="HZ23">
        <v>11683923</v>
      </c>
      <c r="IA23">
        <v>11779602</v>
      </c>
      <c r="IB23">
        <v>11821485</v>
      </c>
      <c r="IC23">
        <v>11891364</v>
      </c>
      <c r="ID23">
        <v>11983959</v>
      </c>
      <c r="IE23">
        <v>12066534</v>
      </c>
      <c r="IF23">
        <v>12142248</v>
      </c>
      <c r="IG23">
        <v>12224943</v>
      </c>
      <c r="IH23">
        <v>12331859</v>
      </c>
      <c r="II23">
        <v>12399366</v>
      </c>
      <c r="IJ23">
        <v>12490822</v>
      </c>
      <c r="IK23">
        <v>12602579</v>
      </c>
      <c r="IL23">
        <v>12728157</v>
      </c>
      <c r="IM23">
        <v>12824848</v>
      </c>
      <c r="IN23">
        <v>12924541</v>
      </c>
      <c r="IO23">
        <v>13104928</v>
      </c>
      <c r="IP23">
        <v>13187035</v>
      </c>
      <c r="IQ23">
        <v>13256309</v>
      </c>
      <c r="IR23">
        <v>13342649</v>
      </c>
      <c r="IS23">
        <v>13450530</v>
      </c>
      <c r="IT23">
        <v>13571645</v>
      </c>
      <c r="IU23">
        <v>13682632</v>
      </c>
      <c r="IV23">
        <v>13788201</v>
      </c>
      <c r="IW23">
        <v>13872622</v>
      </c>
      <c r="IX23">
        <v>13959670</v>
      </c>
      <c r="IY23">
        <v>14067367</v>
      </c>
      <c r="IZ23">
        <v>14178141</v>
      </c>
      <c r="JA23">
        <v>14294513</v>
      </c>
      <c r="JB23">
        <v>14400158</v>
      </c>
      <c r="JC23">
        <v>14496978</v>
      </c>
      <c r="JD23">
        <v>14563226</v>
      </c>
      <c r="JE23">
        <v>14639773</v>
      </c>
      <c r="JF23">
        <v>14752240</v>
      </c>
      <c r="JG23">
        <v>14861736</v>
      </c>
      <c r="JH23">
        <v>14963643</v>
      </c>
      <c r="JI23">
        <v>15067518</v>
      </c>
      <c r="JJ23">
        <v>15152696</v>
      </c>
      <c r="JK23">
        <v>15215447</v>
      </c>
      <c r="JL23">
        <v>15288817</v>
      </c>
      <c r="JM23">
        <v>15396089</v>
      </c>
      <c r="JN23">
        <v>15514806</v>
      </c>
      <c r="JO23">
        <v>15613752</v>
      </c>
      <c r="JP23">
        <v>15714020</v>
      </c>
      <c r="JQ23">
        <v>15791124</v>
      </c>
      <c r="JR23">
        <v>15840430</v>
      </c>
      <c r="JS23">
        <v>15880194</v>
      </c>
      <c r="JT23">
        <v>15955356</v>
      </c>
      <c r="JU23">
        <v>16071070</v>
      </c>
      <c r="JV23">
        <v>16179419</v>
      </c>
      <c r="JW23">
        <v>16275456</v>
      </c>
      <c r="JX23">
        <v>16367985</v>
      </c>
      <c r="JY23">
        <v>16428316</v>
      </c>
      <c r="JZ23">
        <v>16502856</v>
      </c>
      <c r="KA23">
        <v>16594163</v>
      </c>
      <c r="KB23">
        <v>16695671</v>
      </c>
      <c r="KC23">
        <v>16798807</v>
      </c>
      <c r="KD23">
        <v>16896843</v>
      </c>
      <c r="KE23">
        <v>16983108</v>
      </c>
      <c r="KF23">
        <v>17029887</v>
      </c>
      <c r="KG23">
        <v>17103226</v>
      </c>
      <c r="KH23">
        <v>17191657</v>
      </c>
      <c r="KI23">
        <v>17308884</v>
      </c>
      <c r="KJ23">
        <v>17417124</v>
      </c>
      <c r="KK23">
        <v>17503256</v>
      </c>
      <c r="KL23">
        <v>17573118</v>
      </c>
      <c r="KM23">
        <v>17623252</v>
      </c>
      <c r="KN23">
        <v>17699179</v>
      </c>
      <c r="KO23">
        <v>17804872</v>
      </c>
      <c r="KP23">
        <v>17914318</v>
      </c>
      <c r="KQ23">
        <v>18011294</v>
      </c>
      <c r="KR23">
        <v>18124062</v>
      </c>
      <c r="KS23">
        <v>18203426</v>
      </c>
      <c r="KT23">
        <v>18256320</v>
      </c>
      <c r="KU23">
        <v>18327480</v>
      </c>
      <c r="KV23">
        <v>18420915</v>
      </c>
      <c r="KW23">
        <v>18509454</v>
      </c>
      <c r="KX23">
        <v>18608333</v>
      </c>
      <c r="KY23">
        <v>18712620</v>
      </c>
      <c r="KZ23">
        <v>18797859</v>
      </c>
      <c r="LA23">
        <v>18855482</v>
      </c>
      <c r="LB23">
        <v>18933104</v>
      </c>
      <c r="LC23">
        <v>19045876</v>
      </c>
      <c r="LD23">
        <v>19144266</v>
      </c>
      <c r="LE23">
        <v>19242415</v>
      </c>
      <c r="LF23">
        <v>19334462</v>
      </c>
      <c r="LG23">
        <v>19423553</v>
      </c>
      <c r="LH23">
        <v>19478226</v>
      </c>
      <c r="LI23">
        <v>19546728</v>
      </c>
      <c r="LJ23">
        <v>19653400</v>
      </c>
      <c r="LK23">
        <v>19766387</v>
      </c>
      <c r="LL23">
        <v>19868624</v>
      </c>
      <c r="LM23">
        <v>19991213</v>
      </c>
      <c r="LN23">
        <v>20076112</v>
      </c>
      <c r="LO23">
        <v>20126808</v>
      </c>
      <c r="LP23">
        <v>20199694</v>
      </c>
      <c r="LQ23">
        <v>20301766</v>
      </c>
      <c r="LR23">
        <v>20386690</v>
      </c>
      <c r="LS23">
        <v>20527254</v>
      </c>
      <c r="LT23">
        <v>20609898</v>
      </c>
      <c r="LU23">
        <v>20703069</v>
      </c>
      <c r="LV23">
        <v>20754639</v>
      </c>
      <c r="LW23">
        <v>20794247</v>
      </c>
      <c r="LX23">
        <v>20872858</v>
      </c>
      <c r="LY23">
        <v>20976494</v>
      </c>
      <c r="LZ23">
        <v>21095350</v>
      </c>
      <c r="MA23">
        <v>21193092</v>
      </c>
      <c r="MB23">
        <v>21278831</v>
      </c>
      <c r="MC23">
        <v>21325706</v>
      </c>
      <c r="MD23">
        <v>21399630</v>
      </c>
      <c r="ME23">
        <v>21505614</v>
      </c>
      <c r="MF23">
        <v>21613675</v>
      </c>
      <c r="MG23">
        <v>21718507</v>
      </c>
      <c r="MH23">
        <v>21815621</v>
      </c>
      <c r="MI23">
        <v>21902593</v>
      </c>
      <c r="MJ23">
        <v>21946074</v>
      </c>
      <c r="MK23">
        <v>22017526</v>
      </c>
      <c r="ML23">
        <v>22117087</v>
      </c>
      <c r="MM23">
        <v>22216037</v>
      </c>
      <c r="MN23">
        <v>22307283</v>
      </c>
      <c r="MO23">
        <v>22388587</v>
      </c>
      <c r="MP23">
        <v>22458937</v>
      </c>
      <c r="MQ23">
        <v>22495634</v>
      </c>
      <c r="MR23">
        <v>22558730</v>
      </c>
      <c r="MS23">
        <v>22648977</v>
      </c>
      <c r="MT23">
        <v>22735338</v>
      </c>
      <c r="MU23">
        <v>24184869</v>
      </c>
      <c r="MV23">
        <v>24252818</v>
      </c>
      <c r="MW23">
        <v>24252818</v>
      </c>
      <c r="MX23">
        <v>24252818</v>
      </c>
      <c r="MY23">
        <v>24252818</v>
      </c>
      <c r="MZ23">
        <v>24252818</v>
      </c>
      <c r="NA23">
        <v>24252818</v>
      </c>
      <c r="NB23">
        <v>24252818</v>
      </c>
      <c r="NC23">
        <v>24252818</v>
      </c>
      <c r="ND23">
        <v>24252818</v>
      </c>
      <c r="NE23">
        <v>24252818</v>
      </c>
      <c r="NF23">
        <v>24252818</v>
      </c>
      <c r="NG23">
        <v>24252818</v>
      </c>
      <c r="NH23">
        <v>24252818</v>
      </c>
      <c r="NI23">
        <v>24252818</v>
      </c>
      <c r="NJ23">
        <v>24252818</v>
      </c>
      <c r="NK23">
        <v>24252818</v>
      </c>
      <c r="NL23">
        <v>24252818</v>
      </c>
      <c r="NM23">
        <v>24252818</v>
      </c>
      <c r="NN23">
        <v>24252818</v>
      </c>
      <c r="NO23">
        <v>24252818</v>
      </c>
      <c r="NP23">
        <v>24252818</v>
      </c>
      <c r="NQ23">
        <v>24252818</v>
      </c>
      <c r="NR23">
        <v>24252818</v>
      </c>
      <c r="NS23">
        <v>24252818</v>
      </c>
      <c r="NT23">
        <v>24252818</v>
      </c>
      <c r="NU23">
        <v>24252818</v>
      </c>
      <c r="NV23">
        <v>24252818</v>
      </c>
      <c r="NW23">
        <v>24252818</v>
      </c>
      <c r="NX23">
        <v>24252818</v>
      </c>
      <c r="NY23">
        <v>24252818</v>
      </c>
      <c r="NZ23">
        <v>24252818</v>
      </c>
      <c r="OA23">
        <v>24252818</v>
      </c>
      <c r="OB23">
        <v>24289731</v>
      </c>
      <c r="OC23">
        <v>24345129</v>
      </c>
      <c r="OD23">
        <v>24397834</v>
      </c>
      <c r="OE23">
        <v>24442563</v>
      </c>
      <c r="OF23">
        <v>24478432</v>
      </c>
      <c r="OG23">
        <v>24497430</v>
      </c>
      <c r="OH23">
        <v>24537499</v>
      </c>
      <c r="OI23">
        <v>24588472</v>
      </c>
      <c r="OJ23">
        <v>24638763</v>
      </c>
      <c r="OK23">
        <v>24692014</v>
      </c>
      <c r="OL23">
        <v>24744001</v>
      </c>
      <c r="OM23">
        <v>24781146</v>
      </c>
      <c r="ON23">
        <v>24804984</v>
      </c>
      <c r="OO23">
        <v>24847173</v>
      </c>
      <c r="OP23">
        <v>24896917</v>
      </c>
      <c r="OQ23">
        <v>24952990</v>
      </c>
      <c r="OR23">
        <v>25004055</v>
      </c>
      <c r="OS23">
        <v>25052705</v>
      </c>
      <c r="OT23">
        <v>25088953</v>
      </c>
      <c r="OU23">
        <v>25110230</v>
      </c>
      <c r="OV23">
        <v>25142279</v>
      </c>
      <c r="OW23">
        <v>25185115</v>
      </c>
      <c r="OX23">
        <v>25234179</v>
      </c>
      <c r="OY23">
        <v>25284121</v>
      </c>
      <c r="OZ23">
        <v>25325869</v>
      </c>
      <c r="PA23">
        <v>25360063</v>
      </c>
      <c r="PB23">
        <v>25380778</v>
      </c>
      <c r="PC23">
        <v>25417193</v>
      </c>
      <c r="PD23">
        <v>25457423</v>
      </c>
      <c r="PE23">
        <v>25504054</v>
      </c>
      <c r="PF23">
        <v>25549823</v>
      </c>
      <c r="PG23">
        <v>25589359</v>
      </c>
      <c r="PH23">
        <v>25622546</v>
      </c>
      <c r="PI23">
        <v>25642280</v>
      </c>
      <c r="PJ23">
        <v>25673638</v>
      </c>
      <c r="PK23">
        <v>25717039</v>
      </c>
      <c r="PL23">
        <v>25759848</v>
      </c>
      <c r="PM23">
        <v>25809622</v>
      </c>
      <c r="PN23">
        <v>25854639</v>
      </c>
      <c r="PO23">
        <v>25886510</v>
      </c>
      <c r="PP23">
        <v>25903897</v>
      </c>
      <c r="PQ23">
        <v>25918391</v>
      </c>
      <c r="PR23">
        <v>25947674</v>
      </c>
      <c r="PS23">
        <v>25988908</v>
      </c>
      <c r="PT23">
        <v>26029617</v>
      </c>
      <c r="PU23">
        <v>26078053</v>
      </c>
      <c r="PV23">
        <v>26111525</v>
      </c>
      <c r="PW23">
        <v>26132048</v>
      </c>
      <c r="PX23">
        <v>26173874</v>
      </c>
      <c r="PY23">
        <v>26222843</v>
      </c>
      <c r="PZ23">
        <v>26260861</v>
      </c>
      <c r="QA23">
        <v>26305365</v>
      </c>
      <c r="QB23">
        <v>26355038</v>
      </c>
      <c r="QC23">
        <v>26387800</v>
      </c>
      <c r="QD23">
        <v>26410553</v>
      </c>
      <c r="QE23">
        <v>26452899</v>
      </c>
      <c r="QF23">
        <v>26501999</v>
      </c>
      <c r="QG23">
        <v>26536077</v>
      </c>
      <c r="QH23">
        <v>26575189</v>
      </c>
      <c r="QI23">
        <v>26619622</v>
      </c>
      <c r="QJ23">
        <v>26663231</v>
      </c>
      <c r="QK23">
        <v>26686014</v>
      </c>
      <c r="QL23">
        <v>26723972</v>
      </c>
      <c r="QM23">
        <v>26776841</v>
      </c>
      <c r="QN23">
        <v>26836671</v>
      </c>
      <c r="QO23">
        <v>26897346</v>
      </c>
      <c r="QP23">
        <v>26961711</v>
      </c>
      <c r="QQ23">
        <v>27005746</v>
      </c>
      <c r="QR23">
        <v>27035741</v>
      </c>
      <c r="QS23">
        <v>27082573</v>
      </c>
      <c r="QT23">
        <v>27153617</v>
      </c>
      <c r="QU23">
        <v>27221412</v>
      </c>
      <c r="QV23">
        <v>27302336</v>
      </c>
      <c r="QW23">
        <v>27397741</v>
      </c>
      <c r="QX23">
        <v>27433892</v>
      </c>
      <c r="QY23">
        <v>27467347</v>
      </c>
      <c r="QZ23">
        <v>27537879</v>
      </c>
      <c r="RA23">
        <v>27654497</v>
      </c>
      <c r="RB23">
        <v>27790142</v>
      </c>
      <c r="RC23">
        <v>27954322</v>
      </c>
      <c r="RD23">
        <v>28112667</v>
      </c>
      <c r="RE23">
        <v>28175411</v>
      </c>
      <c r="RF23">
        <v>28228028</v>
      </c>
      <c r="RG23">
        <v>28321149</v>
      </c>
      <c r="RH23">
        <v>28476002</v>
      </c>
      <c r="RI23">
        <v>28646641</v>
      </c>
      <c r="RJ23">
        <v>28841649</v>
      </c>
      <c r="RK23">
        <v>29033460</v>
      </c>
      <c r="RL23">
        <v>29204533</v>
      </c>
      <c r="RM23">
        <v>29318758</v>
      </c>
      <c r="RN23">
        <v>29458499</v>
      </c>
      <c r="RO23">
        <v>29660084</v>
      </c>
      <c r="RP23">
        <v>29858244</v>
      </c>
      <c r="RQ23">
        <v>30056776</v>
      </c>
      <c r="RR23">
        <v>30257041</v>
      </c>
      <c r="RS23">
        <v>30404671</v>
      </c>
      <c r="RT23">
        <v>30511664</v>
      </c>
      <c r="RU23">
        <v>30753911</v>
      </c>
      <c r="RV23">
        <v>30919035</v>
      </c>
      <c r="RW23">
        <v>31095885</v>
      </c>
      <c r="RX23">
        <v>31279507</v>
      </c>
      <c r="RY23">
        <v>31452459</v>
      </c>
      <c r="RZ23">
        <v>31604028</v>
      </c>
      <c r="SA23">
        <v>31704365</v>
      </c>
      <c r="SB23">
        <v>31821206</v>
      </c>
      <c r="SC23">
        <v>31979973</v>
      </c>
      <c r="SD23">
        <v>32120130</v>
      </c>
      <c r="SE23">
        <v>32251712</v>
      </c>
      <c r="SF23">
        <v>32363099</v>
      </c>
      <c r="SG23">
        <v>32440547</v>
      </c>
      <c r="SH23">
        <v>32486614</v>
      </c>
      <c r="SI23">
        <v>32569779</v>
      </c>
      <c r="SJ23">
        <v>32664016</v>
      </c>
      <c r="SK23">
        <v>32747335</v>
      </c>
      <c r="SL23">
        <v>32832664</v>
      </c>
      <c r="SM23">
        <v>32925559</v>
      </c>
      <c r="SN23">
        <v>32985718</v>
      </c>
      <c r="SO23">
        <v>33024212</v>
      </c>
      <c r="SP23">
        <v>33086065</v>
      </c>
      <c r="SQ23">
        <v>33171433</v>
      </c>
      <c r="SR23">
        <v>33247684</v>
      </c>
      <c r="SS23">
        <v>33323292</v>
      </c>
      <c r="ST23">
        <v>33379641</v>
      </c>
      <c r="SU23">
        <v>33436425</v>
      </c>
      <c r="SV23">
        <v>33477753</v>
      </c>
      <c r="SW23">
        <v>33532432</v>
      </c>
      <c r="SX23">
        <v>33602893</v>
      </c>
      <c r="SY23">
        <v>33671727</v>
      </c>
      <c r="SZ23">
        <v>33736896</v>
      </c>
      <c r="TA23">
        <v>33802833</v>
      </c>
      <c r="TB23">
        <v>33844227</v>
      </c>
      <c r="TC23">
        <v>33868897</v>
      </c>
      <c r="TD23">
        <v>33914284</v>
      </c>
      <c r="TE23">
        <v>33992595</v>
      </c>
      <c r="TF23">
        <v>34056182</v>
      </c>
      <c r="TG23">
        <v>34114786</v>
      </c>
      <c r="TH23">
        <v>34170424</v>
      </c>
      <c r="TI23">
        <v>34208010</v>
      </c>
      <c r="TJ23">
        <v>34235204</v>
      </c>
      <c r="TK23">
        <v>34257979</v>
      </c>
      <c r="TL23">
        <v>34279674</v>
      </c>
      <c r="TM23">
        <v>34323218</v>
      </c>
      <c r="TN23">
        <v>34379641</v>
      </c>
      <c r="TO23">
        <v>34433802</v>
      </c>
      <c r="TP23">
        <v>34473709</v>
      </c>
      <c r="TQ23">
        <v>34494368</v>
      </c>
      <c r="TR23">
        <v>34536410</v>
      </c>
      <c r="TS23">
        <v>34590190</v>
      </c>
      <c r="TT23">
        <v>34641140</v>
      </c>
      <c r="TU23">
        <v>34692713</v>
      </c>
      <c r="TV23">
        <v>34739380</v>
      </c>
      <c r="TW23">
        <v>34772400</v>
      </c>
      <c r="TX23">
        <v>34789684</v>
      </c>
      <c r="TY23">
        <v>34827206</v>
      </c>
      <c r="TZ23">
        <v>34877407</v>
      </c>
      <c r="UA23">
        <v>34925083</v>
      </c>
      <c r="UB23">
        <v>34971639</v>
      </c>
      <c r="UC23">
        <v>35054019</v>
      </c>
      <c r="UD23">
        <v>35054019</v>
      </c>
      <c r="UE23">
        <v>35069347</v>
      </c>
      <c r="UF23">
        <v>35099441</v>
      </c>
      <c r="UG23">
        <v>35142143</v>
      </c>
      <c r="UH23">
        <v>35182768</v>
      </c>
      <c r="UI23">
        <v>35209764</v>
      </c>
      <c r="UJ23">
        <v>35236575</v>
      </c>
      <c r="UK23">
        <v>35259438</v>
      </c>
      <c r="UL23">
        <v>35271802</v>
      </c>
      <c r="UM23">
        <v>35298948</v>
      </c>
      <c r="UN23">
        <v>35336140</v>
      </c>
      <c r="UO23">
        <v>35371141</v>
      </c>
      <c r="UP23">
        <v>35400982</v>
      </c>
      <c r="UQ23">
        <v>35444919</v>
      </c>
      <c r="UR23">
        <v>35455227</v>
      </c>
      <c r="US23">
        <v>35455227</v>
      </c>
      <c r="UT23">
        <v>35478057</v>
      </c>
      <c r="UU23">
        <v>35510477</v>
      </c>
      <c r="UV23">
        <v>35535639</v>
      </c>
      <c r="UW23">
        <v>35561414</v>
      </c>
      <c r="UX23">
        <v>35585583</v>
      </c>
      <c r="UY23">
        <v>35601432</v>
      </c>
      <c r="UZ23">
        <v>35611642</v>
      </c>
      <c r="VA23">
        <v>35632186</v>
      </c>
      <c r="VB23">
        <v>35657472</v>
      </c>
      <c r="VC23">
        <v>35696389</v>
      </c>
      <c r="VD23">
        <v>35696389</v>
      </c>
      <c r="VE23">
        <v>35716069</v>
      </c>
      <c r="VF23">
        <v>35716069</v>
      </c>
      <c r="VG23">
        <v>35716069</v>
      </c>
      <c r="VH23">
        <v>35716069</v>
      </c>
      <c r="VI23">
        <v>35716069</v>
      </c>
      <c r="VJ23">
        <v>35716069</v>
      </c>
      <c r="VK23">
        <v>35716069</v>
      </c>
      <c r="VL23">
        <v>35716069</v>
      </c>
      <c r="VM23">
        <v>35716069</v>
      </c>
      <c r="VN23">
        <v>35716069</v>
      </c>
      <c r="VO23">
        <v>35716069</v>
      </c>
      <c r="VP23">
        <v>35716069</v>
      </c>
      <c r="VQ23">
        <v>35716069</v>
      </c>
      <c r="VR23">
        <v>35716069</v>
      </c>
      <c r="VS23">
        <v>35716069</v>
      </c>
      <c r="VT23">
        <v>35716069</v>
      </c>
      <c r="VU23">
        <v>35716069</v>
      </c>
      <c r="VV23">
        <v>35716069</v>
      </c>
      <c r="VW23">
        <v>35716069</v>
      </c>
      <c r="VX23">
        <v>35716069</v>
      </c>
      <c r="VY23">
        <v>35716069</v>
      </c>
      <c r="VZ23">
        <v>35716069</v>
      </c>
      <c r="WA23">
        <v>35716069</v>
      </c>
      <c r="WB23">
        <v>35716069</v>
      </c>
      <c r="WC23">
        <v>35716069</v>
      </c>
      <c r="WD23">
        <v>35716069</v>
      </c>
      <c r="WE23">
        <v>35716069</v>
      </c>
      <c r="WF23">
        <v>35716069</v>
      </c>
      <c r="WG23">
        <v>35716069</v>
      </c>
      <c r="WH23">
        <v>35716069</v>
      </c>
      <c r="WI23">
        <v>35716069</v>
      </c>
      <c r="WJ23">
        <v>35716069</v>
      </c>
      <c r="WK23">
        <v>35716069</v>
      </c>
      <c r="WL23">
        <v>35716069</v>
      </c>
      <c r="WM23">
        <v>35716069</v>
      </c>
      <c r="WN23">
        <v>35716069</v>
      </c>
      <c r="WO23">
        <v>35716069</v>
      </c>
      <c r="WP23">
        <v>35716069</v>
      </c>
      <c r="WQ23">
        <v>35716069</v>
      </c>
      <c r="WR23">
        <v>35716069</v>
      </c>
      <c r="WS23">
        <v>35716069</v>
      </c>
      <c r="WT23">
        <v>35716069</v>
      </c>
      <c r="WU23">
        <v>35716069</v>
      </c>
      <c r="WV23">
        <v>35716069</v>
      </c>
      <c r="WW23">
        <v>35716069</v>
      </c>
      <c r="WX23">
        <v>35716069</v>
      </c>
      <c r="WY23">
        <v>35716069</v>
      </c>
      <c r="WZ23">
        <v>35716069</v>
      </c>
      <c r="XA23">
        <v>35716069</v>
      </c>
      <c r="XB23">
        <v>35716069</v>
      </c>
      <c r="XC23">
        <v>35716069</v>
      </c>
      <c r="XD23">
        <v>35716069</v>
      </c>
      <c r="XE23">
        <v>35716069</v>
      </c>
      <c r="XF23">
        <v>35716069</v>
      </c>
      <c r="XG23">
        <v>35716069</v>
      </c>
      <c r="XH23">
        <v>35716069</v>
      </c>
      <c r="XI23">
        <v>35716069</v>
      </c>
      <c r="XJ23">
        <v>35716069</v>
      </c>
      <c r="XK23">
        <v>35716069</v>
      </c>
      <c r="XL23">
        <v>35716069</v>
      </c>
      <c r="XM23">
        <v>35716069</v>
      </c>
      <c r="XN23">
        <v>35716069</v>
      </c>
      <c r="XO23">
        <v>35716069</v>
      </c>
      <c r="XP23">
        <v>35716069</v>
      </c>
      <c r="XQ23">
        <v>35716069</v>
      </c>
      <c r="XR23">
        <v>35716069</v>
      </c>
      <c r="XS23">
        <v>35716069</v>
      </c>
      <c r="XT23">
        <v>35716069</v>
      </c>
      <c r="XU23">
        <v>35716069</v>
      </c>
      <c r="XV23">
        <v>35716069</v>
      </c>
      <c r="XW23">
        <v>35716069</v>
      </c>
      <c r="XX23">
        <v>35716069</v>
      </c>
      <c r="XY23">
        <v>35716069</v>
      </c>
      <c r="XZ23">
        <v>35716069</v>
      </c>
      <c r="YA23">
        <v>35716069</v>
      </c>
      <c r="YB23">
        <v>35716069</v>
      </c>
      <c r="YC23">
        <v>35716069</v>
      </c>
      <c r="YD23">
        <v>35716069</v>
      </c>
      <c r="YE23">
        <v>35716069</v>
      </c>
      <c r="YF23" s="1">
        <v>35716069</v>
      </c>
      <c r="YG23" s="1">
        <v>35716069</v>
      </c>
      <c r="YH23" s="1">
        <v>35716069</v>
      </c>
      <c r="YI23" s="1">
        <v>35716069</v>
      </c>
      <c r="YJ23">
        <v>35716069</v>
      </c>
      <c r="YK23">
        <v>35716069</v>
      </c>
      <c r="YL23">
        <v>35716069</v>
      </c>
      <c r="YM23">
        <v>35716069</v>
      </c>
      <c r="YN23">
        <v>35716069</v>
      </c>
      <c r="YO23">
        <v>35716069</v>
      </c>
      <c r="YP23">
        <v>35716069</v>
      </c>
      <c r="YQ23">
        <v>35716069</v>
      </c>
      <c r="YR23">
        <v>35716069</v>
      </c>
      <c r="YS23">
        <v>35716069</v>
      </c>
      <c r="YT23">
        <v>35716069</v>
      </c>
      <c r="YU23">
        <v>35716069</v>
      </c>
      <c r="YV23">
        <v>35716069</v>
      </c>
      <c r="YW23">
        <v>35716069</v>
      </c>
      <c r="YX23">
        <v>35716069</v>
      </c>
      <c r="YY23">
        <v>35716069</v>
      </c>
      <c r="YZ23">
        <v>35716069</v>
      </c>
      <c r="ZA23">
        <v>35716069</v>
      </c>
      <c r="ZB23">
        <v>35716069</v>
      </c>
      <c r="ZC23">
        <v>35716069</v>
      </c>
      <c r="ZD23">
        <v>35716069</v>
      </c>
      <c r="ZE23">
        <v>35716069</v>
      </c>
      <c r="ZF23">
        <v>35716069</v>
      </c>
      <c r="ZG23">
        <v>35716069</v>
      </c>
      <c r="ZH23">
        <v>35716069</v>
      </c>
      <c r="ZI23">
        <v>35716069</v>
      </c>
      <c r="ZJ23">
        <v>35716069</v>
      </c>
      <c r="ZK23">
        <v>35716069</v>
      </c>
      <c r="ZL23">
        <v>35716069</v>
      </c>
      <c r="ZM23">
        <v>35716069</v>
      </c>
      <c r="ZN23">
        <v>35716069</v>
      </c>
      <c r="ZO23">
        <v>35716069</v>
      </c>
      <c r="ZP23">
        <v>35716069</v>
      </c>
      <c r="ZQ23">
        <v>35716069</v>
      </c>
      <c r="ZR23">
        <v>35716069</v>
      </c>
      <c r="ZS23">
        <v>35716069</v>
      </c>
      <c r="ZT23">
        <v>35716069</v>
      </c>
      <c r="ZU23">
        <v>35716069</v>
      </c>
      <c r="ZV23">
        <v>35716069</v>
      </c>
      <c r="ZW23">
        <v>35716069</v>
      </c>
      <c r="ZX23">
        <v>35716069</v>
      </c>
      <c r="ZY23">
        <v>35716069</v>
      </c>
      <c r="ZZ23">
        <v>35716069</v>
      </c>
      <c r="AAA23">
        <v>35716069</v>
      </c>
      <c r="AAB23">
        <v>35716069</v>
      </c>
      <c r="AAC23">
        <v>35716069</v>
      </c>
      <c r="AAD23">
        <v>35716069</v>
      </c>
      <c r="AAE23">
        <v>35716069</v>
      </c>
      <c r="AAF23">
        <v>35716069</v>
      </c>
      <c r="AAG23">
        <v>35716069</v>
      </c>
      <c r="AAH23">
        <v>35716069</v>
      </c>
      <c r="AAI23">
        <v>35716069</v>
      </c>
      <c r="AAJ23">
        <v>35716069</v>
      </c>
      <c r="AAK23">
        <v>35716069</v>
      </c>
      <c r="AAL23">
        <v>35716069</v>
      </c>
      <c r="AAM23">
        <v>35716069</v>
      </c>
      <c r="AAN23">
        <v>35716069</v>
      </c>
      <c r="AAO23">
        <v>35716069</v>
      </c>
      <c r="AAP23">
        <v>35716069</v>
      </c>
      <c r="AAQ23">
        <v>35716069</v>
      </c>
      <c r="AAR23">
        <v>35716069</v>
      </c>
      <c r="AAS23">
        <v>35716069</v>
      </c>
      <c r="AAT23">
        <v>35716069</v>
      </c>
      <c r="AAU23">
        <v>35716069</v>
      </c>
      <c r="AAV23">
        <v>35716069</v>
      </c>
      <c r="AAW23">
        <v>35716069</v>
      </c>
      <c r="AAX23">
        <v>35716069</v>
      </c>
      <c r="AAY23">
        <v>35716069</v>
      </c>
      <c r="AAZ23">
        <v>35716069</v>
      </c>
      <c r="ABA23">
        <v>35716069</v>
      </c>
      <c r="ABB23">
        <v>35716069</v>
      </c>
      <c r="ABC23">
        <v>35716069</v>
      </c>
      <c r="ABD23">
        <v>35716069</v>
      </c>
      <c r="ABE23">
        <v>35716069</v>
      </c>
      <c r="ABF23">
        <v>35716069</v>
      </c>
      <c r="ABG23">
        <v>35716069</v>
      </c>
      <c r="ABH23">
        <v>35716069</v>
      </c>
      <c r="ABI23">
        <v>35716069</v>
      </c>
      <c r="ABJ23">
        <v>35716069</v>
      </c>
      <c r="ABK23">
        <v>35716069</v>
      </c>
      <c r="ABL23">
        <v>35716069</v>
      </c>
      <c r="ABM23">
        <v>35716069</v>
      </c>
      <c r="ABN23">
        <v>35716069</v>
      </c>
      <c r="ABO23">
        <v>35716069</v>
      </c>
      <c r="ABP23">
        <v>35716069</v>
      </c>
      <c r="ABQ23">
        <v>35716069</v>
      </c>
      <c r="ABR23">
        <v>35716069</v>
      </c>
      <c r="ABS23">
        <v>35716069</v>
      </c>
      <c r="ABT23">
        <v>35716069</v>
      </c>
      <c r="ABU23">
        <v>35716069</v>
      </c>
      <c r="ABV23">
        <v>35716069</v>
      </c>
      <c r="ABW23">
        <v>35716069</v>
      </c>
      <c r="ABX23">
        <v>35716069</v>
      </c>
      <c r="ABY23">
        <v>35716069</v>
      </c>
      <c r="ABZ23">
        <v>35716069</v>
      </c>
      <c r="ACA23">
        <v>35716069</v>
      </c>
      <c r="ACB23">
        <v>35716069</v>
      </c>
      <c r="ACC23">
        <v>35716069</v>
      </c>
      <c r="ACD23">
        <v>35716069</v>
      </c>
      <c r="ACE23">
        <v>35716069</v>
      </c>
      <c r="ACF23">
        <v>35716069</v>
      </c>
      <c r="ACG23">
        <v>35716069</v>
      </c>
      <c r="ACH23">
        <v>35716069</v>
      </c>
      <c r="ACI23">
        <v>35716069</v>
      </c>
      <c r="ACJ23">
        <v>35716069</v>
      </c>
      <c r="ACK23">
        <v>35716069</v>
      </c>
      <c r="ACL23">
        <v>35716069</v>
      </c>
      <c r="ACM23">
        <v>35716069</v>
      </c>
      <c r="ACN23">
        <v>35716069</v>
      </c>
      <c r="ACO23">
        <v>35716069</v>
      </c>
      <c r="ACP23">
        <v>35716069</v>
      </c>
      <c r="ACQ23">
        <v>35716069</v>
      </c>
      <c r="ACR23">
        <v>35716069</v>
      </c>
      <c r="ACS23">
        <v>35716069</v>
      </c>
      <c r="ACT23">
        <v>35716069</v>
      </c>
      <c r="ACU23">
        <v>35716069</v>
      </c>
      <c r="ACV23">
        <v>35716069</v>
      </c>
      <c r="ACW23">
        <v>35716069</v>
      </c>
      <c r="ACX23">
        <v>35716069</v>
      </c>
      <c r="ACY23">
        <v>35716069</v>
      </c>
      <c r="ACZ23">
        <v>35716069</v>
      </c>
      <c r="ADA23">
        <v>35716069</v>
      </c>
      <c r="ADB23">
        <v>35716069</v>
      </c>
      <c r="ADC23">
        <v>35716069</v>
      </c>
      <c r="ADD23">
        <v>35716069</v>
      </c>
      <c r="ADE23">
        <v>35716069</v>
      </c>
      <c r="ADF23">
        <v>35716069</v>
      </c>
      <c r="ADG23">
        <v>35716069</v>
      </c>
      <c r="ADH23">
        <v>35716069</v>
      </c>
      <c r="ADI23">
        <v>35716069</v>
      </c>
      <c r="ADJ23">
        <v>35716069</v>
      </c>
      <c r="ADK23">
        <v>35716069</v>
      </c>
      <c r="ADL23">
        <v>35716069</v>
      </c>
      <c r="ADM23">
        <v>35716069</v>
      </c>
      <c r="ADN23">
        <v>35716069</v>
      </c>
      <c r="ADO23">
        <v>35716069</v>
      </c>
      <c r="ADP23">
        <v>35716069</v>
      </c>
      <c r="ADQ23">
        <v>35716069</v>
      </c>
      <c r="ADR23">
        <v>35716069</v>
      </c>
      <c r="ADS23">
        <v>35716069</v>
      </c>
      <c r="ADT23">
        <v>35716069</v>
      </c>
      <c r="ADU23">
        <v>35716069</v>
      </c>
      <c r="ADV23">
        <v>35716069</v>
      </c>
      <c r="ADW23">
        <v>35716069</v>
      </c>
      <c r="ADX23">
        <v>35716069</v>
      </c>
      <c r="ADY23">
        <v>35716069</v>
      </c>
      <c r="ADZ23">
        <v>35716069</v>
      </c>
      <c r="AEA23">
        <v>35716069</v>
      </c>
      <c r="AEB23">
        <v>35716069</v>
      </c>
      <c r="AEC23">
        <v>35716069</v>
      </c>
      <c r="AED23">
        <v>35716069</v>
      </c>
      <c r="AEE23">
        <v>35716069</v>
      </c>
      <c r="AEF23">
        <v>35716069</v>
      </c>
      <c r="AEG23">
        <v>35716069</v>
      </c>
      <c r="AEH23">
        <v>35716069</v>
      </c>
      <c r="AEI23">
        <v>35716069</v>
      </c>
      <c r="AEJ23">
        <v>35716069</v>
      </c>
      <c r="AEK23">
        <v>35716069</v>
      </c>
      <c r="AEL23">
        <v>35716069</v>
      </c>
      <c r="AEM23">
        <v>35716069</v>
      </c>
      <c r="AEN23">
        <v>35716069</v>
      </c>
      <c r="AEO23">
        <v>35716069</v>
      </c>
      <c r="AEP23">
        <v>35716069</v>
      </c>
      <c r="AEQ23">
        <v>35716069</v>
      </c>
      <c r="AER23">
        <v>35716069</v>
      </c>
      <c r="AES23">
        <v>35716069</v>
      </c>
      <c r="AET23">
        <v>35716069</v>
      </c>
      <c r="AEU23">
        <v>35716069</v>
      </c>
      <c r="AEV23">
        <v>35716069</v>
      </c>
      <c r="AEW23">
        <v>35716069</v>
      </c>
      <c r="AEX23">
        <v>35716069</v>
      </c>
      <c r="AEY23">
        <v>35716069</v>
      </c>
      <c r="AEZ23">
        <v>35716069</v>
      </c>
      <c r="AFA23">
        <v>35716069</v>
      </c>
      <c r="AFB23">
        <v>35716069</v>
      </c>
      <c r="AFC23">
        <v>35716069</v>
      </c>
      <c r="AFD23">
        <v>35716069</v>
      </c>
      <c r="AFE23">
        <v>35716069</v>
      </c>
      <c r="AFF23">
        <v>35716069</v>
      </c>
      <c r="AFG23">
        <v>35716069</v>
      </c>
      <c r="AFH23">
        <v>35716069</v>
      </c>
      <c r="AFI23">
        <v>35716069</v>
      </c>
      <c r="AFJ23">
        <v>35716069</v>
      </c>
      <c r="AFK23">
        <v>35716069</v>
      </c>
      <c r="AFL23">
        <v>35716069</v>
      </c>
      <c r="AFM23">
        <v>35716069</v>
      </c>
      <c r="AFN23">
        <v>35716069</v>
      </c>
      <c r="AFO23">
        <v>35716069</v>
      </c>
      <c r="AFP23">
        <v>35716069</v>
      </c>
      <c r="AFQ23">
        <v>35716069</v>
      </c>
      <c r="AFR23">
        <v>35716069</v>
      </c>
      <c r="AFS23">
        <v>35716069</v>
      </c>
      <c r="AFT23">
        <v>35716069</v>
      </c>
      <c r="AFU23">
        <v>35716069</v>
      </c>
      <c r="AFV23">
        <v>35716069</v>
      </c>
      <c r="AFW23">
        <v>35716069</v>
      </c>
      <c r="AFX23">
        <v>35716069</v>
      </c>
      <c r="AFY23">
        <v>35716069</v>
      </c>
      <c r="AFZ23">
        <v>35716069</v>
      </c>
      <c r="AGA23">
        <v>35716069</v>
      </c>
      <c r="AGB23">
        <v>35716069</v>
      </c>
      <c r="AGC23">
        <v>35716069</v>
      </c>
      <c r="AGD23">
        <v>35716069</v>
      </c>
      <c r="AGE23">
        <v>35716069</v>
      </c>
      <c r="AGF23">
        <v>35716069</v>
      </c>
      <c r="AGG23">
        <v>35716069</v>
      </c>
      <c r="AGH23">
        <v>35716069</v>
      </c>
      <c r="AGI23">
        <v>35716069</v>
      </c>
      <c r="AGJ23">
        <v>35716069</v>
      </c>
      <c r="AGK23">
        <v>35716069</v>
      </c>
      <c r="AGL23">
        <v>35716069</v>
      </c>
      <c r="AGM23">
        <v>35716069</v>
      </c>
      <c r="AGN23">
        <v>35716069</v>
      </c>
      <c r="AGO23">
        <v>35716069</v>
      </c>
      <c r="AGP23">
        <v>35716069</v>
      </c>
      <c r="AGQ23">
        <v>35716069</v>
      </c>
      <c r="AGR23">
        <v>35716069</v>
      </c>
      <c r="AGS23">
        <v>35716069</v>
      </c>
      <c r="AGT23">
        <v>35716069</v>
      </c>
      <c r="AGU23">
        <v>35716069</v>
      </c>
      <c r="AGV23">
        <v>35716069</v>
      </c>
      <c r="AGW23">
        <v>35716069</v>
      </c>
      <c r="AGX23">
        <v>35716069</v>
      </c>
      <c r="AGY23">
        <v>35716069</v>
      </c>
      <c r="AGZ23">
        <v>35716069</v>
      </c>
      <c r="AHA23">
        <v>35716069</v>
      </c>
      <c r="AHB23">
        <v>35716069</v>
      </c>
      <c r="AHC23">
        <v>35716069</v>
      </c>
      <c r="AHD23">
        <v>35716069</v>
      </c>
      <c r="AHE23">
        <v>35716069</v>
      </c>
      <c r="AHF23">
        <v>35716069</v>
      </c>
      <c r="AHG23">
        <v>35716069</v>
      </c>
      <c r="AHH23">
        <v>35716069</v>
      </c>
      <c r="AHI23">
        <v>35716069</v>
      </c>
      <c r="AHJ23">
        <v>35716069</v>
      </c>
      <c r="AHK23">
        <v>35716069</v>
      </c>
      <c r="AHL23">
        <v>35716069</v>
      </c>
      <c r="AHM23">
        <v>35716069</v>
      </c>
      <c r="AHN23">
        <v>35716069</v>
      </c>
      <c r="AHO23">
        <v>35716069</v>
      </c>
      <c r="AHP23">
        <v>35716069</v>
      </c>
      <c r="AHQ23">
        <v>35716069</v>
      </c>
    </row>
    <row r="24" spans="1:901">
      <c r="A24" s="1" t="s">
        <v>32</v>
      </c>
      <c r="B24">
        <v>278396</v>
      </c>
      <c r="C24">
        <v>280523</v>
      </c>
      <c r="D24">
        <v>282838</v>
      </c>
      <c r="E24">
        <v>285256</v>
      </c>
      <c r="F24">
        <v>286864</v>
      </c>
      <c r="G24">
        <v>287453</v>
      </c>
      <c r="H24">
        <v>288806</v>
      </c>
      <c r="I24">
        <v>290749</v>
      </c>
      <c r="J24">
        <v>292016</v>
      </c>
      <c r="K24">
        <v>293581</v>
      </c>
      <c r="L24">
        <v>296371</v>
      </c>
      <c r="M24">
        <v>297176</v>
      </c>
      <c r="N24">
        <v>298536</v>
      </c>
      <c r="O24">
        <v>299928</v>
      </c>
      <c r="P24">
        <v>301890</v>
      </c>
      <c r="Q24">
        <v>303107</v>
      </c>
      <c r="R24">
        <v>305112</v>
      </c>
      <c r="S24">
        <v>306481</v>
      </c>
      <c r="T24">
        <v>307040</v>
      </c>
      <c r="U24">
        <v>308129</v>
      </c>
      <c r="V24">
        <v>309523</v>
      </c>
      <c r="W24">
        <v>310905</v>
      </c>
      <c r="X24">
        <v>312155</v>
      </c>
      <c r="Y24">
        <v>313195</v>
      </c>
      <c r="Z24">
        <v>314047</v>
      </c>
      <c r="AA24">
        <v>314235</v>
      </c>
      <c r="AB24">
        <v>315368</v>
      </c>
      <c r="AC24">
        <v>316615</v>
      </c>
      <c r="AD24">
        <v>317775</v>
      </c>
      <c r="AE24">
        <v>318678</v>
      </c>
      <c r="AF24">
        <v>319993</v>
      </c>
      <c r="AG24">
        <v>320746</v>
      </c>
      <c r="AH24">
        <v>321061</v>
      </c>
      <c r="AI24">
        <v>322128</v>
      </c>
      <c r="AJ24">
        <v>322675</v>
      </c>
      <c r="AK24">
        <v>323784</v>
      </c>
      <c r="AL24">
        <v>325340</v>
      </c>
      <c r="AM24">
        <v>326555</v>
      </c>
      <c r="AN24">
        <v>326973</v>
      </c>
      <c r="AO24">
        <v>327349</v>
      </c>
      <c r="AP24">
        <v>328257</v>
      </c>
      <c r="AQ24">
        <v>329963</v>
      </c>
      <c r="AR24">
        <v>330975</v>
      </c>
      <c r="AS24">
        <v>332343</v>
      </c>
      <c r="AT24">
        <v>333282</v>
      </c>
      <c r="AU24">
        <v>333282</v>
      </c>
      <c r="AV24">
        <v>334452</v>
      </c>
      <c r="AW24">
        <v>334452</v>
      </c>
      <c r="AX24">
        <v>335263</v>
      </c>
      <c r="AY24">
        <v>336701</v>
      </c>
      <c r="AZ24">
        <v>336834</v>
      </c>
      <c r="BA24">
        <v>338006</v>
      </c>
      <c r="BB24">
        <v>338836</v>
      </c>
      <c r="BC24">
        <v>339360</v>
      </c>
      <c r="BD24">
        <v>340160</v>
      </c>
      <c r="BE24">
        <v>341225</v>
      </c>
      <c r="BF24">
        <v>342140</v>
      </c>
      <c r="BG24">
        <v>343068</v>
      </c>
      <c r="BH24">
        <v>344354</v>
      </c>
      <c r="BI24">
        <v>345343</v>
      </c>
      <c r="BJ24">
        <v>345898</v>
      </c>
      <c r="BK24">
        <v>346983</v>
      </c>
      <c r="BL24">
        <v>348039</v>
      </c>
      <c r="BM24">
        <v>349016</v>
      </c>
      <c r="BN24">
        <v>350674</v>
      </c>
      <c r="BO24">
        <v>351988</v>
      </c>
      <c r="BP24">
        <v>352522</v>
      </c>
      <c r="BQ24">
        <v>353340</v>
      </c>
      <c r="BR24">
        <v>353955</v>
      </c>
      <c r="BS24">
        <v>355234</v>
      </c>
      <c r="BT24">
        <v>356466</v>
      </c>
      <c r="BU24">
        <v>357606</v>
      </c>
      <c r="BV24">
        <v>358835</v>
      </c>
      <c r="BW24">
        <v>359755</v>
      </c>
      <c r="BX24">
        <v>360189</v>
      </c>
      <c r="BY24">
        <v>361298</v>
      </c>
      <c r="BZ24">
        <v>362662</v>
      </c>
      <c r="CA24">
        <v>364199</v>
      </c>
      <c r="CB24">
        <v>365758</v>
      </c>
      <c r="CC24">
        <v>367150</v>
      </c>
      <c r="CD24">
        <v>368251</v>
      </c>
      <c r="CE24">
        <v>368551</v>
      </c>
      <c r="CF24">
        <v>369436</v>
      </c>
      <c r="CG24">
        <v>370846</v>
      </c>
      <c r="CH24">
        <v>372072</v>
      </c>
      <c r="CI24">
        <v>374235</v>
      </c>
      <c r="CJ24">
        <v>375921</v>
      </c>
      <c r="CK24">
        <v>377205</v>
      </c>
      <c r="CL24">
        <v>377562</v>
      </c>
      <c r="CM24">
        <v>378770</v>
      </c>
      <c r="CN24">
        <v>380478</v>
      </c>
      <c r="CO24">
        <v>382774</v>
      </c>
      <c r="CP24">
        <v>384411</v>
      </c>
      <c r="CQ24">
        <v>386306</v>
      </c>
      <c r="CR24">
        <v>388338</v>
      </c>
      <c r="CS24">
        <v>389124</v>
      </c>
      <c r="CT24">
        <v>391144</v>
      </c>
      <c r="CU24">
        <v>392795</v>
      </c>
      <c r="CV24">
        <v>395461</v>
      </c>
      <c r="CW24">
        <v>398398</v>
      </c>
      <c r="CX24">
        <v>399424</v>
      </c>
      <c r="CY24">
        <v>401305</v>
      </c>
      <c r="CZ24">
        <v>402689</v>
      </c>
      <c r="DA24">
        <v>404394</v>
      </c>
      <c r="DB24">
        <v>408102</v>
      </c>
      <c r="DC24">
        <v>411685</v>
      </c>
      <c r="DD24">
        <v>415970</v>
      </c>
      <c r="DE24">
        <v>417315</v>
      </c>
      <c r="DF24">
        <v>420360</v>
      </c>
      <c r="DG24">
        <v>421980</v>
      </c>
      <c r="DH24">
        <v>424831</v>
      </c>
      <c r="DI24">
        <v>429076</v>
      </c>
      <c r="DJ24">
        <v>433827</v>
      </c>
      <c r="DK24">
        <v>439058</v>
      </c>
      <c r="DL24">
        <v>444605</v>
      </c>
      <c r="DM24">
        <v>447324</v>
      </c>
      <c r="DN24">
        <v>450272</v>
      </c>
      <c r="DO24">
        <v>454291</v>
      </c>
      <c r="DP24">
        <v>458005</v>
      </c>
      <c r="DQ24">
        <v>463886</v>
      </c>
      <c r="DR24">
        <v>469261</v>
      </c>
      <c r="DS24">
        <v>474822</v>
      </c>
      <c r="DT24">
        <v>479266</v>
      </c>
      <c r="DU24">
        <v>482613</v>
      </c>
      <c r="DV24">
        <v>486388</v>
      </c>
      <c r="DW24">
        <v>492639</v>
      </c>
      <c r="DX24">
        <v>497904</v>
      </c>
      <c r="DY24">
        <v>504499</v>
      </c>
      <c r="DZ24">
        <v>509106</v>
      </c>
      <c r="EA24">
        <v>513830</v>
      </c>
      <c r="EB24">
        <v>516781</v>
      </c>
      <c r="EC24">
        <v>522495</v>
      </c>
      <c r="ED24">
        <v>529254</v>
      </c>
      <c r="EE24">
        <v>536839</v>
      </c>
      <c r="EF24">
        <v>544968</v>
      </c>
      <c r="EG24">
        <v>553325</v>
      </c>
      <c r="EH24">
        <v>559134</v>
      </c>
      <c r="EI24">
        <v>562853</v>
      </c>
      <c r="EJ24">
        <v>568052</v>
      </c>
      <c r="EK24">
        <v>575357</v>
      </c>
      <c r="EL24">
        <v>583093</v>
      </c>
      <c r="EM24">
        <v>589413</v>
      </c>
      <c r="EN24">
        <v>595824</v>
      </c>
      <c r="EO24">
        <v>600576</v>
      </c>
      <c r="EP24">
        <v>603750</v>
      </c>
      <c r="EQ24">
        <v>608974</v>
      </c>
      <c r="ER24">
        <v>616076</v>
      </c>
      <c r="ES24">
        <v>624202</v>
      </c>
      <c r="ET24">
        <v>630026</v>
      </c>
      <c r="EU24">
        <v>635869</v>
      </c>
      <c r="EV24">
        <v>640248</v>
      </c>
      <c r="EW24">
        <v>642911</v>
      </c>
      <c r="EX24">
        <v>645567</v>
      </c>
      <c r="EY24">
        <v>647883</v>
      </c>
      <c r="EZ24">
        <v>652846</v>
      </c>
      <c r="FA24">
        <v>659496</v>
      </c>
      <c r="FB24">
        <v>666275</v>
      </c>
      <c r="FC24">
        <v>670607</v>
      </c>
      <c r="FD24">
        <v>673745</v>
      </c>
      <c r="FE24">
        <v>680462</v>
      </c>
      <c r="FF24">
        <v>687458</v>
      </c>
      <c r="FG24">
        <v>697744</v>
      </c>
      <c r="FH24">
        <v>705352</v>
      </c>
      <c r="FI24">
        <v>712706</v>
      </c>
      <c r="FJ24">
        <v>716703</v>
      </c>
      <c r="FK24">
        <v>720678</v>
      </c>
      <c r="FL24">
        <v>727400</v>
      </c>
      <c r="FM24">
        <v>733988</v>
      </c>
      <c r="FN24">
        <v>741074</v>
      </c>
      <c r="FO24">
        <v>747057</v>
      </c>
      <c r="FP24">
        <v>754505</v>
      </c>
      <c r="FQ24">
        <v>758549</v>
      </c>
      <c r="FR24">
        <v>760845</v>
      </c>
      <c r="FS24">
        <v>764495</v>
      </c>
      <c r="FT24">
        <v>764495</v>
      </c>
      <c r="FU24">
        <v>776687</v>
      </c>
      <c r="FV24">
        <v>783751</v>
      </c>
      <c r="FW24">
        <v>793396</v>
      </c>
      <c r="FX24">
        <v>798717</v>
      </c>
      <c r="FY24">
        <v>802284</v>
      </c>
      <c r="FZ24">
        <v>809636</v>
      </c>
      <c r="GA24">
        <v>817095</v>
      </c>
      <c r="GB24">
        <v>825180</v>
      </c>
      <c r="GC24">
        <v>831727</v>
      </c>
      <c r="GD24">
        <v>838159</v>
      </c>
      <c r="GE24">
        <v>841804</v>
      </c>
      <c r="GF24">
        <v>843697</v>
      </c>
      <c r="GG24">
        <v>849750</v>
      </c>
      <c r="GH24">
        <v>858336</v>
      </c>
      <c r="GI24">
        <v>866360</v>
      </c>
      <c r="GJ24">
        <v>872730</v>
      </c>
      <c r="GK24">
        <v>878679</v>
      </c>
      <c r="GL24">
        <v>883040</v>
      </c>
      <c r="GM24">
        <v>885287</v>
      </c>
      <c r="GN24">
        <v>891927</v>
      </c>
      <c r="GO24">
        <v>899535</v>
      </c>
      <c r="GP24">
        <v>908319</v>
      </c>
      <c r="GQ24">
        <v>915509</v>
      </c>
      <c r="GR24">
        <v>919726</v>
      </c>
      <c r="GS24">
        <v>923599</v>
      </c>
      <c r="GT24">
        <v>927217</v>
      </c>
      <c r="GU24">
        <v>930871</v>
      </c>
      <c r="GV24">
        <v>944675</v>
      </c>
      <c r="GW24">
        <v>954381</v>
      </c>
      <c r="GX24">
        <v>965046</v>
      </c>
      <c r="GY24">
        <v>976539</v>
      </c>
      <c r="GZ24">
        <v>982858</v>
      </c>
      <c r="HA24" s="3">
        <v>991194.5</v>
      </c>
      <c r="HB24">
        <v>999531</v>
      </c>
      <c r="HC24">
        <v>1010063</v>
      </c>
      <c r="HD24">
        <v>1019593</v>
      </c>
      <c r="HE24">
        <v>1027781</v>
      </c>
      <c r="HF24">
        <v>1037899</v>
      </c>
      <c r="HG24">
        <v>1037899</v>
      </c>
      <c r="HH24">
        <v>1047561</v>
      </c>
      <c r="HI24">
        <v>1058977</v>
      </c>
      <c r="HJ24">
        <v>1070832</v>
      </c>
      <c r="HK24">
        <v>1082188</v>
      </c>
      <c r="HL24">
        <v>1093293</v>
      </c>
      <c r="HM24">
        <v>1102780</v>
      </c>
      <c r="HN24">
        <v>1108146</v>
      </c>
      <c r="HO24">
        <v>1111484</v>
      </c>
      <c r="HP24">
        <v>1121454</v>
      </c>
      <c r="HQ24">
        <v>1132594</v>
      </c>
      <c r="HR24">
        <v>1143872</v>
      </c>
      <c r="HS24">
        <v>1158410</v>
      </c>
      <c r="HT24">
        <v>1172611</v>
      </c>
      <c r="HU24">
        <v>1178553</v>
      </c>
      <c r="HV24">
        <v>1184786</v>
      </c>
      <c r="HW24">
        <v>1195045</v>
      </c>
      <c r="HX24">
        <v>1205274</v>
      </c>
      <c r="HY24">
        <v>1216526</v>
      </c>
      <c r="HZ24">
        <v>1226152</v>
      </c>
      <c r="IA24">
        <v>1235851</v>
      </c>
      <c r="IB24">
        <v>1242041</v>
      </c>
      <c r="IC24">
        <v>1246347</v>
      </c>
      <c r="ID24">
        <v>1255636</v>
      </c>
      <c r="IE24">
        <v>1266913</v>
      </c>
      <c r="IF24">
        <v>1275910</v>
      </c>
      <c r="IG24">
        <v>1287762</v>
      </c>
      <c r="IH24">
        <v>1299971</v>
      </c>
      <c r="II24">
        <v>1305414</v>
      </c>
      <c r="IJ24">
        <v>1309771</v>
      </c>
      <c r="IK24">
        <v>1319283</v>
      </c>
      <c r="IL24">
        <v>1330406</v>
      </c>
      <c r="IM24">
        <v>1342772</v>
      </c>
      <c r="IN24">
        <v>1355787</v>
      </c>
      <c r="IO24">
        <v>1368290</v>
      </c>
      <c r="IP24">
        <v>1377276</v>
      </c>
      <c r="IQ24">
        <v>1383371</v>
      </c>
      <c r="IR24">
        <v>1395226</v>
      </c>
      <c r="IS24">
        <v>1409245</v>
      </c>
      <c r="IT24">
        <v>1423702</v>
      </c>
      <c r="IU24">
        <v>1437978</v>
      </c>
      <c r="IV24">
        <v>1452303</v>
      </c>
      <c r="IW24">
        <v>1461778</v>
      </c>
      <c r="IX24">
        <v>1469175</v>
      </c>
      <c r="IY24">
        <v>1481900</v>
      </c>
      <c r="IZ24">
        <v>1496678</v>
      </c>
      <c r="JA24">
        <v>1511252</v>
      </c>
      <c r="JB24">
        <v>1521791</v>
      </c>
      <c r="JC24">
        <v>1534746</v>
      </c>
      <c r="JD24">
        <v>1544354</v>
      </c>
      <c r="JE24">
        <v>1550511</v>
      </c>
      <c r="JF24">
        <v>1563016</v>
      </c>
      <c r="JG24">
        <v>1577440</v>
      </c>
      <c r="JH24">
        <v>1595329</v>
      </c>
      <c r="JI24">
        <v>1611615</v>
      </c>
      <c r="JJ24">
        <v>1627475</v>
      </c>
      <c r="JK24">
        <v>1628212</v>
      </c>
      <c r="JL24">
        <v>1635214</v>
      </c>
      <c r="JM24">
        <v>1646029</v>
      </c>
      <c r="JN24">
        <v>1660189</v>
      </c>
      <c r="JO24">
        <v>1676320</v>
      </c>
      <c r="JP24">
        <v>1691398</v>
      </c>
      <c r="JQ24">
        <v>1704820</v>
      </c>
      <c r="JR24">
        <v>1714208</v>
      </c>
      <c r="JS24">
        <v>1719946</v>
      </c>
      <c r="JT24">
        <v>1724087</v>
      </c>
      <c r="JU24">
        <v>1734914</v>
      </c>
      <c r="JV24">
        <v>1748567</v>
      </c>
      <c r="JW24">
        <v>1761842</v>
      </c>
      <c r="JX24">
        <v>1774683</v>
      </c>
      <c r="JY24">
        <v>1784089</v>
      </c>
      <c r="JZ24">
        <v>1790430</v>
      </c>
      <c r="KA24">
        <v>1800910</v>
      </c>
      <c r="KB24">
        <v>1813334</v>
      </c>
      <c r="KC24">
        <v>1826165</v>
      </c>
      <c r="KD24">
        <v>1838145</v>
      </c>
      <c r="KE24">
        <v>1849305</v>
      </c>
      <c r="KF24">
        <v>1856542</v>
      </c>
      <c r="KG24">
        <v>1861754</v>
      </c>
      <c r="KH24">
        <v>1870545</v>
      </c>
      <c r="KI24">
        <v>1881330</v>
      </c>
      <c r="KJ24">
        <v>1891116</v>
      </c>
      <c r="KK24">
        <v>1902313</v>
      </c>
      <c r="KL24">
        <v>1914990</v>
      </c>
      <c r="KM24">
        <v>1920932</v>
      </c>
      <c r="KN24">
        <v>1924644</v>
      </c>
      <c r="KO24">
        <v>1933420</v>
      </c>
      <c r="KP24">
        <v>1943532</v>
      </c>
      <c r="KQ24">
        <v>1954059</v>
      </c>
      <c r="KR24">
        <v>1964615</v>
      </c>
      <c r="KS24">
        <v>1974682</v>
      </c>
      <c r="KT24">
        <v>1980665</v>
      </c>
      <c r="KU24">
        <v>1984285</v>
      </c>
      <c r="KV24">
        <v>1991956</v>
      </c>
      <c r="KW24">
        <v>1991956</v>
      </c>
      <c r="KX24">
        <v>2001715</v>
      </c>
      <c r="KY24">
        <v>2010216</v>
      </c>
      <c r="KZ24">
        <v>2018690</v>
      </c>
      <c r="LA24">
        <v>2024329</v>
      </c>
      <c r="LB24">
        <v>2027551</v>
      </c>
      <c r="LC24">
        <v>2034141</v>
      </c>
      <c r="LD24">
        <v>2043252</v>
      </c>
      <c r="LE24">
        <v>2052194</v>
      </c>
      <c r="LF24">
        <v>2061026</v>
      </c>
      <c r="LG24">
        <v>2063100</v>
      </c>
      <c r="LH24">
        <v>2068931</v>
      </c>
      <c r="LI24">
        <v>2072104</v>
      </c>
      <c r="LJ24">
        <v>2078150</v>
      </c>
      <c r="LK24">
        <v>2086139</v>
      </c>
      <c r="LL24">
        <v>2094856</v>
      </c>
      <c r="LM24">
        <v>2103189</v>
      </c>
      <c r="LN24">
        <v>2112530</v>
      </c>
      <c r="LO24">
        <v>2112530</v>
      </c>
      <c r="LP24">
        <v>2137495</v>
      </c>
      <c r="LQ24">
        <v>2143429</v>
      </c>
      <c r="LR24">
        <v>2151679</v>
      </c>
      <c r="LS24">
        <v>2160529</v>
      </c>
      <c r="LT24">
        <v>2168489</v>
      </c>
      <c r="LU24">
        <v>2176124</v>
      </c>
      <c r="LV24">
        <v>2181571</v>
      </c>
      <c r="LW24">
        <v>2184034</v>
      </c>
      <c r="LX24">
        <v>2184034</v>
      </c>
      <c r="LY24">
        <v>2192157</v>
      </c>
      <c r="LZ24">
        <v>2200602</v>
      </c>
      <c r="MA24">
        <v>2208374</v>
      </c>
      <c r="MB24">
        <v>2216675</v>
      </c>
      <c r="MC24">
        <v>2222203</v>
      </c>
      <c r="MD24">
        <v>2224611</v>
      </c>
      <c r="ME24">
        <v>2230373</v>
      </c>
      <c r="MF24">
        <v>2238240</v>
      </c>
      <c r="MG24">
        <v>2246838</v>
      </c>
      <c r="MH24">
        <v>2254815</v>
      </c>
      <c r="MI24">
        <v>2268842</v>
      </c>
      <c r="MJ24">
        <v>2273962</v>
      </c>
      <c r="MK24">
        <v>2276507</v>
      </c>
      <c r="ML24">
        <v>2282032</v>
      </c>
      <c r="MM24">
        <v>2288780</v>
      </c>
      <c r="MN24">
        <v>2295783</v>
      </c>
      <c r="MO24">
        <v>2303209</v>
      </c>
      <c r="MP24">
        <v>2310123</v>
      </c>
      <c r="MQ24">
        <v>2314653</v>
      </c>
      <c r="MR24">
        <v>2316993</v>
      </c>
      <c r="MS24">
        <v>2316993</v>
      </c>
      <c r="MT24">
        <v>2323619</v>
      </c>
      <c r="MU24">
        <v>2330363</v>
      </c>
      <c r="MV24">
        <v>2336847</v>
      </c>
      <c r="MW24">
        <v>2336847</v>
      </c>
      <c r="MX24">
        <v>2336847</v>
      </c>
      <c r="MY24">
        <v>2336847</v>
      </c>
      <c r="MZ24">
        <v>2336847</v>
      </c>
      <c r="NA24">
        <v>2342306</v>
      </c>
      <c r="NB24">
        <v>2349096</v>
      </c>
      <c r="NC24">
        <v>2349096</v>
      </c>
      <c r="ND24">
        <v>2353306</v>
      </c>
      <c r="NE24">
        <v>2357623</v>
      </c>
      <c r="NF24">
        <v>2359490</v>
      </c>
      <c r="NG24">
        <v>2364030</v>
      </c>
      <c r="NH24">
        <v>2369544</v>
      </c>
      <c r="NI24">
        <v>2375570</v>
      </c>
      <c r="NJ24">
        <v>2381530</v>
      </c>
      <c r="NK24">
        <v>2381530</v>
      </c>
      <c r="NL24">
        <v>2385177</v>
      </c>
      <c r="NM24">
        <v>2386969</v>
      </c>
      <c r="NN24">
        <v>2391702</v>
      </c>
      <c r="NO24">
        <v>2397647</v>
      </c>
      <c r="NP24">
        <v>2404754</v>
      </c>
      <c r="NQ24">
        <v>2410571</v>
      </c>
      <c r="NR24">
        <v>2410571</v>
      </c>
      <c r="NS24">
        <v>2410571</v>
      </c>
      <c r="NT24">
        <v>2412679</v>
      </c>
      <c r="NU24">
        <v>2416505</v>
      </c>
      <c r="NV24">
        <v>2423009</v>
      </c>
      <c r="NW24">
        <v>2430111</v>
      </c>
      <c r="NX24">
        <v>2436950</v>
      </c>
      <c r="NY24">
        <v>2436950</v>
      </c>
      <c r="NZ24">
        <v>2441744</v>
      </c>
      <c r="OA24">
        <v>2441744</v>
      </c>
      <c r="OB24">
        <v>2445030</v>
      </c>
      <c r="OC24">
        <v>2451232</v>
      </c>
      <c r="OD24">
        <v>2458070</v>
      </c>
      <c r="OE24">
        <v>2464825</v>
      </c>
      <c r="OF24">
        <v>2470832</v>
      </c>
      <c r="OG24">
        <v>2475269</v>
      </c>
      <c r="OH24">
        <v>2477659</v>
      </c>
      <c r="OI24">
        <v>2482971</v>
      </c>
      <c r="OJ24">
        <v>2482971</v>
      </c>
      <c r="OK24">
        <v>2489043</v>
      </c>
      <c r="OL24">
        <v>2495305</v>
      </c>
      <c r="OM24">
        <v>2502204</v>
      </c>
      <c r="ON24">
        <v>2507336</v>
      </c>
      <c r="OO24">
        <v>2516925</v>
      </c>
      <c r="OP24">
        <v>2516925</v>
      </c>
      <c r="OQ24">
        <v>2523333</v>
      </c>
      <c r="OR24">
        <v>2530350</v>
      </c>
      <c r="OS24">
        <f>OT24</f>
        <v>2537571</v>
      </c>
      <c r="OT24">
        <v>2537571</v>
      </c>
      <c r="OU24">
        <v>2542450</v>
      </c>
      <c r="OV24">
        <v>2544536</v>
      </c>
      <c r="OW24">
        <v>2544536</v>
      </c>
      <c r="OX24">
        <v>2550105</v>
      </c>
      <c r="OY24">
        <v>2555651</v>
      </c>
      <c r="OZ24">
        <v>2555651</v>
      </c>
      <c r="PA24">
        <v>2563530</v>
      </c>
      <c r="PB24">
        <v>2563530</v>
      </c>
      <c r="PC24">
        <v>2563530</v>
      </c>
      <c r="PD24">
        <v>2563530</v>
      </c>
      <c r="PE24">
        <v>2563530</v>
      </c>
      <c r="PF24">
        <v>2563530</v>
      </c>
      <c r="PG24">
        <v>2563530</v>
      </c>
      <c r="PH24">
        <v>2563530</v>
      </c>
      <c r="PI24">
        <v>2563530</v>
      </c>
      <c r="PJ24">
        <v>2563530</v>
      </c>
      <c r="PK24">
        <v>2563530</v>
      </c>
      <c r="PL24">
        <v>2563530</v>
      </c>
      <c r="PM24">
        <v>2563530</v>
      </c>
      <c r="PN24">
        <v>2563530</v>
      </c>
      <c r="PO24">
        <v>2563530</v>
      </c>
      <c r="PP24">
        <v>2569451</v>
      </c>
      <c r="PQ24">
        <v>2569451</v>
      </c>
      <c r="PR24">
        <v>2569451</v>
      </c>
      <c r="PS24">
        <v>2569451</v>
      </c>
      <c r="PT24">
        <v>2569451</v>
      </c>
      <c r="PU24">
        <v>2569451</v>
      </c>
      <c r="PV24">
        <v>2578215</v>
      </c>
      <c r="PW24">
        <v>2583498</v>
      </c>
      <c r="PX24">
        <v>2586370</v>
      </c>
      <c r="PY24">
        <v>2593083</v>
      </c>
      <c r="PZ24">
        <v>2593083</v>
      </c>
      <c r="QA24">
        <v>2593083</v>
      </c>
      <c r="QB24">
        <v>2593083</v>
      </c>
      <c r="QC24">
        <v>2593083</v>
      </c>
      <c r="QD24">
        <v>2593083</v>
      </c>
      <c r="QE24">
        <v>2593083</v>
      </c>
      <c r="QF24">
        <v>2593083</v>
      </c>
      <c r="QG24">
        <v>2593083</v>
      </c>
      <c r="QH24">
        <v>2593083</v>
      </c>
      <c r="QI24">
        <v>2593083</v>
      </c>
      <c r="QJ24">
        <v>2602670</v>
      </c>
      <c r="QK24">
        <v>2602670</v>
      </c>
      <c r="QL24">
        <v>2606031</v>
      </c>
      <c r="QM24">
        <v>2606031</v>
      </c>
      <c r="QN24">
        <v>2606031</v>
      </c>
      <c r="QO24">
        <v>2615853</v>
      </c>
      <c r="QP24">
        <v>2615853</v>
      </c>
      <c r="QQ24">
        <v>2615853</v>
      </c>
      <c r="QR24">
        <v>2615853</v>
      </c>
      <c r="QS24">
        <v>2615853</v>
      </c>
      <c r="QT24">
        <v>2615853</v>
      </c>
      <c r="QU24">
        <v>2615853</v>
      </c>
      <c r="QV24">
        <v>2624793</v>
      </c>
      <c r="QW24">
        <v>2624793</v>
      </c>
      <c r="QX24">
        <v>2633963</v>
      </c>
      <c r="QY24">
        <v>2633963</v>
      </c>
      <c r="QZ24">
        <v>2633963</v>
      </c>
      <c r="RA24">
        <v>2633963</v>
      </c>
      <c r="RB24">
        <v>2633963</v>
      </c>
      <c r="RC24">
        <v>2633963</v>
      </c>
      <c r="RD24">
        <v>2633963</v>
      </c>
      <c r="RE24">
        <v>2633963</v>
      </c>
      <c r="RF24">
        <v>2633963</v>
      </c>
      <c r="RG24">
        <v>2633963</v>
      </c>
      <c r="RH24">
        <v>2633963</v>
      </c>
      <c r="RI24">
        <v>2633963</v>
      </c>
      <c r="RJ24">
        <v>2633963</v>
      </c>
      <c r="RK24">
        <v>2633963</v>
      </c>
      <c r="RL24">
        <v>2633963</v>
      </c>
      <c r="RM24">
        <v>2633963</v>
      </c>
      <c r="RN24">
        <v>2633963</v>
      </c>
      <c r="RO24">
        <v>2633963</v>
      </c>
      <c r="RP24">
        <v>2633963</v>
      </c>
      <c r="RQ24">
        <v>2633963</v>
      </c>
      <c r="RR24">
        <v>2633963</v>
      </c>
      <c r="RS24">
        <v>2633963</v>
      </c>
      <c r="RT24">
        <v>2653186</v>
      </c>
      <c r="RU24">
        <v>2653186</v>
      </c>
      <c r="RV24">
        <v>2653186</v>
      </c>
      <c r="RW24">
        <v>2653186</v>
      </c>
      <c r="RX24">
        <v>2653186</v>
      </c>
      <c r="RY24">
        <v>2653186</v>
      </c>
      <c r="RZ24">
        <v>2653186</v>
      </c>
      <c r="SA24">
        <v>2653186</v>
      </c>
      <c r="SB24">
        <v>2653186</v>
      </c>
      <c r="SC24">
        <v>2653186</v>
      </c>
      <c r="SD24">
        <v>2653186</v>
      </c>
      <c r="SE24">
        <v>2653186</v>
      </c>
      <c r="SF24">
        <v>2653186</v>
      </c>
      <c r="SG24">
        <v>2653186</v>
      </c>
      <c r="SH24">
        <v>2653186</v>
      </c>
      <c r="SI24">
        <v>2653186</v>
      </c>
      <c r="SJ24">
        <v>2653186</v>
      </c>
      <c r="SK24">
        <v>2653186</v>
      </c>
      <c r="SL24">
        <v>2653186</v>
      </c>
      <c r="SM24">
        <v>2653186</v>
      </c>
      <c r="SN24">
        <v>2653186</v>
      </c>
      <c r="SO24">
        <v>2653186</v>
      </c>
      <c r="SP24">
        <v>2653186</v>
      </c>
      <c r="SQ24">
        <v>2653186</v>
      </c>
      <c r="SR24">
        <v>2666178</v>
      </c>
      <c r="SS24">
        <v>2666178</v>
      </c>
      <c r="ST24">
        <v>2666178</v>
      </c>
      <c r="SU24">
        <v>2666178</v>
      </c>
      <c r="SV24">
        <v>2666178</v>
      </c>
      <c r="SW24">
        <v>2666178</v>
      </c>
      <c r="SX24">
        <v>2666178</v>
      </c>
      <c r="SY24">
        <v>2666178</v>
      </c>
      <c r="SZ24">
        <v>2666178</v>
      </c>
      <c r="TA24">
        <v>2666178</v>
      </c>
      <c r="TB24">
        <v>2666178</v>
      </c>
      <c r="TC24">
        <v>2666178</v>
      </c>
      <c r="TD24">
        <v>2669468</v>
      </c>
      <c r="TE24">
        <v>2669468</v>
      </c>
      <c r="TF24">
        <v>2669468</v>
      </c>
      <c r="TG24">
        <v>2669468</v>
      </c>
      <c r="TH24">
        <v>2669468</v>
      </c>
      <c r="TI24">
        <v>2669468</v>
      </c>
      <c r="TJ24">
        <v>2669468</v>
      </c>
      <c r="TK24">
        <v>2669468</v>
      </c>
      <c r="TL24">
        <v>2669468</v>
      </c>
      <c r="TM24">
        <v>2669468</v>
      </c>
      <c r="TN24">
        <v>2669468</v>
      </c>
      <c r="TO24">
        <v>2669468</v>
      </c>
      <c r="TP24">
        <v>2669468</v>
      </c>
      <c r="TQ24">
        <v>2669468</v>
      </c>
      <c r="TR24">
        <v>2669468</v>
      </c>
      <c r="TS24">
        <v>2675341</v>
      </c>
      <c r="TT24">
        <v>2682016</v>
      </c>
      <c r="TU24">
        <v>2682016</v>
      </c>
      <c r="TV24">
        <v>2682016</v>
      </c>
      <c r="TW24">
        <v>2682016</v>
      </c>
      <c r="TX24">
        <v>2682016</v>
      </c>
      <c r="TY24">
        <v>2682016</v>
      </c>
      <c r="TZ24">
        <v>2682016</v>
      </c>
      <c r="UA24">
        <v>2682016</v>
      </c>
      <c r="UB24">
        <v>2682016</v>
      </c>
      <c r="UC24">
        <v>2682016</v>
      </c>
      <c r="UD24">
        <v>2682016</v>
      </c>
      <c r="UE24">
        <v>2682016</v>
      </c>
      <c r="UF24">
        <v>2682016</v>
      </c>
      <c r="UG24">
        <v>2682016</v>
      </c>
      <c r="UH24">
        <v>2682016</v>
      </c>
      <c r="UI24">
        <v>2682016</v>
      </c>
      <c r="UJ24">
        <v>2682016</v>
      </c>
      <c r="UK24">
        <v>2682016</v>
      </c>
      <c r="UL24">
        <v>2682016</v>
      </c>
      <c r="UM24">
        <v>2682016</v>
      </c>
      <c r="UN24">
        <v>2682016</v>
      </c>
      <c r="UO24">
        <v>2682016</v>
      </c>
      <c r="UP24">
        <v>2682016</v>
      </c>
      <c r="UQ24">
        <v>2682016</v>
      </c>
      <c r="UR24">
        <v>2682016</v>
      </c>
      <c r="US24">
        <v>2682016</v>
      </c>
      <c r="UT24">
        <v>2682016</v>
      </c>
      <c r="UU24">
        <v>2686794</v>
      </c>
      <c r="UV24">
        <v>2686794</v>
      </c>
      <c r="UW24">
        <v>2686794</v>
      </c>
      <c r="UX24">
        <v>2686794</v>
      </c>
      <c r="UY24">
        <v>2686794</v>
      </c>
      <c r="UZ24">
        <v>2686794</v>
      </c>
      <c r="VA24">
        <v>2688875</v>
      </c>
      <c r="VB24">
        <v>2688875</v>
      </c>
      <c r="VC24">
        <v>2688875</v>
      </c>
      <c r="VD24">
        <v>2688875</v>
      </c>
      <c r="VE24">
        <v>2688875</v>
      </c>
      <c r="VF24">
        <v>2688875</v>
      </c>
      <c r="VG24">
        <v>2688875</v>
      </c>
      <c r="VH24">
        <v>2688875</v>
      </c>
      <c r="VI24">
        <v>2693845</v>
      </c>
      <c r="VJ24">
        <v>2693845</v>
      </c>
      <c r="VK24">
        <v>2693845</v>
      </c>
      <c r="VL24">
        <v>2693845</v>
      </c>
      <c r="VM24">
        <v>2693845</v>
      </c>
      <c r="VN24">
        <v>2693845</v>
      </c>
      <c r="VO24">
        <v>2693845</v>
      </c>
      <c r="VP24">
        <v>2699040</v>
      </c>
      <c r="VQ24">
        <v>2699040</v>
      </c>
      <c r="VR24">
        <v>2699040</v>
      </c>
      <c r="VS24">
        <v>2699040</v>
      </c>
      <c r="VT24">
        <v>2699040</v>
      </c>
      <c r="VU24">
        <v>2700878</v>
      </c>
      <c r="VV24">
        <v>2700878</v>
      </c>
      <c r="VW24">
        <v>2700878</v>
      </c>
      <c r="VX24">
        <v>2700878</v>
      </c>
      <c r="VY24">
        <v>2705422</v>
      </c>
      <c r="VZ24">
        <v>2705422</v>
      </c>
      <c r="WA24">
        <v>2705422</v>
      </c>
      <c r="WB24">
        <v>2705422</v>
      </c>
      <c r="WC24">
        <v>2705422</v>
      </c>
      <c r="WD24">
        <v>2705422</v>
      </c>
      <c r="WE24">
        <v>2705422</v>
      </c>
      <c r="WF24">
        <v>2705422</v>
      </c>
      <c r="WG24">
        <v>2705422</v>
      </c>
      <c r="WH24">
        <v>2705422</v>
      </c>
      <c r="WI24">
        <v>2705422</v>
      </c>
      <c r="WJ24">
        <v>2705422</v>
      </c>
      <c r="WK24">
        <v>2705422</v>
      </c>
      <c r="WL24">
        <v>2705422</v>
      </c>
      <c r="WM24">
        <v>2705422</v>
      </c>
      <c r="WN24">
        <v>2705422</v>
      </c>
      <c r="WO24">
        <v>2705422</v>
      </c>
      <c r="WP24">
        <v>2705422</v>
      </c>
      <c r="WQ24">
        <v>2705422</v>
      </c>
      <c r="WR24">
        <v>2705422</v>
      </c>
      <c r="WS24">
        <v>2705422</v>
      </c>
      <c r="WT24">
        <v>2705422</v>
      </c>
      <c r="WU24">
        <v>2705422</v>
      </c>
      <c r="WV24">
        <v>2705422</v>
      </c>
      <c r="WW24">
        <v>2705422</v>
      </c>
      <c r="WX24">
        <v>2705422</v>
      </c>
      <c r="WY24">
        <v>2705422</v>
      </c>
      <c r="WZ24">
        <v>2705422</v>
      </c>
      <c r="XA24">
        <v>2705422</v>
      </c>
      <c r="XB24">
        <v>2705422</v>
      </c>
      <c r="XC24">
        <v>2705422</v>
      </c>
      <c r="XD24">
        <v>2705422</v>
      </c>
      <c r="XE24">
        <v>2705422</v>
      </c>
      <c r="XF24">
        <v>2705422</v>
      </c>
      <c r="XG24">
        <v>2705422</v>
      </c>
      <c r="XH24">
        <v>2705422</v>
      </c>
      <c r="XI24">
        <v>2705422</v>
      </c>
      <c r="XJ24">
        <v>2705422</v>
      </c>
      <c r="XK24">
        <v>2705422</v>
      </c>
      <c r="XL24">
        <v>2705422</v>
      </c>
      <c r="XM24">
        <v>2705422</v>
      </c>
      <c r="XN24">
        <v>2705422</v>
      </c>
      <c r="XO24">
        <v>2705422</v>
      </c>
      <c r="XP24">
        <v>2705422</v>
      </c>
      <c r="XQ24">
        <v>2705422</v>
      </c>
      <c r="XR24">
        <v>2705422</v>
      </c>
      <c r="XS24">
        <v>2705422</v>
      </c>
      <c r="XT24">
        <v>2705422</v>
      </c>
      <c r="XU24">
        <v>2705422</v>
      </c>
      <c r="XV24">
        <v>2705422</v>
      </c>
      <c r="XW24">
        <v>2705422</v>
      </c>
      <c r="XX24">
        <v>2705422</v>
      </c>
      <c r="XY24">
        <v>2705422</v>
      </c>
      <c r="XZ24">
        <v>2705422</v>
      </c>
      <c r="YA24">
        <v>2705422</v>
      </c>
      <c r="YB24">
        <v>2705422</v>
      </c>
      <c r="YC24">
        <v>2705422</v>
      </c>
      <c r="YD24">
        <v>2705422</v>
      </c>
      <c r="YE24">
        <v>2705422</v>
      </c>
      <c r="YF24" s="1">
        <v>2705422</v>
      </c>
      <c r="YG24" s="1">
        <v>2705422</v>
      </c>
      <c r="YH24" s="1">
        <v>2705422</v>
      </c>
      <c r="YI24" s="1">
        <v>2705422</v>
      </c>
      <c r="YJ24">
        <v>2705422</v>
      </c>
      <c r="YK24">
        <v>2705422</v>
      </c>
      <c r="YL24">
        <v>2705422</v>
      </c>
      <c r="YM24">
        <v>2705422</v>
      </c>
      <c r="YN24">
        <v>2705422</v>
      </c>
      <c r="YO24">
        <v>2705422</v>
      </c>
      <c r="YP24">
        <v>2705422</v>
      </c>
      <c r="YQ24">
        <v>2705422</v>
      </c>
      <c r="YR24">
        <v>2705422</v>
      </c>
      <c r="YS24">
        <v>2705422</v>
      </c>
      <c r="YT24">
        <v>2705422</v>
      </c>
      <c r="YU24">
        <v>2705422</v>
      </c>
      <c r="YV24">
        <v>2705422</v>
      </c>
      <c r="YW24">
        <v>2705422</v>
      </c>
      <c r="YX24">
        <v>2705422</v>
      </c>
      <c r="YY24">
        <v>2705422</v>
      </c>
      <c r="YZ24">
        <v>2705422</v>
      </c>
      <c r="ZA24">
        <v>2705422</v>
      </c>
      <c r="ZB24">
        <v>2705422</v>
      </c>
      <c r="ZC24">
        <v>2705422</v>
      </c>
      <c r="ZD24">
        <v>2705422</v>
      </c>
      <c r="ZE24">
        <v>2705422</v>
      </c>
      <c r="ZF24">
        <v>2705422</v>
      </c>
      <c r="ZG24">
        <v>2705422</v>
      </c>
      <c r="ZH24">
        <v>2705422</v>
      </c>
      <c r="ZI24">
        <v>2705422</v>
      </c>
      <c r="ZJ24">
        <v>2705422</v>
      </c>
      <c r="ZK24">
        <v>2705422</v>
      </c>
      <c r="ZL24">
        <v>2705422</v>
      </c>
      <c r="ZM24">
        <v>2705422</v>
      </c>
      <c r="ZN24">
        <v>2705422</v>
      </c>
      <c r="ZO24">
        <v>2705422</v>
      </c>
      <c r="ZP24">
        <v>2705422</v>
      </c>
      <c r="ZQ24">
        <v>2705422</v>
      </c>
      <c r="ZR24">
        <v>2705422</v>
      </c>
      <c r="ZS24">
        <v>2705422</v>
      </c>
      <c r="ZT24">
        <v>2705422</v>
      </c>
      <c r="ZU24">
        <v>2705422</v>
      </c>
      <c r="ZV24">
        <v>2705422</v>
      </c>
      <c r="ZW24">
        <v>2705422</v>
      </c>
      <c r="ZX24">
        <v>2705422</v>
      </c>
      <c r="ZY24">
        <v>2705422</v>
      </c>
      <c r="ZZ24">
        <v>2705422</v>
      </c>
      <c r="AAA24">
        <v>2705422</v>
      </c>
      <c r="AAB24">
        <v>2705422</v>
      </c>
      <c r="AAC24">
        <v>2705422</v>
      </c>
      <c r="AAD24">
        <v>2705422</v>
      </c>
      <c r="AAE24">
        <v>2705422</v>
      </c>
      <c r="AAF24">
        <v>2705422</v>
      </c>
      <c r="AAG24">
        <v>2705422</v>
      </c>
      <c r="AAH24">
        <v>2705422</v>
      </c>
      <c r="AAI24">
        <v>2705422</v>
      </c>
      <c r="AAJ24">
        <v>2705422</v>
      </c>
      <c r="AAK24">
        <v>2705422</v>
      </c>
      <c r="AAL24">
        <v>2705422</v>
      </c>
      <c r="AAM24">
        <v>2705422</v>
      </c>
      <c r="AAN24">
        <v>2705422</v>
      </c>
      <c r="AAO24">
        <v>2705422</v>
      </c>
      <c r="AAP24">
        <v>2705422</v>
      </c>
      <c r="AAQ24">
        <v>2705422</v>
      </c>
      <c r="AAR24">
        <v>2705422</v>
      </c>
      <c r="AAS24">
        <v>2705422</v>
      </c>
      <c r="AAT24">
        <v>2705422</v>
      </c>
      <c r="AAU24">
        <v>2705422</v>
      </c>
      <c r="AAV24">
        <v>2705422</v>
      </c>
      <c r="AAW24">
        <v>2705422</v>
      </c>
      <c r="AAX24">
        <v>2705422</v>
      </c>
      <c r="AAY24">
        <v>2705422</v>
      </c>
      <c r="AAZ24">
        <v>2705422</v>
      </c>
      <c r="ABA24">
        <v>2705422</v>
      </c>
      <c r="ABB24">
        <v>2705422</v>
      </c>
      <c r="ABC24">
        <v>2705422</v>
      </c>
      <c r="ABD24">
        <v>2705422</v>
      </c>
      <c r="ABE24">
        <v>2705422</v>
      </c>
      <c r="ABF24">
        <v>2705422</v>
      </c>
      <c r="ABG24">
        <v>2705422</v>
      </c>
      <c r="ABH24">
        <v>2705422</v>
      </c>
      <c r="ABI24">
        <v>2705422</v>
      </c>
      <c r="ABJ24">
        <v>2705422</v>
      </c>
      <c r="ABK24">
        <v>2705422</v>
      </c>
      <c r="ABL24">
        <v>2705422</v>
      </c>
      <c r="ABM24">
        <v>2705422</v>
      </c>
      <c r="ABN24">
        <v>2705422</v>
      </c>
      <c r="ABO24">
        <v>2705422</v>
      </c>
      <c r="ABP24">
        <v>2705422</v>
      </c>
      <c r="ABQ24">
        <v>2705422</v>
      </c>
      <c r="ABR24">
        <v>2705422</v>
      </c>
      <c r="ABS24">
        <v>2705422</v>
      </c>
      <c r="ABT24">
        <v>2705422</v>
      </c>
      <c r="ABU24">
        <v>2705422</v>
      </c>
      <c r="ABV24">
        <v>2705422</v>
      </c>
      <c r="ABW24">
        <v>2705422</v>
      </c>
      <c r="ABX24">
        <v>2705422</v>
      </c>
      <c r="ABY24">
        <v>2705422</v>
      </c>
      <c r="ABZ24">
        <v>2705422</v>
      </c>
      <c r="ACA24">
        <v>2705422</v>
      </c>
      <c r="ACB24">
        <v>2705422</v>
      </c>
      <c r="ACC24">
        <v>2705422</v>
      </c>
      <c r="ACD24">
        <v>2705422</v>
      </c>
      <c r="ACE24">
        <v>2705422</v>
      </c>
      <c r="ACF24">
        <v>2705422</v>
      </c>
      <c r="ACG24">
        <v>2705422</v>
      </c>
      <c r="ACH24">
        <v>2705422</v>
      </c>
      <c r="ACI24">
        <v>2705422</v>
      </c>
      <c r="ACJ24">
        <v>2705422</v>
      </c>
      <c r="ACK24">
        <v>2705422</v>
      </c>
      <c r="ACL24">
        <v>2705422</v>
      </c>
      <c r="ACM24">
        <v>2705422</v>
      </c>
      <c r="ACN24">
        <v>2705422</v>
      </c>
      <c r="ACO24">
        <v>2705422</v>
      </c>
      <c r="ACP24">
        <v>2705422</v>
      </c>
      <c r="ACQ24">
        <v>2705422</v>
      </c>
      <c r="ACR24">
        <v>2705422</v>
      </c>
      <c r="ACS24">
        <v>2705422</v>
      </c>
      <c r="ACT24">
        <v>2705422</v>
      </c>
      <c r="ACU24">
        <v>2705422</v>
      </c>
      <c r="ACV24">
        <v>2705422</v>
      </c>
      <c r="ACW24">
        <v>2705422</v>
      </c>
      <c r="ACX24">
        <v>2705422</v>
      </c>
      <c r="ACY24">
        <v>2705422</v>
      </c>
      <c r="ACZ24">
        <v>2705422</v>
      </c>
      <c r="ADA24">
        <v>2705422</v>
      </c>
      <c r="ADB24">
        <v>2705422</v>
      </c>
      <c r="ADC24">
        <v>2705422</v>
      </c>
      <c r="ADD24">
        <v>2705422</v>
      </c>
      <c r="ADE24">
        <v>2705422</v>
      </c>
      <c r="ADF24">
        <v>2705422</v>
      </c>
      <c r="ADG24">
        <v>2705422</v>
      </c>
      <c r="ADH24">
        <v>2705422</v>
      </c>
      <c r="ADI24">
        <v>2705422</v>
      </c>
      <c r="ADJ24">
        <v>2705422</v>
      </c>
      <c r="ADK24">
        <v>2705422</v>
      </c>
      <c r="ADL24">
        <v>2705422</v>
      </c>
      <c r="ADM24">
        <v>2705422</v>
      </c>
      <c r="ADN24">
        <v>2705422</v>
      </c>
      <c r="ADO24">
        <v>2705422</v>
      </c>
      <c r="ADP24">
        <v>2705422</v>
      </c>
      <c r="ADQ24">
        <v>2705422</v>
      </c>
      <c r="ADR24">
        <v>2705422</v>
      </c>
      <c r="ADS24">
        <v>2705422</v>
      </c>
      <c r="ADT24">
        <v>2705422</v>
      </c>
      <c r="ADU24">
        <v>2705422</v>
      </c>
      <c r="ADV24">
        <v>2705422</v>
      </c>
      <c r="ADW24">
        <v>2705422</v>
      </c>
      <c r="ADX24">
        <v>2705422</v>
      </c>
      <c r="ADY24">
        <v>2705422</v>
      </c>
      <c r="ADZ24">
        <v>2705422</v>
      </c>
      <c r="AEA24">
        <v>2705422</v>
      </c>
      <c r="AEB24">
        <v>2705422</v>
      </c>
      <c r="AEC24">
        <v>2705422</v>
      </c>
      <c r="AED24">
        <v>2705422</v>
      </c>
      <c r="AEE24">
        <v>2705422</v>
      </c>
      <c r="AEF24">
        <v>2705422</v>
      </c>
      <c r="AEG24">
        <v>2705422</v>
      </c>
      <c r="AEH24">
        <v>2705422</v>
      </c>
      <c r="AEI24">
        <v>2705422</v>
      </c>
      <c r="AEJ24">
        <v>2705422</v>
      </c>
      <c r="AEK24">
        <v>2705422</v>
      </c>
      <c r="AEL24">
        <v>2705422</v>
      </c>
      <c r="AEM24">
        <v>2705422</v>
      </c>
      <c r="AEN24">
        <v>2705422</v>
      </c>
      <c r="AEO24">
        <v>2705422</v>
      </c>
      <c r="AEP24">
        <v>2705422</v>
      </c>
      <c r="AEQ24">
        <v>2705422</v>
      </c>
      <c r="AER24">
        <v>2705422</v>
      </c>
      <c r="AES24">
        <v>2705422</v>
      </c>
      <c r="AET24">
        <v>2705422</v>
      </c>
      <c r="AEU24">
        <v>2705422</v>
      </c>
      <c r="AEV24">
        <v>2705422</v>
      </c>
      <c r="AEW24">
        <v>2705422</v>
      </c>
      <c r="AEX24">
        <v>2705422</v>
      </c>
      <c r="AEY24">
        <v>2705422</v>
      </c>
      <c r="AEZ24">
        <v>2705422</v>
      </c>
      <c r="AFA24">
        <v>2705422</v>
      </c>
      <c r="AFB24">
        <v>2705422</v>
      </c>
      <c r="AFC24">
        <v>2705422</v>
      </c>
      <c r="AFD24">
        <v>2705422</v>
      </c>
      <c r="AFE24">
        <v>2705422</v>
      </c>
      <c r="AFF24">
        <v>2705422</v>
      </c>
      <c r="AFG24">
        <v>2705422</v>
      </c>
      <c r="AFH24">
        <v>2705422</v>
      </c>
      <c r="AFI24">
        <v>2705422</v>
      </c>
      <c r="AFJ24">
        <v>2705422</v>
      </c>
      <c r="AFK24">
        <v>2705422</v>
      </c>
      <c r="AFL24">
        <v>2705422</v>
      </c>
      <c r="AFM24">
        <v>2705422</v>
      </c>
      <c r="AFN24">
        <v>2705422</v>
      </c>
      <c r="AFO24">
        <v>2705422</v>
      </c>
      <c r="AFP24">
        <v>2705422</v>
      </c>
      <c r="AFQ24">
        <v>2705422</v>
      </c>
      <c r="AFR24">
        <v>2705422</v>
      </c>
      <c r="AFS24">
        <v>2705422</v>
      </c>
      <c r="AFT24">
        <v>2705422</v>
      </c>
      <c r="AFU24">
        <v>2705422</v>
      </c>
      <c r="AFV24">
        <v>2705422</v>
      </c>
      <c r="AFW24">
        <v>2705422</v>
      </c>
      <c r="AFX24">
        <v>2705422</v>
      </c>
      <c r="AFY24">
        <v>2705422</v>
      </c>
      <c r="AFZ24">
        <v>2705422</v>
      </c>
      <c r="AGA24">
        <v>2705422</v>
      </c>
      <c r="AGB24">
        <v>2705422</v>
      </c>
      <c r="AGC24">
        <v>2705422</v>
      </c>
      <c r="AGD24">
        <v>2705422</v>
      </c>
      <c r="AGE24">
        <v>2705422</v>
      </c>
      <c r="AGF24">
        <v>2705422</v>
      </c>
      <c r="AGG24">
        <v>2705422</v>
      </c>
      <c r="AGH24">
        <v>2705422</v>
      </c>
      <c r="AGI24">
        <v>2705422</v>
      </c>
      <c r="AGJ24">
        <v>2705422</v>
      </c>
      <c r="AGK24">
        <v>2705422</v>
      </c>
      <c r="AGL24">
        <v>2705422</v>
      </c>
      <c r="AGM24">
        <v>2705422</v>
      </c>
      <c r="AGN24">
        <v>2705422</v>
      </c>
      <c r="AGO24">
        <v>2705422</v>
      </c>
      <c r="AGP24">
        <v>2705422</v>
      </c>
      <c r="AGQ24">
        <v>2705422</v>
      </c>
      <c r="AGR24">
        <v>2705422</v>
      </c>
      <c r="AGS24">
        <v>2705422</v>
      </c>
      <c r="AGT24">
        <v>2705422</v>
      </c>
      <c r="AGU24">
        <v>2705422</v>
      </c>
      <c r="AGV24">
        <v>2705422</v>
      </c>
      <c r="AGW24">
        <v>2705422</v>
      </c>
      <c r="AGX24">
        <v>2705422</v>
      </c>
      <c r="AGY24">
        <v>2705422</v>
      </c>
      <c r="AGZ24">
        <v>2705422</v>
      </c>
      <c r="AHA24">
        <v>2705422</v>
      </c>
      <c r="AHB24">
        <v>2705422</v>
      </c>
      <c r="AHC24">
        <v>2705422</v>
      </c>
      <c r="AHD24">
        <v>2705422</v>
      </c>
      <c r="AHE24">
        <v>2705422</v>
      </c>
      <c r="AHF24">
        <v>2705422</v>
      </c>
      <c r="AHG24">
        <v>2705422</v>
      </c>
      <c r="AHH24">
        <v>2705422</v>
      </c>
      <c r="AHI24">
        <v>2705422</v>
      </c>
      <c r="AHJ24">
        <v>2705422</v>
      </c>
      <c r="AHK24">
        <v>2705422</v>
      </c>
      <c r="AHL24">
        <v>2705422</v>
      </c>
      <c r="AHM24">
        <v>2705422</v>
      </c>
      <c r="AHN24">
        <v>2705422</v>
      </c>
      <c r="AHO24">
        <v>2705422</v>
      </c>
      <c r="AHP24">
        <v>2705422</v>
      </c>
      <c r="AHQ24">
        <v>2705422</v>
      </c>
    </row>
    <row r="25" spans="1:901">
      <c r="A25" s="1" t="s">
        <v>40</v>
      </c>
      <c r="B25">
        <v>14617980</v>
      </c>
      <c r="C25">
        <v>14617980</v>
      </c>
      <c r="D25">
        <v>14617980</v>
      </c>
      <c r="E25">
        <v>15011116</v>
      </c>
      <c r="F25">
        <v>15011116</v>
      </c>
      <c r="G25">
        <v>15011116</v>
      </c>
      <c r="H25">
        <v>15011116</v>
      </c>
      <c r="I25">
        <v>17900000</v>
      </c>
      <c r="J25">
        <v>17900000</v>
      </c>
      <c r="K25">
        <v>17900000</v>
      </c>
      <c r="L25">
        <v>17900000</v>
      </c>
      <c r="M25">
        <v>17900000</v>
      </c>
      <c r="N25">
        <v>17900000</v>
      </c>
      <c r="O25">
        <v>17900000</v>
      </c>
      <c r="P25">
        <v>17900000</v>
      </c>
      <c r="Q25">
        <v>17900000</v>
      </c>
      <c r="R25">
        <v>17900000</v>
      </c>
      <c r="S25">
        <v>17900000</v>
      </c>
      <c r="T25">
        <v>17900000</v>
      </c>
      <c r="U25">
        <v>17900000</v>
      </c>
      <c r="V25">
        <v>17900000</v>
      </c>
      <c r="W25">
        <v>17900000</v>
      </c>
      <c r="X25">
        <v>17900000</v>
      </c>
      <c r="Y25">
        <v>17900000</v>
      </c>
      <c r="Z25">
        <v>17900000</v>
      </c>
      <c r="AA25">
        <v>17900000</v>
      </c>
      <c r="AB25">
        <v>17900000</v>
      </c>
      <c r="AC25">
        <v>17900000</v>
      </c>
      <c r="AD25">
        <v>17900000</v>
      </c>
      <c r="AE25">
        <v>17900000</v>
      </c>
      <c r="AF25">
        <v>17900000</v>
      </c>
      <c r="AG25">
        <v>17900000</v>
      </c>
      <c r="AH25">
        <v>17900000</v>
      </c>
      <c r="AI25">
        <v>17900000</v>
      </c>
      <c r="AJ25">
        <v>17900000</v>
      </c>
      <c r="AK25">
        <v>17900000</v>
      </c>
      <c r="AL25">
        <v>21900000</v>
      </c>
      <c r="AM25">
        <v>21900000</v>
      </c>
      <c r="AN25">
        <v>21900000</v>
      </c>
      <c r="AO25">
        <v>21900000</v>
      </c>
      <c r="AP25">
        <v>21900000</v>
      </c>
      <c r="AQ25">
        <v>21900000</v>
      </c>
      <c r="AR25">
        <v>21900000</v>
      </c>
      <c r="AS25">
        <v>21900000</v>
      </c>
      <c r="AT25">
        <v>21900000</v>
      </c>
      <c r="AU25">
        <v>21900000</v>
      </c>
      <c r="AV25">
        <v>21900000</v>
      </c>
      <c r="AW25">
        <v>21900000</v>
      </c>
      <c r="AX25">
        <v>21900000</v>
      </c>
      <c r="AY25">
        <v>21900000</v>
      </c>
      <c r="AZ25">
        <v>21900000</v>
      </c>
      <c r="BA25">
        <v>21900000</v>
      </c>
      <c r="BB25">
        <v>21900000</v>
      </c>
      <c r="BC25">
        <v>21900000</v>
      </c>
      <c r="BD25">
        <v>21900000</v>
      </c>
      <c r="BE25">
        <v>21900000</v>
      </c>
      <c r="BF25">
        <v>21900000</v>
      </c>
      <c r="BG25">
        <v>21900000</v>
      </c>
      <c r="BH25">
        <v>21900000</v>
      </c>
      <c r="BI25">
        <v>21900000</v>
      </c>
      <c r="BJ25">
        <v>21900000</v>
      </c>
      <c r="BK25">
        <v>21900000</v>
      </c>
      <c r="BL25">
        <v>21900000</v>
      </c>
      <c r="BM25">
        <v>21900000</v>
      </c>
      <c r="BN25">
        <v>21900000</v>
      </c>
      <c r="BO25">
        <v>21900000</v>
      </c>
      <c r="BP25">
        <v>21900000</v>
      </c>
      <c r="BQ25">
        <v>21900000</v>
      </c>
      <c r="BR25">
        <v>21900000</v>
      </c>
      <c r="BS25">
        <v>21900000</v>
      </c>
      <c r="BT25">
        <v>21900000</v>
      </c>
      <c r="BU25">
        <v>21900000</v>
      </c>
      <c r="BV25">
        <v>21900000</v>
      </c>
      <c r="BW25">
        <v>21900000</v>
      </c>
      <c r="BX25">
        <v>21900000</v>
      </c>
      <c r="BY25">
        <v>25700000</v>
      </c>
      <c r="BZ25">
        <v>25700000</v>
      </c>
      <c r="CA25">
        <v>25700000</v>
      </c>
      <c r="CB25">
        <v>25700000</v>
      </c>
      <c r="CC25">
        <v>25700000</v>
      </c>
      <c r="CD25">
        <v>25700000</v>
      </c>
      <c r="CE25">
        <v>25700000</v>
      </c>
      <c r="CF25">
        <v>25700000</v>
      </c>
      <c r="CG25">
        <v>25700000</v>
      </c>
      <c r="CH25">
        <v>25700000</v>
      </c>
      <c r="CI25">
        <v>25700000</v>
      </c>
      <c r="CJ25">
        <v>25700000</v>
      </c>
      <c r="CK25">
        <v>25700000</v>
      </c>
      <c r="CL25">
        <v>25700000</v>
      </c>
      <c r="CM25">
        <v>25700000</v>
      </c>
      <c r="CN25">
        <v>25700000</v>
      </c>
      <c r="CO25">
        <v>25700000</v>
      </c>
      <c r="CP25">
        <v>25700000</v>
      </c>
      <c r="CQ25">
        <v>25700000</v>
      </c>
      <c r="CR25">
        <v>25700000</v>
      </c>
      <c r="CS25">
        <v>25700000</v>
      </c>
      <c r="CT25">
        <v>25700000</v>
      </c>
      <c r="CU25">
        <v>28600000</v>
      </c>
      <c r="CV25">
        <v>28600000</v>
      </c>
      <c r="CW25">
        <v>28600000</v>
      </c>
      <c r="CX25">
        <v>28600000</v>
      </c>
      <c r="CY25">
        <v>28600000</v>
      </c>
      <c r="CZ25">
        <v>28600000</v>
      </c>
      <c r="DA25">
        <v>28600000</v>
      </c>
      <c r="DB25">
        <v>28600000</v>
      </c>
      <c r="DC25">
        <v>28600000</v>
      </c>
      <c r="DD25">
        <v>28600000</v>
      </c>
      <c r="DE25">
        <v>28600000</v>
      </c>
      <c r="DF25">
        <v>28600000</v>
      </c>
      <c r="DG25">
        <v>28600000</v>
      </c>
      <c r="DH25">
        <v>28600000</v>
      </c>
      <c r="DI25">
        <v>28600000</v>
      </c>
      <c r="DJ25">
        <v>28600000</v>
      </c>
      <c r="DK25">
        <v>28600000</v>
      </c>
      <c r="DL25">
        <v>28600000</v>
      </c>
      <c r="DM25">
        <v>28600000</v>
      </c>
      <c r="DN25">
        <v>28600000</v>
      </c>
      <c r="DO25">
        <v>28600000</v>
      </c>
      <c r="DP25">
        <v>28600000</v>
      </c>
      <c r="DQ25">
        <v>28600000</v>
      </c>
      <c r="DR25">
        <v>28600000</v>
      </c>
      <c r="DS25">
        <v>28600000</v>
      </c>
      <c r="DT25">
        <v>28600000</v>
      </c>
      <c r="DU25">
        <v>28600000</v>
      </c>
      <c r="DV25">
        <v>28600000</v>
      </c>
      <c r="DW25">
        <v>28600000</v>
      </c>
      <c r="DX25">
        <v>28600000</v>
      </c>
      <c r="DY25">
        <v>28600000</v>
      </c>
      <c r="DZ25">
        <v>28600000</v>
      </c>
      <c r="EA25">
        <v>28600000</v>
      </c>
      <c r="EB25">
        <v>28600000</v>
      </c>
      <c r="EC25">
        <v>28600000</v>
      </c>
      <c r="ED25">
        <v>28600000</v>
      </c>
      <c r="EE25">
        <v>28600000</v>
      </c>
      <c r="EF25">
        <v>28600000</v>
      </c>
      <c r="EG25">
        <v>28600000</v>
      </c>
      <c r="EH25">
        <v>28600000</v>
      </c>
      <c r="EI25">
        <v>28600000</v>
      </c>
      <c r="EJ25">
        <v>28600000</v>
      </c>
      <c r="EK25">
        <v>28600000</v>
      </c>
      <c r="EL25">
        <v>28600000</v>
      </c>
      <c r="EM25">
        <v>28600000</v>
      </c>
      <c r="EN25">
        <v>28600000</v>
      </c>
      <c r="EO25">
        <v>28600000</v>
      </c>
      <c r="EP25">
        <v>28600000</v>
      </c>
      <c r="EQ25">
        <v>28600000</v>
      </c>
      <c r="ER25">
        <v>28600000</v>
      </c>
      <c r="ES25">
        <v>28600000</v>
      </c>
      <c r="ET25">
        <v>28600000</v>
      </c>
      <c r="EU25">
        <v>28600000</v>
      </c>
      <c r="EV25">
        <v>28600000</v>
      </c>
      <c r="EW25">
        <v>28600000</v>
      </c>
      <c r="EX25">
        <v>28600000</v>
      </c>
      <c r="EY25">
        <v>28600000</v>
      </c>
      <c r="EZ25">
        <v>28600000</v>
      </c>
      <c r="FA25">
        <v>28600000</v>
      </c>
      <c r="FB25">
        <v>28600000</v>
      </c>
      <c r="FC25">
        <v>28600000</v>
      </c>
      <c r="FD25">
        <v>28600000</v>
      </c>
      <c r="FE25">
        <v>28600000</v>
      </c>
      <c r="FF25">
        <v>28600000</v>
      </c>
      <c r="FG25">
        <v>28600000</v>
      </c>
      <c r="FH25">
        <v>28600000</v>
      </c>
      <c r="FI25">
        <v>28600000</v>
      </c>
      <c r="FJ25">
        <v>28600000</v>
      </c>
      <c r="FK25">
        <v>28600000</v>
      </c>
      <c r="FL25">
        <v>28600000</v>
      </c>
      <c r="FM25">
        <v>28600000</v>
      </c>
      <c r="FN25">
        <v>28600000</v>
      </c>
      <c r="FO25">
        <v>28600000</v>
      </c>
      <c r="FP25">
        <v>28600000</v>
      </c>
      <c r="FQ25">
        <v>28600000</v>
      </c>
      <c r="FR25">
        <v>28600000</v>
      </c>
      <c r="FS25">
        <v>28600000</v>
      </c>
      <c r="FT25">
        <v>28600000</v>
      </c>
      <c r="FU25">
        <v>28600000</v>
      </c>
      <c r="FV25">
        <v>28600000</v>
      </c>
      <c r="FW25">
        <v>28600000</v>
      </c>
      <c r="FX25">
        <v>28600000</v>
      </c>
      <c r="FY25">
        <v>28600000</v>
      </c>
      <c r="FZ25">
        <v>28600000</v>
      </c>
      <c r="GA25">
        <v>28600000</v>
      </c>
      <c r="GB25">
        <v>28600000</v>
      </c>
      <c r="GC25">
        <v>28600000</v>
      </c>
      <c r="GD25">
        <v>28600000</v>
      </c>
      <c r="GE25">
        <v>28600000</v>
      </c>
      <c r="GF25">
        <v>28600000</v>
      </c>
      <c r="GG25">
        <v>28600000</v>
      </c>
      <c r="GH25">
        <v>28600000</v>
      </c>
      <c r="GI25">
        <v>28600000</v>
      </c>
      <c r="GJ25">
        <v>28600000</v>
      </c>
      <c r="GK25">
        <v>28600000</v>
      </c>
      <c r="GL25">
        <v>28600000</v>
      </c>
      <c r="GM25">
        <v>28600000</v>
      </c>
      <c r="GN25">
        <v>28600000</v>
      </c>
      <c r="GO25">
        <v>28600000</v>
      </c>
      <c r="GP25">
        <v>28600000</v>
      </c>
      <c r="GQ25">
        <v>28600000</v>
      </c>
      <c r="GR25">
        <v>28600000</v>
      </c>
      <c r="GS25">
        <v>28600000</v>
      </c>
      <c r="GT25">
        <v>28600000</v>
      </c>
      <c r="GU25">
        <v>28600000</v>
      </c>
      <c r="GV25">
        <v>28600000</v>
      </c>
      <c r="GW25">
        <v>28600000</v>
      </c>
      <c r="GX25">
        <v>28600000</v>
      </c>
      <c r="GY25">
        <v>28600000</v>
      </c>
      <c r="GZ25">
        <v>28600000</v>
      </c>
      <c r="HA25" s="3">
        <v>28600000</v>
      </c>
      <c r="HB25">
        <v>28600000</v>
      </c>
      <c r="HC25">
        <v>28600000</v>
      </c>
      <c r="HD25">
        <v>28600000</v>
      </c>
      <c r="HE25">
        <v>28600000</v>
      </c>
      <c r="HF25">
        <v>28600000</v>
      </c>
      <c r="HG25">
        <v>28600000</v>
      </c>
      <c r="HH25">
        <v>28600000</v>
      </c>
      <c r="HI25">
        <v>28600000</v>
      </c>
      <c r="HJ25">
        <v>28600000</v>
      </c>
      <c r="HK25">
        <v>28600000</v>
      </c>
      <c r="HL25">
        <v>43538104</v>
      </c>
      <c r="HM25">
        <v>43538104</v>
      </c>
      <c r="HN25">
        <v>43538104</v>
      </c>
      <c r="HO25">
        <v>43538104</v>
      </c>
      <c r="HP25">
        <v>43538104</v>
      </c>
      <c r="HQ25">
        <v>43538104</v>
      </c>
      <c r="HR25">
        <v>43818216</v>
      </c>
      <c r="HS25">
        <v>43818216</v>
      </c>
      <c r="HT25">
        <v>43818216</v>
      </c>
      <c r="HU25">
        <v>43818216</v>
      </c>
      <c r="HV25">
        <v>46439030</v>
      </c>
      <c r="HW25">
        <v>46439030</v>
      </c>
      <c r="HX25">
        <v>46616516</v>
      </c>
      <c r="HY25">
        <v>46616516</v>
      </c>
      <c r="HZ25">
        <v>46616516</v>
      </c>
      <c r="IA25">
        <v>46834128</v>
      </c>
      <c r="IB25">
        <v>46834128</v>
      </c>
      <c r="IC25">
        <v>46834128</v>
      </c>
      <c r="ID25">
        <v>46834128</v>
      </c>
      <c r="IE25">
        <v>46970130</v>
      </c>
      <c r="IF25">
        <v>46970130</v>
      </c>
      <c r="IG25">
        <v>46970130</v>
      </c>
      <c r="IH25">
        <v>46970130</v>
      </c>
      <c r="II25">
        <v>47073060</v>
      </c>
      <c r="IJ25">
        <v>47073060</v>
      </c>
      <c r="IK25">
        <v>47073060</v>
      </c>
      <c r="IL25">
        <v>47073060</v>
      </c>
      <c r="IM25">
        <v>47073060</v>
      </c>
      <c r="IN25">
        <v>49013934</v>
      </c>
      <c r="IO25">
        <v>49013934</v>
      </c>
      <c r="IP25">
        <v>49013934</v>
      </c>
      <c r="IQ25">
        <v>49013934</v>
      </c>
      <c r="IR25">
        <v>49076549</v>
      </c>
      <c r="IS25">
        <v>49076549</v>
      </c>
      <c r="IT25">
        <v>49076549</v>
      </c>
      <c r="IU25">
        <v>49076549</v>
      </c>
      <c r="IV25">
        <v>49076549</v>
      </c>
      <c r="IW25">
        <v>49403998</v>
      </c>
      <c r="IX25">
        <v>49548110</v>
      </c>
      <c r="IY25" s="3">
        <v>49612384</v>
      </c>
      <c r="IZ25">
        <v>49612384</v>
      </c>
      <c r="JA25">
        <v>49612384</v>
      </c>
      <c r="JB25">
        <v>49842105</v>
      </c>
      <c r="JC25">
        <v>49842105</v>
      </c>
      <c r="JD25">
        <v>49842105</v>
      </c>
      <c r="JE25">
        <v>50028915</v>
      </c>
      <c r="JF25">
        <v>50028915</v>
      </c>
      <c r="JG25">
        <v>50127012</v>
      </c>
      <c r="JH25">
        <v>50127012</v>
      </c>
      <c r="JI25">
        <v>50245852</v>
      </c>
      <c r="JJ25">
        <v>50245852</v>
      </c>
      <c r="JK25">
        <v>50801042</v>
      </c>
      <c r="JL25">
        <v>50870041</v>
      </c>
      <c r="JM25">
        <v>50870041</v>
      </c>
      <c r="JN25">
        <v>50870041</v>
      </c>
      <c r="JO25">
        <v>52714701</v>
      </c>
      <c r="JP25">
        <v>52714701</v>
      </c>
      <c r="JQ25">
        <v>52714701</v>
      </c>
      <c r="JR25">
        <v>52714701</v>
      </c>
      <c r="JS25">
        <v>52820657</v>
      </c>
      <c r="JT25">
        <v>52820657</v>
      </c>
      <c r="JU25">
        <v>52820657</v>
      </c>
      <c r="JV25">
        <v>52820657</v>
      </c>
      <c r="JW25">
        <v>53196856</v>
      </c>
      <c r="JX25">
        <v>53209627</v>
      </c>
      <c r="JY25">
        <v>53209627</v>
      </c>
      <c r="JZ25">
        <v>53209627</v>
      </c>
      <c r="KA25">
        <v>53209627</v>
      </c>
      <c r="KB25">
        <v>53209627</v>
      </c>
      <c r="KC25">
        <v>53209627</v>
      </c>
      <c r="KD25">
        <v>54003112</v>
      </c>
      <c r="KE25">
        <v>54003112</v>
      </c>
      <c r="KF25">
        <v>54003112</v>
      </c>
      <c r="KG25">
        <v>54003112</v>
      </c>
      <c r="KH25">
        <v>54003112</v>
      </c>
      <c r="KI25">
        <v>54204686</v>
      </c>
      <c r="KJ25">
        <v>54204686</v>
      </c>
      <c r="KK25">
        <v>54204686</v>
      </c>
      <c r="KL25">
        <v>54204686</v>
      </c>
      <c r="KM25">
        <v>54204686</v>
      </c>
      <c r="KN25">
        <v>54204686</v>
      </c>
      <c r="KO25">
        <v>54204686</v>
      </c>
      <c r="KP25">
        <v>54204686</v>
      </c>
      <c r="KQ25">
        <v>54204686</v>
      </c>
      <c r="KR25">
        <v>54204686</v>
      </c>
      <c r="KS25">
        <v>54204686</v>
      </c>
      <c r="KT25">
        <v>54204686</v>
      </c>
      <c r="KU25">
        <v>54204686</v>
      </c>
      <c r="KV25">
        <v>54786381</v>
      </c>
      <c r="KW25">
        <v>54786381</v>
      </c>
      <c r="KX25">
        <v>54786381</v>
      </c>
      <c r="KY25">
        <v>54786381</v>
      </c>
      <c r="KZ25">
        <v>54786381</v>
      </c>
      <c r="LA25">
        <v>54786381</v>
      </c>
      <c r="LB25">
        <v>54786381</v>
      </c>
      <c r="LC25">
        <v>54786381</v>
      </c>
      <c r="LD25">
        <v>55034721</v>
      </c>
      <c r="LE25">
        <v>55034721</v>
      </c>
      <c r="LF25">
        <v>55034721</v>
      </c>
      <c r="LG25">
        <v>55034721</v>
      </c>
      <c r="LH25">
        <v>55034721</v>
      </c>
      <c r="LI25">
        <v>55034721</v>
      </c>
      <c r="LJ25">
        <v>55034721</v>
      </c>
      <c r="LK25">
        <v>55034721</v>
      </c>
      <c r="LL25">
        <v>55034721</v>
      </c>
      <c r="LM25">
        <v>55034721</v>
      </c>
      <c r="LN25">
        <v>55034721</v>
      </c>
      <c r="LO25">
        <v>55034721</v>
      </c>
      <c r="LP25">
        <v>55034721</v>
      </c>
      <c r="LQ25">
        <v>55034721</v>
      </c>
      <c r="LR25">
        <v>55034721</v>
      </c>
      <c r="LS25">
        <v>56023684</v>
      </c>
      <c r="LT25">
        <v>56023684</v>
      </c>
      <c r="LU25">
        <v>56023684</v>
      </c>
      <c r="LV25">
        <v>56023684</v>
      </c>
      <c r="LW25">
        <v>56023684</v>
      </c>
      <c r="LX25">
        <v>56023684</v>
      </c>
      <c r="LY25">
        <v>56023684</v>
      </c>
      <c r="LZ25">
        <v>56580445</v>
      </c>
      <c r="MA25">
        <v>56580445</v>
      </c>
      <c r="MB25">
        <v>56580445</v>
      </c>
      <c r="MC25">
        <v>56580445</v>
      </c>
      <c r="MD25">
        <v>56580445</v>
      </c>
      <c r="ME25">
        <v>56580445</v>
      </c>
      <c r="MF25">
        <v>56580445</v>
      </c>
      <c r="MG25">
        <v>56580445</v>
      </c>
      <c r="MH25">
        <v>56580445</v>
      </c>
      <c r="MI25">
        <v>56580445</v>
      </c>
      <c r="MJ25">
        <v>56897224</v>
      </c>
      <c r="MK25">
        <v>56897224</v>
      </c>
      <c r="ML25">
        <v>56897224</v>
      </c>
      <c r="MM25">
        <v>56897224</v>
      </c>
      <c r="MN25">
        <v>56897224</v>
      </c>
      <c r="MO25">
        <v>56897224</v>
      </c>
      <c r="MP25">
        <v>56897224</v>
      </c>
      <c r="MQ25">
        <v>56897224</v>
      </c>
      <c r="MR25">
        <v>57095219</v>
      </c>
      <c r="MS25">
        <v>57095219</v>
      </c>
      <c r="MT25">
        <v>57095219</v>
      </c>
      <c r="MU25">
        <v>57095219</v>
      </c>
      <c r="MV25">
        <v>57095219</v>
      </c>
      <c r="MW25">
        <v>57095219</v>
      </c>
      <c r="MX25">
        <v>57095219</v>
      </c>
      <c r="MY25">
        <v>57095219</v>
      </c>
      <c r="MZ25">
        <v>57095219</v>
      </c>
      <c r="NA25">
        <v>57095219</v>
      </c>
      <c r="NB25">
        <v>57095219</v>
      </c>
      <c r="NC25">
        <v>57095219</v>
      </c>
      <c r="ND25">
        <v>57282520</v>
      </c>
      <c r="NE25">
        <v>57282520</v>
      </c>
      <c r="NF25">
        <v>57282520</v>
      </c>
      <c r="NG25">
        <v>57282520</v>
      </c>
      <c r="NH25">
        <v>57282520</v>
      </c>
      <c r="NI25">
        <v>57282520</v>
      </c>
      <c r="NJ25">
        <v>57282520</v>
      </c>
      <c r="NK25">
        <v>57282520</v>
      </c>
      <c r="NL25">
        <v>57282520</v>
      </c>
      <c r="NM25">
        <v>57282520</v>
      </c>
      <c r="NN25">
        <v>57282520</v>
      </c>
      <c r="NO25">
        <v>57282520</v>
      </c>
      <c r="NP25">
        <v>57282520</v>
      </c>
      <c r="NQ25">
        <v>57282520</v>
      </c>
      <c r="NR25">
        <v>63776166</v>
      </c>
      <c r="NS25">
        <v>63776166</v>
      </c>
      <c r="NT25">
        <v>63776166</v>
      </c>
      <c r="NU25">
        <v>63776166</v>
      </c>
      <c r="NV25">
        <v>63776166</v>
      </c>
      <c r="NW25">
        <v>63776166</v>
      </c>
      <c r="NX25">
        <v>63776166</v>
      </c>
      <c r="NY25">
        <v>63776166</v>
      </c>
      <c r="NZ25">
        <v>63776166</v>
      </c>
      <c r="OA25">
        <v>63776166</v>
      </c>
      <c r="OB25">
        <v>63776166</v>
      </c>
      <c r="OC25">
        <v>63776166</v>
      </c>
      <c r="OD25">
        <v>63776166</v>
      </c>
      <c r="OE25">
        <v>63776166</v>
      </c>
      <c r="OF25">
        <v>63776166</v>
      </c>
      <c r="OG25">
        <v>63776166</v>
      </c>
      <c r="OH25">
        <v>63776166</v>
      </c>
      <c r="OI25">
        <v>63776166</v>
      </c>
      <c r="OJ25">
        <v>63776166</v>
      </c>
      <c r="OK25">
        <v>63776166</v>
      </c>
      <c r="OL25">
        <v>63776166</v>
      </c>
      <c r="OM25">
        <v>63776166</v>
      </c>
      <c r="ON25">
        <v>63776166</v>
      </c>
      <c r="OO25">
        <v>63776166</v>
      </c>
      <c r="OP25">
        <v>63776166</v>
      </c>
      <c r="OQ25">
        <v>63776166</v>
      </c>
      <c r="OR25">
        <v>63776166</v>
      </c>
      <c r="OS25">
        <v>63776166</v>
      </c>
      <c r="OT25">
        <v>63776166</v>
      </c>
      <c r="OU25">
        <v>63776166</v>
      </c>
      <c r="OV25">
        <v>63776166</v>
      </c>
      <c r="OW25">
        <v>63776166</v>
      </c>
      <c r="OX25">
        <v>63776166</v>
      </c>
      <c r="OY25">
        <v>63776166</v>
      </c>
      <c r="OZ25">
        <v>63776166</v>
      </c>
      <c r="PA25">
        <v>63776166</v>
      </c>
      <c r="PB25">
        <v>63776166</v>
      </c>
      <c r="PC25">
        <v>63776166</v>
      </c>
      <c r="PD25">
        <v>63776166</v>
      </c>
      <c r="PE25">
        <v>63776166</v>
      </c>
      <c r="PF25">
        <v>63776166</v>
      </c>
      <c r="PG25">
        <v>63776166</v>
      </c>
      <c r="PH25">
        <v>63776166</v>
      </c>
      <c r="PI25">
        <v>63776166</v>
      </c>
      <c r="PJ25">
        <v>63776166</v>
      </c>
      <c r="PK25">
        <v>63776166</v>
      </c>
      <c r="PL25">
        <v>63776166</v>
      </c>
      <c r="PM25">
        <v>63776166</v>
      </c>
      <c r="PN25">
        <v>63776166</v>
      </c>
      <c r="PO25">
        <v>63776166</v>
      </c>
      <c r="PP25">
        <v>63776166</v>
      </c>
      <c r="PQ25">
        <v>63776166</v>
      </c>
      <c r="PR25">
        <v>63776166</v>
      </c>
      <c r="PS25">
        <v>63776166</v>
      </c>
      <c r="PT25">
        <v>63776166</v>
      </c>
      <c r="PU25">
        <v>63776166</v>
      </c>
      <c r="PV25">
        <v>63776166</v>
      </c>
      <c r="PW25">
        <v>63776166</v>
      </c>
      <c r="PX25">
        <v>63776166</v>
      </c>
      <c r="PY25">
        <v>63776166</v>
      </c>
      <c r="PZ25">
        <v>63776166</v>
      </c>
      <c r="QA25">
        <v>63776166</v>
      </c>
      <c r="QB25">
        <v>63776166</v>
      </c>
      <c r="QC25">
        <v>63776166</v>
      </c>
      <c r="QD25">
        <v>63776166</v>
      </c>
      <c r="QE25">
        <v>63776166</v>
      </c>
      <c r="QF25">
        <v>63776166</v>
      </c>
      <c r="QG25">
        <v>63776166</v>
      </c>
      <c r="QH25">
        <v>63776166</v>
      </c>
      <c r="QI25">
        <v>63776166</v>
      </c>
      <c r="QJ25">
        <v>63776166</v>
      </c>
      <c r="QK25">
        <v>63776166</v>
      </c>
      <c r="QL25">
        <v>63776166</v>
      </c>
      <c r="QM25">
        <v>63776166</v>
      </c>
      <c r="QN25">
        <v>63776166</v>
      </c>
      <c r="QO25">
        <v>63776166</v>
      </c>
      <c r="QP25">
        <v>63776166</v>
      </c>
      <c r="QQ25">
        <v>63776166</v>
      </c>
      <c r="QR25">
        <v>63776166</v>
      </c>
      <c r="QS25">
        <v>63776166</v>
      </c>
      <c r="QT25">
        <v>63776166</v>
      </c>
      <c r="QU25">
        <v>63776166</v>
      </c>
      <c r="QV25">
        <v>63776166</v>
      </c>
      <c r="QW25">
        <v>63776166</v>
      </c>
      <c r="QX25">
        <v>63776166</v>
      </c>
      <c r="QY25">
        <v>63776166</v>
      </c>
      <c r="QZ25">
        <v>63776166</v>
      </c>
      <c r="RA25">
        <v>63776166</v>
      </c>
      <c r="RB25">
        <v>63776166</v>
      </c>
      <c r="RC25">
        <v>63776166</v>
      </c>
      <c r="RD25">
        <v>63776166</v>
      </c>
      <c r="RE25">
        <v>63776166</v>
      </c>
      <c r="RF25">
        <v>63776166</v>
      </c>
      <c r="RG25">
        <v>63776166</v>
      </c>
      <c r="RH25">
        <v>63776166</v>
      </c>
      <c r="RI25">
        <v>63776166</v>
      </c>
      <c r="RJ25">
        <v>63776166</v>
      </c>
      <c r="RK25">
        <v>63776166</v>
      </c>
      <c r="RL25">
        <v>63776166</v>
      </c>
      <c r="RM25">
        <v>63776166</v>
      </c>
      <c r="RN25">
        <v>63776166</v>
      </c>
      <c r="RO25">
        <v>63776166</v>
      </c>
      <c r="RP25">
        <v>63776166</v>
      </c>
      <c r="RQ25">
        <v>63776166</v>
      </c>
      <c r="RR25">
        <v>63776166</v>
      </c>
      <c r="RS25">
        <v>63776166</v>
      </c>
      <c r="RT25">
        <v>63776166</v>
      </c>
      <c r="RU25">
        <v>63776166</v>
      </c>
      <c r="RV25">
        <v>63776166</v>
      </c>
      <c r="RW25">
        <v>63776166</v>
      </c>
      <c r="RX25">
        <v>63776166</v>
      </c>
      <c r="RY25">
        <v>63776166</v>
      </c>
      <c r="RZ25">
        <v>63776166</v>
      </c>
      <c r="SA25">
        <v>63776166</v>
      </c>
      <c r="SB25">
        <v>63776166</v>
      </c>
      <c r="SC25">
        <v>63776166</v>
      </c>
      <c r="SD25">
        <v>63776166</v>
      </c>
      <c r="SE25">
        <v>63776166</v>
      </c>
      <c r="SF25">
        <v>63776166</v>
      </c>
      <c r="SG25">
        <v>63776166</v>
      </c>
      <c r="SH25">
        <v>63776166</v>
      </c>
      <c r="SI25">
        <v>63776166</v>
      </c>
      <c r="SJ25">
        <v>63776166</v>
      </c>
      <c r="SK25">
        <v>63776166</v>
      </c>
      <c r="SL25">
        <v>63776166</v>
      </c>
      <c r="SM25">
        <v>63776166</v>
      </c>
      <c r="SN25">
        <v>63776166</v>
      </c>
      <c r="SO25">
        <v>63776166</v>
      </c>
      <c r="SP25">
        <v>63776166</v>
      </c>
      <c r="SQ25">
        <v>63776166</v>
      </c>
      <c r="SR25">
        <v>63776166</v>
      </c>
      <c r="SS25">
        <v>63776166</v>
      </c>
      <c r="ST25">
        <v>63776166</v>
      </c>
      <c r="SU25">
        <v>63776166</v>
      </c>
      <c r="SV25">
        <v>63776166</v>
      </c>
      <c r="SW25">
        <v>63776166</v>
      </c>
      <c r="SX25">
        <v>63776166</v>
      </c>
      <c r="SY25">
        <v>63776166</v>
      </c>
      <c r="SZ25">
        <v>63776166</v>
      </c>
      <c r="TA25">
        <v>63776166</v>
      </c>
      <c r="TB25">
        <v>63776166</v>
      </c>
      <c r="TC25">
        <v>63776166</v>
      </c>
      <c r="TD25">
        <v>63776166</v>
      </c>
      <c r="TE25">
        <v>63776166</v>
      </c>
      <c r="TF25">
        <v>63776166</v>
      </c>
      <c r="TG25">
        <v>63776166</v>
      </c>
      <c r="TH25">
        <v>63776166</v>
      </c>
      <c r="TI25">
        <v>63776166</v>
      </c>
      <c r="TJ25">
        <v>63776166</v>
      </c>
      <c r="TK25">
        <v>63776166</v>
      </c>
      <c r="TL25">
        <v>63776166</v>
      </c>
      <c r="TM25">
        <v>63776166</v>
      </c>
      <c r="TN25">
        <v>63776166</v>
      </c>
      <c r="TO25">
        <v>63776166</v>
      </c>
      <c r="TP25">
        <v>63776166</v>
      </c>
      <c r="TQ25">
        <v>63776166</v>
      </c>
      <c r="TR25">
        <v>63776166</v>
      </c>
      <c r="TS25">
        <v>63776166</v>
      </c>
      <c r="TT25">
        <v>63776166</v>
      </c>
      <c r="TU25">
        <v>63776166</v>
      </c>
      <c r="TV25">
        <v>63776166</v>
      </c>
      <c r="TW25">
        <v>63776166</v>
      </c>
      <c r="TX25">
        <v>63776166</v>
      </c>
      <c r="TY25">
        <v>63776166</v>
      </c>
      <c r="TZ25">
        <v>63776166</v>
      </c>
      <c r="UA25">
        <v>63776166</v>
      </c>
      <c r="UB25">
        <v>63776166</v>
      </c>
      <c r="UC25">
        <v>63776166</v>
      </c>
      <c r="UD25">
        <v>63776166</v>
      </c>
      <c r="UE25">
        <v>63776166</v>
      </c>
      <c r="UF25">
        <v>63776166</v>
      </c>
      <c r="UG25">
        <v>63776166</v>
      </c>
      <c r="UH25">
        <v>63776166</v>
      </c>
      <c r="UI25">
        <v>63776166</v>
      </c>
      <c r="UJ25">
        <v>63776166</v>
      </c>
      <c r="UK25">
        <v>63776166</v>
      </c>
      <c r="UL25">
        <v>63776166</v>
      </c>
      <c r="UM25">
        <v>63776166</v>
      </c>
      <c r="UN25">
        <v>63776166</v>
      </c>
      <c r="UO25">
        <v>63776166</v>
      </c>
      <c r="UP25">
        <v>63776166</v>
      </c>
      <c r="UQ25">
        <v>63776166</v>
      </c>
      <c r="UR25">
        <v>63776166</v>
      </c>
      <c r="US25">
        <v>63776166</v>
      </c>
      <c r="UT25">
        <v>63776166</v>
      </c>
      <c r="UU25">
        <v>63776166</v>
      </c>
      <c r="UV25">
        <v>63776166</v>
      </c>
      <c r="UW25">
        <v>63776166</v>
      </c>
      <c r="UX25">
        <v>63776166</v>
      </c>
      <c r="UY25">
        <v>63776166</v>
      </c>
      <c r="UZ25">
        <v>63776166</v>
      </c>
      <c r="VA25">
        <v>63776166</v>
      </c>
      <c r="VB25">
        <v>63776166</v>
      </c>
      <c r="VC25">
        <v>63776166</v>
      </c>
      <c r="VD25">
        <v>63776166</v>
      </c>
      <c r="VE25">
        <v>63776166</v>
      </c>
      <c r="VF25">
        <v>63776166</v>
      </c>
      <c r="VG25">
        <v>63776166</v>
      </c>
      <c r="VH25">
        <v>63776166</v>
      </c>
      <c r="VI25">
        <v>63776166</v>
      </c>
      <c r="VJ25">
        <v>63776166</v>
      </c>
      <c r="VK25">
        <v>63776166</v>
      </c>
      <c r="VL25">
        <v>63776166</v>
      </c>
      <c r="VM25">
        <v>63776166</v>
      </c>
      <c r="VN25">
        <v>63776166</v>
      </c>
      <c r="VO25">
        <v>63776166</v>
      </c>
      <c r="VP25">
        <v>63776166</v>
      </c>
      <c r="VQ25">
        <v>63776166</v>
      </c>
      <c r="VR25">
        <v>63776166</v>
      </c>
      <c r="VS25">
        <v>63776166</v>
      </c>
      <c r="VT25">
        <v>63776166</v>
      </c>
      <c r="VU25">
        <v>63776166</v>
      </c>
      <c r="VV25">
        <v>63776166</v>
      </c>
      <c r="VW25">
        <v>63776166</v>
      </c>
      <c r="VX25">
        <v>63776166</v>
      </c>
      <c r="VY25">
        <v>63776166</v>
      </c>
      <c r="VZ25">
        <v>63776166</v>
      </c>
      <c r="WA25">
        <v>63776166</v>
      </c>
      <c r="WB25">
        <v>63776166</v>
      </c>
      <c r="WC25">
        <v>63776166</v>
      </c>
      <c r="WD25">
        <v>63776166</v>
      </c>
      <c r="WE25">
        <v>63776166</v>
      </c>
      <c r="WF25">
        <v>63776166</v>
      </c>
      <c r="WG25">
        <v>63776166</v>
      </c>
      <c r="WH25">
        <v>63776166</v>
      </c>
      <c r="WI25">
        <v>63776166</v>
      </c>
      <c r="WJ25">
        <v>63776166</v>
      </c>
      <c r="WK25">
        <v>63776166</v>
      </c>
      <c r="WL25">
        <v>63776166</v>
      </c>
      <c r="WM25">
        <v>63776166</v>
      </c>
      <c r="WN25">
        <v>63776166</v>
      </c>
      <c r="WO25">
        <v>63776166</v>
      </c>
      <c r="WP25">
        <v>63776166</v>
      </c>
      <c r="WQ25">
        <v>63776166</v>
      </c>
      <c r="WR25">
        <v>63776166</v>
      </c>
      <c r="WS25">
        <v>63776166</v>
      </c>
      <c r="WT25">
        <v>63776166</v>
      </c>
      <c r="WU25">
        <v>63776166</v>
      </c>
      <c r="WV25">
        <v>63776166</v>
      </c>
      <c r="WW25">
        <v>63776166</v>
      </c>
      <c r="WX25">
        <v>63776166</v>
      </c>
      <c r="WY25">
        <v>63776166</v>
      </c>
      <c r="WZ25">
        <v>63776166</v>
      </c>
      <c r="XA25">
        <v>63776166</v>
      </c>
      <c r="XB25">
        <v>63776166</v>
      </c>
      <c r="XC25">
        <v>63776166</v>
      </c>
      <c r="XD25">
        <v>63776166</v>
      </c>
      <c r="XE25">
        <v>63776166</v>
      </c>
      <c r="XF25">
        <v>63776166</v>
      </c>
      <c r="XG25">
        <v>63776166</v>
      </c>
      <c r="XH25">
        <v>63776166</v>
      </c>
      <c r="XI25">
        <v>63776166</v>
      </c>
      <c r="XJ25">
        <v>63776166</v>
      </c>
      <c r="XK25">
        <v>63776166</v>
      </c>
      <c r="XL25">
        <v>63776166</v>
      </c>
      <c r="XM25">
        <v>63776166</v>
      </c>
      <c r="XN25">
        <v>63776166</v>
      </c>
      <c r="XO25">
        <v>63776166</v>
      </c>
      <c r="XP25">
        <v>63776166</v>
      </c>
      <c r="XQ25">
        <v>63776166</v>
      </c>
      <c r="XR25">
        <v>63776166</v>
      </c>
      <c r="XS25">
        <v>63776166</v>
      </c>
      <c r="XT25">
        <v>63776166</v>
      </c>
      <c r="XU25">
        <v>63776166</v>
      </c>
      <c r="XV25">
        <v>63776166</v>
      </c>
      <c r="XW25">
        <v>63776166</v>
      </c>
      <c r="XX25">
        <v>63776166</v>
      </c>
      <c r="XY25">
        <v>63776166</v>
      </c>
      <c r="XZ25">
        <v>63776166</v>
      </c>
      <c r="YA25">
        <v>63776166</v>
      </c>
      <c r="YB25">
        <v>63776166</v>
      </c>
      <c r="YC25">
        <v>63776166</v>
      </c>
      <c r="YD25">
        <v>63776166</v>
      </c>
      <c r="YE25">
        <v>63776166</v>
      </c>
      <c r="YF25" s="1">
        <v>63776166</v>
      </c>
      <c r="YG25" s="1">
        <v>63776166</v>
      </c>
      <c r="YH25" s="1">
        <v>63776166</v>
      </c>
      <c r="YI25" s="1">
        <v>63776166</v>
      </c>
      <c r="YJ25">
        <v>63776166</v>
      </c>
      <c r="YK25">
        <v>63776166</v>
      </c>
      <c r="YL25">
        <v>63776166</v>
      </c>
      <c r="YM25">
        <v>63776166</v>
      </c>
      <c r="YN25">
        <v>63776166</v>
      </c>
      <c r="YO25">
        <v>63776166</v>
      </c>
      <c r="YP25">
        <v>63776166</v>
      </c>
      <c r="YQ25">
        <v>63776166</v>
      </c>
      <c r="YR25">
        <v>63776166</v>
      </c>
      <c r="YS25">
        <v>63776166</v>
      </c>
      <c r="YT25">
        <v>63776166</v>
      </c>
      <c r="YU25">
        <v>63776166</v>
      </c>
      <c r="YV25">
        <v>63776166</v>
      </c>
      <c r="YW25">
        <v>63776166</v>
      </c>
      <c r="YX25">
        <v>63776166</v>
      </c>
      <c r="YY25">
        <v>63776166</v>
      </c>
      <c r="YZ25">
        <v>63776166</v>
      </c>
      <c r="ZA25">
        <v>63776166</v>
      </c>
      <c r="ZB25">
        <v>63776166</v>
      </c>
      <c r="ZC25">
        <v>63776166</v>
      </c>
      <c r="ZD25">
        <v>63776166</v>
      </c>
      <c r="ZE25">
        <v>63776166</v>
      </c>
      <c r="ZF25">
        <v>63776166</v>
      </c>
      <c r="ZG25">
        <v>63776166</v>
      </c>
      <c r="ZH25">
        <v>63776166</v>
      </c>
      <c r="ZI25">
        <v>63776166</v>
      </c>
      <c r="ZJ25">
        <v>63776166</v>
      </c>
      <c r="ZK25">
        <v>63776166</v>
      </c>
      <c r="ZL25">
        <v>63776166</v>
      </c>
      <c r="ZM25">
        <v>63776166</v>
      </c>
      <c r="ZN25">
        <v>63776166</v>
      </c>
      <c r="ZO25">
        <v>63776166</v>
      </c>
      <c r="ZP25">
        <v>63776166</v>
      </c>
      <c r="ZQ25">
        <v>63776166</v>
      </c>
      <c r="ZR25">
        <v>63776166</v>
      </c>
      <c r="ZS25">
        <v>63776166</v>
      </c>
      <c r="ZT25">
        <v>63776166</v>
      </c>
      <c r="ZU25">
        <v>63776166</v>
      </c>
      <c r="ZV25">
        <v>63776166</v>
      </c>
      <c r="ZW25">
        <v>63776166</v>
      </c>
      <c r="ZX25">
        <v>63776166</v>
      </c>
      <c r="ZY25">
        <v>63776166</v>
      </c>
      <c r="ZZ25">
        <v>63776166</v>
      </c>
      <c r="AAA25">
        <v>63776166</v>
      </c>
      <c r="AAB25">
        <v>63776166</v>
      </c>
      <c r="AAC25">
        <v>63776166</v>
      </c>
      <c r="AAD25">
        <v>63776166</v>
      </c>
      <c r="AAE25">
        <v>63776166</v>
      </c>
      <c r="AAF25">
        <v>63776166</v>
      </c>
      <c r="AAG25">
        <v>63776166</v>
      </c>
      <c r="AAH25">
        <v>63776166</v>
      </c>
      <c r="AAI25">
        <v>63776166</v>
      </c>
      <c r="AAJ25">
        <v>63776166</v>
      </c>
      <c r="AAK25">
        <v>63776166</v>
      </c>
      <c r="AAL25">
        <v>63776166</v>
      </c>
      <c r="AAM25">
        <v>63776166</v>
      </c>
      <c r="AAN25">
        <v>63776166</v>
      </c>
      <c r="AAO25">
        <v>63776166</v>
      </c>
      <c r="AAP25">
        <v>63776166</v>
      </c>
      <c r="AAQ25">
        <v>63776166</v>
      </c>
      <c r="AAR25">
        <v>63776166</v>
      </c>
      <c r="AAS25">
        <v>63776166</v>
      </c>
      <c r="AAT25">
        <v>63776166</v>
      </c>
      <c r="AAU25">
        <v>63776166</v>
      </c>
      <c r="AAV25">
        <v>63776166</v>
      </c>
      <c r="AAW25">
        <v>63776166</v>
      </c>
      <c r="AAX25">
        <v>63776166</v>
      </c>
      <c r="AAY25">
        <v>63776166</v>
      </c>
      <c r="AAZ25">
        <v>63776166</v>
      </c>
      <c r="ABA25">
        <v>63776166</v>
      </c>
      <c r="ABB25">
        <v>63776166</v>
      </c>
      <c r="ABC25">
        <v>63776166</v>
      </c>
      <c r="ABD25">
        <v>63776166</v>
      </c>
      <c r="ABE25">
        <v>63776166</v>
      </c>
      <c r="ABF25">
        <v>63776166</v>
      </c>
      <c r="ABG25">
        <v>63776166</v>
      </c>
      <c r="ABH25">
        <v>63776166</v>
      </c>
      <c r="ABI25">
        <v>63776166</v>
      </c>
      <c r="ABJ25">
        <v>63776166</v>
      </c>
      <c r="ABK25">
        <v>63776166</v>
      </c>
      <c r="ABL25">
        <v>63776166</v>
      </c>
      <c r="ABM25">
        <v>63776166</v>
      </c>
      <c r="ABN25">
        <v>63776166</v>
      </c>
      <c r="ABO25">
        <v>63776166</v>
      </c>
      <c r="ABP25">
        <v>63776166</v>
      </c>
      <c r="ABQ25">
        <v>63776166</v>
      </c>
      <c r="ABR25">
        <v>63776166</v>
      </c>
      <c r="ABS25">
        <v>63776166</v>
      </c>
      <c r="ABT25">
        <v>63776166</v>
      </c>
      <c r="ABU25">
        <v>63776166</v>
      </c>
      <c r="ABV25">
        <v>63776166</v>
      </c>
      <c r="ABW25">
        <v>63776166</v>
      </c>
      <c r="ABX25">
        <v>63776166</v>
      </c>
      <c r="ABY25">
        <v>63776166</v>
      </c>
      <c r="ABZ25">
        <v>63776166</v>
      </c>
      <c r="ACA25">
        <v>63776166</v>
      </c>
      <c r="ACB25">
        <v>63776166</v>
      </c>
      <c r="ACC25">
        <v>63776166</v>
      </c>
      <c r="ACD25">
        <v>63776166</v>
      </c>
      <c r="ACE25">
        <v>63776166</v>
      </c>
      <c r="ACF25">
        <v>63776166</v>
      </c>
      <c r="ACG25">
        <v>63776166</v>
      </c>
      <c r="ACH25">
        <v>63776166</v>
      </c>
      <c r="ACI25">
        <v>63776166</v>
      </c>
      <c r="ACJ25">
        <v>63776166</v>
      </c>
      <c r="ACK25">
        <v>63776166</v>
      </c>
      <c r="ACL25">
        <v>63776166</v>
      </c>
      <c r="ACM25">
        <v>63776166</v>
      </c>
      <c r="ACN25">
        <v>63776166</v>
      </c>
      <c r="ACO25">
        <v>63776166</v>
      </c>
      <c r="ACP25">
        <v>63776166</v>
      </c>
      <c r="ACQ25">
        <v>63776166</v>
      </c>
      <c r="ACR25">
        <v>63776166</v>
      </c>
      <c r="ACS25">
        <v>63776166</v>
      </c>
      <c r="ACT25">
        <v>63776166</v>
      </c>
      <c r="ACU25">
        <v>63776166</v>
      </c>
      <c r="ACV25">
        <v>63776166</v>
      </c>
      <c r="ACW25">
        <v>63776166</v>
      </c>
      <c r="ACX25">
        <v>63776166</v>
      </c>
      <c r="ACY25">
        <v>63776166</v>
      </c>
      <c r="ACZ25">
        <v>63776166</v>
      </c>
      <c r="ADA25">
        <v>63776166</v>
      </c>
      <c r="ADB25">
        <v>63776166</v>
      </c>
      <c r="ADC25">
        <v>63776166</v>
      </c>
      <c r="ADD25">
        <v>63776166</v>
      </c>
      <c r="ADE25">
        <v>63776166</v>
      </c>
      <c r="ADF25">
        <v>63776166</v>
      </c>
      <c r="ADG25">
        <v>63776166</v>
      </c>
      <c r="ADH25">
        <v>63776166</v>
      </c>
      <c r="ADI25">
        <v>63776166</v>
      </c>
      <c r="ADJ25">
        <v>63776166</v>
      </c>
      <c r="ADK25">
        <v>63776166</v>
      </c>
      <c r="ADL25">
        <v>63776166</v>
      </c>
      <c r="ADM25">
        <v>63776166</v>
      </c>
      <c r="ADN25">
        <v>63776166</v>
      </c>
      <c r="ADO25">
        <v>63776166</v>
      </c>
      <c r="ADP25">
        <v>63776166</v>
      </c>
      <c r="ADQ25">
        <v>63776166</v>
      </c>
      <c r="ADR25">
        <v>63776166</v>
      </c>
      <c r="ADS25">
        <v>63776166</v>
      </c>
      <c r="ADT25">
        <v>63776166</v>
      </c>
      <c r="ADU25">
        <v>63776166</v>
      </c>
      <c r="ADV25">
        <v>63776166</v>
      </c>
      <c r="ADW25">
        <v>63776166</v>
      </c>
      <c r="ADX25">
        <v>63776166</v>
      </c>
      <c r="ADY25">
        <v>63776166</v>
      </c>
      <c r="ADZ25">
        <v>63776166</v>
      </c>
      <c r="AEA25">
        <v>63776166</v>
      </c>
      <c r="AEB25">
        <v>63776166</v>
      </c>
      <c r="AEC25">
        <v>63776166</v>
      </c>
      <c r="AED25">
        <v>63776166</v>
      </c>
      <c r="AEE25">
        <v>63776166</v>
      </c>
      <c r="AEF25">
        <v>63776166</v>
      </c>
      <c r="AEG25">
        <v>63776166</v>
      </c>
      <c r="AEH25">
        <v>63776166</v>
      </c>
      <c r="AEI25">
        <v>63776166</v>
      </c>
      <c r="AEJ25">
        <v>63776166</v>
      </c>
      <c r="AEK25">
        <v>63776166</v>
      </c>
      <c r="AEL25">
        <v>63776166</v>
      </c>
      <c r="AEM25">
        <v>63776166</v>
      </c>
      <c r="AEN25">
        <v>63776166</v>
      </c>
      <c r="AEO25">
        <v>63776166</v>
      </c>
      <c r="AEP25">
        <v>63776166</v>
      </c>
      <c r="AEQ25">
        <v>63776166</v>
      </c>
      <c r="AER25">
        <v>63776166</v>
      </c>
      <c r="AES25">
        <v>63776166</v>
      </c>
      <c r="AET25">
        <v>63776166</v>
      </c>
      <c r="AEU25">
        <v>63776166</v>
      </c>
      <c r="AEV25">
        <v>63776166</v>
      </c>
      <c r="AEW25">
        <v>63776166</v>
      </c>
      <c r="AEX25">
        <v>63776166</v>
      </c>
      <c r="AEY25">
        <v>63776166</v>
      </c>
      <c r="AEZ25">
        <v>63776166</v>
      </c>
      <c r="AFA25">
        <v>63776166</v>
      </c>
      <c r="AFB25">
        <v>63776166</v>
      </c>
      <c r="AFC25">
        <v>63776166</v>
      </c>
      <c r="AFD25">
        <v>63776166</v>
      </c>
      <c r="AFE25">
        <v>63776166</v>
      </c>
      <c r="AFF25">
        <v>63776166</v>
      </c>
      <c r="AFG25">
        <v>63776166</v>
      </c>
      <c r="AFH25">
        <v>63776166</v>
      </c>
      <c r="AFI25">
        <v>63776166</v>
      </c>
      <c r="AFJ25">
        <v>63776166</v>
      </c>
      <c r="AFK25">
        <v>63776166</v>
      </c>
      <c r="AFL25">
        <v>63776166</v>
      </c>
      <c r="AFM25">
        <v>63776166</v>
      </c>
      <c r="AFN25">
        <v>63776166</v>
      </c>
      <c r="AFO25">
        <v>63776166</v>
      </c>
      <c r="AFP25">
        <v>63776166</v>
      </c>
      <c r="AFQ25">
        <v>63776166</v>
      </c>
      <c r="AFR25">
        <v>63776166</v>
      </c>
      <c r="AFS25">
        <v>63776166</v>
      </c>
      <c r="AFT25">
        <v>63776166</v>
      </c>
      <c r="AFU25">
        <v>63776166</v>
      </c>
      <c r="AFV25">
        <v>63776166</v>
      </c>
      <c r="AFW25">
        <v>63776166</v>
      </c>
      <c r="AFX25">
        <v>63776166</v>
      </c>
      <c r="AFY25">
        <v>63776166</v>
      </c>
      <c r="AFZ25">
        <v>63776166</v>
      </c>
      <c r="AGA25">
        <v>63776166</v>
      </c>
      <c r="AGB25">
        <v>63776166</v>
      </c>
      <c r="AGC25">
        <v>63776166</v>
      </c>
      <c r="AGD25">
        <v>63776166</v>
      </c>
      <c r="AGE25">
        <v>63776166</v>
      </c>
      <c r="AGF25">
        <v>63776166</v>
      </c>
      <c r="AGG25">
        <v>63776166</v>
      </c>
      <c r="AGH25">
        <v>63776166</v>
      </c>
      <c r="AGI25">
        <v>63776166</v>
      </c>
      <c r="AGJ25">
        <v>63776166</v>
      </c>
      <c r="AGK25">
        <v>63776166</v>
      </c>
      <c r="AGL25">
        <v>63776166</v>
      </c>
      <c r="AGM25">
        <v>63776166</v>
      </c>
      <c r="AGN25">
        <v>63776166</v>
      </c>
      <c r="AGO25">
        <v>63776166</v>
      </c>
      <c r="AGP25">
        <v>63776166</v>
      </c>
      <c r="AGQ25">
        <v>63776166</v>
      </c>
      <c r="AGR25">
        <v>63776166</v>
      </c>
      <c r="AGS25">
        <v>63776166</v>
      </c>
      <c r="AGT25">
        <v>63776166</v>
      </c>
      <c r="AGU25">
        <v>63776166</v>
      </c>
      <c r="AGV25">
        <v>63776166</v>
      </c>
      <c r="AGW25">
        <v>63776166</v>
      </c>
      <c r="AGX25">
        <v>63776166</v>
      </c>
      <c r="AGY25">
        <v>63776166</v>
      </c>
      <c r="AGZ25">
        <v>63776166</v>
      </c>
      <c r="AHA25">
        <v>63776166</v>
      </c>
      <c r="AHB25">
        <v>63776166</v>
      </c>
      <c r="AHC25">
        <v>63776166</v>
      </c>
      <c r="AHD25">
        <v>63776166</v>
      </c>
      <c r="AHE25">
        <v>63776166</v>
      </c>
      <c r="AHF25">
        <v>63776166</v>
      </c>
      <c r="AHG25">
        <v>63776166</v>
      </c>
      <c r="AHH25">
        <v>63776166</v>
      </c>
      <c r="AHI25">
        <v>63776166</v>
      </c>
      <c r="AHJ25">
        <v>63776166</v>
      </c>
      <c r="AHK25">
        <v>63776166</v>
      </c>
      <c r="AHL25">
        <v>63776166</v>
      </c>
      <c r="AHM25">
        <v>63776166</v>
      </c>
      <c r="AHN25">
        <v>63776166</v>
      </c>
      <c r="AHO25">
        <v>63776166</v>
      </c>
      <c r="AHP25">
        <v>63776166</v>
      </c>
      <c r="AHQ25">
        <v>63776166</v>
      </c>
    </row>
    <row r="26" spans="1:901">
      <c r="A26" s="1" t="s">
        <v>36</v>
      </c>
      <c r="B26">
        <v>2911005</v>
      </c>
      <c r="C26">
        <v>2942651</v>
      </c>
      <c r="D26">
        <v>2975891</v>
      </c>
      <c r="E26">
        <v>3010713</v>
      </c>
      <c r="F26">
        <v>3038333</v>
      </c>
      <c r="G26">
        <v>3055155</v>
      </c>
      <c r="H26">
        <v>3068544</v>
      </c>
      <c r="I26">
        <v>3084117</v>
      </c>
      <c r="J26">
        <v>3113195</v>
      </c>
      <c r="K26">
        <v>3150848</v>
      </c>
      <c r="L26">
        <v>3228414</v>
      </c>
      <c r="M26">
        <v>3265887</v>
      </c>
      <c r="N26">
        <v>3294806</v>
      </c>
      <c r="O26">
        <v>3322315</v>
      </c>
      <c r="P26">
        <v>3355848</v>
      </c>
      <c r="Q26">
        <v>3394522</v>
      </c>
      <c r="R26">
        <v>3430220</v>
      </c>
      <c r="S26">
        <v>3466553</v>
      </c>
      <c r="T26">
        <v>3502751</v>
      </c>
      <c r="U26">
        <v>3529067</v>
      </c>
      <c r="V26">
        <v>3548773</v>
      </c>
      <c r="W26">
        <v>3581727</v>
      </c>
      <c r="X26">
        <v>3618019</v>
      </c>
      <c r="Y26">
        <v>3654041</v>
      </c>
      <c r="Z26">
        <v>3693252</v>
      </c>
      <c r="AA26">
        <v>3729159</v>
      </c>
      <c r="AB26">
        <v>3754762</v>
      </c>
      <c r="AC26">
        <v>3772113</v>
      </c>
      <c r="AD26">
        <v>3790118</v>
      </c>
      <c r="AE26">
        <v>3821206</v>
      </c>
      <c r="AF26">
        <v>3857820</v>
      </c>
      <c r="AG26">
        <v>3894941</v>
      </c>
      <c r="AH26">
        <v>3929612</v>
      </c>
      <c r="AI26">
        <v>3955343</v>
      </c>
      <c r="AJ26">
        <v>3974189</v>
      </c>
      <c r="AK26">
        <v>4005923</v>
      </c>
      <c r="AL26">
        <v>4043282</v>
      </c>
      <c r="AM26">
        <v>4081078</v>
      </c>
      <c r="AN26">
        <v>4119551</v>
      </c>
      <c r="AO26">
        <v>4157383</v>
      </c>
      <c r="AP26">
        <v>4177395</v>
      </c>
      <c r="AQ26">
        <v>4199217</v>
      </c>
      <c r="AR26">
        <v>4232623</v>
      </c>
      <c r="AS26">
        <v>4269503</v>
      </c>
      <c r="AT26">
        <v>4308761</v>
      </c>
      <c r="AU26">
        <v>4349913</v>
      </c>
      <c r="AV26">
        <v>4386173</v>
      </c>
      <c r="AW26">
        <v>4409827</v>
      </c>
      <c r="AX26">
        <v>4427858</v>
      </c>
      <c r="AY26">
        <v>4462086</v>
      </c>
      <c r="AZ26">
        <v>4502579</v>
      </c>
      <c r="BA26">
        <v>4541869</v>
      </c>
      <c r="BB26">
        <v>4583940</v>
      </c>
      <c r="BC26">
        <v>4621271</v>
      </c>
      <c r="BD26">
        <v>4645202</v>
      </c>
      <c r="BE26">
        <v>4667350</v>
      </c>
      <c r="BF26">
        <v>4703058</v>
      </c>
      <c r="BG26">
        <v>4741341</v>
      </c>
      <c r="BH26">
        <v>4781863</v>
      </c>
      <c r="BI26">
        <v>4822677</v>
      </c>
      <c r="BJ26">
        <v>4860006</v>
      </c>
      <c r="BK26">
        <v>4882709</v>
      </c>
      <c r="BL26">
        <v>4902934</v>
      </c>
      <c r="BM26">
        <v>4938248</v>
      </c>
      <c r="BN26">
        <v>4977478</v>
      </c>
      <c r="BO26">
        <v>5017064</v>
      </c>
      <c r="BP26">
        <v>5057098</v>
      </c>
      <c r="BQ26">
        <v>5095476</v>
      </c>
      <c r="BR26">
        <v>5118236</v>
      </c>
      <c r="BS26">
        <v>5138616</v>
      </c>
      <c r="BT26">
        <v>5174795</v>
      </c>
      <c r="BU26">
        <v>5213721</v>
      </c>
      <c r="BV26">
        <v>5253183</v>
      </c>
      <c r="BW26">
        <v>5295957</v>
      </c>
      <c r="BX26">
        <v>5333453</v>
      </c>
      <c r="BY26">
        <v>5357133</v>
      </c>
      <c r="BZ26">
        <v>5378733</v>
      </c>
      <c r="CA26">
        <v>5414795</v>
      </c>
      <c r="CB26">
        <v>5455436</v>
      </c>
      <c r="CC26">
        <v>5495597</v>
      </c>
      <c r="CD26">
        <v>5537774</v>
      </c>
      <c r="CE26">
        <v>5576517</v>
      </c>
      <c r="CF26">
        <v>5604702</v>
      </c>
      <c r="CG26">
        <v>5626894</v>
      </c>
      <c r="CH26">
        <v>5659403</v>
      </c>
      <c r="CI26">
        <v>5686946</v>
      </c>
      <c r="CJ26">
        <v>5727305</v>
      </c>
      <c r="CK26">
        <v>5775305</v>
      </c>
      <c r="CL26">
        <v>5822181</v>
      </c>
      <c r="CM26">
        <v>5851663</v>
      </c>
      <c r="CN26">
        <v>5877562</v>
      </c>
      <c r="CO26">
        <v>5917623</v>
      </c>
      <c r="CP26">
        <v>5965157</v>
      </c>
      <c r="CQ26">
        <v>6011883</v>
      </c>
      <c r="CR26">
        <v>6062168</v>
      </c>
      <c r="CS26">
        <v>6107861</v>
      </c>
      <c r="CT26">
        <v>6137766</v>
      </c>
      <c r="CU26">
        <v>6169000</v>
      </c>
      <c r="CV26">
        <v>6213304</v>
      </c>
      <c r="CW26">
        <v>6261315</v>
      </c>
      <c r="CX26">
        <v>6309588</v>
      </c>
      <c r="CY26">
        <v>6336885</v>
      </c>
      <c r="CZ26">
        <v>6360376</v>
      </c>
      <c r="DA26">
        <v>6382766</v>
      </c>
      <c r="DB26">
        <v>6408858</v>
      </c>
      <c r="DC26">
        <v>6451428</v>
      </c>
      <c r="DD26">
        <v>6502011</v>
      </c>
      <c r="DE26">
        <v>6548189</v>
      </c>
      <c r="DF26">
        <v>6577973</v>
      </c>
      <c r="DG26">
        <v>6603470</v>
      </c>
      <c r="DH26">
        <v>6629287</v>
      </c>
      <c r="DI26">
        <v>6661323</v>
      </c>
      <c r="DJ26">
        <v>6709041</v>
      </c>
      <c r="DK26">
        <v>6763082</v>
      </c>
      <c r="DL26">
        <v>6821198</v>
      </c>
      <c r="DM26">
        <v>6880924</v>
      </c>
      <c r="DN26">
        <v>6938362</v>
      </c>
      <c r="DO26">
        <v>6981084</v>
      </c>
      <c r="DP26">
        <v>7022544</v>
      </c>
      <c r="DQ26">
        <v>7076660</v>
      </c>
      <c r="DR26">
        <v>7135637</v>
      </c>
      <c r="DS26">
        <v>7200836</v>
      </c>
      <c r="DT26">
        <v>7269294</v>
      </c>
      <c r="DU26">
        <v>7324967</v>
      </c>
      <c r="DV26">
        <v>7366980</v>
      </c>
      <c r="DW26">
        <v>7408484</v>
      </c>
      <c r="DX26">
        <v>7465412</v>
      </c>
      <c r="DY26">
        <v>7527928</v>
      </c>
      <c r="DZ26">
        <v>7586356</v>
      </c>
      <c r="EA26">
        <v>7651856</v>
      </c>
      <c r="EB26">
        <v>7707085</v>
      </c>
      <c r="EC26">
        <v>7750080</v>
      </c>
      <c r="ED26">
        <v>7789635</v>
      </c>
      <c r="EE26">
        <v>7843425</v>
      </c>
      <c r="EF26">
        <v>7905366</v>
      </c>
      <c r="EG26">
        <v>7968674</v>
      </c>
      <c r="EH26">
        <v>8029108</v>
      </c>
      <c r="EI26">
        <v>8087817</v>
      </c>
      <c r="EJ26">
        <v>8133205</v>
      </c>
      <c r="EK26">
        <v>8165693</v>
      </c>
      <c r="EL26">
        <v>8217733</v>
      </c>
      <c r="EM26">
        <v>8273884</v>
      </c>
      <c r="EN26">
        <v>8333834</v>
      </c>
      <c r="EO26">
        <v>8388777</v>
      </c>
      <c r="EP26">
        <v>8439282</v>
      </c>
      <c r="EQ26">
        <v>8478306</v>
      </c>
      <c r="ER26">
        <v>8507048</v>
      </c>
      <c r="ES26">
        <v>8559790</v>
      </c>
      <c r="ET26">
        <v>8615052</v>
      </c>
      <c r="EU26">
        <v>8666840</v>
      </c>
      <c r="EV26">
        <v>8724695</v>
      </c>
      <c r="EW26">
        <v>8775309</v>
      </c>
      <c r="EX26">
        <v>8809502</v>
      </c>
      <c r="EY26">
        <v>8834416</v>
      </c>
      <c r="EZ26">
        <v>8885612</v>
      </c>
      <c r="FA26">
        <v>8935296</v>
      </c>
      <c r="FB26">
        <v>8987249</v>
      </c>
      <c r="FC26">
        <v>9037277</v>
      </c>
      <c r="FD26">
        <v>9091927</v>
      </c>
      <c r="FE26">
        <v>9123413</v>
      </c>
      <c r="FF26">
        <v>9152297</v>
      </c>
      <c r="FG26">
        <v>9203323</v>
      </c>
      <c r="FH26">
        <v>9258233</v>
      </c>
      <c r="FI26">
        <v>9313533</v>
      </c>
      <c r="FJ26">
        <v>9366844</v>
      </c>
      <c r="FK26">
        <v>9423598</v>
      </c>
      <c r="FL26">
        <v>9455215</v>
      </c>
      <c r="FM26">
        <v>9482366</v>
      </c>
      <c r="FN26">
        <v>9538043</v>
      </c>
      <c r="FO26">
        <v>9598763</v>
      </c>
      <c r="FP26">
        <v>9657954</v>
      </c>
      <c r="FQ26">
        <v>9721537</v>
      </c>
      <c r="FR26">
        <v>9783544</v>
      </c>
      <c r="FS26">
        <v>9819159</v>
      </c>
      <c r="FT26">
        <v>9854165</v>
      </c>
      <c r="FU26">
        <v>9916911</v>
      </c>
      <c r="FV26">
        <v>9982597</v>
      </c>
      <c r="FW26">
        <v>10052114</v>
      </c>
      <c r="FX26">
        <v>10120265</v>
      </c>
      <c r="FY26">
        <v>10189233</v>
      </c>
      <c r="FZ26">
        <v>10235613</v>
      </c>
      <c r="GA26">
        <v>10273078</v>
      </c>
      <c r="GB26">
        <v>10343273</v>
      </c>
      <c r="GC26">
        <v>10416402</v>
      </c>
      <c r="GD26">
        <v>10492677</v>
      </c>
      <c r="GE26">
        <v>10569012</v>
      </c>
      <c r="GF26">
        <v>10644892</v>
      </c>
      <c r="GG26">
        <v>10699507</v>
      </c>
      <c r="GH26">
        <v>10739277</v>
      </c>
      <c r="GI26">
        <v>10810199</v>
      </c>
      <c r="GJ26">
        <v>10887507</v>
      </c>
      <c r="GK26">
        <v>10966769</v>
      </c>
      <c r="GL26">
        <v>11045213</v>
      </c>
      <c r="GM26">
        <v>11121171</v>
      </c>
      <c r="GN26">
        <v>11167558</v>
      </c>
      <c r="GO26">
        <v>11209385</v>
      </c>
      <c r="GP26">
        <v>11278506</v>
      </c>
      <c r="GQ26">
        <v>11352049</v>
      </c>
      <c r="GR26">
        <v>11422507</v>
      </c>
      <c r="GS26">
        <v>11491602</v>
      </c>
      <c r="GT26">
        <v>11537423</v>
      </c>
      <c r="GU26">
        <v>11573027</v>
      </c>
      <c r="GV26">
        <v>11603698</v>
      </c>
      <c r="GW26">
        <v>11673902</v>
      </c>
      <c r="GX26">
        <v>11751801</v>
      </c>
      <c r="GY26">
        <v>11825634</v>
      </c>
      <c r="GZ26">
        <v>11897931</v>
      </c>
      <c r="HA26" s="3">
        <v>11959529.5</v>
      </c>
      <c r="HB26">
        <v>12021128</v>
      </c>
      <c r="HC26">
        <v>12057833</v>
      </c>
      <c r="HD26">
        <v>12128654</v>
      </c>
      <c r="HE26">
        <v>12206029</v>
      </c>
      <c r="HF26">
        <v>12206029</v>
      </c>
      <c r="HG26">
        <v>12278835</v>
      </c>
      <c r="HH26">
        <v>12426663</v>
      </c>
      <c r="HI26">
        <v>12472168</v>
      </c>
      <c r="HJ26">
        <v>12508296</v>
      </c>
      <c r="HK26">
        <v>12574563</v>
      </c>
      <c r="HL26">
        <v>12644024</v>
      </c>
      <c r="HM26">
        <v>12709327</v>
      </c>
      <c r="HN26">
        <v>12777259</v>
      </c>
      <c r="HO26">
        <v>12846288</v>
      </c>
      <c r="HP26">
        <v>12884978</v>
      </c>
      <c r="HQ26">
        <v>12916581</v>
      </c>
      <c r="HR26">
        <v>12979820</v>
      </c>
      <c r="HS26">
        <v>13051622</v>
      </c>
      <c r="HT26">
        <v>13115985</v>
      </c>
      <c r="HU26">
        <v>13182710</v>
      </c>
      <c r="HV26">
        <v>13243447</v>
      </c>
      <c r="HW26">
        <v>13273297</v>
      </c>
      <c r="HX26">
        <v>13303828</v>
      </c>
      <c r="HY26">
        <v>13366644</v>
      </c>
      <c r="HZ26">
        <v>13432114</v>
      </c>
      <c r="IA26">
        <v>13495109</v>
      </c>
      <c r="IB26">
        <v>13557153</v>
      </c>
      <c r="IC26">
        <v>13623503</v>
      </c>
      <c r="ID26">
        <v>13660902</v>
      </c>
      <c r="IE26">
        <v>13689304</v>
      </c>
      <c r="IF26">
        <v>13750280</v>
      </c>
      <c r="IG26">
        <v>13816198</v>
      </c>
      <c r="IH26">
        <v>13881510</v>
      </c>
      <c r="II26">
        <v>13947396</v>
      </c>
      <c r="IJ26">
        <v>14013648</v>
      </c>
      <c r="IK26">
        <v>14043876</v>
      </c>
      <c r="IL26">
        <v>14076346</v>
      </c>
      <c r="IM26">
        <v>14145067</v>
      </c>
      <c r="IN26">
        <v>14213225</v>
      </c>
      <c r="IO26">
        <v>14283626</v>
      </c>
      <c r="IP26">
        <v>14348965</v>
      </c>
      <c r="IQ26">
        <v>14392767</v>
      </c>
      <c r="IR26">
        <v>14426305</v>
      </c>
      <c r="IS26">
        <v>14458694</v>
      </c>
      <c r="IT26">
        <v>14528970</v>
      </c>
      <c r="IU26">
        <v>14601545</v>
      </c>
      <c r="IV26">
        <v>14676125</v>
      </c>
      <c r="IW26">
        <v>14753173</v>
      </c>
      <c r="IX26">
        <v>14824922</v>
      </c>
      <c r="IY26">
        <v>14868570</v>
      </c>
      <c r="IZ26">
        <v>14907651</v>
      </c>
      <c r="JA26">
        <v>14981086</v>
      </c>
      <c r="JB26">
        <v>15053577</v>
      </c>
      <c r="JC26">
        <v>15131446</v>
      </c>
      <c r="JD26">
        <v>15208908</v>
      </c>
      <c r="JE26">
        <v>15284313</v>
      </c>
      <c r="JF26">
        <v>15333809</v>
      </c>
      <c r="JG26">
        <v>15372255</v>
      </c>
      <c r="JH26">
        <v>15443833</v>
      </c>
      <c r="JI26">
        <v>15520282</v>
      </c>
      <c r="JJ26">
        <v>15871776</v>
      </c>
      <c r="JK26">
        <v>15958211</v>
      </c>
      <c r="JL26">
        <v>16031930</v>
      </c>
      <c r="JM26">
        <v>16081026</v>
      </c>
      <c r="JN26">
        <v>16122245</v>
      </c>
      <c r="JO26">
        <v>16203876</v>
      </c>
      <c r="JP26">
        <v>16284160</v>
      </c>
      <c r="JQ26">
        <v>16361194</v>
      </c>
      <c r="JR26">
        <v>16433977</v>
      </c>
      <c r="JS26">
        <v>16509825</v>
      </c>
      <c r="JT26">
        <v>16550910</v>
      </c>
      <c r="JU26">
        <v>16578381</v>
      </c>
      <c r="JV26">
        <v>16620509</v>
      </c>
      <c r="JW26">
        <v>16694647</v>
      </c>
      <c r="JX26">
        <v>16767781</v>
      </c>
      <c r="JY26">
        <v>16839796</v>
      </c>
      <c r="JZ26">
        <v>16908987</v>
      </c>
      <c r="KA26">
        <v>16945956</v>
      </c>
      <c r="KB26">
        <v>16972436</v>
      </c>
      <c r="KC26">
        <v>17012734</v>
      </c>
      <c r="KD26">
        <v>17083740</v>
      </c>
      <c r="KE26">
        <v>17155642</v>
      </c>
      <c r="KF26">
        <v>17227555</v>
      </c>
      <c r="KG26">
        <v>17291336</v>
      </c>
      <c r="KH26">
        <v>17328099</v>
      </c>
      <c r="KI26">
        <v>17365100</v>
      </c>
      <c r="KJ26">
        <v>17434180</v>
      </c>
      <c r="KK26">
        <v>17501660</v>
      </c>
      <c r="KL26">
        <v>17567509</v>
      </c>
      <c r="KM26">
        <v>17632992</v>
      </c>
      <c r="KN26">
        <v>17692623</v>
      </c>
      <c r="KO26">
        <v>17725218</v>
      </c>
      <c r="KP26">
        <v>17757228</v>
      </c>
      <c r="KQ26">
        <v>17825926</v>
      </c>
      <c r="KR26">
        <v>17889008</v>
      </c>
      <c r="KS26">
        <v>17949205</v>
      </c>
      <c r="KT26">
        <v>18002227</v>
      </c>
      <c r="KU26">
        <v>18036095</v>
      </c>
      <c r="KV26">
        <v>18065116</v>
      </c>
      <c r="KW26">
        <v>18097493</v>
      </c>
      <c r="KX26">
        <v>18165048</v>
      </c>
      <c r="KY26">
        <v>18226220</v>
      </c>
      <c r="KZ26">
        <v>18287037</v>
      </c>
      <c r="LA26">
        <v>18349608</v>
      </c>
      <c r="LB26">
        <v>18404657</v>
      </c>
      <c r="LC26">
        <v>18436505</v>
      </c>
      <c r="LD26">
        <v>18470822</v>
      </c>
      <c r="LE26">
        <v>18538716</v>
      </c>
      <c r="LF26">
        <v>18602064</v>
      </c>
      <c r="LG26">
        <v>18662297</v>
      </c>
      <c r="LH26">
        <v>18726967</v>
      </c>
      <c r="LI26">
        <v>18786396</v>
      </c>
      <c r="LJ26">
        <v>18817522</v>
      </c>
      <c r="LK26">
        <v>18850703</v>
      </c>
      <c r="LL26">
        <v>18917969</v>
      </c>
      <c r="LM26">
        <v>18979440</v>
      </c>
      <c r="LN26">
        <v>19043313</v>
      </c>
      <c r="LO26">
        <v>19103399</v>
      </c>
      <c r="LP26">
        <v>19160470</v>
      </c>
      <c r="LQ26">
        <v>19191351</v>
      </c>
      <c r="LR26">
        <v>19224194</v>
      </c>
      <c r="LS26">
        <v>19289521</v>
      </c>
      <c r="LT26">
        <v>19351951</v>
      </c>
      <c r="LU26">
        <v>19413009</v>
      </c>
      <c r="LV26">
        <v>19473194</v>
      </c>
      <c r="LW26">
        <v>19529037</v>
      </c>
      <c r="LX26">
        <v>19561673</v>
      </c>
      <c r="LY26">
        <v>19594588</v>
      </c>
      <c r="LZ26">
        <v>19662640</v>
      </c>
      <c r="MA26">
        <v>19723828</v>
      </c>
      <c r="MB26">
        <v>19784294</v>
      </c>
      <c r="MC26">
        <v>19843774</v>
      </c>
      <c r="MD26">
        <v>19895734</v>
      </c>
      <c r="ME26">
        <v>19924935</v>
      </c>
      <c r="MF26">
        <v>19962964</v>
      </c>
      <c r="MG26">
        <v>20026949</v>
      </c>
      <c r="MH26">
        <v>20087869</v>
      </c>
      <c r="MI26">
        <v>20145566</v>
      </c>
      <c r="MJ26">
        <v>20201705</v>
      </c>
      <c r="MK26">
        <v>20250580</v>
      </c>
      <c r="ML26">
        <v>20276691</v>
      </c>
      <c r="MM26">
        <v>20318662</v>
      </c>
      <c r="MN26">
        <v>20382963</v>
      </c>
      <c r="MO26">
        <v>20440281</v>
      </c>
      <c r="MP26">
        <v>20499084</v>
      </c>
      <c r="MQ26">
        <v>20556271</v>
      </c>
      <c r="MR26">
        <v>20605464</v>
      </c>
      <c r="MS26">
        <v>20632833</v>
      </c>
      <c r="MT26">
        <v>20676331</v>
      </c>
      <c r="MU26">
        <v>20736412</v>
      </c>
      <c r="MV26">
        <v>20794130</v>
      </c>
      <c r="MW26">
        <v>20850798</v>
      </c>
      <c r="MX26">
        <v>20907192</v>
      </c>
      <c r="MY26">
        <v>20953994</v>
      </c>
      <c r="MZ26">
        <v>20982607</v>
      </c>
      <c r="NA26">
        <v>21019573</v>
      </c>
      <c r="NB26">
        <v>21081270</v>
      </c>
      <c r="NC26">
        <v>21139115</v>
      </c>
      <c r="ND26">
        <v>21193085</v>
      </c>
      <c r="NE26">
        <v>21230489</v>
      </c>
      <c r="NF26">
        <v>21253352</v>
      </c>
      <c r="NG26">
        <v>21273690</v>
      </c>
      <c r="NH26">
        <v>21317117</v>
      </c>
      <c r="NI26">
        <v>21386745</v>
      </c>
      <c r="NJ26">
        <v>21459331</v>
      </c>
      <c r="NK26">
        <v>21530105</v>
      </c>
      <c r="NL26">
        <v>21604879</v>
      </c>
      <c r="NM26">
        <v>21663179</v>
      </c>
      <c r="NN26">
        <v>21695587</v>
      </c>
      <c r="NO26">
        <v>21742020</v>
      </c>
      <c r="NP26">
        <v>21809547</v>
      </c>
      <c r="NQ26">
        <v>21880160</v>
      </c>
      <c r="NR26">
        <v>21947103</v>
      </c>
      <c r="NS26">
        <v>22008751</v>
      </c>
      <c r="NT26">
        <v>22061106</v>
      </c>
      <c r="NU26">
        <v>22092712</v>
      </c>
      <c r="NV26">
        <v>22135797</v>
      </c>
      <c r="NW26">
        <v>22200287</v>
      </c>
      <c r="NX26">
        <v>22263247</v>
      </c>
      <c r="NY26">
        <v>22325502</v>
      </c>
      <c r="NZ26">
        <v>22384381</v>
      </c>
      <c r="OA26">
        <v>22435648</v>
      </c>
      <c r="OB26">
        <v>22464264</v>
      </c>
      <c r="OC26">
        <v>22493184</v>
      </c>
      <c r="OD26">
        <v>22541105</v>
      </c>
      <c r="OE26">
        <v>22607856</v>
      </c>
      <c r="OF26">
        <v>22673969</v>
      </c>
      <c r="OG26">
        <v>22739139</v>
      </c>
      <c r="OH26">
        <v>22791113</v>
      </c>
      <c r="OI26">
        <v>22825782</v>
      </c>
      <c r="OJ26">
        <v>22872096</v>
      </c>
      <c r="OK26">
        <v>22937980</v>
      </c>
      <c r="OL26">
        <v>23008173</v>
      </c>
      <c r="OM26">
        <v>23076418</v>
      </c>
      <c r="ON26">
        <v>23146987</v>
      </c>
      <c r="OO26">
        <v>23204436</v>
      </c>
      <c r="OP26">
        <v>23240554</v>
      </c>
      <c r="OQ26">
        <v>23293371</v>
      </c>
      <c r="OR26">
        <v>23364387</v>
      </c>
      <c r="OS26">
        <v>23364387</v>
      </c>
      <c r="OT26">
        <v>23506272</v>
      </c>
      <c r="OU26">
        <v>23575066</v>
      </c>
      <c r="OV26">
        <v>23632242</v>
      </c>
      <c r="OW26">
        <v>23672372</v>
      </c>
      <c r="OX26">
        <v>23706535</v>
      </c>
      <c r="OY26">
        <v>23763020</v>
      </c>
      <c r="OZ26">
        <v>23843047</v>
      </c>
      <c r="PA26">
        <v>23925466</v>
      </c>
      <c r="PB26">
        <v>24006390</v>
      </c>
      <c r="PC26">
        <v>24072207</v>
      </c>
      <c r="PD26">
        <v>24122101</v>
      </c>
      <c r="PE26">
        <v>24182165</v>
      </c>
      <c r="PF26">
        <v>24265779</v>
      </c>
      <c r="PG26">
        <v>24348680</v>
      </c>
      <c r="PH26">
        <v>24431555</v>
      </c>
      <c r="PI26">
        <v>24511744</v>
      </c>
      <c r="PJ26">
        <v>24582477</v>
      </c>
      <c r="PK26">
        <v>24633609</v>
      </c>
      <c r="PL26">
        <v>24693341</v>
      </c>
      <c r="PM26">
        <v>24773291</v>
      </c>
      <c r="PN26">
        <v>24855246</v>
      </c>
      <c r="PO26">
        <v>24938263</v>
      </c>
      <c r="PP26">
        <v>25015676</v>
      </c>
      <c r="PQ26">
        <v>25081569</v>
      </c>
      <c r="PR26">
        <v>25126071</v>
      </c>
      <c r="PS26">
        <v>25180549</v>
      </c>
      <c r="PT26">
        <v>25262226</v>
      </c>
      <c r="PU26">
        <v>25337576</v>
      </c>
      <c r="PV26">
        <v>25412845</v>
      </c>
      <c r="PW26">
        <v>25485043</v>
      </c>
      <c r="PX26">
        <v>25551531</v>
      </c>
      <c r="PY26">
        <v>25592070</v>
      </c>
      <c r="PZ26">
        <v>25644143</v>
      </c>
      <c r="QA26">
        <v>25724028</v>
      </c>
      <c r="QB26">
        <v>25803364</v>
      </c>
      <c r="QC26">
        <v>25879136</v>
      </c>
      <c r="QD26">
        <v>25950496</v>
      </c>
      <c r="QE26">
        <v>26010495</v>
      </c>
      <c r="QF26">
        <v>26051962</v>
      </c>
      <c r="QG26">
        <v>26103609</v>
      </c>
      <c r="QH26">
        <v>26172828</v>
      </c>
      <c r="QI26">
        <v>26225407</v>
      </c>
      <c r="QJ26">
        <v>26276042</v>
      </c>
      <c r="QK26">
        <v>26341034</v>
      </c>
      <c r="QL26">
        <v>26397785</v>
      </c>
      <c r="QM26">
        <v>26438403</v>
      </c>
      <c r="QN26">
        <v>26489558</v>
      </c>
      <c r="QO26">
        <v>26559369</v>
      </c>
      <c r="QP26">
        <v>26629390</v>
      </c>
      <c r="QQ26">
        <v>26696229</v>
      </c>
      <c r="QR26">
        <v>26754880</v>
      </c>
      <c r="QS26">
        <v>26810503</v>
      </c>
      <c r="QT26">
        <v>26845735</v>
      </c>
      <c r="QU26">
        <v>26892021</v>
      </c>
      <c r="QV26">
        <v>26960138</v>
      </c>
      <c r="QW26">
        <v>27018744</v>
      </c>
      <c r="QX26">
        <v>27075787</v>
      </c>
      <c r="QY26">
        <v>27130137</v>
      </c>
      <c r="QZ26">
        <v>27156849</v>
      </c>
      <c r="RA26">
        <v>27181151</v>
      </c>
      <c r="RB26">
        <v>27232477</v>
      </c>
      <c r="RC26">
        <v>27301171</v>
      </c>
      <c r="RD26">
        <v>27362375</v>
      </c>
      <c r="RE26">
        <v>27425464</v>
      </c>
      <c r="RF26">
        <v>27484739</v>
      </c>
      <c r="RG26">
        <v>27511293</v>
      </c>
      <c r="RH26">
        <v>27537076</v>
      </c>
      <c r="RI26">
        <v>27589099</v>
      </c>
      <c r="RJ26">
        <v>27663537</v>
      </c>
      <c r="RK26">
        <v>27738019</v>
      </c>
      <c r="RL26">
        <v>27815848</v>
      </c>
      <c r="RM26">
        <v>27891827</v>
      </c>
      <c r="RN26">
        <v>27958777</v>
      </c>
      <c r="RO26">
        <v>28009312</v>
      </c>
      <c r="RP26">
        <v>28068350</v>
      </c>
      <c r="RQ26">
        <v>28164317</v>
      </c>
      <c r="RR26">
        <v>28253569</v>
      </c>
      <c r="RS26">
        <v>28348394</v>
      </c>
      <c r="RT26">
        <v>28444502</v>
      </c>
      <c r="RU26">
        <v>28532070</v>
      </c>
      <c r="RV26">
        <v>28592041</v>
      </c>
      <c r="RW26">
        <v>28662521</v>
      </c>
      <c r="RX26">
        <v>28759502</v>
      </c>
      <c r="RY26">
        <v>28862257</v>
      </c>
      <c r="RZ26">
        <v>28958840</v>
      </c>
      <c r="SA26">
        <v>29050555</v>
      </c>
      <c r="SB26">
        <v>29146709</v>
      </c>
      <c r="SC26">
        <v>29226872</v>
      </c>
      <c r="SD26">
        <v>29318270</v>
      </c>
      <c r="SE26">
        <v>29430041</v>
      </c>
      <c r="SF26">
        <v>29557548</v>
      </c>
      <c r="SG26">
        <v>29689847</v>
      </c>
      <c r="SH26">
        <v>29820816</v>
      </c>
      <c r="SI26">
        <v>29940233</v>
      </c>
      <c r="SJ26">
        <v>30033261</v>
      </c>
      <c r="SK26">
        <v>30144567</v>
      </c>
      <c r="SL26">
        <v>30281580</v>
      </c>
      <c r="SM26">
        <v>30422814</v>
      </c>
      <c r="SN26">
        <v>30558887</v>
      </c>
      <c r="SO26">
        <v>30693072</v>
      </c>
      <c r="SP26">
        <v>30811896</v>
      </c>
      <c r="SQ26">
        <v>30908115</v>
      </c>
      <c r="SR26">
        <v>31022081</v>
      </c>
      <c r="SS26">
        <v>31151686</v>
      </c>
      <c r="ST26">
        <v>31286750</v>
      </c>
      <c r="SU26">
        <v>31411419</v>
      </c>
      <c r="SV26">
        <v>31535397</v>
      </c>
      <c r="SW26">
        <v>31634694</v>
      </c>
      <c r="SX26">
        <v>31710404</v>
      </c>
      <c r="SY26">
        <v>31812172</v>
      </c>
      <c r="SZ26">
        <v>31934556</v>
      </c>
      <c r="TA26">
        <v>32048371</v>
      </c>
      <c r="TB26">
        <v>32159886</v>
      </c>
      <c r="TC26">
        <v>32267018</v>
      </c>
      <c r="TD26">
        <v>32353716</v>
      </c>
      <c r="TE26">
        <v>32424200</v>
      </c>
      <c r="TF26">
        <v>32512886</v>
      </c>
      <c r="TG26">
        <v>32622958</v>
      </c>
      <c r="TH26">
        <v>32731558</v>
      </c>
      <c r="TI26">
        <v>32834573</v>
      </c>
      <c r="TJ26">
        <v>32934386</v>
      </c>
      <c r="TK26">
        <v>33012243</v>
      </c>
      <c r="TL26">
        <v>33063514</v>
      </c>
      <c r="TM26">
        <v>33144325</v>
      </c>
      <c r="TN26">
        <v>33241006</v>
      </c>
      <c r="TO26">
        <v>33336422</v>
      </c>
      <c r="TP26">
        <v>33428088</v>
      </c>
      <c r="TQ26">
        <v>33519880</v>
      </c>
      <c r="TR26">
        <v>33587775</v>
      </c>
      <c r="TS26">
        <v>33641257</v>
      </c>
      <c r="TT26">
        <v>33721518</v>
      </c>
      <c r="TU26">
        <v>33817368</v>
      </c>
      <c r="TV26">
        <v>33911987</v>
      </c>
      <c r="TW26">
        <v>34006404</v>
      </c>
      <c r="TX26">
        <v>34097635</v>
      </c>
      <c r="TY26">
        <v>34161281</v>
      </c>
      <c r="TZ26">
        <v>34210544</v>
      </c>
      <c r="UA26">
        <v>34301341</v>
      </c>
      <c r="UB26">
        <v>34410260</v>
      </c>
      <c r="UC26">
        <v>34610427</v>
      </c>
      <c r="UD26">
        <v>34610427</v>
      </c>
      <c r="UE26">
        <v>34702556</v>
      </c>
      <c r="UF26">
        <v>34771541</v>
      </c>
      <c r="UG26">
        <v>34771541</v>
      </c>
      <c r="UH26">
        <v>34893207</v>
      </c>
      <c r="UI26">
        <v>34996788</v>
      </c>
      <c r="UJ26">
        <v>35092861</v>
      </c>
      <c r="UK26">
        <v>35177165</v>
      </c>
      <c r="UL26">
        <v>35257498</v>
      </c>
      <c r="UM26">
        <v>35313893</v>
      </c>
      <c r="UN26">
        <v>35348678</v>
      </c>
      <c r="UO26">
        <v>35418380</v>
      </c>
      <c r="UP26">
        <v>35500472</v>
      </c>
      <c r="UQ26">
        <v>35648568</v>
      </c>
      <c r="UR26">
        <v>35713746</v>
      </c>
      <c r="US26">
        <v>35713746</v>
      </c>
      <c r="UT26">
        <v>35757287</v>
      </c>
      <c r="UU26">
        <v>35790084</v>
      </c>
      <c r="UV26">
        <v>35850659</v>
      </c>
      <c r="UW26">
        <v>35923936</v>
      </c>
      <c r="UX26">
        <v>35991569</v>
      </c>
      <c r="UY26">
        <v>36053418</v>
      </c>
      <c r="UZ26">
        <v>36115860</v>
      </c>
      <c r="VA26">
        <v>36159719</v>
      </c>
      <c r="VB26">
        <v>36191093</v>
      </c>
      <c r="VC26">
        <v>36308703</v>
      </c>
      <c r="VD26">
        <v>36308703</v>
      </c>
      <c r="VE26">
        <v>36365786</v>
      </c>
      <c r="VF26">
        <v>36365786</v>
      </c>
      <c r="VG26">
        <v>36365786</v>
      </c>
      <c r="VH26">
        <v>36471164</v>
      </c>
      <c r="VI26">
        <v>36493466</v>
      </c>
      <c r="VJ26">
        <v>36543862</v>
      </c>
      <c r="VK26">
        <v>36604833</v>
      </c>
      <c r="VL26">
        <v>36711724</v>
      </c>
      <c r="VM26">
        <v>36755151</v>
      </c>
      <c r="VN26">
        <v>36755151</v>
      </c>
      <c r="VO26">
        <v>36787580</v>
      </c>
      <c r="VP26">
        <v>36810584</v>
      </c>
      <c r="VQ26">
        <v>36856295</v>
      </c>
      <c r="VR26">
        <v>36908909</v>
      </c>
      <c r="VS26">
        <v>37001758</v>
      </c>
      <c r="VT26">
        <v>37084042</v>
      </c>
      <c r="VU26">
        <v>37105587</v>
      </c>
      <c r="VV26">
        <v>37105587</v>
      </c>
      <c r="VW26">
        <v>37105587</v>
      </c>
      <c r="VX26">
        <v>37153233</v>
      </c>
      <c r="VY26">
        <v>37263025</v>
      </c>
      <c r="VZ26">
        <v>37312893</v>
      </c>
      <c r="WA26">
        <v>37312893</v>
      </c>
      <c r="WB26">
        <v>37363438</v>
      </c>
      <c r="WC26">
        <v>37396520</v>
      </c>
      <c r="WD26">
        <v>37419745</v>
      </c>
      <c r="WE26">
        <v>37466692</v>
      </c>
      <c r="WF26">
        <v>37525296</v>
      </c>
      <c r="WG26">
        <v>37637293</v>
      </c>
      <c r="WH26">
        <v>37637293</v>
      </c>
      <c r="WI26">
        <v>37637293</v>
      </c>
      <c r="WJ26">
        <v>37737644</v>
      </c>
      <c r="WK26">
        <v>37737644</v>
      </c>
      <c r="WL26">
        <v>37817799</v>
      </c>
      <c r="WM26">
        <v>37888654</v>
      </c>
      <c r="WN26">
        <v>38080050</v>
      </c>
      <c r="WO26">
        <v>38080050</v>
      </c>
      <c r="WP26">
        <v>38080050</v>
      </c>
      <c r="WQ26">
        <v>38210648</v>
      </c>
      <c r="WR26">
        <v>38210648</v>
      </c>
      <c r="WS26">
        <v>38210648</v>
      </c>
      <c r="WT26">
        <v>38210648</v>
      </c>
      <c r="WU26">
        <v>38423859</v>
      </c>
      <c r="WV26">
        <v>38423859</v>
      </c>
      <c r="WW26">
        <v>38423859</v>
      </c>
      <c r="WX26">
        <v>38569840</v>
      </c>
      <c r="WY26">
        <v>38569840</v>
      </c>
      <c r="WZ26">
        <v>38629241</v>
      </c>
      <c r="XA26">
        <v>38843427</v>
      </c>
      <c r="XB26">
        <v>38843427</v>
      </c>
      <c r="XC26">
        <v>38909614</v>
      </c>
      <c r="XD26">
        <v>38909614</v>
      </c>
      <c r="XE26">
        <v>38959910</v>
      </c>
      <c r="XF26">
        <v>39299489</v>
      </c>
      <c r="XG26">
        <v>39299489</v>
      </c>
      <c r="XH26">
        <v>39299489</v>
      </c>
      <c r="XI26">
        <v>39299489</v>
      </c>
      <c r="XJ26">
        <v>39299489</v>
      </c>
      <c r="XK26">
        <v>39375938</v>
      </c>
      <c r="XL26">
        <v>39436831</v>
      </c>
      <c r="XM26">
        <v>39796149</v>
      </c>
      <c r="XN26">
        <v>39796149</v>
      </c>
      <c r="XO26">
        <v>39796149</v>
      </c>
      <c r="XP26">
        <v>39796149</v>
      </c>
      <c r="XQ26">
        <v>39796149</v>
      </c>
      <c r="XR26">
        <v>40208923</v>
      </c>
      <c r="XS26">
        <v>40208923</v>
      </c>
      <c r="XT26">
        <v>40208923</v>
      </c>
      <c r="XU26">
        <v>40208923</v>
      </c>
      <c r="XV26">
        <v>40208923</v>
      </c>
      <c r="XW26">
        <v>40208923</v>
      </c>
      <c r="XX26">
        <v>40208923</v>
      </c>
      <c r="XY26">
        <v>40281088</v>
      </c>
      <c r="XZ26">
        <v>40332272</v>
      </c>
      <c r="YA26">
        <v>40363202</v>
      </c>
      <c r="YB26">
        <v>40399209</v>
      </c>
      <c r="YC26">
        <v>40609539</v>
      </c>
      <c r="YD26">
        <v>40672367</v>
      </c>
      <c r="YE26">
        <v>40715467</v>
      </c>
      <c r="YF26" s="1">
        <v>40744116</v>
      </c>
      <c r="YG26" s="1">
        <v>40744116</v>
      </c>
      <c r="YH26" s="1">
        <v>40744116</v>
      </c>
      <c r="YI26" s="1">
        <v>40800019</v>
      </c>
      <c r="YJ26">
        <v>40866938</v>
      </c>
      <c r="YK26">
        <v>40990739</v>
      </c>
      <c r="YL26">
        <v>41049389</v>
      </c>
      <c r="YM26">
        <v>41088833</v>
      </c>
      <c r="YN26">
        <v>41114333</v>
      </c>
      <c r="YO26">
        <v>41114333</v>
      </c>
      <c r="YP26">
        <v>41165310</v>
      </c>
      <c r="YQ26">
        <v>41282462</v>
      </c>
      <c r="YR26">
        <v>41333962</v>
      </c>
      <c r="YS26">
        <v>41333962</v>
      </c>
      <c r="YT26">
        <v>41381637</v>
      </c>
      <c r="YU26">
        <v>41414656</v>
      </c>
      <c r="YV26">
        <v>41437289</v>
      </c>
      <c r="YW26">
        <v>41643986</v>
      </c>
      <c r="YX26">
        <v>41643986</v>
      </c>
      <c r="YY26">
        <v>41643986</v>
      </c>
      <c r="YZ26">
        <v>41643986</v>
      </c>
      <c r="ZA26">
        <v>41696315</v>
      </c>
      <c r="ZB26">
        <v>41735919</v>
      </c>
      <c r="ZC26">
        <v>41761677</v>
      </c>
      <c r="ZD26">
        <v>41815086</v>
      </c>
      <c r="ZE26">
        <v>41878299</v>
      </c>
      <c r="ZF26">
        <v>42000981</v>
      </c>
      <c r="ZG26">
        <v>42057804</v>
      </c>
      <c r="ZH26">
        <v>42101184</v>
      </c>
      <c r="ZI26">
        <v>42129154</v>
      </c>
      <c r="ZJ26">
        <v>42189125</v>
      </c>
      <c r="ZK26">
        <v>42263427</v>
      </c>
      <c r="ZL26">
        <v>42335601</v>
      </c>
      <c r="ZM26">
        <v>42408504</v>
      </c>
      <c r="ZN26">
        <v>42478370</v>
      </c>
      <c r="ZO26">
        <v>42524422</v>
      </c>
      <c r="ZP26">
        <v>42555426</v>
      </c>
      <c r="ZQ26">
        <v>42625235</v>
      </c>
      <c r="ZR26">
        <v>42715505</v>
      </c>
      <c r="ZS26">
        <v>42806255</v>
      </c>
      <c r="ZT26">
        <v>42889122</v>
      </c>
      <c r="ZU26">
        <v>42967318</v>
      </c>
      <c r="ZV26">
        <v>43017754</v>
      </c>
      <c r="ZW26">
        <v>43050280</v>
      </c>
      <c r="ZX26">
        <v>43086893</v>
      </c>
      <c r="ZY26">
        <v>43157949</v>
      </c>
      <c r="ZZ26">
        <v>43244232</v>
      </c>
      <c r="AAA26">
        <v>43403845</v>
      </c>
      <c r="AAB26">
        <v>43403845</v>
      </c>
      <c r="AAC26">
        <v>43455513</v>
      </c>
      <c r="AAD26">
        <v>43487719</v>
      </c>
      <c r="AAE26">
        <v>43555996</v>
      </c>
      <c r="AAF26">
        <v>43637443</v>
      </c>
      <c r="AAG26">
        <v>43714995</v>
      </c>
      <c r="AAH26">
        <v>43783985</v>
      </c>
      <c r="AAI26">
        <v>43847798</v>
      </c>
      <c r="AAJ26">
        <v>43889371</v>
      </c>
      <c r="AAK26">
        <v>43916886</v>
      </c>
      <c r="AAL26">
        <v>43971385</v>
      </c>
      <c r="AAM26">
        <v>44037528</v>
      </c>
      <c r="AAN26">
        <v>44152825</v>
      </c>
      <c r="AAO26">
        <v>44200455</v>
      </c>
      <c r="AAP26">
        <v>44200455</v>
      </c>
      <c r="AAQ26">
        <v>44234976</v>
      </c>
      <c r="AAR26">
        <v>44255545</v>
      </c>
      <c r="AAS26">
        <v>44304019</v>
      </c>
      <c r="AAT26">
        <v>44361914</v>
      </c>
      <c r="AAU26">
        <v>44418083</v>
      </c>
      <c r="AAV26">
        <v>44514099</v>
      </c>
      <c r="AAW26">
        <v>44514099</v>
      </c>
      <c r="AAX26">
        <v>44542996</v>
      </c>
      <c r="AAY26">
        <v>44562240</v>
      </c>
      <c r="AAZ26">
        <v>44603908</v>
      </c>
      <c r="ABA26">
        <v>44653252</v>
      </c>
      <c r="ABB26">
        <v>44729472</v>
      </c>
      <c r="ABC26">
        <v>44749866</v>
      </c>
      <c r="ABD26">
        <v>44749866</v>
      </c>
      <c r="ABE26">
        <v>44767596</v>
      </c>
      <c r="ABF26">
        <v>44782974</v>
      </c>
      <c r="ABG26">
        <v>44801588</v>
      </c>
      <c r="ABH26">
        <v>44845798</v>
      </c>
      <c r="ABI26">
        <v>44944221</v>
      </c>
      <c r="ABJ26">
        <v>44944221</v>
      </c>
      <c r="ABK26">
        <v>44989224</v>
      </c>
      <c r="ABL26">
        <v>45020155</v>
      </c>
      <c r="ABM26">
        <v>45040025</v>
      </c>
      <c r="ABN26">
        <v>45082600</v>
      </c>
      <c r="ABO26">
        <v>45128974</v>
      </c>
      <c r="ABP26">
        <v>45173079</v>
      </c>
      <c r="ABQ26">
        <v>45247757</v>
      </c>
      <c r="ABR26">
        <v>45247757</v>
      </c>
      <c r="ABS26">
        <v>45272008</v>
      </c>
      <c r="ABT26">
        <v>45287633</v>
      </c>
      <c r="ABU26">
        <v>45319500</v>
      </c>
      <c r="ABV26">
        <v>45355229</v>
      </c>
      <c r="ABW26">
        <v>45420783</v>
      </c>
      <c r="ABX26">
        <v>45420783</v>
      </c>
      <c r="ABY26">
        <v>45420783</v>
      </c>
      <c r="ABZ26">
        <v>45420783</v>
      </c>
      <c r="ACA26">
        <v>45485516</v>
      </c>
      <c r="ACB26">
        <v>45649778</v>
      </c>
      <c r="ACC26">
        <v>45649778</v>
      </c>
      <c r="ACD26">
        <v>45649778</v>
      </c>
      <c r="ACE26">
        <v>45649778</v>
      </c>
      <c r="ACF26">
        <v>45649778</v>
      </c>
      <c r="ACG26">
        <v>45674866</v>
      </c>
      <c r="ACH26">
        <v>45692413</v>
      </c>
      <c r="ACI26">
        <v>45730394</v>
      </c>
      <c r="ACJ26">
        <v>45774318</v>
      </c>
      <c r="ACK26">
        <v>45890908</v>
      </c>
      <c r="ACL26">
        <v>45890908</v>
      </c>
      <c r="ACM26">
        <v>45890908</v>
      </c>
      <c r="ACN26">
        <v>45934012</v>
      </c>
      <c r="ACO26">
        <v>45934012</v>
      </c>
      <c r="ACP26">
        <v>45974061</v>
      </c>
      <c r="ACQ26">
        <v>45974061</v>
      </c>
      <c r="ACR26">
        <v>46134828</v>
      </c>
      <c r="ACS26">
        <v>46134828</v>
      </c>
      <c r="ACT26">
        <v>46134828</v>
      </c>
      <c r="ACU26">
        <v>46170791</v>
      </c>
      <c r="ACV26">
        <v>46334009</v>
      </c>
      <c r="ACW26">
        <v>46334009</v>
      </c>
      <c r="ACX26">
        <v>46334009</v>
      </c>
      <c r="ACY26">
        <v>46334009</v>
      </c>
      <c r="ACZ26">
        <v>46334009</v>
      </c>
      <c r="ADA26">
        <v>46334009</v>
      </c>
      <c r="ADB26">
        <v>46361048</v>
      </c>
      <c r="ADC26">
        <v>46380261</v>
      </c>
      <c r="ADD26">
        <v>46465814</v>
      </c>
      <c r="ADE26">
        <v>46465814</v>
      </c>
      <c r="ADF26">
        <v>46580283</v>
      </c>
      <c r="ADG26">
        <v>46580283</v>
      </c>
      <c r="ADH26">
        <v>46580283</v>
      </c>
      <c r="ADI26">
        <v>46656787</v>
      </c>
      <c r="ADJ26">
        <v>46656787</v>
      </c>
      <c r="ADK26">
        <v>46656787</v>
      </c>
      <c r="ADL26">
        <v>46837956</v>
      </c>
      <c r="ADM26">
        <v>46837956</v>
      </c>
      <c r="ADN26">
        <v>46837956</v>
      </c>
      <c r="ADO26">
        <v>46837956</v>
      </c>
      <c r="ADP26">
        <v>46837956</v>
      </c>
      <c r="ADQ26">
        <v>46837956</v>
      </c>
      <c r="ADR26">
        <v>46998495</v>
      </c>
      <c r="ADS26">
        <v>46998495</v>
      </c>
      <c r="ADT26">
        <v>46998495</v>
      </c>
      <c r="ADU26">
        <v>46998495</v>
      </c>
      <c r="ADV26">
        <v>46998495</v>
      </c>
      <c r="ADW26">
        <v>47030250</v>
      </c>
      <c r="ADX26">
        <v>47030250</v>
      </c>
      <c r="ADY26">
        <v>47166992</v>
      </c>
      <c r="ADZ26">
        <v>47166992</v>
      </c>
      <c r="AEA26">
        <v>47166992</v>
      </c>
      <c r="AEB26">
        <v>47166992</v>
      </c>
      <c r="AEC26">
        <v>47166992</v>
      </c>
      <c r="AED26">
        <v>47302223</v>
      </c>
      <c r="AEE26">
        <v>47302223</v>
      </c>
      <c r="AEF26">
        <v>47302223</v>
      </c>
      <c r="AEG26">
        <v>47302223</v>
      </c>
      <c r="AEH26">
        <v>47302223</v>
      </c>
      <c r="AEI26">
        <v>47302223</v>
      </c>
      <c r="AEJ26">
        <v>47302223</v>
      </c>
      <c r="AEK26">
        <v>47442481</v>
      </c>
      <c r="AEL26">
        <v>47442481</v>
      </c>
      <c r="AEM26">
        <v>47442481</v>
      </c>
      <c r="AEN26">
        <v>47442481</v>
      </c>
      <c r="AEO26">
        <v>47442481</v>
      </c>
      <c r="AEP26">
        <v>47442481</v>
      </c>
      <c r="AEQ26">
        <v>47442481</v>
      </c>
      <c r="AER26">
        <v>47695328</v>
      </c>
      <c r="AES26">
        <v>47695328</v>
      </c>
      <c r="AET26">
        <v>47695328</v>
      </c>
      <c r="AEU26">
        <v>47695328</v>
      </c>
      <c r="AEV26">
        <v>47695328</v>
      </c>
      <c r="AEW26">
        <v>47695328</v>
      </c>
      <c r="AEX26">
        <v>47695328</v>
      </c>
      <c r="AEY26">
        <v>47695328</v>
      </c>
      <c r="AEZ26">
        <v>47695328</v>
      </c>
      <c r="AFA26">
        <v>47695328</v>
      </c>
      <c r="AFB26">
        <v>47695328</v>
      </c>
      <c r="AFC26">
        <v>47695328</v>
      </c>
      <c r="AFD26">
        <v>47695328</v>
      </c>
      <c r="AFE26">
        <v>47834745</v>
      </c>
      <c r="AFF26">
        <v>47834745</v>
      </c>
      <c r="AFG26">
        <v>47834745</v>
      </c>
      <c r="AFH26">
        <v>47834745</v>
      </c>
      <c r="AFI26">
        <v>47834745</v>
      </c>
      <c r="AFJ26">
        <v>47834745</v>
      </c>
      <c r="AFK26">
        <v>47834745</v>
      </c>
      <c r="AFL26">
        <v>47834745</v>
      </c>
      <c r="AFM26">
        <v>47834745</v>
      </c>
      <c r="AFN26">
        <v>47930512</v>
      </c>
      <c r="AFO26">
        <v>47930512</v>
      </c>
      <c r="AFP26">
        <v>47930512</v>
      </c>
      <c r="AFQ26">
        <v>47930512</v>
      </c>
      <c r="AFR26">
        <v>47930512</v>
      </c>
      <c r="AFS26">
        <v>47930512</v>
      </c>
      <c r="AFT26">
        <v>48027445</v>
      </c>
      <c r="AFU26">
        <v>48027445</v>
      </c>
      <c r="AFV26">
        <v>48027445</v>
      </c>
      <c r="AFW26">
        <v>48027445</v>
      </c>
      <c r="AFX26">
        <v>48027445</v>
      </c>
      <c r="AFY26">
        <v>48027445</v>
      </c>
      <c r="AFZ26">
        <v>48027445</v>
      </c>
      <c r="AGA26">
        <v>48189957</v>
      </c>
      <c r="AGB26">
        <v>48189957</v>
      </c>
      <c r="AGC26">
        <v>48189957</v>
      </c>
      <c r="AGD26">
        <v>48189957</v>
      </c>
      <c r="AGE26">
        <v>48189957</v>
      </c>
      <c r="AGF26">
        <v>48189957</v>
      </c>
      <c r="AGG26">
        <v>48189957</v>
      </c>
      <c r="AGH26">
        <v>48189957</v>
      </c>
      <c r="AGI26">
        <v>48189957</v>
      </c>
      <c r="AGJ26">
        <v>48189957</v>
      </c>
      <c r="AGK26">
        <v>48189957</v>
      </c>
      <c r="AGL26">
        <v>48189957</v>
      </c>
      <c r="AGM26">
        <v>48189957</v>
      </c>
      <c r="AGN26">
        <v>48189957</v>
      </c>
      <c r="AGO26">
        <v>48338534</v>
      </c>
      <c r="AGP26">
        <v>48338534</v>
      </c>
      <c r="AGQ26">
        <v>48338534</v>
      </c>
      <c r="AGR26">
        <v>48338534</v>
      </c>
      <c r="AGS26">
        <v>48338534</v>
      </c>
      <c r="AGT26">
        <v>48338534</v>
      </c>
      <c r="AGU26">
        <v>48338534</v>
      </c>
      <c r="AGV26">
        <v>48338534</v>
      </c>
      <c r="AGW26">
        <v>48338534</v>
      </c>
      <c r="AGX26">
        <v>48338534</v>
      </c>
      <c r="AGY26">
        <v>48338534</v>
      </c>
      <c r="AGZ26">
        <v>48338534</v>
      </c>
      <c r="AHA26">
        <v>48338534</v>
      </c>
      <c r="AHB26">
        <v>48338534</v>
      </c>
      <c r="AHC26">
        <v>48430725</v>
      </c>
      <c r="AHD26">
        <v>48430725</v>
      </c>
      <c r="AHE26">
        <v>48430725</v>
      </c>
      <c r="AHF26">
        <v>48430725</v>
      </c>
      <c r="AHG26">
        <v>48430725</v>
      </c>
      <c r="AHH26">
        <v>48430725</v>
      </c>
      <c r="AHI26">
        <v>48430725</v>
      </c>
      <c r="AHJ26">
        <v>48430725</v>
      </c>
      <c r="AHK26">
        <v>48526135</v>
      </c>
      <c r="AHL26">
        <v>48526135</v>
      </c>
      <c r="AHM26">
        <v>48526135</v>
      </c>
      <c r="AHN26">
        <v>48526135</v>
      </c>
      <c r="AHO26">
        <v>48526135</v>
      </c>
      <c r="AHP26">
        <v>48526135</v>
      </c>
      <c r="AHQ26">
        <v>48526135</v>
      </c>
    </row>
    <row r="27" spans="1:901">
      <c r="A27" s="1" t="s">
        <v>35</v>
      </c>
      <c r="B27">
        <v>3247366</v>
      </c>
      <c r="C27">
        <v>3298415</v>
      </c>
      <c r="D27">
        <v>3332152</v>
      </c>
      <c r="E27">
        <v>3364500</v>
      </c>
      <c r="F27">
        <v>3393562</v>
      </c>
      <c r="G27">
        <v>3424537</v>
      </c>
      <c r="H27">
        <v>3460714</v>
      </c>
      <c r="I27">
        <v>3499136</v>
      </c>
      <c r="J27">
        <v>3534650</v>
      </c>
      <c r="K27">
        <v>3571117</v>
      </c>
      <c r="L27">
        <v>3636868</v>
      </c>
      <c r="M27">
        <v>3668126</v>
      </c>
      <c r="N27">
        <v>3702605</v>
      </c>
      <c r="O27">
        <v>3737898</v>
      </c>
      <c r="P27">
        <v>3776280</v>
      </c>
      <c r="Q27">
        <v>3818824</v>
      </c>
      <c r="R27">
        <v>3861628</v>
      </c>
      <c r="S27">
        <v>3894289</v>
      </c>
      <c r="T27">
        <v>3930262</v>
      </c>
      <c r="U27">
        <v>3967885</v>
      </c>
      <c r="V27">
        <v>4005437</v>
      </c>
      <c r="W27">
        <v>4047592</v>
      </c>
      <c r="X27">
        <v>4097223</v>
      </c>
      <c r="Y27">
        <v>4141602</v>
      </c>
      <c r="Z27">
        <v>4173863</v>
      </c>
      <c r="AA27">
        <v>4202181</v>
      </c>
      <c r="AB27">
        <v>4234813</v>
      </c>
      <c r="AC27">
        <v>4270936</v>
      </c>
      <c r="AD27">
        <v>4314510</v>
      </c>
      <c r="AE27">
        <v>4357639</v>
      </c>
      <c r="AF27">
        <v>4401530</v>
      </c>
      <c r="AG27">
        <v>4433518</v>
      </c>
      <c r="AH27">
        <v>4467051</v>
      </c>
      <c r="AI27">
        <v>4516832</v>
      </c>
      <c r="AJ27">
        <v>4564070</v>
      </c>
      <c r="AK27">
        <v>4615614</v>
      </c>
      <c r="AL27">
        <v>4668341</v>
      </c>
      <c r="AM27">
        <v>4718734</v>
      </c>
      <c r="AN27">
        <v>4748744</v>
      </c>
      <c r="AO27">
        <v>4789625</v>
      </c>
      <c r="AP27">
        <v>4838104</v>
      </c>
      <c r="AQ27">
        <v>4887294</v>
      </c>
      <c r="AR27">
        <v>4940714</v>
      </c>
      <c r="AS27">
        <v>4992137</v>
      </c>
      <c r="AT27">
        <v>5079380</v>
      </c>
      <c r="AU27">
        <v>5095049</v>
      </c>
      <c r="AV27">
        <v>5126096</v>
      </c>
      <c r="AW27">
        <v>5164329</v>
      </c>
      <c r="AX27">
        <v>5215323</v>
      </c>
      <c r="AY27">
        <v>5258238</v>
      </c>
      <c r="AZ27">
        <v>5320872</v>
      </c>
      <c r="BA27">
        <v>5369531</v>
      </c>
      <c r="BB27">
        <v>5402433</v>
      </c>
      <c r="BC27">
        <v>5451307</v>
      </c>
      <c r="BD27">
        <v>5500745</v>
      </c>
      <c r="BE27">
        <v>5549461</v>
      </c>
      <c r="BF27">
        <v>5602354</v>
      </c>
      <c r="BG27">
        <v>5652986</v>
      </c>
      <c r="BH27">
        <v>5708597</v>
      </c>
      <c r="BI27">
        <v>5735021</v>
      </c>
      <c r="BJ27">
        <v>5766981</v>
      </c>
      <c r="BK27">
        <v>5808870</v>
      </c>
      <c r="BL27">
        <v>5856330</v>
      </c>
      <c r="BM27">
        <v>5903975</v>
      </c>
      <c r="BN27">
        <v>5955489</v>
      </c>
      <c r="BO27">
        <v>6010654</v>
      </c>
      <c r="BP27">
        <v>6044047</v>
      </c>
      <c r="BQ27">
        <v>6082745</v>
      </c>
      <c r="BR27">
        <v>6135966</v>
      </c>
      <c r="BS27">
        <v>6186303</v>
      </c>
      <c r="BT27">
        <v>6245488</v>
      </c>
      <c r="BU27">
        <v>6296869</v>
      </c>
      <c r="BV27">
        <v>6352377</v>
      </c>
      <c r="BW27">
        <v>6392655</v>
      </c>
      <c r="BX27">
        <v>6429234</v>
      </c>
      <c r="BY27">
        <v>6479003</v>
      </c>
      <c r="BZ27">
        <v>6535154</v>
      </c>
      <c r="CA27">
        <v>6592775</v>
      </c>
      <c r="CB27">
        <v>6649697</v>
      </c>
      <c r="CC27">
        <v>6702477</v>
      </c>
      <c r="CD27">
        <v>6737972</v>
      </c>
      <c r="CE27">
        <v>6775084</v>
      </c>
      <c r="CF27">
        <v>6814795</v>
      </c>
      <c r="CG27">
        <v>6855035</v>
      </c>
      <c r="CH27">
        <v>6915466</v>
      </c>
      <c r="CI27">
        <v>6968618</v>
      </c>
      <c r="CJ27">
        <v>7029070</v>
      </c>
      <c r="CK27">
        <v>7069223</v>
      </c>
      <c r="CL27">
        <v>7122577</v>
      </c>
      <c r="CM27">
        <v>7186191</v>
      </c>
      <c r="CN27">
        <v>7246829</v>
      </c>
      <c r="CO27">
        <v>7310768</v>
      </c>
      <c r="CP27">
        <v>7386031</v>
      </c>
      <c r="CQ27">
        <v>7448885</v>
      </c>
      <c r="CR27">
        <v>7492520</v>
      </c>
      <c r="CS27">
        <v>7539967</v>
      </c>
      <c r="CT27">
        <v>7601677</v>
      </c>
      <c r="CU27">
        <v>7681709</v>
      </c>
      <c r="CV27">
        <v>7755989</v>
      </c>
      <c r="CW27">
        <v>7802635</v>
      </c>
      <c r="CX27">
        <v>7834929</v>
      </c>
      <c r="CY27">
        <v>7874546</v>
      </c>
      <c r="CZ27">
        <v>7912873</v>
      </c>
      <c r="DA27">
        <v>7982544</v>
      </c>
      <c r="DB27">
        <v>8050857</v>
      </c>
      <c r="DC27">
        <v>8134396</v>
      </c>
      <c r="DD27">
        <v>8174087</v>
      </c>
      <c r="DE27">
        <v>8204984</v>
      </c>
      <c r="DF27">
        <v>8238961</v>
      </c>
      <c r="DG27">
        <v>8287250</v>
      </c>
      <c r="DH27">
        <v>8353073</v>
      </c>
      <c r="DI27">
        <v>8420350</v>
      </c>
      <c r="DJ27">
        <v>8489080</v>
      </c>
      <c r="DK27">
        <v>8556831</v>
      </c>
      <c r="DL27">
        <v>8627094</v>
      </c>
      <c r="DM27">
        <v>8682821</v>
      </c>
      <c r="DN27">
        <v>8726048</v>
      </c>
      <c r="DO27">
        <v>8769587</v>
      </c>
      <c r="DP27">
        <v>8827889</v>
      </c>
      <c r="DQ27">
        <v>8921191</v>
      </c>
      <c r="DR27">
        <v>9008048</v>
      </c>
      <c r="DS27">
        <v>9078811</v>
      </c>
      <c r="DT27">
        <v>9130554</v>
      </c>
      <c r="DU27">
        <v>9188440</v>
      </c>
      <c r="DV27">
        <v>9264307</v>
      </c>
      <c r="DW27">
        <v>9340985</v>
      </c>
      <c r="DX27">
        <v>9419927</v>
      </c>
      <c r="DY27">
        <v>9505562</v>
      </c>
      <c r="DZ27">
        <v>9575784</v>
      </c>
      <c r="EA27">
        <v>9627333</v>
      </c>
      <c r="EB27">
        <v>9687241</v>
      </c>
      <c r="EC27">
        <v>9757008</v>
      </c>
      <c r="ED27">
        <v>9831133</v>
      </c>
      <c r="EE27">
        <v>9904065</v>
      </c>
      <c r="EF27">
        <v>9972198</v>
      </c>
      <c r="EG27">
        <v>10037909</v>
      </c>
      <c r="EH27">
        <v>10091218</v>
      </c>
      <c r="EI27">
        <v>10149186</v>
      </c>
      <c r="EJ27">
        <v>10210369</v>
      </c>
      <c r="EK27">
        <v>10273080</v>
      </c>
      <c r="EL27">
        <v>10345704</v>
      </c>
      <c r="EM27">
        <v>10410282</v>
      </c>
      <c r="EN27">
        <v>10465124</v>
      </c>
      <c r="EO27">
        <v>10503212</v>
      </c>
      <c r="EP27">
        <v>10553968</v>
      </c>
      <c r="EQ27">
        <v>10601650</v>
      </c>
      <c r="ER27">
        <v>10655161</v>
      </c>
      <c r="ES27">
        <v>10716322</v>
      </c>
      <c r="ET27">
        <v>10770359</v>
      </c>
      <c r="EU27">
        <v>10813163</v>
      </c>
      <c r="EV27">
        <v>10847421</v>
      </c>
      <c r="EW27">
        <v>10887591</v>
      </c>
      <c r="EX27">
        <v>10937998</v>
      </c>
      <c r="EY27">
        <v>10987643</v>
      </c>
      <c r="EZ27">
        <v>11033945</v>
      </c>
      <c r="FA27">
        <v>11083972</v>
      </c>
      <c r="FB27">
        <v>11130308</v>
      </c>
      <c r="FC27">
        <v>11178817</v>
      </c>
      <c r="FD27">
        <v>11216586</v>
      </c>
      <c r="FE27">
        <v>11258346</v>
      </c>
      <c r="FF27">
        <v>11302192</v>
      </c>
      <c r="FG27">
        <v>11342672</v>
      </c>
      <c r="FH27">
        <v>11384738</v>
      </c>
      <c r="FI27">
        <v>11427482</v>
      </c>
      <c r="FJ27">
        <v>11458960</v>
      </c>
      <c r="FK27">
        <v>11491151</v>
      </c>
      <c r="FL27">
        <v>11528886</v>
      </c>
      <c r="FM27">
        <v>11568895</v>
      </c>
      <c r="FN27">
        <v>11614196</v>
      </c>
      <c r="FO27">
        <v>11655186</v>
      </c>
      <c r="FP27">
        <v>11695919</v>
      </c>
      <c r="FQ27">
        <v>11717598</v>
      </c>
      <c r="FR27">
        <v>11748990</v>
      </c>
      <c r="FS27">
        <v>11784331</v>
      </c>
      <c r="FT27">
        <v>11819803</v>
      </c>
      <c r="FU27">
        <v>11870511</v>
      </c>
      <c r="FV27">
        <v>11918588</v>
      </c>
      <c r="FW27">
        <v>11959552</v>
      </c>
      <c r="FX27">
        <v>11989901</v>
      </c>
      <c r="FY27">
        <v>12020903</v>
      </c>
      <c r="FZ27">
        <v>12062703</v>
      </c>
      <c r="GA27">
        <v>12096794</v>
      </c>
      <c r="GB27">
        <v>12142887</v>
      </c>
      <c r="GC27">
        <v>12186850</v>
      </c>
      <c r="GD27">
        <v>12247644</v>
      </c>
      <c r="GE27">
        <v>12286609</v>
      </c>
      <c r="GF27">
        <v>12314769</v>
      </c>
      <c r="GG27">
        <v>12343343</v>
      </c>
      <c r="GH27">
        <v>12386993</v>
      </c>
      <c r="GI27">
        <v>12439138</v>
      </c>
      <c r="GJ27">
        <v>12485669</v>
      </c>
      <c r="GK27">
        <v>12542392</v>
      </c>
      <c r="GL27">
        <v>12586788</v>
      </c>
      <c r="GM27">
        <v>12629769</v>
      </c>
      <c r="GN27">
        <v>12677011</v>
      </c>
      <c r="GO27">
        <v>12732774</v>
      </c>
      <c r="GP27">
        <v>12790489</v>
      </c>
      <c r="GQ27">
        <v>12833890</v>
      </c>
      <c r="GR27">
        <v>12870222</v>
      </c>
      <c r="GS27">
        <v>12902882</v>
      </c>
      <c r="GT27">
        <v>12945105</v>
      </c>
      <c r="GU27">
        <v>12989351</v>
      </c>
      <c r="GV27">
        <v>13042268</v>
      </c>
      <c r="GW27">
        <v>13109505</v>
      </c>
      <c r="GX27">
        <v>13174589</v>
      </c>
      <c r="GY27">
        <v>13246202</v>
      </c>
      <c r="GZ27">
        <v>13314269</v>
      </c>
      <c r="HA27" s="3">
        <v>13376845.5</v>
      </c>
      <c r="HB27">
        <v>13439422</v>
      </c>
      <c r="HC27">
        <v>13526900</v>
      </c>
      <c r="HD27">
        <v>13616060</v>
      </c>
      <c r="HE27">
        <v>13693403</v>
      </c>
      <c r="HF27">
        <v>13774899</v>
      </c>
      <c r="HG27">
        <v>13844971</v>
      </c>
      <c r="HH27">
        <v>13907796</v>
      </c>
      <c r="HI27">
        <v>13978773</v>
      </c>
      <c r="HJ27">
        <v>14052886</v>
      </c>
      <c r="HK27">
        <v>14134970</v>
      </c>
      <c r="HL27">
        <v>14233891</v>
      </c>
      <c r="HM27">
        <v>14317363</v>
      </c>
      <c r="HN27">
        <v>14398609</v>
      </c>
      <c r="HO27">
        <v>14467329</v>
      </c>
      <c r="HP27">
        <v>14541843</v>
      </c>
      <c r="HQ27">
        <v>14626169</v>
      </c>
      <c r="HR27">
        <v>14715576</v>
      </c>
      <c r="HS27">
        <v>14802786</v>
      </c>
      <c r="HT27">
        <v>14888382</v>
      </c>
      <c r="HU27">
        <v>14944628</v>
      </c>
      <c r="HV27">
        <v>14999981</v>
      </c>
      <c r="HW27">
        <v>15060360</v>
      </c>
      <c r="HX27">
        <v>15126871</v>
      </c>
      <c r="HY27">
        <v>15201520</v>
      </c>
      <c r="HZ27">
        <v>15283737</v>
      </c>
      <c r="IA27">
        <v>15365234</v>
      </c>
      <c r="IB27">
        <v>15436162</v>
      </c>
      <c r="IC27">
        <v>15477840</v>
      </c>
      <c r="ID27">
        <v>15564899</v>
      </c>
      <c r="IE27">
        <v>15639108</v>
      </c>
      <c r="IF27">
        <v>15711926</v>
      </c>
      <c r="IG27">
        <v>15783446</v>
      </c>
      <c r="IH27">
        <v>15863467</v>
      </c>
      <c r="II27">
        <v>15925025</v>
      </c>
      <c r="IJ27">
        <v>15957624</v>
      </c>
      <c r="IK27">
        <v>15998997</v>
      </c>
      <c r="IL27">
        <v>16074868</v>
      </c>
      <c r="IM27">
        <v>16146258</v>
      </c>
      <c r="IN27">
        <v>16216781</v>
      </c>
      <c r="IO27">
        <v>16311464</v>
      </c>
      <c r="IP27">
        <v>16378496</v>
      </c>
      <c r="IQ27">
        <v>16419432</v>
      </c>
      <c r="IR27">
        <v>16509243</v>
      </c>
      <c r="IS27">
        <v>16607115</v>
      </c>
      <c r="IT27">
        <v>16711384</v>
      </c>
      <c r="IU27">
        <v>16792539</v>
      </c>
      <c r="IV27">
        <v>16878897</v>
      </c>
      <c r="IW27">
        <v>16957942</v>
      </c>
      <c r="IX27">
        <v>17009055</v>
      </c>
      <c r="IY27">
        <v>17099753</v>
      </c>
      <c r="IZ27">
        <v>17208167</v>
      </c>
      <c r="JA27">
        <v>17305168</v>
      </c>
      <c r="JB27">
        <v>17402787</v>
      </c>
      <c r="JC27">
        <v>17501504</v>
      </c>
      <c r="JD27">
        <v>17573266</v>
      </c>
      <c r="JE27">
        <v>17625675</v>
      </c>
      <c r="JF27">
        <v>17690117</v>
      </c>
      <c r="JG27">
        <v>17799489</v>
      </c>
      <c r="JH27">
        <v>17912045</v>
      </c>
      <c r="JI27">
        <v>18029544</v>
      </c>
      <c r="JJ27">
        <v>18114673</v>
      </c>
      <c r="JK27">
        <v>18206556</v>
      </c>
      <c r="JL27">
        <v>18252274</v>
      </c>
      <c r="JM27">
        <v>18340111</v>
      </c>
      <c r="JN27">
        <v>18451017</v>
      </c>
      <c r="JO27">
        <v>18557906</v>
      </c>
      <c r="JP27">
        <v>18671429</v>
      </c>
      <c r="JQ27">
        <v>18772724</v>
      </c>
      <c r="JR27">
        <v>18849191</v>
      </c>
      <c r="JS27">
        <v>18929047</v>
      </c>
      <c r="JT27">
        <v>19040100</v>
      </c>
      <c r="JU27">
        <v>19168055</v>
      </c>
      <c r="JV27">
        <v>19287638</v>
      </c>
      <c r="JW27">
        <v>19409243</v>
      </c>
      <c r="JX27">
        <v>19519944</v>
      </c>
      <c r="JY27">
        <v>19619249</v>
      </c>
      <c r="JZ27">
        <v>19695665</v>
      </c>
      <c r="KA27">
        <v>19822624</v>
      </c>
      <c r="KB27">
        <v>19936910</v>
      </c>
      <c r="KC27">
        <v>20060182</v>
      </c>
      <c r="KD27">
        <v>20180384</v>
      </c>
      <c r="KE27">
        <v>20282143</v>
      </c>
      <c r="KF27">
        <v>20384649</v>
      </c>
      <c r="KG27">
        <v>20435119</v>
      </c>
      <c r="KH27">
        <v>20503266</v>
      </c>
      <c r="KI27">
        <v>20612882</v>
      </c>
      <c r="KJ27">
        <v>20711929</v>
      </c>
      <c r="KK27">
        <v>20828287</v>
      </c>
      <c r="KL27">
        <v>20915420</v>
      </c>
      <c r="KM27">
        <v>21006376</v>
      </c>
      <c r="KN27">
        <v>21060560</v>
      </c>
      <c r="KO27">
        <v>21156483</v>
      </c>
      <c r="KP27">
        <v>21249424</v>
      </c>
      <c r="KQ27">
        <v>21345447</v>
      </c>
      <c r="KR27">
        <v>21439559</v>
      </c>
      <c r="KS27">
        <v>21532578</v>
      </c>
      <c r="KT27">
        <v>21612085</v>
      </c>
      <c r="KU27">
        <v>21655355</v>
      </c>
      <c r="KV27">
        <v>21744142</v>
      </c>
      <c r="KW27">
        <v>21787076</v>
      </c>
      <c r="KX27">
        <v>21876392</v>
      </c>
      <c r="KY27">
        <v>21953347</v>
      </c>
      <c r="KZ27">
        <v>22021585</v>
      </c>
      <c r="LA27">
        <v>22098977</v>
      </c>
      <c r="LB27">
        <v>22137421</v>
      </c>
      <c r="LC27">
        <v>22217674</v>
      </c>
      <c r="LD27">
        <v>22282843</v>
      </c>
      <c r="LE27">
        <v>22372412</v>
      </c>
      <c r="LF27">
        <v>22448016</v>
      </c>
      <c r="LG27">
        <v>22533319</v>
      </c>
      <c r="LH27">
        <v>22609561</v>
      </c>
      <c r="LI27">
        <v>22643447</v>
      </c>
      <c r="LJ27">
        <v>22704369</v>
      </c>
      <c r="LK27">
        <v>22769483</v>
      </c>
      <c r="LL27">
        <v>22837298</v>
      </c>
      <c r="LM27">
        <v>22915918</v>
      </c>
      <c r="LN27">
        <v>22970866</v>
      </c>
      <c r="LO27">
        <v>23026953</v>
      </c>
      <c r="LP27">
        <v>23060033</v>
      </c>
      <c r="LQ27">
        <v>23113937</v>
      </c>
      <c r="LR27">
        <v>23172860</v>
      </c>
      <c r="LS27">
        <v>23233309</v>
      </c>
      <c r="LT27">
        <v>23298190</v>
      </c>
      <c r="LU27">
        <v>23355258</v>
      </c>
      <c r="LV27">
        <v>23419020</v>
      </c>
      <c r="LW27">
        <v>23444709</v>
      </c>
      <c r="LX27">
        <v>23479835</v>
      </c>
      <c r="LY27">
        <v>23530438</v>
      </c>
      <c r="LZ27">
        <v>23587059</v>
      </c>
      <c r="MA27">
        <v>23647617</v>
      </c>
      <c r="MB27">
        <v>23701448</v>
      </c>
      <c r="MC27">
        <v>23754923</v>
      </c>
      <c r="MD27">
        <v>23788611</v>
      </c>
      <c r="ME27">
        <v>23831605</v>
      </c>
      <c r="MF27">
        <v>23883552</v>
      </c>
      <c r="MG27">
        <v>23936680</v>
      </c>
      <c r="MH27">
        <v>23992187</v>
      </c>
      <c r="MI27">
        <v>24043550</v>
      </c>
      <c r="MJ27">
        <v>24092793</v>
      </c>
      <c r="MK27">
        <v>24121717</v>
      </c>
      <c r="ML27">
        <v>24169791</v>
      </c>
      <c r="MM27">
        <v>24217542</v>
      </c>
      <c r="MN27">
        <v>24268743</v>
      </c>
      <c r="MO27">
        <v>24322614</v>
      </c>
      <c r="MP27">
        <v>24363731</v>
      </c>
      <c r="MQ27">
        <v>24409712</v>
      </c>
      <c r="MR27">
        <v>24441726</v>
      </c>
      <c r="MS27">
        <v>24493353</v>
      </c>
      <c r="MT27">
        <v>24546428</v>
      </c>
      <c r="MU27">
        <v>24598042</v>
      </c>
      <c r="MV27">
        <v>24651488</v>
      </c>
      <c r="MW27">
        <v>24693167</v>
      </c>
      <c r="MX27">
        <v>24740212</v>
      </c>
      <c r="MY27">
        <v>24769016</v>
      </c>
      <c r="MZ27">
        <v>24818784</v>
      </c>
      <c r="NA27">
        <v>24864504</v>
      </c>
      <c r="NB27">
        <v>24920135</v>
      </c>
      <c r="NC27">
        <v>24970556</v>
      </c>
      <c r="ND27">
        <v>25011054</v>
      </c>
      <c r="NE27">
        <v>25055816</v>
      </c>
      <c r="NF27">
        <v>25085322</v>
      </c>
      <c r="NG27">
        <v>25135649</v>
      </c>
      <c r="NH27">
        <v>25183060</v>
      </c>
      <c r="NI27">
        <v>25232844</v>
      </c>
      <c r="NJ27">
        <v>25286251</v>
      </c>
      <c r="NK27">
        <v>25330491</v>
      </c>
      <c r="NL27">
        <v>25374115</v>
      </c>
      <c r="NM27">
        <v>25404570</v>
      </c>
      <c r="NN27">
        <v>25449549</v>
      </c>
      <c r="NO27">
        <v>25493971</v>
      </c>
      <c r="NP27">
        <v>25545776</v>
      </c>
      <c r="NQ27">
        <v>25594134</v>
      </c>
      <c r="NR27">
        <v>25639447</v>
      </c>
      <c r="NS27">
        <v>25670579</v>
      </c>
      <c r="NT27">
        <v>25712710</v>
      </c>
      <c r="NU27">
        <v>25750578</v>
      </c>
      <c r="NV27">
        <v>25795303</v>
      </c>
      <c r="NW27">
        <v>25844272</v>
      </c>
      <c r="NX27">
        <v>25895959</v>
      </c>
      <c r="NY27">
        <v>25938502</v>
      </c>
      <c r="NZ27">
        <v>25971968</v>
      </c>
      <c r="OA27">
        <v>26011131</v>
      </c>
      <c r="OB27">
        <v>26052816</v>
      </c>
      <c r="OC27">
        <v>26100851</v>
      </c>
      <c r="OD27">
        <v>26148934</v>
      </c>
      <c r="OE27">
        <v>26194414</v>
      </c>
      <c r="OF27">
        <v>26239711</v>
      </c>
      <c r="OG27">
        <v>26267000</v>
      </c>
      <c r="OH27">
        <v>26295671</v>
      </c>
      <c r="OI27">
        <v>26320481</v>
      </c>
      <c r="OJ27">
        <v>26358743</v>
      </c>
      <c r="OK27">
        <v>26405615</v>
      </c>
      <c r="OL27">
        <v>26451223</v>
      </c>
      <c r="OM27">
        <v>26494409</v>
      </c>
      <c r="ON27">
        <v>26525120</v>
      </c>
      <c r="OO27">
        <v>26566285</v>
      </c>
      <c r="OP27">
        <v>26610010</v>
      </c>
      <c r="OQ27">
        <v>26651141</v>
      </c>
      <c r="OR27">
        <v>26694350</v>
      </c>
      <c r="OS27">
        <v>26741909</v>
      </c>
      <c r="OT27">
        <v>26779169</v>
      </c>
      <c r="OU27">
        <v>26809122</v>
      </c>
      <c r="OV27">
        <v>26845376</v>
      </c>
      <c r="OW27">
        <v>26871137</v>
      </c>
      <c r="OX27">
        <v>26911559</v>
      </c>
      <c r="OY27">
        <v>26952495</v>
      </c>
      <c r="OZ27">
        <v>26997594</v>
      </c>
      <c r="PA27">
        <v>27042399</v>
      </c>
      <c r="PB27">
        <v>27073018</v>
      </c>
      <c r="PC27">
        <v>27119056</v>
      </c>
      <c r="PD27">
        <v>27164477</v>
      </c>
      <c r="PE27">
        <v>27210750</v>
      </c>
      <c r="PF27">
        <v>27262081</v>
      </c>
      <c r="PG27">
        <v>27307446</v>
      </c>
      <c r="PH27">
        <v>27349820</v>
      </c>
      <c r="PI27">
        <v>27393975</v>
      </c>
      <c r="PJ27">
        <v>27429312</v>
      </c>
      <c r="PK27">
        <v>27465596</v>
      </c>
      <c r="PL27">
        <v>27510452</v>
      </c>
      <c r="PM27">
        <v>27557748</v>
      </c>
      <c r="PN27">
        <v>27610201</v>
      </c>
      <c r="PO27">
        <v>27649581</v>
      </c>
      <c r="PP27">
        <v>27691168</v>
      </c>
      <c r="PQ27">
        <v>27744614</v>
      </c>
      <c r="PR27">
        <v>27788024</v>
      </c>
      <c r="PS27">
        <v>27839945</v>
      </c>
      <c r="PT27">
        <v>27891010</v>
      </c>
      <c r="PU27">
        <v>27944138</v>
      </c>
      <c r="PV27">
        <v>27975654</v>
      </c>
      <c r="PW27">
        <v>28017929</v>
      </c>
      <c r="PX27">
        <v>28064873</v>
      </c>
      <c r="PY27">
        <v>28112712</v>
      </c>
      <c r="PZ27">
        <v>28160705</v>
      </c>
      <c r="QA27">
        <v>28207446</v>
      </c>
      <c r="QB27">
        <v>28258816</v>
      </c>
      <c r="QC27">
        <v>28293690</v>
      </c>
      <c r="QD27">
        <v>28330663</v>
      </c>
      <c r="QE27">
        <v>28382350</v>
      </c>
      <c r="QF27">
        <v>28431055</v>
      </c>
      <c r="QG27">
        <v>28478384</v>
      </c>
      <c r="QH27">
        <v>28506132</v>
      </c>
      <c r="QI27">
        <v>28559483</v>
      </c>
      <c r="QJ27">
        <v>28587711</v>
      </c>
      <c r="QK27">
        <v>28625046</v>
      </c>
      <c r="QL27">
        <v>28684089</v>
      </c>
      <c r="QM27">
        <v>28731851</v>
      </c>
      <c r="QN27">
        <v>28778306</v>
      </c>
      <c r="QO27">
        <v>28830092</v>
      </c>
      <c r="QP27">
        <v>28885434</v>
      </c>
      <c r="QQ27">
        <v>28919466</v>
      </c>
      <c r="QR27">
        <v>28957976</v>
      </c>
      <c r="QS27">
        <v>29007812</v>
      </c>
      <c r="QT27">
        <v>29056227</v>
      </c>
      <c r="QU27">
        <v>29106481</v>
      </c>
      <c r="QV27">
        <v>29166085</v>
      </c>
      <c r="QW27">
        <v>29228550</v>
      </c>
      <c r="QX27">
        <v>29255860</v>
      </c>
      <c r="QY27">
        <v>29313779</v>
      </c>
      <c r="QZ27">
        <v>29352283</v>
      </c>
      <c r="RA27">
        <v>29410095</v>
      </c>
      <c r="RB27">
        <v>29479920</v>
      </c>
      <c r="RC27">
        <v>29565827</v>
      </c>
      <c r="RD27">
        <v>29622573</v>
      </c>
      <c r="RE27">
        <v>29699775</v>
      </c>
      <c r="RF27">
        <v>29764087</v>
      </c>
      <c r="RG27">
        <v>29813056</v>
      </c>
      <c r="RH27">
        <v>29889802</v>
      </c>
      <c r="RI27">
        <v>29980901</v>
      </c>
      <c r="RJ27">
        <v>30077449</v>
      </c>
      <c r="RK27">
        <v>30199691</v>
      </c>
      <c r="RL27">
        <v>30272205</v>
      </c>
      <c r="RM27">
        <v>30377605</v>
      </c>
      <c r="RN27">
        <v>30473966</v>
      </c>
      <c r="RO27">
        <v>30586546</v>
      </c>
      <c r="RP27">
        <v>30718358</v>
      </c>
      <c r="RQ27">
        <v>30827860</v>
      </c>
      <c r="RR27">
        <v>30932550</v>
      </c>
      <c r="RS27">
        <v>30988249</v>
      </c>
      <c r="RT27">
        <v>31070883</v>
      </c>
      <c r="RU27">
        <v>31171683</v>
      </c>
      <c r="RV27">
        <v>31264531</v>
      </c>
      <c r="RW27">
        <v>31355675</v>
      </c>
      <c r="RX27">
        <v>31447883</v>
      </c>
      <c r="RY27">
        <v>31533394</v>
      </c>
      <c r="RZ27">
        <v>31580159</v>
      </c>
      <c r="SA27">
        <v>31648769</v>
      </c>
      <c r="SB27">
        <v>31736335</v>
      </c>
      <c r="SC27">
        <v>31808827</v>
      </c>
      <c r="SD27">
        <v>31875825</v>
      </c>
      <c r="SE27">
        <v>31942301</v>
      </c>
      <c r="SF27">
        <v>32012934</v>
      </c>
      <c r="SG27">
        <v>32051292</v>
      </c>
      <c r="SH27">
        <v>32110649</v>
      </c>
      <c r="SI27">
        <v>32157058</v>
      </c>
      <c r="SJ27">
        <v>32215734</v>
      </c>
      <c r="SK27">
        <v>32278055</v>
      </c>
      <c r="SL27">
        <v>32330508</v>
      </c>
      <c r="SM27">
        <v>32389527</v>
      </c>
      <c r="SN27">
        <v>32417551</v>
      </c>
      <c r="SO27">
        <v>32460044</v>
      </c>
      <c r="SP27">
        <v>32500240</v>
      </c>
      <c r="SQ27">
        <v>32542267</v>
      </c>
      <c r="SR27">
        <v>32585489</v>
      </c>
      <c r="SS27">
        <v>32629729</v>
      </c>
      <c r="ST27">
        <v>32668504</v>
      </c>
      <c r="SU27">
        <v>32692557</v>
      </c>
      <c r="SV27">
        <v>32728652</v>
      </c>
      <c r="SW27">
        <v>32758328</v>
      </c>
      <c r="SX27">
        <v>32794013</v>
      </c>
      <c r="SY27">
        <v>32829672</v>
      </c>
      <c r="SZ27">
        <v>32868692</v>
      </c>
      <c r="TA27">
        <v>32902670</v>
      </c>
      <c r="TB27">
        <v>32922807</v>
      </c>
      <c r="TC27">
        <v>32953805</v>
      </c>
      <c r="TD27">
        <v>32980562</v>
      </c>
      <c r="TE27">
        <v>33016280</v>
      </c>
      <c r="TF27">
        <v>33050451</v>
      </c>
      <c r="TG27">
        <v>33085533</v>
      </c>
      <c r="TH27">
        <v>33118905</v>
      </c>
      <c r="TI27">
        <v>33136594</v>
      </c>
      <c r="TJ27">
        <v>33165748</v>
      </c>
      <c r="TK27">
        <v>33194144</v>
      </c>
      <c r="TL27">
        <v>33224395</v>
      </c>
      <c r="TM27">
        <v>33250588</v>
      </c>
      <c r="TN27">
        <v>33281725</v>
      </c>
      <c r="TO27">
        <v>33310231</v>
      </c>
      <c r="TP27">
        <v>33325965</v>
      </c>
      <c r="TQ27">
        <v>33350542</v>
      </c>
      <c r="TR27">
        <v>33374605</v>
      </c>
      <c r="TS27">
        <v>33400734</v>
      </c>
      <c r="TT27">
        <v>33427450</v>
      </c>
      <c r="TU27">
        <v>33454522</v>
      </c>
      <c r="TV27">
        <v>33481801</v>
      </c>
      <c r="TW27">
        <v>33495384</v>
      </c>
      <c r="TX27">
        <v>33516825</v>
      </c>
      <c r="TY27">
        <v>33540156</v>
      </c>
      <c r="TZ27">
        <v>33566181</v>
      </c>
      <c r="UA27">
        <v>33595864</v>
      </c>
      <c r="UB27">
        <v>33623076</v>
      </c>
      <c r="UC27">
        <v>33662028</v>
      </c>
      <c r="UD27">
        <v>33662028</v>
      </c>
      <c r="UE27">
        <v>33683396</v>
      </c>
      <c r="UF27">
        <v>33705356</v>
      </c>
      <c r="UG27">
        <v>33716878</v>
      </c>
      <c r="UH27">
        <v>33742049</v>
      </c>
      <c r="UI27">
        <v>33766171</v>
      </c>
      <c r="UJ27">
        <v>33791079</v>
      </c>
      <c r="UK27">
        <v>33803790</v>
      </c>
      <c r="UL27">
        <v>33829312</v>
      </c>
      <c r="UM27">
        <v>33853193</v>
      </c>
      <c r="UN27">
        <v>33877164</v>
      </c>
      <c r="UO27">
        <v>33899469</v>
      </c>
      <c r="UP27">
        <v>33922578</v>
      </c>
      <c r="UQ27">
        <v>33952707</v>
      </c>
      <c r="UR27">
        <v>33971965</v>
      </c>
      <c r="US27">
        <v>33971965</v>
      </c>
      <c r="UT27">
        <v>33992556</v>
      </c>
      <c r="UU27">
        <v>34019306</v>
      </c>
      <c r="UV27">
        <v>34048606</v>
      </c>
      <c r="UW27">
        <v>34074406</v>
      </c>
      <c r="UX27">
        <v>34099595</v>
      </c>
      <c r="UY27">
        <v>34113190</v>
      </c>
      <c r="UZ27">
        <v>34135355</v>
      </c>
      <c r="VA27">
        <v>34157845</v>
      </c>
      <c r="VB27">
        <v>34183285</v>
      </c>
      <c r="VC27">
        <v>34226470</v>
      </c>
      <c r="VD27">
        <v>34226470</v>
      </c>
      <c r="VE27">
        <v>34242271</v>
      </c>
      <c r="VF27">
        <v>34249450</v>
      </c>
      <c r="VG27">
        <v>34249450</v>
      </c>
      <c r="VH27">
        <v>34265772</v>
      </c>
      <c r="VI27">
        <v>34287337</v>
      </c>
      <c r="VJ27">
        <v>34306661</v>
      </c>
      <c r="VK27">
        <v>34327907</v>
      </c>
      <c r="VL27">
        <v>34355022</v>
      </c>
      <c r="VM27">
        <v>34371690</v>
      </c>
      <c r="VN27">
        <v>34371690</v>
      </c>
      <c r="VO27">
        <v>34388490</v>
      </c>
      <c r="VP27">
        <v>34407374</v>
      </c>
      <c r="VQ27">
        <v>34428355</v>
      </c>
      <c r="VR27">
        <v>34446718</v>
      </c>
      <c r="VS27">
        <v>34465052</v>
      </c>
      <c r="VT27">
        <v>34465052</v>
      </c>
      <c r="VU27">
        <v>34465052</v>
      </c>
      <c r="VV27">
        <v>34465052</v>
      </c>
      <c r="VW27">
        <v>34465052</v>
      </c>
      <c r="VX27">
        <v>34465052</v>
      </c>
      <c r="VY27">
        <v>34560302</v>
      </c>
      <c r="VZ27">
        <v>34560302</v>
      </c>
      <c r="WA27">
        <v>34560302</v>
      </c>
      <c r="WB27">
        <v>34560302</v>
      </c>
      <c r="WC27">
        <v>34560302</v>
      </c>
      <c r="WD27">
        <v>34560302</v>
      </c>
      <c r="WE27">
        <v>34560302</v>
      </c>
      <c r="WF27">
        <v>34675581</v>
      </c>
      <c r="WG27">
        <v>34675581</v>
      </c>
      <c r="WH27">
        <v>34675581</v>
      </c>
      <c r="WI27">
        <v>34675581</v>
      </c>
      <c r="WJ27">
        <v>34675581</v>
      </c>
      <c r="WK27">
        <v>34675581</v>
      </c>
      <c r="WL27">
        <v>34675581</v>
      </c>
      <c r="WM27">
        <v>34792844</v>
      </c>
      <c r="WN27">
        <v>34792844</v>
      </c>
      <c r="WO27">
        <v>34792844</v>
      </c>
      <c r="WP27">
        <v>34792844</v>
      </c>
      <c r="WQ27">
        <v>34792844</v>
      </c>
      <c r="WR27">
        <v>34792844</v>
      </c>
      <c r="WS27">
        <v>34792844</v>
      </c>
      <c r="WT27">
        <v>34792844</v>
      </c>
      <c r="WU27">
        <v>34922533</v>
      </c>
      <c r="WV27">
        <v>34922533</v>
      </c>
      <c r="WW27">
        <v>34922533</v>
      </c>
      <c r="WX27">
        <v>34922533</v>
      </c>
      <c r="WY27">
        <v>34922533</v>
      </c>
      <c r="WZ27">
        <v>34922533</v>
      </c>
      <c r="XA27">
        <v>35041646</v>
      </c>
      <c r="XB27">
        <v>35041646</v>
      </c>
      <c r="XC27">
        <v>35041646</v>
      </c>
      <c r="XD27">
        <v>35041646</v>
      </c>
      <c r="XE27">
        <v>35041646</v>
      </c>
      <c r="XF27">
        <v>35175528</v>
      </c>
      <c r="XG27">
        <v>35175528</v>
      </c>
      <c r="XH27">
        <v>35175528</v>
      </c>
      <c r="XI27">
        <v>35175528</v>
      </c>
      <c r="XJ27">
        <v>35175528</v>
      </c>
      <c r="XK27">
        <v>35175528</v>
      </c>
      <c r="XL27">
        <v>35175528</v>
      </c>
      <c r="XM27">
        <v>35304331</v>
      </c>
      <c r="XN27">
        <v>35304331</v>
      </c>
      <c r="XO27">
        <v>35304331</v>
      </c>
      <c r="XP27">
        <v>35304331</v>
      </c>
      <c r="XQ27">
        <v>35304331</v>
      </c>
      <c r="XR27">
        <v>35422380</v>
      </c>
      <c r="XS27">
        <v>35422380</v>
      </c>
      <c r="XT27">
        <v>35422380</v>
      </c>
      <c r="XU27">
        <v>35422380</v>
      </c>
      <c r="XV27">
        <v>35422380</v>
      </c>
      <c r="XW27">
        <v>35422380</v>
      </c>
      <c r="XX27">
        <v>35422380</v>
      </c>
      <c r="XY27">
        <v>35422380</v>
      </c>
      <c r="XZ27">
        <v>35422380</v>
      </c>
      <c r="YA27">
        <v>35422380</v>
      </c>
      <c r="YB27">
        <v>35422380</v>
      </c>
      <c r="YC27">
        <v>35539516</v>
      </c>
      <c r="YD27">
        <v>35539516</v>
      </c>
      <c r="YE27">
        <v>35539516</v>
      </c>
      <c r="YF27" s="1">
        <v>35539516</v>
      </c>
      <c r="YG27" s="1">
        <v>35539516</v>
      </c>
      <c r="YH27" s="1">
        <v>35539516</v>
      </c>
      <c r="YI27" s="1">
        <v>35539516</v>
      </c>
      <c r="YJ27">
        <v>35662857</v>
      </c>
      <c r="YK27">
        <v>35662857</v>
      </c>
      <c r="YL27">
        <v>35662857</v>
      </c>
      <c r="YM27">
        <v>35662857</v>
      </c>
      <c r="YN27">
        <v>35662857</v>
      </c>
      <c r="YO27">
        <v>35662857</v>
      </c>
      <c r="YP27">
        <v>35662857</v>
      </c>
      <c r="YQ27">
        <v>35781769</v>
      </c>
      <c r="YR27">
        <v>35781769</v>
      </c>
      <c r="YS27">
        <v>35781769</v>
      </c>
      <c r="YT27">
        <v>35781769</v>
      </c>
      <c r="YU27">
        <v>35781769</v>
      </c>
      <c r="YV27">
        <v>35781769</v>
      </c>
      <c r="YW27">
        <v>35889624</v>
      </c>
      <c r="YX27">
        <v>35889624</v>
      </c>
      <c r="YY27">
        <v>35889624</v>
      </c>
      <c r="YZ27">
        <v>35889624</v>
      </c>
      <c r="ZA27">
        <v>35889624</v>
      </c>
      <c r="ZB27">
        <v>35889624</v>
      </c>
      <c r="ZC27">
        <v>35889624</v>
      </c>
      <c r="ZD27">
        <v>35889624</v>
      </c>
      <c r="ZE27">
        <v>35992047</v>
      </c>
      <c r="ZF27">
        <v>35992047</v>
      </c>
      <c r="ZG27">
        <v>35992047</v>
      </c>
      <c r="ZH27">
        <v>35992047</v>
      </c>
      <c r="ZI27">
        <v>35992047</v>
      </c>
      <c r="ZJ27">
        <v>35992047</v>
      </c>
      <c r="ZK27">
        <v>36086570</v>
      </c>
      <c r="ZL27">
        <v>36086570</v>
      </c>
      <c r="ZM27">
        <v>36086570</v>
      </c>
      <c r="ZN27">
        <v>36086570</v>
      </c>
      <c r="ZO27">
        <v>36086570</v>
      </c>
      <c r="ZP27">
        <v>36086570</v>
      </c>
      <c r="ZQ27">
        <v>36086570</v>
      </c>
      <c r="ZR27">
        <v>36165239</v>
      </c>
      <c r="ZS27">
        <v>36165239</v>
      </c>
      <c r="ZT27">
        <v>36165239</v>
      </c>
      <c r="ZU27">
        <v>36165239</v>
      </c>
      <c r="ZV27">
        <v>36165239</v>
      </c>
      <c r="ZW27">
        <v>36165239</v>
      </c>
      <c r="ZX27">
        <v>36165239</v>
      </c>
      <c r="ZY27">
        <v>36228532</v>
      </c>
      <c r="ZZ27">
        <v>36228532</v>
      </c>
      <c r="AAA27">
        <v>36228532</v>
      </c>
      <c r="AAB27">
        <v>36228532</v>
      </c>
      <c r="AAC27">
        <v>36228532</v>
      </c>
      <c r="AAD27">
        <v>36228532</v>
      </c>
      <c r="AAE27">
        <v>36228532</v>
      </c>
      <c r="AAF27">
        <v>36279188</v>
      </c>
      <c r="AAG27">
        <v>36279188</v>
      </c>
      <c r="AAH27">
        <v>36279188</v>
      </c>
      <c r="AAI27">
        <v>36279188</v>
      </c>
      <c r="AAJ27">
        <v>36279188</v>
      </c>
      <c r="AAK27">
        <v>36279188</v>
      </c>
      <c r="AAL27">
        <v>36279188</v>
      </c>
      <c r="AAM27">
        <v>36358694</v>
      </c>
      <c r="AAN27">
        <v>36358694</v>
      </c>
      <c r="AAO27">
        <v>36358694</v>
      </c>
      <c r="AAP27">
        <v>36358694</v>
      </c>
      <c r="AAQ27">
        <v>36358694</v>
      </c>
      <c r="AAR27">
        <v>36358694</v>
      </c>
      <c r="AAS27">
        <v>36358694</v>
      </c>
      <c r="AAT27">
        <v>36413329</v>
      </c>
      <c r="AAU27">
        <v>36413329</v>
      </c>
      <c r="AAV27">
        <v>36413329</v>
      </c>
      <c r="AAW27">
        <v>36413329</v>
      </c>
      <c r="AAX27">
        <v>36413329</v>
      </c>
      <c r="AAY27">
        <v>36413329</v>
      </c>
      <c r="AAZ27">
        <v>36413329</v>
      </c>
      <c r="ABA27">
        <v>36469553</v>
      </c>
      <c r="ABB27">
        <v>36469553</v>
      </c>
      <c r="ABC27">
        <v>36469553</v>
      </c>
      <c r="ABD27">
        <v>36469553</v>
      </c>
      <c r="ABE27">
        <v>36469553</v>
      </c>
      <c r="ABF27">
        <v>36469553</v>
      </c>
      <c r="ABG27">
        <v>36469553</v>
      </c>
      <c r="ABH27">
        <v>36519532</v>
      </c>
      <c r="ABI27">
        <v>36519532</v>
      </c>
      <c r="ABJ27">
        <v>36519532</v>
      </c>
      <c r="ABK27">
        <v>36519532</v>
      </c>
      <c r="ABL27">
        <v>36519532</v>
      </c>
      <c r="ABM27">
        <v>36519532</v>
      </c>
      <c r="ABN27">
        <v>36519532</v>
      </c>
      <c r="ABO27">
        <v>36519532</v>
      </c>
      <c r="ABP27">
        <v>36572720</v>
      </c>
      <c r="ABQ27">
        <v>36572720</v>
      </c>
      <c r="ABR27">
        <v>36572720</v>
      </c>
      <c r="ABS27">
        <v>36572720</v>
      </c>
      <c r="ABT27">
        <v>36572720</v>
      </c>
      <c r="ABU27">
        <v>36572720</v>
      </c>
      <c r="ABV27">
        <v>36615681</v>
      </c>
      <c r="ABW27">
        <v>36615681</v>
      </c>
      <c r="ABX27">
        <v>36615681</v>
      </c>
      <c r="ABY27">
        <v>36615681</v>
      </c>
      <c r="ABZ27">
        <v>36615681</v>
      </c>
      <c r="ACA27">
        <v>36615681</v>
      </c>
      <c r="ACB27">
        <v>36654229</v>
      </c>
      <c r="ACC27">
        <v>36654229</v>
      </c>
      <c r="ACD27">
        <v>36654229</v>
      </c>
      <c r="ACE27">
        <v>36654229</v>
      </c>
      <c r="ACF27">
        <v>36654229</v>
      </c>
      <c r="ACG27">
        <v>36654229</v>
      </c>
      <c r="ACH27">
        <v>36654229</v>
      </c>
      <c r="ACI27">
        <v>36654229</v>
      </c>
      <c r="ACJ27">
        <v>36687973</v>
      </c>
      <c r="ACK27">
        <v>36687973</v>
      </c>
      <c r="ACL27">
        <v>36687973</v>
      </c>
      <c r="ACM27">
        <v>36687973</v>
      </c>
      <c r="ACN27">
        <v>36687973</v>
      </c>
      <c r="ACO27">
        <v>36687973</v>
      </c>
      <c r="ACP27">
        <v>36724183</v>
      </c>
      <c r="ACQ27">
        <v>36724183</v>
      </c>
      <c r="ACR27">
        <v>36724183</v>
      </c>
      <c r="ACS27">
        <v>36724183</v>
      </c>
      <c r="ACT27">
        <v>36724183</v>
      </c>
      <c r="ACU27">
        <v>36724183</v>
      </c>
      <c r="ACV27">
        <v>36760659</v>
      </c>
      <c r="ACW27">
        <v>36760659</v>
      </c>
      <c r="ACX27">
        <v>36760659</v>
      </c>
      <c r="ACY27">
        <v>36760659</v>
      </c>
      <c r="ACZ27">
        <v>36760659</v>
      </c>
      <c r="ADA27">
        <v>36760659</v>
      </c>
      <c r="ADB27">
        <v>36760659</v>
      </c>
      <c r="ADC27">
        <v>36760659</v>
      </c>
      <c r="ADD27">
        <v>36791759</v>
      </c>
      <c r="ADE27">
        <v>36791759</v>
      </c>
      <c r="ADF27">
        <v>36791759</v>
      </c>
      <c r="ADG27">
        <v>36791759</v>
      </c>
      <c r="ADH27">
        <v>36791759</v>
      </c>
      <c r="ADI27">
        <v>36791759</v>
      </c>
      <c r="ADJ27">
        <v>36791759</v>
      </c>
      <c r="ADK27">
        <v>36791759</v>
      </c>
      <c r="ADL27">
        <v>36831583</v>
      </c>
      <c r="ADM27">
        <v>36831583</v>
      </c>
      <c r="ADN27">
        <v>36831583</v>
      </c>
      <c r="ADO27">
        <v>36831583</v>
      </c>
      <c r="ADP27">
        <v>36831583</v>
      </c>
      <c r="ADQ27">
        <v>36831583</v>
      </c>
      <c r="ADR27">
        <v>36875818</v>
      </c>
      <c r="ADS27">
        <v>36875818</v>
      </c>
      <c r="ADT27">
        <v>36875818</v>
      </c>
      <c r="ADU27">
        <v>36875818</v>
      </c>
      <c r="ADV27">
        <v>36875818</v>
      </c>
      <c r="ADW27">
        <v>36875818</v>
      </c>
      <c r="ADX27">
        <v>36875818</v>
      </c>
      <c r="ADY27">
        <v>36907625</v>
      </c>
      <c r="ADZ27">
        <v>36907625</v>
      </c>
      <c r="AEA27">
        <v>36907625</v>
      </c>
      <c r="AEB27">
        <v>36907625</v>
      </c>
      <c r="AEC27">
        <v>36907625</v>
      </c>
      <c r="AED27">
        <v>36951507</v>
      </c>
      <c r="AEE27">
        <v>36951507</v>
      </c>
      <c r="AEF27">
        <v>36951507</v>
      </c>
      <c r="AEG27">
        <v>36951507</v>
      </c>
      <c r="AEH27">
        <v>36951507</v>
      </c>
      <c r="AEI27">
        <v>36951507</v>
      </c>
      <c r="AEJ27">
        <v>36951507</v>
      </c>
      <c r="AEK27">
        <v>36951507</v>
      </c>
      <c r="AEL27">
        <v>36951507</v>
      </c>
      <c r="AEM27">
        <v>36951507</v>
      </c>
      <c r="AEN27">
        <v>36951507</v>
      </c>
      <c r="AEO27">
        <v>36951507</v>
      </c>
      <c r="AEP27">
        <v>36951507</v>
      </c>
      <c r="AEQ27">
        <v>36951507</v>
      </c>
      <c r="AER27">
        <v>36951507</v>
      </c>
      <c r="AES27">
        <v>36951507</v>
      </c>
      <c r="AET27">
        <v>36951507</v>
      </c>
      <c r="AEU27">
        <v>36951507</v>
      </c>
      <c r="AEV27">
        <v>36951507</v>
      </c>
      <c r="AEW27">
        <v>36951507</v>
      </c>
      <c r="AEX27">
        <v>36951507</v>
      </c>
      <c r="AEY27">
        <v>36951507</v>
      </c>
      <c r="AEZ27">
        <v>36951507</v>
      </c>
      <c r="AFA27">
        <v>36951507</v>
      </c>
      <c r="AFB27">
        <v>36951507</v>
      </c>
      <c r="AFC27">
        <v>36951507</v>
      </c>
      <c r="AFD27">
        <v>36951507</v>
      </c>
      <c r="AFE27">
        <v>36951507</v>
      </c>
      <c r="AFF27">
        <v>36951507</v>
      </c>
      <c r="AFG27">
        <v>36951507</v>
      </c>
      <c r="AFH27">
        <v>36951507</v>
      </c>
      <c r="AFI27">
        <v>36951507</v>
      </c>
      <c r="AFJ27">
        <v>36951507</v>
      </c>
      <c r="AFK27">
        <v>36951507</v>
      </c>
      <c r="AFL27">
        <v>36951507</v>
      </c>
      <c r="AFM27">
        <v>36951507</v>
      </c>
      <c r="AFN27">
        <v>36951507</v>
      </c>
      <c r="AFO27">
        <v>36951507</v>
      </c>
      <c r="AFP27">
        <v>36951507</v>
      </c>
      <c r="AFQ27">
        <v>36951507</v>
      </c>
      <c r="AFR27">
        <v>36951507</v>
      </c>
      <c r="AFS27">
        <v>36951507</v>
      </c>
      <c r="AFT27">
        <v>36951507</v>
      </c>
      <c r="AFU27">
        <v>36951507</v>
      </c>
      <c r="AFV27">
        <v>36951507</v>
      </c>
      <c r="AFW27">
        <v>36951507</v>
      </c>
      <c r="AFX27">
        <v>36951507</v>
      </c>
      <c r="AFY27">
        <v>36951507</v>
      </c>
      <c r="AFZ27">
        <v>36951507</v>
      </c>
      <c r="AGA27">
        <v>36951507</v>
      </c>
      <c r="AGB27">
        <v>36951507</v>
      </c>
      <c r="AGC27">
        <v>36951507</v>
      </c>
      <c r="AGD27">
        <v>36951507</v>
      </c>
      <c r="AGE27">
        <v>36951507</v>
      </c>
      <c r="AGF27">
        <v>36951507</v>
      </c>
      <c r="AGG27">
        <v>36951507</v>
      </c>
      <c r="AGH27">
        <v>36951507</v>
      </c>
      <c r="AGI27">
        <v>36951507</v>
      </c>
      <c r="AGJ27">
        <v>36951507</v>
      </c>
      <c r="AGK27">
        <v>36951507</v>
      </c>
      <c r="AGL27">
        <v>36951507</v>
      </c>
      <c r="AGM27">
        <v>36951507</v>
      </c>
      <c r="AGN27">
        <v>36951507</v>
      </c>
      <c r="AGO27">
        <v>36951507</v>
      </c>
      <c r="AGP27">
        <v>36951507</v>
      </c>
      <c r="AGQ27">
        <v>36951507</v>
      </c>
      <c r="AGR27">
        <v>36951507</v>
      </c>
      <c r="AGS27">
        <v>36951507</v>
      </c>
      <c r="AGT27">
        <v>36951507</v>
      </c>
      <c r="AGU27">
        <v>36951507</v>
      </c>
      <c r="AGV27">
        <v>36951507</v>
      </c>
      <c r="AGW27">
        <v>36951507</v>
      </c>
      <c r="AGX27">
        <v>36951507</v>
      </c>
      <c r="AGY27">
        <v>36951507</v>
      </c>
      <c r="AGZ27">
        <v>36951507</v>
      </c>
      <c r="AHA27">
        <v>36951507</v>
      </c>
      <c r="AHB27">
        <v>36951507</v>
      </c>
      <c r="AHC27">
        <v>36951507</v>
      </c>
      <c r="AHD27">
        <v>36951507</v>
      </c>
      <c r="AHE27">
        <v>36951507</v>
      </c>
      <c r="AHF27">
        <v>36951507</v>
      </c>
      <c r="AHG27">
        <v>36951507</v>
      </c>
      <c r="AHH27">
        <v>36951507</v>
      </c>
      <c r="AHI27">
        <v>36951507</v>
      </c>
      <c r="AHJ27">
        <v>36951507</v>
      </c>
      <c r="AHK27">
        <v>36951507</v>
      </c>
      <c r="AHL27">
        <v>36951507</v>
      </c>
      <c r="AHM27">
        <v>36951507</v>
      </c>
      <c r="AHN27">
        <v>36951507</v>
      </c>
      <c r="AHO27">
        <v>36951507</v>
      </c>
      <c r="AHP27">
        <v>36951507</v>
      </c>
      <c r="AHQ27">
        <v>36951507</v>
      </c>
    </row>
    <row r="28" spans="1:901">
      <c r="A28" s="1" t="s">
        <v>34</v>
      </c>
      <c r="B28">
        <v>363152</v>
      </c>
      <c r="C28">
        <v>370864</v>
      </c>
      <c r="D28">
        <v>376406</v>
      </c>
      <c r="E28">
        <v>384106</v>
      </c>
      <c r="F28">
        <v>387107</v>
      </c>
      <c r="G28">
        <v>388292</v>
      </c>
      <c r="H28">
        <v>392684</v>
      </c>
      <c r="I28">
        <v>399096</v>
      </c>
      <c r="J28">
        <v>403851</v>
      </c>
      <c r="K28">
        <v>409334</v>
      </c>
      <c r="L28">
        <v>418785</v>
      </c>
      <c r="M28">
        <v>419740</v>
      </c>
      <c r="N28">
        <v>424533</v>
      </c>
      <c r="O28">
        <v>432319</v>
      </c>
      <c r="P28">
        <v>439419</v>
      </c>
      <c r="Q28">
        <v>446706</v>
      </c>
      <c r="R28">
        <v>451098</v>
      </c>
      <c r="S28">
        <v>453823</v>
      </c>
      <c r="T28">
        <v>455122</v>
      </c>
      <c r="U28">
        <v>455122</v>
      </c>
      <c r="V28">
        <v>455122</v>
      </c>
      <c r="W28">
        <v>457272</v>
      </c>
      <c r="X28">
        <v>461758</v>
      </c>
      <c r="Y28">
        <v>465886</v>
      </c>
      <c r="Z28">
        <v>466514</v>
      </c>
      <c r="AA28">
        <v>467328</v>
      </c>
      <c r="AB28">
        <v>471362</v>
      </c>
      <c r="AC28">
        <v>475454</v>
      </c>
      <c r="AD28">
        <v>481180</v>
      </c>
      <c r="AE28">
        <v>486987</v>
      </c>
      <c r="AF28">
        <v>491885</v>
      </c>
      <c r="AG28">
        <v>495133</v>
      </c>
      <c r="AH28">
        <v>495852</v>
      </c>
      <c r="AI28">
        <v>499671</v>
      </c>
      <c r="AJ28">
        <v>505231</v>
      </c>
      <c r="AK28">
        <v>509514</v>
      </c>
      <c r="AL28">
        <v>514857</v>
      </c>
      <c r="AM28">
        <v>516984</v>
      </c>
      <c r="AN28">
        <v>521891</v>
      </c>
      <c r="AO28">
        <v>522957</v>
      </c>
      <c r="AP28">
        <v>534444</v>
      </c>
      <c r="AQ28">
        <v>536849</v>
      </c>
      <c r="AR28">
        <v>537793</v>
      </c>
      <c r="AS28">
        <v>541502</v>
      </c>
      <c r="AT28">
        <v>546508</v>
      </c>
      <c r="AU28">
        <v>548790</v>
      </c>
      <c r="AV28">
        <v>549226</v>
      </c>
      <c r="AW28">
        <v>549943</v>
      </c>
      <c r="AX28">
        <v>556763</v>
      </c>
      <c r="AY28">
        <v>558584</v>
      </c>
      <c r="AZ28">
        <v>563159</v>
      </c>
      <c r="BA28">
        <v>566621</v>
      </c>
      <c r="BB28">
        <v>572598</v>
      </c>
      <c r="BC28">
        <v>575968</v>
      </c>
      <c r="BD28">
        <v>576527</v>
      </c>
      <c r="BE28">
        <v>580169</v>
      </c>
      <c r="BF28">
        <v>584759</v>
      </c>
      <c r="BG28">
        <v>589693</v>
      </c>
      <c r="BH28">
        <v>593959</v>
      </c>
      <c r="BI28">
        <v>596203</v>
      </c>
      <c r="BJ28">
        <v>597190</v>
      </c>
      <c r="BK28">
        <v>599123</v>
      </c>
      <c r="BL28">
        <v>603458</v>
      </c>
      <c r="BM28">
        <v>608521</v>
      </c>
      <c r="BN28">
        <v>611881</v>
      </c>
      <c r="BO28">
        <v>615856</v>
      </c>
      <c r="BP28">
        <v>620970</v>
      </c>
      <c r="BQ28">
        <v>622833</v>
      </c>
      <c r="BR28">
        <v>626364</v>
      </c>
      <c r="BS28">
        <v>629442</v>
      </c>
      <c r="BT28">
        <v>634503</v>
      </c>
      <c r="BU28">
        <v>640262</v>
      </c>
      <c r="BV28">
        <v>645593</v>
      </c>
      <c r="BW28">
        <v>649551</v>
      </c>
      <c r="BX28">
        <v>651702</v>
      </c>
      <c r="BY28">
        <v>655192</v>
      </c>
      <c r="BZ28">
        <v>658661</v>
      </c>
      <c r="CA28">
        <v>662183</v>
      </c>
      <c r="CB28">
        <v>666724</v>
      </c>
      <c r="CC28">
        <v>669871</v>
      </c>
      <c r="CD28">
        <v>672259</v>
      </c>
      <c r="CE28">
        <v>672954</v>
      </c>
      <c r="CF28">
        <v>674131</v>
      </c>
      <c r="CG28">
        <v>676955</v>
      </c>
      <c r="CH28">
        <v>682858</v>
      </c>
      <c r="CI28">
        <v>684488</v>
      </c>
      <c r="CJ28">
        <v>688032</v>
      </c>
      <c r="CK28">
        <v>690569</v>
      </c>
      <c r="CL28">
        <v>691163</v>
      </c>
      <c r="CM28">
        <v>692209</v>
      </c>
      <c r="CN28">
        <v>699960</v>
      </c>
      <c r="CO28">
        <v>703283</v>
      </c>
      <c r="CP28">
        <v>705625</v>
      </c>
      <c r="CQ28">
        <v>711543</v>
      </c>
      <c r="CR28">
        <v>712983</v>
      </c>
      <c r="CS28">
        <v>713606</v>
      </c>
      <c r="CT28">
        <v>719453</v>
      </c>
      <c r="CU28">
        <v>724556</v>
      </c>
      <c r="CV28">
        <v>730015</v>
      </c>
      <c r="CW28">
        <v>734766</v>
      </c>
      <c r="CX28">
        <v>735790</v>
      </c>
      <c r="CY28">
        <v>736214</v>
      </c>
      <c r="CZ28">
        <v>737315</v>
      </c>
      <c r="DA28">
        <v>741132</v>
      </c>
      <c r="DB28">
        <v>744984</v>
      </c>
      <c r="DC28">
        <v>748646</v>
      </c>
      <c r="DD28">
        <v>752242</v>
      </c>
      <c r="DE28">
        <v>755705</v>
      </c>
      <c r="DF28">
        <v>755929</v>
      </c>
      <c r="DG28">
        <v>756952</v>
      </c>
      <c r="DH28">
        <v>760021</v>
      </c>
      <c r="DI28">
        <v>762739</v>
      </c>
      <c r="DJ28">
        <v>767133</v>
      </c>
      <c r="DK28">
        <v>769795</v>
      </c>
      <c r="DL28">
        <v>774120</v>
      </c>
      <c r="DM28">
        <v>775726</v>
      </c>
      <c r="DN28">
        <v>777571</v>
      </c>
      <c r="DO28">
        <v>781748</v>
      </c>
      <c r="DP28">
        <v>789122</v>
      </c>
      <c r="DQ28">
        <v>797515</v>
      </c>
      <c r="DR28">
        <v>801410</v>
      </c>
      <c r="DS28">
        <v>810843</v>
      </c>
      <c r="DT28">
        <v>811969</v>
      </c>
      <c r="DU28">
        <v>813284</v>
      </c>
      <c r="DV28">
        <v>816869</v>
      </c>
      <c r="DW28">
        <v>823878</v>
      </c>
      <c r="DX28">
        <v>832522</v>
      </c>
      <c r="DY28">
        <v>835475</v>
      </c>
      <c r="DZ28">
        <v>840804</v>
      </c>
      <c r="EA28">
        <v>846027</v>
      </c>
      <c r="EB28">
        <v>847606</v>
      </c>
      <c r="EC28">
        <v>849767</v>
      </c>
      <c r="ED28">
        <v>856274</v>
      </c>
      <c r="EE28">
        <v>866775</v>
      </c>
      <c r="EF28">
        <v>871664</v>
      </c>
      <c r="EG28">
        <v>883299</v>
      </c>
      <c r="EH28">
        <v>885074</v>
      </c>
      <c r="EI28">
        <v>885962</v>
      </c>
      <c r="EJ28">
        <v>888963</v>
      </c>
      <c r="EK28">
        <v>891672</v>
      </c>
      <c r="EL28">
        <v>896016</v>
      </c>
      <c r="EM28">
        <v>900656</v>
      </c>
      <c r="EN28">
        <v>905885</v>
      </c>
      <c r="EO28">
        <v>909065</v>
      </c>
      <c r="EP28">
        <v>910408</v>
      </c>
      <c r="EQ28">
        <v>915638</v>
      </c>
      <c r="ER28">
        <v>917956</v>
      </c>
      <c r="ES28">
        <v>927261</v>
      </c>
      <c r="ET28">
        <v>933000</v>
      </c>
      <c r="EU28">
        <v>940866</v>
      </c>
      <c r="EV28">
        <v>945488</v>
      </c>
      <c r="EW28">
        <v>946607</v>
      </c>
      <c r="EX28">
        <v>948354</v>
      </c>
      <c r="EY28">
        <v>949602</v>
      </c>
      <c r="EZ28">
        <v>954077</v>
      </c>
      <c r="FA28">
        <v>959402</v>
      </c>
      <c r="FB28">
        <v>967777</v>
      </c>
      <c r="FC28">
        <v>972624</v>
      </c>
      <c r="FD28">
        <v>974132</v>
      </c>
      <c r="FE28">
        <v>975737</v>
      </c>
      <c r="FF28">
        <v>983201</v>
      </c>
      <c r="FG28">
        <v>991472</v>
      </c>
      <c r="FH28">
        <v>997361</v>
      </c>
      <c r="FI28">
        <v>1005188</v>
      </c>
      <c r="FJ28">
        <v>1009661</v>
      </c>
      <c r="FK28">
        <v>1011259</v>
      </c>
      <c r="FL28">
        <v>1014204</v>
      </c>
      <c r="FM28">
        <v>1022897</v>
      </c>
      <c r="FN28">
        <v>1025254</v>
      </c>
      <c r="FO28">
        <v>1031195</v>
      </c>
      <c r="FP28">
        <v>1037529</v>
      </c>
      <c r="FQ28">
        <v>1039729</v>
      </c>
      <c r="FR28">
        <v>1040011</v>
      </c>
      <c r="FS28">
        <v>1043263</v>
      </c>
      <c r="FT28">
        <v>1048308</v>
      </c>
      <c r="FU28">
        <v>1053241</v>
      </c>
      <c r="FV28">
        <v>1059747</v>
      </c>
      <c r="FW28">
        <v>1065085</v>
      </c>
      <c r="FX28">
        <v>1068530</v>
      </c>
      <c r="FY28">
        <v>1069693</v>
      </c>
      <c r="FZ28">
        <v>1072411</v>
      </c>
      <c r="GA28">
        <v>1079567</v>
      </c>
      <c r="GB28">
        <v>1086111</v>
      </c>
      <c r="GC28">
        <v>1093771</v>
      </c>
      <c r="GD28">
        <v>1097381</v>
      </c>
      <c r="GE28">
        <v>1101019</v>
      </c>
      <c r="GF28">
        <v>1102383</v>
      </c>
      <c r="GG28">
        <v>1104992</v>
      </c>
      <c r="GH28">
        <v>1111805</v>
      </c>
      <c r="GI28">
        <v>1117672</v>
      </c>
      <c r="GJ28">
        <v>1123272</v>
      </c>
      <c r="GK28">
        <v>1127737</v>
      </c>
      <c r="GL28">
        <v>1131762</v>
      </c>
      <c r="GM28">
        <v>1134885</v>
      </c>
      <c r="GN28">
        <v>1138091</v>
      </c>
      <c r="GO28">
        <v>1142739</v>
      </c>
      <c r="GP28">
        <v>1147695</v>
      </c>
      <c r="GQ28">
        <v>1155570</v>
      </c>
      <c r="GR28">
        <v>1157905</v>
      </c>
      <c r="GS28">
        <v>1160759</v>
      </c>
      <c r="GT28">
        <v>1164843</v>
      </c>
      <c r="GU28">
        <v>1166467</v>
      </c>
      <c r="GV28">
        <v>1172622</v>
      </c>
      <c r="GW28">
        <v>1180328</v>
      </c>
      <c r="GX28">
        <v>1183906</v>
      </c>
      <c r="GY28">
        <v>1190939</v>
      </c>
      <c r="GZ28">
        <v>1193846</v>
      </c>
      <c r="HA28" s="3">
        <v>1196305</v>
      </c>
      <c r="HB28">
        <v>1198764</v>
      </c>
      <c r="HC28">
        <v>1205869</v>
      </c>
      <c r="HD28">
        <v>1215898</v>
      </c>
      <c r="HE28">
        <v>1218869</v>
      </c>
      <c r="HF28">
        <v>1225383</v>
      </c>
      <c r="HG28">
        <v>1228641</v>
      </c>
      <c r="HH28">
        <v>1228745</v>
      </c>
      <c r="HI28">
        <v>1231653</v>
      </c>
      <c r="HJ28">
        <v>1236484</v>
      </c>
      <c r="HK28">
        <v>1244265</v>
      </c>
      <c r="HL28">
        <v>1254985</v>
      </c>
      <c r="HM28">
        <v>1259292</v>
      </c>
      <c r="HN28">
        <v>1259992</v>
      </c>
      <c r="HO28">
        <v>1263275</v>
      </c>
      <c r="HP28">
        <v>1265839</v>
      </c>
      <c r="HQ28">
        <v>1273191</v>
      </c>
      <c r="HR28">
        <v>1281437</v>
      </c>
      <c r="HS28">
        <v>1285512</v>
      </c>
      <c r="HT28">
        <v>1291070</v>
      </c>
      <c r="HU28">
        <v>1294163</v>
      </c>
      <c r="HV28">
        <v>1296909</v>
      </c>
      <c r="HW28">
        <v>1307198</v>
      </c>
      <c r="HX28">
        <v>1314996</v>
      </c>
      <c r="HY28">
        <v>1322673</v>
      </c>
      <c r="HZ28">
        <v>1327106</v>
      </c>
      <c r="IA28">
        <v>1334841</v>
      </c>
      <c r="IB28">
        <v>1338265</v>
      </c>
      <c r="IC28">
        <v>1341409</v>
      </c>
      <c r="ID28">
        <v>1343901</v>
      </c>
      <c r="IE28">
        <v>1350957</v>
      </c>
      <c r="IF28">
        <v>1355202</v>
      </c>
      <c r="IG28">
        <v>1359491</v>
      </c>
      <c r="IH28">
        <v>1366625</v>
      </c>
      <c r="II28">
        <v>1368816</v>
      </c>
      <c r="IJ28">
        <v>1370618</v>
      </c>
      <c r="IK28">
        <v>1374244</v>
      </c>
      <c r="IL28">
        <v>1380547</v>
      </c>
      <c r="IM28">
        <v>1385150</v>
      </c>
      <c r="IN28">
        <v>1389581</v>
      </c>
      <c r="IO28">
        <v>1394791</v>
      </c>
      <c r="IP28">
        <v>1397765</v>
      </c>
      <c r="IQ28">
        <v>1398548</v>
      </c>
      <c r="IR28">
        <v>1400331</v>
      </c>
      <c r="IS28">
        <v>1404741</v>
      </c>
      <c r="IT28">
        <v>1408901</v>
      </c>
      <c r="IU28">
        <v>1412981</v>
      </c>
      <c r="IV28">
        <v>1418641</v>
      </c>
      <c r="IW28">
        <v>1421445</v>
      </c>
      <c r="IX28">
        <v>1422753</v>
      </c>
      <c r="IY28">
        <v>1426639</v>
      </c>
      <c r="IZ28">
        <v>1431391</v>
      </c>
      <c r="JA28">
        <v>1435768</v>
      </c>
      <c r="JB28">
        <v>1439532</v>
      </c>
      <c r="JC28">
        <v>1442578</v>
      </c>
      <c r="JD28">
        <v>1445777</v>
      </c>
      <c r="JE28">
        <v>1447041</v>
      </c>
      <c r="JF28">
        <v>1448724</v>
      </c>
      <c r="JG28">
        <v>1452441</v>
      </c>
      <c r="JH28">
        <v>1458828</v>
      </c>
      <c r="JI28">
        <v>1463134</v>
      </c>
      <c r="JJ28">
        <v>1467266</v>
      </c>
      <c r="JK28">
        <v>1470353</v>
      </c>
      <c r="JL28">
        <v>1471040</v>
      </c>
      <c r="JM28">
        <v>1472652</v>
      </c>
      <c r="JN28">
        <v>1478045</v>
      </c>
      <c r="JO28">
        <v>1483252</v>
      </c>
      <c r="JP28">
        <v>1490507</v>
      </c>
      <c r="JQ28">
        <v>1496340</v>
      </c>
      <c r="JR28">
        <v>1498995</v>
      </c>
      <c r="JS28">
        <v>1500328</v>
      </c>
      <c r="JT28">
        <v>1503561</v>
      </c>
      <c r="JU28">
        <v>1511364</v>
      </c>
      <c r="JV28">
        <v>1512748</v>
      </c>
      <c r="JW28">
        <v>1521099</v>
      </c>
      <c r="JX28">
        <v>1525681</v>
      </c>
      <c r="JY28">
        <v>1530343</v>
      </c>
      <c r="JZ28">
        <v>1533638</v>
      </c>
      <c r="KA28">
        <v>1540122</v>
      </c>
      <c r="KB28">
        <v>1545526</v>
      </c>
      <c r="KC28">
        <v>1550222</v>
      </c>
      <c r="KD28">
        <v>1555640</v>
      </c>
      <c r="KE28">
        <v>1559227</v>
      </c>
      <c r="KF28">
        <v>1559227</v>
      </c>
      <c r="KG28">
        <v>1560980</v>
      </c>
      <c r="KH28">
        <v>1565159</v>
      </c>
      <c r="KI28">
        <v>1570103</v>
      </c>
      <c r="KJ28">
        <v>1574571</v>
      </c>
      <c r="KK28">
        <v>1579458</v>
      </c>
      <c r="KL28">
        <v>1581643</v>
      </c>
      <c r="KM28">
        <v>1582819</v>
      </c>
      <c r="KN28">
        <v>1583164</v>
      </c>
      <c r="KO28">
        <v>1586737</v>
      </c>
      <c r="KP28">
        <v>1590939</v>
      </c>
      <c r="KQ28">
        <v>1595745</v>
      </c>
      <c r="KR28">
        <v>1600398</v>
      </c>
      <c r="KS28">
        <v>1605583</v>
      </c>
      <c r="KT28">
        <v>1608595</v>
      </c>
      <c r="KU28">
        <v>1609933</v>
      </c>
      <c r="KV28">
        <v>1615763</v>
      </c>
      <c r="KW28">
        <v>1618790</v>
      </c>
      <c r="KX28">
        <v>1623084</v>
      </c>
      <c r="KY28">
        <v>1627189</v>
      </c>
      <c r="KZ28">
        <v>1627189</v>
      </c>
      <c r="LA28">
        <v>1627189</v>
      </c>
      <c r="LB28">
        <v>1627189</v>
      </c>
      <c r="LC28">
        <v>1627189</v>
      </c>
      <c r="LD28">
        <v>1627189</v>
      </c>
      <c r="LE28">
        <v>1627189</v>
      </c>
      <c r="LF28">
        <v>1683188</v>
      </c>
      <c r="LG28">
        <v>1687025</v>
      </c>
      <c r="LH28">
        <v>1688466</v>
      </c>
      <c r="LI28">
        <v>1688466</v>
      </c>
      <c r="LJ28">
        <v>1688466</v>
      </c>
      <c r="LK28">
        <v>1693852</v>
      </c>
      <c r="LL28">
        <v>1695808</v>
      </c>
      <c r="LM28">
        <v>1703531</v>
      </c>
      <c r="LN28">
        <v>1703531</v>
      </c>
      <c r="LO28">
        <v>1707733</v>
      </c>
      <c r="LP28">
        <v>1707733</v>
      </c>
      <c r="LQ28">
        <v>1707733</v>
      </c>
      <c r="LR28">
        <v>1714930</v>
      </c>
      <c r="LS28">
        <v>1719064</v>
      </c>
      <c r="LT28">
        <v>1719064</v>
      </c>
      <c r="LU28">
        <v>1719064</v>
      </c>
      <c r="LV28">
        <v>1719064</v>
      </c>
      <c r="LW28">
        <v>1719064</v>
      </c>
      <c r="LX28">
        <v>1719064</v>
      </c>
      <c r="LY28">
        <v>1719064</v>
      </c>
      <c r="LZ28">
        <v>1719064</v>
      </c>
      <c r="MA28">
        <v>1719064</v>
      </c>
      <c r="MB28">
        <v>1719064</v>
      </c>
      <c r="MC28">
        <v>1719064</v>
      </c>
      <c r="MD28">
        <v>1748358</v>
      </c>
      <c r="ME28">
        <v>1748358</v>
      </c>
      <c r="MF28">
        <v>1748358</v>
      </c>
      <c r="MG28">
        <v>1759004</v>
      </c>
      <c r="MH28">
        <v>1759004</v>
      </c>
      <c r="MI28">
        <v>1761735</v>
      </c>
      <c r="MJ28">
        <v>1765543</v>
      </c>
      <c r="MK28">
        <v>1765543</v>
      </c>
      <c r="ML28">
        <v>1765543</v>
      </c>
      <c r="MM28">
        <v>1772699</v>
      </c>
      <c r="MN28">
        <v>1772699</v>
      </c>
      <c r="MO28">
        <v>1772699</v>
      </c>
      <c r="MP28">
        <v>1772699</v>
      </c>
      <c r="MQ28">
        <v>1782906</v>
      </c>
      <c r="MR28">
        <v>1782906</v>
      </c>
      <c r="MS28">
        <v>1782906</v>
      </c>
      <c r="MT28">
        <v>1786863</v>
      </c>
      <c r="MU28">
        <v>1786863</v>
      </c>
      <c r="MV28">
        <v>1795320</v>
      </c>
      <c r="MW28">
        <v>1795590</v>
      </c>
      <c r="MX28">
        <v>1798012</v>
      </c>
      <c r="MY28">
        <v>1798012</v>
      </c>
      <c r="MZ28">
        <v>1798012</v>
      </c>
      <c r="NA28">
        <v>1798012</v>
      </c>
      <c r="NB28">
        <v>1798012</v>
      </c>
      <c r="NC28">
        <v>1798012</v>
      </c>
      <c r="ND28">
        <v>1798012</v>
      </c>
      <c r="NE28">
        <v>1812169</v>
      </c>
      <c r="NF28">
        <v>1813140</v>
      </c>
      <c r="NG28">
        <v>1813140</v>
      </c>
      <c r="NH28">
        <v>1813140</v>
      </c>
      <c r="NI28">
        <v>1813140</v>
      </c>
      <c r="NJ28">
        <v>1821662</v>
      </c>
      <c r="NK28">
        <v>1821662</v>
      </c>
      <c r="NL28">
        <v>1821662</v>
      </c>
      <c r="NM28">
        <v>1821662</v>
      </c>
      <c r="NN28">
        <v>1821662</v>
      </c>
      <c r="NO28">
        <v>1836289</v>
      </c>
      <c r="NP28">
        <v>1836289</v>
      </c>
      <c r="NQ28">
        <v>1836289</v>
      </c>
      <c r="NR28">
        <v>1836289</v>
      </c>
      <c r="NS28">
        <v>1850217</v>
      </c>
      <c r="NT28">
        <v>1850217</v>
      </c>
      <c r="NU28">
        <v>1850217</v>
      </c>
      <c r="NV28">
        <v>1859480</v>
      </c>
      <c r="NW28">
        <v>1866212</v>
      </c>
      <c r="NX28">
        <v>1866212</v>
      </c>
      <c r="NY28">
        <v>1866212</v>
      </c>
      <c r="NZ28">
        <v>1866212</v>
      </c>
      <c r="OA28">
        <v>1871255</v>
      </c>
      <c r="OB28">
        <v>1871819</v>
      </c>
      <c r="OC28">
        <v>1871819</v>
      </c>
      <c r="OD28">
        <v>1878768</v>
      </c>
      <c r="OE28">
        <v>1878768</v>
      </c>
      <c r="OF28">
        <v>1878768</v>
      </c>
      <c r="OG28">
        <v>1878768</v>
      </c>
      <c r="OH28">
        <v>1878768</v>
      </c>
      <c r="OI28">
        <v>1895185</v>
      </c>
      <c r="OJ28">
        <v>1895185</v>
      </c>
      <c r="OK28">
        <v>1895185</v>
      </c>
      <c r="OL28">
        <v>1895185</v>
      </c>
      <c r="OM28">
        <v>1895185</v>
      </c>
      <c r="ON28">
        <v>1913204</v>
      </c>
      <c r="OO28">
        <v>1914667</v>
      </c>
      <c r="OP28">
        <v>1914667</v>
      </c>
      <c r="OQ28">
        <v>1917796</v>
      </c>
      <c r="OR28">
        <v>1917796</v>
      </c>
      <c r="OS28">
        <v>1917796</v>
      </c>
      <c r="OT28">
        <v>1917796</v>
      </c>
      <c r="OU28">
        <v>1917796</v>
      </c>
      <c r="OV28">
        <v>1917796</v>
      </c>
      <c r="OW28">
        <v>1917796</v>
      </c>
      <c r="OX28">
        <v>1917796</v>
      </c>
      <c r="OY28">
        <v>1917796</v>
      </c>
      <c r="OZ28">
        <v>1917796</v>
      </c>
      <c r="PA28">
        <v>1917796</v>
      </c>
      <c r="PB28">
        <v>1917796</v>
      </c>
      <c r="PC28">
        <v>1917796</v>
      </c>
      <c r="PD28">
        <v>1917796</v>
      </c>
      <c r="PE28">
        <v>1917796</v>
      </c>
      <c r="PF28">
        <v>1917796</v>
      </c>
      <c r="PG28">
        <v>1917796</v>
      </c>
      <c r="PH28">
        <v>1917796</v>
      </c>
      <c r="PI28">
        <v>1917796</v>
      </c>
      <c r="PJ28">
        <v>1917796</v>
      </c>
      <c r="PK28">
        <v>1917796</v>
      </c>
      <c r="PL28">
        <v>1917796</v>
      </c>
      <c r="PM28">
        <v>1917796</v>
      </c>
      <c r="PN28">
        <v>1917796</v>
      </c>
      <c r="PO28">
        <v>1917796</v>
      </c>
      <c r="PP28">
        <v>1917796</v>
      </c>
      <c r="PQ28">
        <v>1990850</v>
      </c>
      <c r="PR28">
        <v>1991800</v>
      </c>
      <c r="PS28">
        <v>1991800</v>
      </c>
      <c r="PT28">
        <v>1991800</v>
      </c>
      <c r="PU28">
        <v>1991800</v>
      </c>
      <c r="PV28">
        <v>1991800</v>
      </c>
      <c r="PW28">
        <v>1991800</v>
      </c>
      <c r="PX28">
        <v>2013368</v>
      </c>
      <c r="PY28">
        <v>2013368</v>
      </c>
      <c r="PZ28">
        <v>2013368</v>
      </c>
      <c r="QA28">
        <v>2013368</v>
      </c>
      <c r="QB28">
        <v>2013368</v>
      </c>
      <c r="QC28">
        <v>2013368</v>
      </c>
      <c r="QD28">
        <v>2013368</v>
      </c>
      <c r="QE28">
        <v>2047260</v>
      </c>
      <c r="QF28">
        <v>2047260</v>
      </c>
      <c r="QG28">
        <v>2053558</v>
      </c>
      <c r="QH28">
        <v>2053558</v>
      </c>
      <c r="QI28">
        <v>2053558</v>
      </c>
      <c r="QJ28">
        <v>2053558</v>
      </c>
      <c r="QK28">
        <v>2053558</v>
      </c>
      <c r="QL28">
        <v>2075736</v>
      </c>
      <c r="QM28">
        <v>2075736</v>
      </c>
      <c r="QN28">
        <v>2075736</v>
      </c>
      <c r="QO28">
        <v>2075736</v>
      </c>
      <c r="QP28">
        <v>2094849</v>
      </c>
      <c r="QQ28">
        <v>2094849</v>
      </c>
      <c r="QR28">
        <v>2094849</v>
      </c>
      <c r="QS28">
        <v>2103013</v>
      </c>
      <c r="QT28">
        <v>2103013</v>
      </c>
      <c r="QU28">
        <v>2103013</v>
      </c>
      <c r="QV28">
        <v>2103013</v>
      </c>
      <c r="QW28">
        <v>2103013</v>
      </c>
      <c r="QX28">
        <v>2103013</v>
      </c>
      <c r="QY28">
        <v>2103013</v>
      </c>
      <c r="QZ28">
        <v>2103013</v>
      </c>
      <c r="RA28">
        <v>2136008</v>
      </c>
      <c r="RB28">
        <v>2136008</v>
      </c>
      <c r="RC28">
        <v>2136008</v>
      </c>
      <c r="RD28">
        <v>2136008</v>
      </c>
      <c r="RE28">
        <v>2136008</v>
      </c>
      <c r="RF28">
        <v>2136008</v>
      </c>
      <c r="RG28">
        <v>2171252</v>
      </c>
      <c r="RH28">
        <v>2171252</v>
      </c>
      <c r="RI28">
        <v>2171252</v>
      </c>
      <c r="RJ28">
        <v>2187626</v>
      </c>
      <c r="RK28">
        <v>2187626</v>
      </c>
      <c r="RL28">
        <v>2187626</v>
      </c>
      <c r="RM28">
        <v>2187626</v>
      </c>
      <c r="RN28">
        <v>2187626</v>
      </c>
      <c r="RO28">
        <v>2187626</v>
      </c>
      <c r="RP28">
        <v>2187626</v>
      </c>
      <c r="RQ28">
        <v>2187626</v>
      </c>
      <c r="RR28">
        <v>2187626</v>
      </c>
      <c r="RS28">
        <v>2187626</v>
      </c>
      <c r="RT28">
        <v>2187626</v>
      </c>
      <c r="RU28">
        <v>2187626</v>
      </c>
      <c r="RV28">
        <v>2304305</v>
      </c>
      <c r="RW28">
        <v>2304305</v>
      </c>
      <c r="RX28">
        <v>2304305</v>
      </c>
      <c r="RY28">
        <v>2349291</v>
      </c>
      <c r="RZ28">
        <v>2349291</v>
      </c>
      <c r="SA28">
        <v>2349291</v>
      </c>
      <c r="SB28">
        <v>2349291</v>
      </c>
      <c r="SC28">
        <v>2349291</v>
      </c>
      <c r="SD28">
        <v>2405401</v>
      </c>
      <c r="SE28">
        <v>2405401</v>
      </c>
      <c r="SF28">
        <v>2405401</v>
      </c>
      <c r="SG28">
        <v>2405401</v>
      </c>
      <c r="SH28">
        <v>2405401</v>
      </c>
      <c r="SI28">
        <v>2470170</v>
      </c>
      <c r="SJ28">
        <v>2470170</v>
      </c>
      <c r="SK28">
        <v>2470170</v>
      </c>
      <c r="SL28">
        <v>2470170</v>
      </c>
      <c r="SM28">
        <v>2470170</v>
      </c>
      <c r="SN28">
        <v>2470170</v>
      </c>
      <c r="SO28">
        <v>2470170</v>
      </c>
      <c r="SP28">
        <v>2470170</v>
      </c>
      <c r="SQ28">
        <v>2470170</v>
      </c>
      <c r="SR28">
        <v>2470170</v>
      </c>
      <c r="SS28">
        <v>2470170</v>
      </c>
      <c r="ST28">
        <v>2470170</v>
      </c>
      <c r="SU28">
        <v>2470170</v>
      </c>
      <c r="SV28">
        <v>2470170</v>
      </c>
      <c r="SW28">
        <v>2470170</v>
      </c>
      <c r="SX28">
        <v>2470170</v>
      </c>
      <c r="SY28">
        <v>2470170</v>
      </c>
      <c r="SZ28">
        <v>2470170</v>
      </c>
      <c r="TA28">
        <v>2470170</v>
      </c>
      <c r="TB28">
        <v>2470170</v>
      </c>
      <c r="TC28">
        <v>2470170</v>
      </c>
      <c r="TD28">
        <v>2470170</v>
      </c>
      <c r="TE28">
        <v>2470170</v>
      </c>
      <c r="TF28">
        <v>2470170</v>
      </c>
      <c r="TG28">
        <v>2470170</v>
      </c>
      <c r="TH28">
        <v>2470170</v>
      </c>
      <c r="TI28">
        <v>2470170</v>
      </c>
      <c r="TJ28">
        <v>2470170</v>
      </c>
      <c r="TK28">
        <v>2470170</v>
      </c>
      <c r="TL28">
        <v>2470170</v>
      </c>
      <c r="TM28">
        <v>2470170</v>
      </c>
      <c r="TN28">
        <v>2470170</v>
      </c>
      <c r="TO28">
        <v>2470170</v>
      </c>
      <c r="TP28">
        <v>2470170</v>
      </c>
      <c r="TQ28">
        <v>2470170</v>
      </c>
      <c r="TR28">
        <v>2470170</v>
      </c>
      <c r="TS28">
        <v>2470170</v>
      </c>
      <c r="TT28">
        <v>2470170</v>
      </c>
      <c r="TU28">
        <v>2470170</v>
      </c>
      <c r="TV28">
        <v>2470170</v>
      </c>
      <c r="TW28">
        <v>2470170</v>
      </c>
      <c r="TX28">
        <v>2470170</v>
      </c>
      <c r="TY28">
        <v>2470170</v>
      </c>
      <c r="TZ28">
        <v>2470170</v>
      </c>
      <c r="UA28">
        <v>2470170</v>
      </c>
      <c r="UB28">
        <v>2470170</v>
      </c>
      <c r="UC28">
        <v>2470170</v>
      </c>
      <c r="UD28">
        <v>2470170</v>
      </c>
      <c r="UE28">
        <v>2470170</v>
      </c>
      <c r="UF28">
        <v>2470170</v>
      </c>
      <c r="UG28">
        <v>2470170</v>
      </c>
      <c r="UH28">
        <v>2470170</v>
      </c>
      <c r="UI28">
        <v>2470170</v>
      </c>
      <c r="UJ28">
        <v>2470170</v>
      </c>
      <c r="UK28">
        <v>2470170</v>
      </c>
      <c r="UL28">
        <v>2470170</v>
      </c>
      <c r="UM28">
        <v>2470170</v>
      </c>
      <c r="UN28">
        <v>2470170</v>
      </c>
      <c r="UO28">
        <v>2470170</v>
      </c>
      <c r="UP28">
        <v>2470170</v>
      </c>
      <c r="UQ28">
        <v>2470170</v>
      </c>
      <c r="UR28">
        <v>2470170</v>
      </c>
      <c r="US28">
        <v>2470170</v>
      </c>
      <c r="UT28">
        <v>2470170</v>
      </c>
      <c r="UU28">
        <v>2470170</v>
      </c>
      <c r="UV28">
        <v>2470170</v>
      </c>
      <c r="UW28">
        <v>2470170</v>
      </c>
      <c r="UX28">
        <v>2470170</v>
      </c>
      <c r="UY28">
        <v>2470170</v>
      </c>
      <c r="UZ28">
        <v>2470170</v>
      </c>
      <c r="VA28">
        <v>2470170</v>
      </c>
      <c r="VB28">
        <v>2470170</v>
      </c>
      <c r="VC28">
        <v>2470170</v>
      </c>
      <c r="VD28">
        <v>2470170</v>
      </c>
      <c r="VE28">
        <v>2470170</v>
      </c>
      <c r="VF28">
        <v>2470170</v>
      </c>
      <c r="VG28">
        <v>2470170</v>
      </c>
      <c r="VH28">
        <v>2470170</v>
      </c>
      <c r="VI28">
        <v>2470170</v>
      </c>
      <c r="VJ28">
        <v>2470170</v>
      </c>
      <c r="VK28">
        <v>2470170</v>
      </c>
      <c r="VL28">
        <v>2470170</v>
      </c>
      <c r="VM28">
        <v>2470170</v>
      </c>
      <c r="VN28">
        <v>2470170</v>
      </c>
      <c r="VO28">
        <v>2470170</v>
      </c>
      <c r="VP28">
        <v>2470170</v>
      </c>
      <c r="VQ28">
        <v>2470170</v>
      </c>
      <c r="VR28">
        <v>2470170</v>
      </c>
      <c r="VS28">
        <v>2470170</v>
      </c>
      <c r="VT28">
        <v>2470170</v>
      </c>
      <c r="VU28">
        <v>2470170</v>
      </c>
      <c r="VV28">
        <v>2470170</v>
      </c>
      <c r="VW28">
        <v>2470170</v>
      </c>
      <c r="VX28">
        <v>2470170</v>
      </c>
      <c r="VY28">
        <v>2470170</v>
      </c>
      <c r="VZ28">
        <v>2470170</v>
      </c>
      <c r="WA28">
        <v>2470170</v>
      </c>
      <c r="WB28">
        <v>2470170</v>
      </c>
      <c r="WC28">
        <v>2470170</v>
      </c>
      <c r="WD28">
        <v>2470170</v>
      </c>
      <c r="WE28">
        <v>2470170</v>
      </c>
      <c r="WF28">
        <v>2470170</v>
      </c>
      <c r="WG28">
        <v>2470170</v>
      </c>
      <c r="WH28">
        <v>2470170</v>
      </c>
      <c r="WI28">
        <v>2470170</v>
      </c>
      <c r="WJ28">
        <v>2470170</v>
      </c>
      <c r="WK28">
        <v>2470170</v>
      </c>
      <c r="WL28">
        <v>2470170</v>
      </c>
      <c r="WM28">
        <v>2470170</v>
      </c>
      <c r="WN28">
        <v>2470170</v>
      </c>
      <c r="WO28">
        <v>2470170</v>
      </c>
      <c r="WP28">
        <v>2470170</v>
      </c>
      <c r="WQ28">
        <v>2470170</v>
      </c>
      <c r="WR28">
        <v>2470170</v>
      </c>
      <c r="WS28">
        <v>2470170</v>
      </c>
      <c r="WT28">
        <v>2470170</v>
      </c>
      <c r="WU28">
        <v>2470170</v>
      </c>
      <c r="WV28">
        <v>2470170</v>
      </c>
      <c r="WW28">
        <v>2470170</v>
      </c>
      <c r="WX28">
        <v>2470170</v>
      </c>
      <c r="WY28">
        <v>2470170</v>
      </c>
      <c r="WZ28">
        <v>2470170</v>
      </c>
      <c r="XA28">
        <v>2470170</v>
      </c>
      <c r="XB28">
        <v>2470170</v>
      </c>
      <c r="XC28">
        <v>2470170</v>
      </c>
      <c r="XD28">
        <v>2470170</v>
      </c>
      <c r="XE28">
        <v>2470170</v>
      </c>
      <c r="XF28">
        <v>2470170</v>
      </c>
      <c r="XG28">
        <v>2470170</v>
      </c>
      <c r="XH28">
        <v>2470170</v>
      </c>
      <c r="XI28">
        <v>2470170</v>
      </c>
      <c r="XJ28">
        <v>2470170</v>
      </c>
      <c r="XK28">
        <v>2470170</v>
      </c>
      <c r="XL28">
        <v>2470170</v>
      </c>
      <c r="XM28">
        <v>2470170</v>
      </c>
      <c r="XN28">
        <v>2470170</v>
      </c>
      <c r="XO28">
        <v>2470170</v>
      </c>
      <c r="XP28">
        <v>2470170</v>
      </c>
      <c r="XQ28">
        <v>2470170</v>
      </c>
      <c r="XR28">
        <v>2470170</v>
      </c>
      <c r="XS28">
        <v>2470170</v>
      </c>
      <c r="XT28">
        <v>2470170</v>
      </c>
      <c r="XU28">
        <v>2470170</v>
      </c>
      <c r="XV28">
        <v>2470170</v>
      </c>
      <c r="XW28">
        <v>2470170</v>
      </c>
      <c r="XX28">
        <v>2470170</v>
      </c>
      <c r="XY28">
        <v>2470170</v>
      </c>
      <c r="XZ28">
        <v>2470170</v>
      </c>
      <c r="YA28">
        <v>2470170</v>
      </c>
      <c r="YB28">
        <v>2470170</v>
      </c>
      <c r="YC28">
        <v>2470170</v>
      </c>
      <c r="YD28">
        <v>2470170</v>
      </c>
      <c r="YE28">
        <v>2470170</v>
      </c>
      <c r="YF28" s="1">
        <v>2470170</v>
      </c>
      <c r="YG28" s="1">
        <v>2470170</v>
      </c>
      <c r="YH28" s="1">
        <v>2470170</v>
      </c>
      <c r="YI28" s="1">
        <v>2470170</v>
      </c>
      <c r="YJ28">
        <v>2470170</v>
      </c>
      <c r="YK28">
        <v>2470170</v>
      </c>
      <c r="YL28">
        <v>2470170</v>
      </c>
      <c r="YM28">
        <v>2470170</v>
      </c>
      <c r="YN28">
        <v>2470170</v>
      </c>
      <c r="YO28">
        <v>2470170</v>
      </c>
      <c r="YP28">
        <v>2470170</v>
      </c>
      <c r="YQ28">
        <v>2470170</v>
      </c>
      <c r="YR28">
        <v>2470170</v>
      </c>
      <c r="YS28">
        <v>2470170</v>
      </c>
      <c r="YT28">
        <v>2470170</v>
      </c>
      <c r="YU28">
        <v>2470170</v>
      </c>
      <c r="YV28">
        <v>2470170</v>
      </c>
      <c r="YW28">
        <v>2470170</v>
      </c>
      <c r="YX28">
        <v>2470170</v>
      </c>
      <c r="YY28">
        <v>2470170</v>
      </c>
      <c r="YZ28">
        <v>2470170</v>
      </c>
      <c r="ZA28">
        <v>2470170</v>
      </c>
      <c r="ZB28">
        <v>2470170</v>
      </c>
      <c r="ZC28">
        <v>2470170</v>
      </c>
      <c r="ZD28">
        <v>2470170</v>
      </c>
      <c r="ZE28">
        <v>2470170</v>
      </c>
      <c r="ZF28">
        <v>2470170</v>
      </c>
      <c r="ZG28">
        <v>2470170</v>
      </c>
      <c r="ZH28">
        <v>2470170</v>
      </c>
      <c r="ZI28">
        <v>2470170</v>
      </c>
      <c r="ZJ28">
        <v>2470170</v>
      </c>
      <c r="ZK28">
        <v>2470170</v>
      </c>
      <c r="ZL28">
        <v>2470170</v>
      </c>
      <c r="ZM28">
        <v>2470170</v>
      </c>
      <c r="ZN28">
        <v>2470170</v>
      </c>
      <c r="ZO28">
        <v>2470170</v>
      </c>
      <c r="ZP28">
        <v>2470170</v>
      </c>
      <c r="ZQ28">
        <v>2470170</v>
      </c>
      <c r="ZR28">
        <v>2470170</v>
      </c>
      <c r="ZS28">
        <v>2470170</v>
      </c>
      <c r="ZT28">
        <v>2470170</v>
      </c>
      <c r="ZU28">
        <v>2470170</v>
      </c>
      <c r="ZV28">
        <v>2470170</v>
      </c>
      <c r="ZW28">
        <v>2470170</v>
      </c>
      <c r="ZX28">
        <v>2470170</v>
      </c>
      <c r="ZY28">
        <v>2470170</v>
      </c>
      <c r="ZZ28">
        <v>3082403</v>
      </c>
      <c r="AAA28">
        <v>3082403</v>
      </c>
      <c r="AAB28">
        <v>3082403</v>
      </c>
      <c r="AAC28">
        <v>3082403</v>
      </c>
      <c r="AAD28">
        <v>3082403</v>
      </c>
      <c r="AAE28">
        <v>3082403</v>
      </c>
      <c r="AAF28">
        <v>3082403</v>
      </c>
      <c r="AAG28">
        <v>3082403</v>
      </c>
      <c r="AAH28">
        <v>3082403</v>
      </c>
      <c r="AAI28">
        <v>3082403</v>
      </c>
      <c r="AAJ28">
        <v>3082403</v>
      </c>
      <c r="AAK28">
        <v>3082403</v>
      </c>
      <c r="AAL28">
        <v>3082403</v>
      </c>
      <c r="AAM28">
        <v>3082403</v>
      </c>
      <c r="AAN28">
        <v>3082403</v>
      </c>
      <c r="AAO28">
        <v>3082403</v>
      </c>
      <c r="AAP28">
        <v>3082403</v>
      </c>
      <c r="AAQ28">
        <v>3082403</v>
      </c>
      <c r="AAR28">
        <v>3082403</v>
      </c>
      <c r="AAS28">
        <v>3082403</v>
      </c>
      <c r="AAT28">
        <v>3082403</v>
      </c>
      <c r="AAU28">
        <v>3082403</v>
      </c>
      <c r="AAV28">
        <v>3082403</v>
      </c>
      <c r="AAW28">
        <v>3082403</v>
      </c>
      <c r="AAX28">
        <v>3082403</v>
      </c>
      <c r="AAY28">
        <v>3082403</v>
      </c>
      <c r="AAZ28">
        <v>3082403</v>
      </c>
      <c r="ABA28">
        <v>3082403</v>
      </c>
      <c r="ABB28">
        <v>3082403</v>
      </c>
      <c r="ABC28">
        <v>3082403</v>
      </c>
      <c r="ABD28">
        <v>3082403</v>
      </c>
      <c r="ABE28">
        <v>3082403</v>
      </c>
      <c r="ABF28">
        <v>3082403</v>
      </c>
      <c r="ABG28">
        <v>3082403</v>
      </c>
      <c r="ABH28">
        <v>3082403</v>
      </c>
      <c r="ABI28">
        <v>3082403</v>
      </c>
      <c r="ABJ28">
        <v>3082403</v>
      </c>
      <c r="ABK28">
        <v>3082403</v>
      </c>
      <c r="ABL28">
        <v>3082403</v>
      </c>
      <c r="ABM28">
        <v>3082403</v>
      </c>
      <c r="ABN28">
        <v>3082403</v>
      </c>
      <c r="ABO28">
        <v>3082403</v>
      </c>
      <c r="ABP28">
        <v>3082403</v>
      </c>
      <c r="ABQ28">
        <v>3082403</v>
      </c>
      <c r="ABR28">
        <v>3082403</v>
      </c>
      <c r="ABS28">
        <v>3082403</v>
      </c>
      <c r="ABT28">
        <v>3082403</v>
      </c>
      <c r="ABU28">
        <v>3082403</v>
      </c>
      <c r="ABV28">
        <v>3082403</v>
      </c>
      <c r="ABW28">
        <v>3082403</v>
      </c>
      <c r="ABX28">
        <v>3082403</v>
      </c>
      <c r="ABY28">
        <v>3082403</v>
      </c>
      <c r="ABZ28">
        <v>3082403</v>
      </c>
      <c r="ACA28">
        <v>3082403</v>
      </c>
      <c r="ACB28">
        <v>3082403</v>
      </c>
      <c r="ACC28">
        <v>3082403</v>
      </c>
      <c r="ACD28">
        <v>3082403</v>
      </c>
      <c r="ACE28">
        <v>3082403</v>
      </c>
      <c r="ACF28">
        <v>3082403</v>
      </c>
      <c r="ACG28">
        <v>3082403</v>
      </c>
      <c r="ACH28">
        <v>3082403</v>
      </c>
      <c r="ACI28">
        <v>3082403</v>
      </c>
      <c r="ACJ28">
        <v>3082403</v>
      </c>
      <c r="ACK28">
        <v>3082403</v>
      </c>
      <c r="ACL28">
        <v>3082403</v>
      </c>
      <c r="ACM28">
        <v>3082403</v>
      </c>
      <c r="ACN28">
        <v>3082403</v>
      </c>
      <c r="ACO28">
        <v>3082403</v>
      </c>
      <c r="ACP28">
        <v>3082403</v>
      </c>
      <c r="ACQ28">
        <v>3082403</v>
      </c>
      <c r="ACR28">
        <v>3082403</v>
      </c>
      <c r="ACS28">
        <v>3082403</v>
      </c>
      <c r="ACT28">
        <v>3082403</v>
      </c>
      <c r="ACU28">
        <v>3082403</v>
      </c>
      <c r="ACV28">
        <v>3082403</v>
      </c>
      <c r="ACW28">
        <v>3082403</v>
      </c>
      <c r="ACX28">
        <v>3082403</v>
      </c>
      <c r="ACY28">
        <v>3082403</v>
      </c>
      <c r="ACZ28">
        <v>3082403</v>
      </c>
      <c r="ADA28">
        <v>3082403</v>
      </c>
      <c r="ADB28">
        <v>3082403</v>
      </c>
      <c r="ADC28">
        <v>3082403</v>
      </c>
      <c r="ADD28">
        <v>3082403</v>
      </c>
      <c r="ADE28">
        <v>3082403</v>
      </c>
      <c r="ADF28">
        <v>3082403</v>
      </c>
      <c r="ADG28">
        <v>3082403</v>
      </c>
      <c r="ADH28">
        <v>3082403</v>
      </c>
      <c r="ADI28">
        <v>3082403</v>
      </c>
      <c r="ADJ28">
        <v>3082403</v>
      </c>
      <c r="ADK28">
        <v>3082403</v>
      </c>
      <c r="ADL28">
        <v>3082403</v>
      </c>
      <c r="ADM28">
        <v>3082403</v>
      </c>
      <c r="ADN28">
        <v>3082403</v>
      </c>
      <c r="ADO28">
        <v>3082403</v>
      </c>
      <c r="ADP28">
        <v>3082403</v>
      </c>
      <c r="ADQ28">
        <v>3082403</v>
      </c>
      <c r="ADR28">
        <v>3082403</v>
      </c>
      <c r="ADS28">
        <v>3082403</v>
      </c>
      <c r="ADT28">
        <v>3082403</v>
      </c>
      <c r="ADU28">
        <v>3082403</v>
      </c>
      <c r="ADV28">
        <v>3082403</v>
      </c>
      <c r="ADW28">
        <v>3082403</v>
      </c>
      <c r="ADX28">
        <v>3082403</v>
      </c>
      <c r="ADY28">
        <v>3082403</v>
      </c>
      <c r="ADZ28">
        <v>3082403</v>
      </c>
      <c r="AEA28">
        <v>3082403</v>
      </c>
      <c r="AEB28">
        <v>3082403</v>
      </c>
      <c r="AEC28">
        <v>3082403</v>
      </c>
      <c r="AED28">
        <v>3082403</v>
      </c>
      <c r="AEE28">
        <v>3082403</v>
      </c>
      <c r="AEF28">
        <v>3082403</v>
      </c>
      <c r="AEG28">
        <v>3082403</v>
      </c>
      <c r="AEH28">
        <v>3082403</v>
      </c>
      <c r="AEI28">
        <v>3082403</v>
      </c>
      <c r="AEJ28">
        <v>3082403</v>
      </c>
      <c r="AEK28">
        <v>3082403</v>
      </c>
      <c r="AEL28">
        <v>3082403</v>
      </c>
      <c r="AEM28">
        <v>3082403</v>
      </c>
      <c r="AEN28">
        <v>3082403</v>
      </c>
      <c r="AEO28">
        <v>3082403</v>
      </c>
      <c r="AEP28">
        <v>3082403</v>
      </c>
      <c r="AEQ28">
        <v>3082403</v>
      </c>
      <c r="AER28">
        <v>3082403</v>
      </c>
      <c r="AES28">
        <v>3082403</v>
      </c>
      <c r="AET28">
        <v>3082403</v>
      </c>
      <c r="AEU28">
        <v>3082403</v>
      </c>
      <c r="AEV28">
        <v>3082403</v>
      </c>
      <c r="AEW28">
        <v>3082403</v>
      </c>
      <c r="AEX28">
        <v>3082403</v>
      </c>
      <c r="AEY28">
        <v>3082403</v>
      </c>
      <c r="AEZ28">
        <v>3082403</v>
      </c>
      <c r="AFA28">
        <v>3082403</v>
      </c>
      <c r="AFB28">
        <v>3082403</v>
      </c>
      <c r="AFC28">
        <v>3082403</v>
      </c>
      <c r="AFD28">
        <v>3082403</v>
      </c>
      <c r="AFE28">
        <v>3082403</v>
      </c>
      <c r="AFF28">
        <v>3082403</v>
      </c>
      <c r="AFG28">
        <v>3082403</v>
      </c>
      <c r="AFH28">
        <v>3082403</v>
      </c>
      <c r="AFI28">
        <v>3082403</v>
      </c>
      <c r="AFJ28">
        <v>3082403</v>
      </c>
      <c r="AFK28">
        <v>3082403</v>
      </c>
      <c r="AFL28">
        <v>3082403</v>
      </c>
      <c r="AFM28">
        <v>3082403</v>
      </c>
      <c r="AFN28">
        <v>3082403</v>
      </c>
      <c r="AFO28">
        <v>3082403</v>
      </c>
      <c r="AFP28">
        <v>3082403</v>
      </c>
      <c r="AFQ28">
        <v>3082403</v>
      </c>
      <c r="AFR28">
        <v>3082403</v>
      </c>
      <c r="AFS28">
        <v>3082403</v>
      </c>
      <c r="AFT28">
        <v>3082403</v>
      </c>
      <c r="AFU28">
        <v>3082403</v>
      </c>
      <c r="AFV28">
        <v>3082403</v>
      </c>
      <c r="AFW28">
        <v>3082403</v>
      </c>
      <c r="AFX28">
        <v>3082403</v>
      </c>
      <c r="AFY28">
        <v>3082403</v>
      </c>
      <c r="AFZ28">
        <v>3082403</v>
      </c>
      <c r="AGA28">
        <v>3082403</v>
      </c>
      <c r="AGB28">
        <v>3082403</v>
      </c>
      <c r="AGC28">
        <v>3082403</v>
      </c>
      <c r="AGD28">
        <v>3082403</v>
      </c>
      <c r="AGE28">
        <v>3082403</v>
      </c>
      <c r="AGF28">
        <v>3082403</v>
      </c>
      <c r="AGG28">
        <v>3082403</v>
      </c>
      <c r="AGH28">
        <v>3082403</v>
      </c>
      <c r="AGI28">
        <v>3082403</v>
      </c>
      <c r="AGJ28">
        <v>3082403</v>
      </c>
      <c r="AGK28">
        <v>3082403</v>
      </c>
      <c r="AGL28">
        <v>3082403</v>
      </c>
      <c r="AGM28">
        <v>3082403</v>
      </c>
      <c r="AGN28">
        <v>3082403</v>
      </c>
      <c r="AGO28">
        <v>3082403</v>
      </c>
      <c r="AGP28">
        <v>3082403</v>
      </c>
      <c r="AGQ28">
        <v>3082403</v>
      </c>
      <c r="AGR28">
        <v>3082403</v>
      </c>
      <c r="AGS28">
        <v>3082403</v>
      </c>
      <c r="AGT28">
        <v>3082403</v>
      </c>
      <c r="AGU28">
        <v>3082403</v>
      </c>
      <c r="AGV28">
        <v>3082403</v>
      </c>
      <c r="AGW28">
        <v>3082403</v>
      </c>
      <c r="AGX28">
        <v>3082403</v>
      </c>
      <c r="AGY28">
        <v>3082403</v>
      </c>
      <c r="AGZ28">
        <v>3082403</v>
      </c>
      <c r="AHA28">
        <v>3082403</v>
      </c>
      <c r="AHB28">
        <v>3082403</v>
      </c>
      <c r="AHC28">
        <v>3082403</v>
      </c>
      <c r="AHD28">
        <v>3082403</v>
      </c>
      <c r="AHE28">
        <v>3082403</v>
      </c>
      <c r="AHF28">
        <v>3082403</v>
      </c>
      <c r="AHG28">
        <v>3082403</v>
      </c>
      <c r="AHH28">
        <v>3082403</v>
      </c>
      <c r="AHI28">
        <v>3082403</v>
      </c>
      <c r="AHJ28">
        <v>3082403</v>
      </c>
      <c r="AHK28">
        <v>3082403</v>
      </c>
      <c r="AHL28">
        <v>3082403</v>
      </c>
      <c r="AHM28">
        <v>3082403</v>
      </c>
      <c r="AHN28">
        <v>3082403</v>
      </c>
      <c r="AHO28">
        <v>3082403</v>
      </c>
      <c r="AHP28">
        <v>3082403</v>
      </c>
      <c r="AHQ28">
        <v>3082403</v>
      </c>
    </row>
    <row r="29" spans="1:901">
      <c r="A29" s="1" t="s">
        <v>31</v>
      </c>
      <c r="B29">
        <v>280727</v>
      </c>
      <c r="C29">
        <v>283578</v>
      </c>
      <c r="D29">
        <v>286730</v>
      </c>
      <c r="E29">
        <v>289901</v>
      </c>
      <c r="F29">
        <v>291203</v>
      </c>
      <c r="G29">
        <v>292515</v>
      </c>
      <c r="H29">
        <v>296469</v>
      </c>
      <c r="I29">
        <v>300215</v>
      </c>
      <c r="J29">
        <v>302958</v>
      </c>
      <c r="K29">
        <v>307668</v>
      </c>
      <c r="L29">
        <v>314086</v>
      </c>
      <c r="M29">
        <v>314975</v>
      </c>
      <c r="N29">
        <v>318931</v>
      </c>
      <c r="O29">
        <v>323669</v>
      </c>
      <c r="P29">
        <v>327947</v>
      </c>
      <c r="Q29">
        <v>332584</v>
      </c>
      <c r="R29">
        <v>336546</v>
      </c>
      <c r="S29">
        <v>337896</v>
      </c>
      <c r="T29">
        <v>338692</v>
      </c>
      <c r="U29">
        <v>342674</v>
      </c>
      <c r="V29">
        <v>347374</v>
      </c>
      <c r="W29">
        <v>353138</v>
      </c>
      <c r="X29">
        <v>356103</v>
      </c>
      <c r="Y29">
        <v>360917</v>
      </c>
      <c r="Z29">
        <v>362858</v>
      </c>
      <c r="AA29">
        <v>363714</v>
      </c>
      <c r="AB29">
        <v>368058</v>
      </c>
      <c r="AC29">
        <v>372625</v>
      </c>
      <c r="AD29">
        <v>377722</v>
      </c>
      <c r="AE29">
        <v>382409</v>
      </c>
      <c r="AF29">
        <v>387077</v>
      </c>
      <c r="AG29">
        <v>388653</v>
      </c>
      <c r="AH29">
        <v>390147</v>
      </c>
      <c r="AI29">
        <v>394295</v>
      </c>
      <c r="AJ29">
        <v>395620</v>
      </c>
      <c r="AK29">
        <v>399960</v>
      </c>
      <c r="AL29">
        <v>404460</v>
      </c>
      <c r="AM29">
        <v>409066</v>
      </c>
      <c r="AN29">
        <v>410048</v>
      </c>
      <c r="AO29">
        <v>410931</v>
      </c>
      <c r="AP29">
        <v>416088</v>
      </c>
      <c r="AQ29">
        <v>421237</v>
      </c>
      <c r="AR29">
        <v>425241</v>
      </c>
      <c r="AS29">
        <v>430041</v>
      </c>
      <c r="AT29">
        <v>434452</v>
      </c>
      <c r="AU29">
        <v>435382</v>
      </c>
      <c r="AV29">
        <v>435382</v>
      </c>
      <c r="AW29">
        <v>438272</v>
      </c>
      <c r="AX29">
        <v>442049</v>
      </c>
      <c r="AY29">
        <v>446889</v>
      </c>
      <c r="AZ29">
        <v>451077</v>
      </c>
      <c r="BA29">
        <v>454837</v>
      </c>
      <c r="BB29">
        <v>455875</v>
      </c>
      <c r="BC29">
        <v>456559</v>
      </c>
      <c r="BD29">
        <v>461454</v>
      </c>
      <c r="BE29">
        <v>466007</v>
      </c>
      <c r="BF29">
        <v>471384</v>
      </c>
      <c r="BG29">
        <v>475913</v>
      </c>
      <c r="BH29">
        <v>481015</v>
      </c>
      <c r="BI29">
        <v>482294</v>
      </c>
      <c r="BJ29">
        <v>483389</v>
      </c>
      <c r="BK29">
        <v>488601</v>
      </c>
      <c r="BL29">
        <v>492925</v>
      </c>
      <c r="BM29">
        <v>498110</v>
      </c>
      <c r="BN29">
        <v>503057</v>
      </c>
      <c r="BO29">
        <v>507476</v>
      </c>
      <c r="BP29">
        <v>508814</v>
      </c>
      <c r="BQ29">
        <v>509477</v>
      </c>
      <c r="BR29">
        <v>514406</v>
      </c>
      <c r="BS29">
        <v>519010</v>
      </c>
      <c r="BT29">
        <v>523625</v>
      </c>
      <c r="BU29">
        <v>527548</v>
      </c>
      <c r="BV29">
        <v>531664</v>
      </c>
      <c r="BW29">
        <v>533244</v>
      </c>
      <c r="BX29">
        <v>533871</v>
      </c>
      <c r="BY29">
        <v>538797</v>
      </c>
      <c r="BZ29">
        <v>543324</v>
      </c>
      <c r="CA29">
        <v>547398</v>
      </c>
      <c r="CB29">
        <v>551173</v>
      </c>
      <c r="CC29">
        <v>555213</v>
      </c>
      <c r="CD29">
        <v>556522</v>
      </c>
      <c r="CE29">
        <v>557235</v>
      </c>
      <c r="CF29">
        <v>562000</v>
      </c>
      <c r="CG29">
        <v>566458</v>
      </c>
      <c r="CH29">
        <v>571129</v>
      </c>
      <c r="CI29">
        <v>575546</v>
      </c>
      <c r="CJ29">
        <v>580139</v>
      </c>
      <c r="CK29">
        <v>581401</v>
      </c>
      <c r="CL29">
        <v>581933</v>
      </c>
      <c r="CM29">
        <v>586704</v>
      </c>
      <c r="CN29">
        <v>591483</v>
      </c>
      <c r="CO29">
        <v>596264</v>
      </c>
      <c r="CP29">
        <v>600868</v>
      </c>
      <c r="CQ29">
        <v>605443</v>
      </c>
      <c r="CR29">
        <v>606993</v>
      </c>
      <c r="CS29">
        <v>607660</v>
      </c>
      <c r="CT29">
        <v>612328</v>
      </c>
      <c r="CU29">
        <v>617643</v>
      </c>
      <c r="CV29">
        <v>622355</v>
      </c>
      <c r="CW29">
        <v>623321</v>
      </c>
      <c r="CX29">
        <v>623719</v>
      </c>
      <c r="CY29">
        <v>624537</v>
      </c>
      <c r="CZ29">
        <v>625162</v>
      </c>
      <c r="DA29">
        <v>630182</v>
      </c>
      <c r="DB29">
        <v>635585</v>
      </c>
      <c r="DC29">
        <v>640195</v>
      </c>
      <c r="DD29">
        <v>641312</v>
      </c>
      <c r="DE29">
        <v>641998</v>
      </c>
      <c r="DF29">
        <v>642654</v>
      </c>
      <c r="DG29">
        <v>643185</v>
      </c>
      <c r="DH29">
        <v>648316</v>
      </c>
      <c r="DI29">
        <v>653058</v>
      </c>
      <c r="DJ29">
        <v>658693</v>
      </c>
      <c r="DK29">
        <v>664275</v>
      </c>
      <c r="DL29">
        <v>670273</v>
      </c>
      <c r="DM29">
        <v>672023</v>
      </c>
      <c r="DN29">
        <v>672023</v>
      </c>
      <c r="DO29">
        <v>678803</v>
      </c>
      <c r="DP29">
        <v>684552</v>
      </c>
      <c r="DQ29">
        <v>691030</v>
      </c>
      <c r="DR29">
        <v>692210</v>
      </c>
      <c r="DS29">
        <v>697878</v>
      </c>
      <c r="DT29">
        <v>700101</v>
      </c>
      <c r="DU29">
        <v>701330</v>
      </c>
      <c r="DV29">
        <v>707601</v>
      </c>
      <c r="DW29">
        <v>714935</v>
      </c>
      <c r="DX29">
        <v>721363</v>
      </c>
      <c r="DY29">
        <v>727972</v>
      </c>
      <c r="DZ29">
        <v>734745</v>
      </c>
      <c r="EA29">
        <v>737536</v>
      </c>
      <c r="EB29">
        <v>738861</v>
      </c>
      <c r="EC29">
        <v>745961</v>
      </c>
      <c r="ED29">
        <v>752722</v>
      </c>
      <c r="EE29">
        <v>760395</v>
      </c>
      <c r="EF29">
        <v>767491</v>
      </c>
      <c r="EG29">
        <v>775829</v>
      </c>
      <c r="EH29">
        <v>780815</v>
      </c>
      <c r="EI29">
        <v>785186</v>
      </c>
      <c r="EJ29">
        <v>791928</v>
      </c>
      <c r="EK29">
        <v>798883</v>
      </c>
      <c r="EL29">
        <v>804560</v>
      </c>
      <c r="EM29">
        <v>811242</v>
      </c>
      <c r="EN29">
        <v>817459</v>
      </c>
      <c r="EO29">
        <v>819421</v>
      </c>
      <c r="EP29">
        <v>820177</v>
      </c>
      <c r="EQ29">
        <v>826548</v>
      </c>
      <c r="ER29">
        <v>832916</v>
      </c>
      <c r="ES29">
        <v>839269</v>
      </c>
      <c r="ET29">
        <v>845614</v>
      </c>
      <c r="EU29">
        <v>850951</v>
      </c>
      <c r="EV29">
        <v>852711</v>
      </c>
      <c r="EW29">
        <v>853656</v>
      </c>
      <c r="EX29">
        <v>859531</v>
      </c>
      <c r="EY29">
        <v>865877</v>
      </c>
      <c r="EZ29">
        <v>872232</v>
      </c>
      <c r="FA29">
        <v>879067</v>
      </c>
      <c r="FB29">
        <v>885032</v>
      </c>
      <c r="FC29">
        <v>886883</v>
      </c>
      <c r="FD29">
        <v>887834</v>
      </c>
      <c r="FE29">
        <v>893755</v>
      </c>
      <c r="FF29">
        <v>900153</v>
      </c>
      <c r="FG29">
        <v>904877</v>
      </c>
      <c r="FH29">
        <v>911015</v>
      </c>
      <c r="FI29">
        <v>916369</v>
      </c>
      <c r="FJ29">
        <v>917819</v>
      </c>
      <c r="FK29">
        <v>918648</v>
      </c>
      <c r="FL29">
        <v>923962</v>
      </c>
      <c r="FM29">
        <v>930241</v>
      </c>
      <c r="FN29">
        <v>935380</v>
      </c>
      <c r="FO29">
        <v>941135</v>
      </c>
      <c r="FP29">
        <v>945922</v>
      </c>
      <c r="FQ29">
        <v>947161</v>
      </c>
      <c r="FR29">
        <v>948010</v>
      </c>
      <c r="FS29">
        <v>953641</v>
      </c>
      <c r="FT29">
        <v>959290</v>
      </c>
      <c r="FU29">
        <v>965028</v>
      </c>
      <c r="FV29">
        <v>970699</v>
      </c>
      <c r="FW29">
        <v>975742</v>
      </c>
      <c r="FX29">
        <v>977185</v>
      </c>
      <c r="FY29">
        <v>977936</v>
      </c>
      <c r="FZ29">
        <v>983629</v>
      </c>
      <c r="GA29">
        <v>983629</v>
      </c>
      <c r="GB29">
        <v>995537</v>
      </c>
      <c r="GC29">
        <v>1002099</v>
      </c>
      <c r="GD29">
        <v>1007853</v>
      </c>
      <c r="GE29">
        <v>1009493</v>
      </c>
      <c r="GF29">
        <v>1010410</v>
      </c>
      <c r="GG29">
        <v>1017017</v>
      </c>
      <c r="GH29">
        <v>1023093</v>
      </c>
      <c r="GI29">
        <v>1029304</v>
      </c>
      <c r="GJ29">
        <v>1034968</v>
      </c>
      <c r="GK29">
        <v>1040835</v>
      </c>
      <c r="GL29">
        <v>1042539</v>
      </c>
      <c r="GM29">
        <v>1043451</v>
      </c>
      <c r="GN29">
        <v>1045475</v>
      </c>
      <c r="GO29">
        <v>1048601</v>
      </c>
      <c r="GP29">
        <v>1052595</v>
      </c>
      <c r="GQ29">
        <v>1056337</v>
      </c>
      <c r="GR29">
        <v>1058820</v>
      </c>
      <c r="GS29">
        <v>1059935</v>
      </c>
      <c r="GT29">
        <v>1061164</v>
      </c>
      <c r="GU29">
        <v>1069244</v>
      </c>
      <c r="GV29">
        <v>1077904</v>
      </c>
      <c r="GW29">
        <v>1087650</v>
      </c>
      <c r="GX29">
        <v>1095962</v>
      </c>
      <c r="GY29">
        <v>1103938</v>
      </c>
      <c r="GZ29">
        <v>1107251</v>
      </c>
      <c r="HA29" s="3">
        <v>1112806</v>
      </c>
      <c r="HB29">
        <v>1118361</v>
      </c>
      <c r="HC29">
        <v>1128745</v>
      </c>
      <c r="HD29">
        <v>1139962</v>
      </c>
      <c r="HE29">
        <v>1152524</v>
      </c>
      <c r="HF29">
        <v>1161896</v>
      </c>
      <c r="HG29">
        <v>1164693</v>
      </c>
      <c r="HH29">
        <v>1166672</v>
      </c>
      <c r="HI29">
        <v>1176613</v>
      </c>
      <c r="HJ29">
        <v>1187042</v>
      </c>
      <c r="HK29">
        <v>1198336</v>
      </c>
      <c r="HL29">
        <v>1209697</v>
      </c>
      <c r="HM29">
        <v>1219088</v>
      </c>
      <c r="HN29">
        <v>1222310</v>
      </c>
      <c r="HO29">
        <v>1223926</v>
      </c>
      <c r="HP29">
        <v>1232471</v>
      </c>
      <c r="HQ29">
        <v>1241474</v>
      </c>
      <c r="HR29">
        <v>1251067</v>
      </c>
      <c r="HS29">
        <v>1260190</v>
      </c>
      <c r="HT29">
        <v>1264544</v>
      </c>
      <c r="HU29">
        <v>1265849</v>
      </c>
      <c r="HV29">
        <v>1266989</v>
      </c>
      <c r="HW29">
        <v>1275566</v>
      </c>
      <c r="HX29">
        <v>1283521</v>
      </c>
      <c r="HY29">
        <v>1291245</v>
      </c>
      <c r="HZ29">
        <v>1298713</v>
      </c>
      <c r="IA29">
        <v>1305884</v>
      </c>
      <c r="IB29">
        <v>1307831</v>
      </c>
      <c r="IC29">
        <v>1308883</v>
      </c>
      <c r="ID29">
        <v>1314516</v>
      </c>
      <c r="IE29">
        <v>1322009</v>
      </c>
      <c r="IF29">
        <v>1322009</v>
      </c>
      <c r="IG29">
        <v>1336353</v>
      </c>
      <c r="IH29">
        <v>1342689</v>
      </c>
      <c r="II29">
        <v>1345112</v>
      </c>
      <c r="IJ29">
        <v>1346074</v>
      </c>
      <c r="IK29">
        <v>1353442</v>
      </c>
      <c r="IL29">
        <v>1360587</v>
      </c>
      <c r="IM29">
        <v>1368017</v>
      </c>
      <c r="IN29">
        <v>1374591</v>
      </c>
      <c r="IO29">
        <v>1380526</v>
      </c>
      <c r="IP29">
        <v>1382567</v>
      </c>
      <c r="IQ29">
        <v>1383617</v>
      </c>
      <c r="IR29">
        <v>1390738</v>
      </c>
      <c r="IS29">
        <v>1398115</v>
      </c>
      <c r="IT29">
        <v>1404499</v>
      </c>
      <c r="IU29">
        <v>1411568</v>
      </c>
      <c r="IV29">
        <v>1416959</v>
      </c>
      <c r="IW29">
        <v>1418990</v>
      </c>
      <c r="IX29">
        <v>1420011</v>
      </c>
      <c r="IY29">
        <v>1426286</v>
      </c>
      <c r="IZ29">
        <v>1431704</v>
      </c>
      <c r="JA29">
        <v>1438805</v>
      </c>
      <c r="JB29">
        <v>1445393</v>
      </c>
      <c r="JC29">
        <v>1452207</v>
      </c>
      <c r="JD29">
        <v>1454870</v>
      </c>
      <c r="JE29">
        <v>1456203</v>
      </c>
      <c r="JF29">
        <v>1464328</v>
      </c>
      <c r="JG29">
        <v>1472265</v>
      </c>
      <c r="JH29">
        <v>1480193</v>
      </c>
      <c r="JI29">
        <v>1487632</v>
      </c>
      <c r="JJ29">
        <v>1494879</v>
      </c>
      <c r="JK29">
        <v>1497476</v>
      </c>
      <c r="JL29">
        <v>1498396</v>
      </c>
      <c r="JM29">
        <v>1505963</v>
      </c>
      <c r="JN29">
        <v>1512790</v>
      </c>
      <c r="JO29">
        <v>1519589</v>
      </c>
      <c r="JP29">
        <v>1526338</v>
      </c>
      <c r="JQ29">
        <v>1531966</v>
      </c>
      <c r="JR29">
        <v>1534801</v>
      </c>
      <c r="JS29">
        <v>1535844</v>
      </c>
      <c r="JT29">
        <v>1543675</v>
      </c>
      <c r="JU29">
        <v>1550640</v>
      </c>
      <c r="JV29">
        <v>1558097</v>
      </c>
      <c r="JW29">
        <v>1565972</v>
      </c>
      <c r="JX29">
        <v>1573177</v>
      </c>
      <c r="JY29">
        <v>1576616</v>
      </c>
      <c r="JZ29">
        <v>1577795</v>
      </c>
      <c r="KA29">
        <v>1580329</v>
      </c>
      <c r="KB29">
        <v>1580329</v>
      </c>
      <c r="KC29">
        <v>1590968</v>
      </c>
      <c r="KD29">
        <v>1590968</v>
      </c>
      <c r="KE29">
        <v>1609380</v>
      </c>
      <c r="KF29">
        <v>1613457</v>
      </c>
      <c r="KG29">
        <v>1613457</v>
      </c>
      <c r="KH29">
        <v>1623767</v>
      </c>
      <c r="KI29">
        <v>1632965</v>
      </c>
      <c r="KJ29">
        <v>1642382</v>
      </c>
      <c r="KK29">
        <v>1653068</v>
      </c>
      <c r="KL29">
        <v>1662999</v>
      </c>
      <c r="KM29">
        <v>1667231</v>
      </c>
      <c r="KN29">
        <v>1670606</v>
      </c>
      <c r="KO29">
        <v>1680483</v>
      </c>
      <c r="KP29">
        <v>1690460</v>
      </c>
      <c r="KQ29">
        <v>1699807</v>
      </c>
      <c r="KR29">
        <v>1710390</v>
      </c>
      <c r="KS29">
        <v>1719452</v>
      </c>
      <c r="KT29">
        <v>1722912</v>
      </c>
      <c r="KU29">
        <v>1724821</v>
      </c>
      <c r="KV29">
        <v>1724821</v>
      </c>
      <c r="KW29">
        <v>1724821</v>
      </c>
      <c r="KX29">
        <v>1768248</v>
      </c>
      <c r="KY29">
        <v>1777695</v>
      </c>
      <c r="KZ29">
        <v>1789559</v>
      </c>
      <c r="LA29">
        <v>1795296</v>
      </c>
      <c r="LB29">
        <v>1800412</v>
      </c>
      <c r="LC29">
        <v>1814122</v>
      </c>
      <c r="LD29">
        <v>1828390</v>
      </c>
      <c r="LE29">
        <v>1843319</v>
      </c>
      <c r="LF29">
        <v>1857884</v>
      </c>
      <c r="LG29">
        <v>1870705</v>
      </c>
      <c r="LH29">
        <v>1877230</v>
      </c>
      <c r="LI29">
        <v>1881882</v>
      </c>
      <c r="LJ29">
        <v>1895081</v>
      </c>
      <c r="LK29">
        <v>1909217</v>
      </c>
      <c r="LL29">
        <v>1921998</v>
      </c>
      <c r="LM29">
        <v>1933880</v>
      </c>
      <c r="LN29">
        <v>1946127</v>
      </c>
      <c r="LO29">
        <v>1950267</v>
      </c>
      <c r="LP29">
        <v>1952546</v>
      </c>
      <c r="LQ29">
        <v>1964129</v>
      </c>
      <c r="LR29">
        <v>1977541</v>
      </c>
      <c r="LS29">
        <v>1989919</v>
      </c>
      <c r="LT29">
        <v>2001825</v>
      </c>
      <c r="LU29">
        <v>2014051</v>
      </c>
      <c r="LV29">
        <v>2018075</v>
      </c>
      <c r="LW29">
        <v>2020393</v>
      </c>
      <c r="LX29">
        <v>2031678</v>
      </c>
      <c r="LY29">
        <v>2044250</v>
      </c>
      <c r="LZ29">
        <v>2059534</v>
      </c>
      <c r="MA29">
        <v>2075140</v>
      </c>
      <c r="MB29">
        <v>2088641</v>
      </c>
      <c r="MC29">
        <v>2093500</v>
      </c>
      <c r="MD29">
        <v>2096054</v>
      </c>
      <c r="ME29">
        <v>2110312</v>
      </c>
      <c r="MF29">
        <v>2125255</v>
      </c>
      <c r="MG29">
        <v>2141913</v>
      </c>
      <c r="MH29">
        <v>2156121</v>
      </c>
      <c r="MI29">
        <v>2171923</v>
      </c>
      <c r="MJ29">
        <v>2178407</v>
      </c>
      <c r="MK29">
        <v>2180955</v>
      </c>
      <c r="ML29">
        <v>2194499</v>
      </c>
      <c r="MM29">
        <v>2210997</v>
      </c>
      <c r="MN29">
        <v>2226033</v>
      </c>
      <c r="MO29">
        <v>2239541</v>
      </c>
      <c r="MP29">
        <v>2246589</v>
      </c>
      <c r="MQ29">
        <v>2250502</v>
      </c>
      <c r="MR29">
        <v>2252785</v>
      </c>
      <c r="MS29">
        <v>2265451</v>
      </c>
      <c r="MT29">
        <v>2279707</v>
      </c>
      <c r="MU29">
        <v>2279707</v>
      </c>
      <c r="MV29">
        <v>2307725</v>
      </c>
      <c r="MW29">
        <v>2322871</v>
      </c>
      <c r="MX29">
        <v>2330030</v>
      </c>
      <c r="MY29">
        <v>2333195</v>
      </c>
      <c r="MZ29">
        <v>2348690</v>
      </c>
      <c r="NA29">
        <v>2365778</v>
      </c>
      <c r="NB29">
        <v>2373843</v>
      </c>
      <c r="NC29">
        <v>2388900</v>
      </c>
      <c r="ND29">
        <v>2403595</v>
      </c>
      <c r="NE29">
        <v>2410919</v>
      </c>
      <c r="NF29">
        <v>2414918</v>
      </c>
      <c r="NG29">
        <v>2414918</v>
      </c>
      <c r="NH29">
        <v>2445779</v>
      </c>
      <c r="NI29">
        <v>2462778</v>
      </c>
      <c r="NJ29">
        <v>2477774</v>
      </c>
      <c r="NK29">
        <v>2493973</v>
      </c>
      <c r="NL29">
        <v>2500522</v>
      </c>
      <c r="NM29">
        <v>2504013</v>
      </c>
      <c r="NN29">
        <v>2518303</v>
      </c>
      <c r="NO29">
        <v>2536421</v>
      </c>
      <c r="NP29">
        <v>2553849</v>
      </c>
      <c r="NQ29">
        <v>2571048</v>
      </c>
      <c r="NR29">
        <v>2584291</v>
      </c>
      <c r="NS29">
        <v>2597799</v>
      </c>
      <c r="NT29">
        <v>2597799</v>
      </c>
      <c r="NU29">
        <v>2597799</v>
      </c>
      <c r="NV29">
        <v>2625453</v>
      </c>
      <c r="NW29">
        <v>2641776</v>
      </c>
      <c r="NX29">
        <v>2657387</v>
      </c>
      <c r="NY29">
        <v>2671803</v>
      </c>
      <c r="NZ29">
        <v>2680897</v>
      </c>
      <c r="OA29">
        <v>2686758</v>
      </c>
      <c r="OB29">
        <v>2701561</v>
      </c>
      <c r="OC29">
        <v>2715946</v>
      </c>
      <c r="OD29">
        <v>2729628</v>
      </c>
      <c r="OE29">
        <v>2729628</v>
      </c>
      <c r="OF29">
        <v>2744895</v>
      </c>
      <c r="OG29">
        <v>2765929</v>
      </c>
      <c r="OH29">
        <v>2770204</v>
      </c>
      <c r="OI29">
        <v>2785421</v>
      </c>
      <c r="OJ29">
        <v>2800027</v>
      </c>
      <c r="OK29">
        <v>2800027</v>
      </c>
      <c r="OL29">
        <v>2820537</v>
      </c>
      <c r="OM29">
        <v>2832657</v>
      </c>
      <c r="ON29">
        <v>2836664</v>
      </c>
      <c r="OO29">
        <v>2839974</v>
      </c>
      <c r="OP29">
        <v>2851620</v>
      </c>
      <c r="OQ29">
        <v>2865610</v>
      </c>
      <c r="OR29">
        <v>2877835</v>
      </c>
      <c r="OS29">
        <v>2877835</v>
      </c>
      <c r="OT29">
        <v>2905511</v>
      </c>
      <c r="OU29">
        <v>2909198</v>
      </c>
      <c r="OV29">
        <v>2910582</v>
      </c>
      <c r="OW29">
        <v>2912218</v>
      </c>
      <c r="OX29">
        <v>2920681</v>
      </c>
      <c r="OY29">
        <v>2931200</v>
      </c>
      <c r="OZ29">
        <v>2940388</v>
      </c>
      <c r="PA29">
        <v>2950019</v>
      </c>
      <c r="PB29">
        <v>2953137</v>
      </c>
      <c r="PC29">
        <v>2956880</v>
      </c>
      <c r="PD29">
        <v>2968493</v>
      </c>
      <c r="PE29">
        <v>2979418</v>
      </c>
      <c r="PF29">
        <v>2989099</v>
      </c>
      <c r="PG29">
        <v>2999570</v>
      </c>
      <c r="PH29">
        <v>2999570</v>
      </c>
      <c r="PI29">
        <v>3014180</v>
      </c>
      <c r="PJ29">
        <v>3017074</v>
      </c>
      <c r="PK29">
        <v>3026849</v>
      </c>
      <c r="PL29">
        <v>3035644</v>
      </c>
      <c r="PM29">
        <v>3035644</v>
      </c>
      <c r="PN29">
        <v>3052925</v>
      </c>
      <c r="PO29">
        <v>3060223</v>
      </c>
      <c r="PP29">
        <v>3063893</v>
      </c>
      <c r="PQ29">
        <v>3064888</v>
      </c>
      <c r="PR29">
        <v>3074517</v>
      </c>
      <c r="PS29">
        <v>3082937</v>
      </c>
      <c r="PT29">
        <v>3091052</v>
      </c>
      <c r="PU29">
        <v>3099474</v>
      </c>
      <c r="PV29">
        <v>3107294</v>
      </c>
      <c r="PW29">
        <v>3110368</v>
      </c>
      <c r="PX29">
        <v>3111321</v>
      </c>
      <c r="PY29">
        <v>3120035</v>
      </c>
      <c r="PZ29">
        <v>3128305</v>
      </c>
      <c r="QA29">
        <v>3134598</v>
      </c>
      <c r="QB29">
        <v>3141170</v>
      </c>
      <c r="QC29">
        <v>3147862</v>
      </c>
      <c r="QD29">
        <v>3150263</v>
      </c>
      <c r="QE29">
        <v>3151236</v>
      </c>
      <c r="QF29">
        <v>3158756</v>
      </c>
      <c r="QG29">
        <v>3166569</v>
      </c>
      <c r="QH29">
        <v>3173763</v>
      </c>
      <c r="QI29">
        <v>3180830</v>
      </c>
      <c r="QJ29">
        <v>3180830</v>
      </c>
      <c r="QK29">
        <v>3186458</v>
      </c>
      <c r="QL29">
        <v>3189301</v>
      </c>
      <c r="QM29">
        <v>3195338</v>
      </c>
      <c r="QN29">
        <v>3202224</v>
      </c>
      <c r="QO29">
        <v>3208682</v>
      </c>
      <c r="QP29">
        <v>3214583</v>
      </c>
      <c r="QQ29">
        <v>3219293</v>
      </c>
      <c r="QR29">
        <v>3219293</v>
      </c>
      <c r="QS29">
        <v>3222269</v>
      </c>
      <c r="QT29">
        <v>3229175</v>
      </c>
      <c r="QU29">
        <v>3237731</v>
      </c>
      <c r="QV29">
        <v>3244302</v>
      </c>
      <c r="QW29">
        <v>3246429</v>
      </c>
      <c r="QX29">
        <v>3247587</v>
      </c>
      <c r="QY29">
        <v>3248274</v>
      </c>
      <c r="QZ29">
        <v>3249683</v>
      </c>
      <c r="RA29">
        <v>3256994</v>
      </c>
      <c r="RB29">
        <v>3265129</v>
      </c>
      <c r="RC29">
        <v>3273053</v>
      </c>
      <c r="RD29">
        <v>3279099</v>
      </c>
      <c r="RE29">
        <v>3279099</v>
      </c>
      <c r="RF29">
        <v>3281949</v>
      </c>
      <c r="RG29">
        <v>3283166</v>
      </c>
      <c r="RH29">
        <v>3290902</v>
      </c>
      <c r="RI29">
        <v>3300578</v>
      </c>
      <c r="RJ29">
        <v>3300578</v>
      </c>
      <c r="RK29">
        <v>3325391</v>
      </c>
      <c r="RL29">
        <v>3325391</v>
      </c>
      <c r="RM29">
        <v>3341387</v>
      </c>
      <c r="RN29">
        <v>3344027</v>
      </c>
      <c r="RO29">
        <v>3357498</v>
      </c>
      <c r="RP29">
        <v>3357498</v>
      </c>
      <c r="RQ29">
        <v>3386891</v>
      </c>
      <c r="RR29">
        <v>3400074</v>
      </c>
      <c r="RS29">
        <v>3400074</v>
      </c>
      <c r="RT29">
        <v>3420999</v>
      </c>
      <c r="RU29">
        <v>3424291</v>
      </c>
      <c r="RV29">
        <v>3438139</v>
      </c>
      <c r="RW29">
        <v>3452399</v>
      </c>
      <c r="RX29">
        <v>3465741</v>
      </c>
      <c r="RY29">
        <v>3481405</v>
      </c>
      <c r="RZ29">
        <v>3498120</v>
      </c>
      <c r="SA29">
        <v>3503582</v>
      </c>
      <c r="SB29">
        <v>3510042</v>
      </c>
      <c r="SC29">
        <v>3524884</v>
      </c>
      <c r="SD29">
        <v>3539535</v>
      </c>
      <c r="SE29">
        <v>3553975</v>
      </c>
      <c r="SF29">
        <v>3568360</v>
      </c>
      <c r="SG29">
        <v>3580043</v>
      </c>
      <c r="SH29">
        <v>3585641</v>
      </c>
      <c r="SI29">
        <v>3589175</v>
      </c>
      <c r="SJ29">
        <v>3603800</v>
      </c>
      <c r="SK29">
        <v>3620333</v>
      </c>
      <c r="SL29">
        <v>3633506</v>
      </c>
      <c r="SM29">
        <v>3644483</v>
      </c>
      <c r="SN29">
        <v>3658004</v>
      </c>
      <c r="SO29">
        <v>3658004</v>
      </c>
      <c r="SP29">
        <v>3669867</v>
      </c>
      <c r="SQ29">
        <v>3684824</v>
      </c>
      <c r="SR29">
        <v>3702293</v>
      </c>
      <c r="SS29">
        <v>3719048</v>
      </c>
      <c r="ST29">
        <v>3737376</v>
      </c>
      <c r="SU29">
        <v>3752906</v>
      </c>
      <c r="SV29">
        <v>3759225</v>
      </c>
      <c r="SW29">
        <v>3765637</v>
      </c>
      <c r="SX29">
        <v>3781718</v>
      </c>
      <c r="SY29">
        <v>3781718</v>
      </c>
      <c r="SZ29">
        <v>3781718</v>
      </c>
      <c r="TA29">
        <v>3781718</v>
      </c>
      <c r="TB29">
        <v>3842030</v>
      </c>
      <c r="TC29">
        <v>3847377</v>
      </c>
      <c r="TD29">
        <v>3850595</v>
      </c>
      <c r="TE29">
        <v>3850595</v>
      </c>
      <c r="TF29">
        <v>3883748</v>
      </c>
      <c r="TG29">
        <v>3897871</v>
      </c>
      <c r="TH29">
        <v>3911716</v>
      </c>
      <c r="TI29">
        <v>3922624</v>
      </c>
      <c r="TJ29">
        <v>3922624</v>
      </c>
      <c r="TK29">
        <v>3922624</v>
      </c>
      <c r="TL29">
        <v>3922624</v>
      </c>
      <c r="TM29">
        <v>3922624</v>
      </c>
      <c r="TN29">
        <v>3922624</v>
      </c>
      <c r="TO29">
        <v>3986578</v>
      </c>
      <c r="TP29">
        <v>3997718</v>
      </c>
      <c r="TQ29">
        <v>3997718</v>
      </c>
      <c r="TR29">
        <v>4005295</v>
      </c>
      <c r="TS29">
        <v>4019705</v>
      </c>
      <c r="TT29">
        <v>4019705</v>
      </c>
      <c r="TU29">
        <v>4045782</v>
      </c>
      <c r="TV29">
        <v>4057394</v>
      </c>
      <c r="TW29">
        <v>4067775</v>
      </c>
      <c r="TX29">
        <v>4071026</v>
      </c>
      <c r="TY29">
        <v>4073203</v>
      </c>
      <c r="TZ29">
        <v>4085376</v>
      </c>
      <c r="UA29">
        <v>4099105</v>
      </c>
      <c r="UB29">
        <v>4113749</v>
      </c>
      <c r="UC29">
        <v>4127811</v>
      </c>
      <c r="UD29">
        <v>4127811</v>
      </c>
      <c r="UE29">
        <v>4141366</v>
      </c>
      <c r="UF29">
        <v>4143754</v>
      </c>
      <c r="UG29">
        <v>4155980</v>
      </c>
      <c r="UH29">
        <v>4169134</v>
      </c>
      <c r="UI29">
        <v>4180812</v>
      </c>
      <c r="UJ29">
        <v>4191788</v>
      </c>
      <c r="UK29">
        <v>4200353</v>
      </c>
      <c r="UL29">
        <v>4204067</v>
      </c>
      <c r="UM29">
        <v>4206401</v>
      </c>
      <c r="UN29">
        <v>4218882</v>
      </c>
      <c r="UO29">
        <v>4231490</v>
      </c>
      <c r="UP29">
        <v>4231490</v>
      </c>
      <c r="UQ29">
        <v>4252266</v>
      </c>
      <c r="UR29">
        <v>4252266</v>
      </c>
      <c r="US29">
        <v>4252266</v>
      </c>
      <c r="UT29">
        <v>4267475</v>
      </c>
      <c r="UU29">
        <v>4279413</v>
      </c>
      <c r="UV29">
        <v>4289592</v>
      </c>
      <c r="UW29">
        <v>4299794</v>
      </c>
      <c r="UX29">
        <v>4310621</v>
      </c>
      <c r="UY29">
        <v>4319488</v>
      </c>
      <c r="UZ29">
        <v>4322582</v>
      </c>
      <c r="VA29">
        <v>4324536</v>
      </c>
      <c r="VB29">
        <v>4335116</v>
      </c>
      <c r="VC29">
        <v>4348667</v>
      </c>
      <c r="VD29">
        <v>4348667</v>
      </c>
      <c r="VE29">
        <v>4351661</v>
      </c>
      <c r="VF29">
        <v>4352864</v>
      </c>
      <c r="VG29">
        <v>4352864</v>
      </c>
      <c r="VH29">
        <v>4357102</v>
      </c>
      <c r="VI29">
        <v>4370594</v>
      </c>
      <c r="VJ29">
        <v>4381418</v>
      </c>
      <c r="VK29">
        <v>4392324</v>
      </c>
      <c r="VL29">
        <v>4402305</v>
      </c>
      <c r="VM29">
        <v>4402305</v>
      </c>
      <c r="VN29">
        <v>4402305</v>
      </c>
      <c r="VO29">
        <v>4417854</v>
      </c>
      <c r="VP29">
        <v>4426414</v>
      </c>
      <c r="VQ29">
        <v>4435442</v>
      </c>
      <c r="VR29">
        <v>4444867</v>
      </c>
      <c r="VS29">
        <v>4454022</v>
      </c>
      <c r="VT29">
        <v>4466318</v>
      </c>
      <c r="VU29">
        <v>4469600</v>
      </c>
      <c r="VV29">
        <v>4469600</v>
      </c>
      <c r="VW29">
        <v>4469600</v>
      </c>
      <c r="VX29">
        <v>4477695</v>
      </c>
      <c r="VY29">
        <v>4495103</v>
      </c>
      <c r="VZ29">
        <v>4495103</v>
      </c>
      <c r="WA29">
        <v>4495103</v>
      </c>
      <c r="WB29">
        <v>4495103</v>
      </c>
      <c r="WC29">
        <v>4507334</v>
      </c>
      <c r="WD29">
        <v>4516595</v>
      </c>
      <c r="WE29">
        <v>4516595</v>
      </c>
      <c r="WF29">
        <v>4534174</v>
      </c>
      <c r="WG29">
        <v>4543522</v>
      </c>
      <c r="WH29">
        <v>4543522</v>
      </c>
      <c r="WI29">
        <v>4543522</v>
      </c>
      <c r="WJ29">
        <v>4557623</v>
      </c>
      <c r="WK29">
        <v>4566381</v>
      </c>
      <c r="WL29">
        <v>4576496</v>
      </c>
      <c r="WM29">
        <v>4585934</v>
      </c>
      <c r="WN29">
        <v>4585934</v>
      </c>
      <c r="WO29">
        <v>4585934</v>
      </c>
      <c r="WP29">
        <v>4585934</v>
      </c>
      <c r="WQ29">
        <v>4627420</v>
      </c>
      <c r="WR29">
        <v>4627420</v>
      </c>
      <c r="WS29">
        <v>4627420</v>
      </c>
      <c r="WT29">
        <v>4627420</v>
      </c>
      <c r="WU29">
        <v>4644584</v>
      </c>
      <c r="WV29">
        <v>4644584</v>
      </c>
      <c r="WW29">
        <v>4644584</v>
      </c>
      <c r="WX29">
        <v>4656812</v>
      </c>
      <c r="WY29">
        <v>4656812</v>
      </c>
      <c r="WZ29">
        <v>4674644</v>
      </c>
      <c r="XA29">
        <v>4682748</v>
      </c>
      <c r="XB29">
        <v>4682748</v>
      </c>
      <c r="XC29">
        <v>4682748</v>
      </c>
      <c r="XD29">
        <v>4682748</v>
      </c>
      <c r="XE29">
        <v>4704140</v>
      </c>
      <c r="XF29">
        <v>4741473</v>
      </c>
      <c r="XG29">
        <v>4741473</v>
      </c>
      <c r="XH29">
        <v>4741473</v>
      </c>
      <c r="XI29">
        <v>4741473</v>
      </c>
      <c r="XJ29">
        <v>4741473</v>
      </c>
      <c r="XK29">
        <v>4754409</v>
      </c>
      <c r="XL29">
        <v>4756204</v>
      </c>
      <c r="XM29">
        <v>4797272</v>
      </c>
      <c r="XN29">
        <v>4797272</v>
      </c>
      <c r="XO29">
        <v>4797272</v>
      </c>
      <c r="XP29">
        <v>4797272</v>
      </c>
      <c r="XQ29">
        <v>4797272</v>
      </c>
      <c r="XR29">
        <v>4860998</v>
      </c>
      <c r="XS29">
        <v>4860998</v>
      </c>
      <c r="XT29">
        <v>4860998</v>
      </c>
      <c r="XU29">
        <v>4860998</v>
      </c>
      <c r="XV29">
        <v>4860998</v>
      </c>
      <c r="XW29">
        <v>4860998</v>
      </c>
      <c r="XX29">
        <v>4860998</v>
      </c>
      <c r="XY29">
        <v>4860998</v>
      </c>
      <c r="XZ29">
        <v>4880020</v>
      </c>
      <c r="YA29">
        <v>4892473</v>
      </c>
      <c r="YB29">
        <v>4906288</v>
      </c>
      <c r="YC29">
        <v>4934554</v>
      </c>
      <c r="YD29">
        <v>4934554</v>
      </c>
      <c r="YE29">
        <v>4954708</v>
      </c>
      <c r="YF29" s="1">
        <v>4959692</v>
      </c>
      <c r="YG29" s="1">
        <v>4959692</v>
      </c>
      <c r="YH29" s="1">
        <v>4959692</v>
      </c>
      <c r="YI29" s="1">
        <v>4973913</v>
      </c>
      <c r="YJ29">
        <v>4990821</v>
      </c>
      <c r="YK29">
        <v>5010296</v>
      </c>
      <c r="YL29">
        <v>5010296</v>
      </c>
      <c r="YM29">
        <v>5038882</v>
      </c>
      <c r="YN29">
        <v>5038882</v>
      </c>
      <c r="YO29">
        <v>5038882</v>
      </c>
      <c r="YP29">
        <v>5083330</v>
      </c>
      <c r="YQ29">
        <v>5127997</v>
      </c>
      <c r="YR29">
        <v>5127997</v>
      </c>
      <c r="YS29">
        <v>5127997</v>
      </c>
      <c r="YT29">
        <v>5127997</v>
      </c>
      <c r="YU29">
        <v>5152424</v>
      </c>
      <c r="YV29">
        <v>5169713</v>
      </c>
      <c r="YW29">
        <v>5229318</v>
      </c>
      <c r="YX29">
        <v>5229318</v>
      </c>
      <c r="YY29">
        <v>5229318</v>
      </c>
      <c r="YZ29">
        <v>5229318</v>
      </c>
      <c r="ZA29">
        <v>5229318</v>
      </c>
      <c r="ZB29">
        <v>5229318</v>
      </c>
      <c r="ZC29">
        <v>5269741</v>
      </c>
      <c r="ZD29">
        <v>5286781</v>
      </c>
      <c r="ZE29">
        <v>5286781</v>
      </c>
      <c r="ZF29">
        <v>5320919</v>
      </c>
      <c r="ZG29">
        <v>5320919</v>
      </c>
      <c r="ZH29">
        <v>5337917</v>
      </c>
      <c r="ZI29">
        <v>5345268</v>
      </c>
      <c r="ZJ29">
        <v>5359094</v>
      </c>
      <c r="ZK29">
        <v>5374814</v>
      </c>
      <c r="ZL29">
        <v>5390704</v>
      </c>
      <c r="ZM29">
        <v>5390704</v>
      </c>
      <c r="ZN29">
        <v>5390704</v>
      </c>
      <c r="ZO29">
        <v>5408874</v>
      </c>
      <c r="ZP29">
        <v>5422926</v>
      </c>
      <c r="ZQ29">
        <v>5438036</v>
      </c>
      <c r="ZR29">
        <v>5438036</v>
      </c>
      <c r="ZS29">
        <v>5469443</v>
      </c>
      <c r="ZT29">
        <v>5480861</v>
      </c>
      <c r="ZU29">
        <v>5480861</v>
      </c>
      <c r="ZV29">
        <v>5484427</v>
      </c>
      <c r="ZW29">
        <v>5492911</v>
      </c>
      <c r="ZX29">
        <v>5509139</v>
      </c>
      <c r="ZY29">
        <v>5525777</v>
      </c>
      <c r="ZZ29">
        <v>5539695</v>
      </c>
      <c r="AAA29">
        <v>5539695</v>
      </c>
      <c r="AAB29">
        <v>5539695</v>
      </c>
      <c r="AAC29">
        <v>5556297</v>
      </c>
      <c r="AAD29">
        <v>5572006</v>
      </c>
      <c r="AAE29">
        <v>5586450</v>
      </c>
      <c r="AAF29">
        <v>5600581</v>
      </c>
      <c r="AAG29">
        <v>5612778</v>
      </c>
      <c r="AAH29">
        <v>5612778</v>
      </c>
      <c r="AAI29">
        <v>5612778</v>
      </c>
      <c r="AAJ29">
        <v>5629202</v>
      </c>
      <c r="AAK29">
        <v>5642668</v>
      </c>
      <c r="AAL29">
        <v>5655640</v>
      </c>
      <c r="AAM29">
        <v>5666621</v>
      </c>
      <c r="AAN29">
        <v>5673386</v>
      </c>
      <c r="AAO29">
        <v>5677725</v>
      </c>
      <c r="AAP29">
        <v>5677725</v>
      </c>
      <c r="AAQ29">
        <v>5678734</v>
      </c>
      <c r="AAR29">
        <v>5678734</v>
      </c>
      <c r="AAS29">
        <v>5702082</v>
      </c>
      <c r="AAT29">
        <v>5702082</v>
      </c>
      <c r="AAU29">
        <v>5727571</v>
      </c>
      <c r="AAV29">
        <v>5740164</v>
      </c>
      <c r="AAW29">
        <v>5740164</v>
      </c>
      <c r="AAX29">
        <v>5742221</v>
      </c>
      <c r="AAY29">
        <v>5755423</v>
      </c>
      <c r="AAZ29">
        <v>5767786</v>
      </c>
      <c r="ABA29">
        <v>5778323</v>
      </c>
      <c r="ABB29">
        <v>5778323</v>
      </c>
      <c r="ABC29">
        <v>5778323</v>
      </c>
      <c r="ABD29">
        <v>5778323</v>
      </c>
      <c r="ABE29">
        <v>5786376</v>
      </c>
      <c r="ABF29">
        <v>5798013</v>
      </c>
      <c r="ABG29">
        <v>5811308</v>
      </c>
      <c r="ABH29">
        <v>5822088</v>
      </c>
      <c r="ABI29">
        <v>5834307</v>
      </c>
      <c r="ABJ29">
        <v>5834307</v>
      </c>
      <c r="ABK29">
        <v>5834307</v>
      </c>
      <c r="ABL29">
        <v>5848768</v>
      </c>
      <c r="ABM29">
        <v>5860788</v>
      </c>
      <c r="ABN29">
        <v>5860788</v>
      </c>
      <c r="ABO29">
        <v>5884813</v>
      </c>
      <c r="ABP29">
        <v>5898698</v>
      </c>
      <c r="ABQ29">
        <v>5898698</v>
      </c>
      <c r="ABR29">
        <v>5898698</v>
      </c>
      <c r="ABS29">
        <v>5910134</v>
      </c>
      <c r="ABT29">
        <v>5920401</v>
      </c>
      <c r="ABU29">
        <v>5929888</v>
      </c>
      <c r="ABV29">
        <v>5940996</v>
      </c>
      <c r="ABW29">
        <v>5950730</v>
      </c>
      <c r="ABX29">
        <v>5950730</v>
      </c>
      <c r="ABY29">
        <v>5950730</v>
      </c>
      <c r="ABZ29">
        <v>5950730</v>
      </c>
      <c r="ACA29">
        <v>5971224</v>
      </c>
      <c r="ACB29">
        <v>6002800</v>
      </c>
      <c r="ACC29">
        <v>6002800</v>
      </c>
      <c r="ACD29">
        <v>6002800</v>
      </c>
      <c r="ACE29">
        <v>6002800</v>
      </c>
      <c r="ACF29">
        <v>6002800</v>
      </c>
      <c r="ACG29">
        <v>6019393</v>
      </c>
      <c r="ACH29">
        <v>6029689</v>
      </c>
      <c r="ACI29">
        <v>6039810</v>
      </c>
      <c r="ACJ29">
        <v>6050128</v>
      </c>
      <c r="ACK29">
        <v>6050128</v>
      </c>
      <c r="ACL29">
        <v>6050128</v>
      </c>
      <c r="ACM29">
        <v>6050128</v>
      </c>
      <c r="ACN29">
        <v>6073394</v>
      </c>
      <c r="ACO29">
        <v>6073394</v>
      </c>
      <c r="ACP29">
        <v>6092629</v>
      </c>
      <c r="ACQ29">
        <v>6092629</v>
      </c>
      <c r="ACR29">
        <v>6101146</v>
      </c>
      <c r="ACS29">
        <v>6101146</v>
      </c>
      <c r="ACT29">
        <v>6101146</v>
      </c>
      <c r="ACU29">
        <v>6111475</v>
      </c>
      <c r="ACV29">
        <v>6129868</v>
      </c>
      <c r="ACW29">
        <v>6129868</v>
      </c>
      <c r="ACX29">
        <v>6129868</v>
      </c>
      <c r="ACY29">
        <v>6129868</v>
      </c>
      <c r="ACZ29">
        <v>6129868</v>
      </c>
      <c r="ADA29">
        <v>6129868</v>
      </c>
      <c r="ADB29">
        <v>6141075</v>
      </c>
      <c r="ADC29">
        <v>6150862</v>
      </c>
      <c r="ADD29">
        <v>6168403</v>
      </c>
      <c r="ADE29">
        <v>6168403</v>
      </c>
      <c r="ADF29">
        <v>6176863</v>
      </c>
      <c r="ADG29">
        <v>6176863</v>
      </c>
      <c r="ADH29">
        <v>6176863</v>
      </c>
      <c r="ADI29">
        <v>6207476</v>
      </c>
      <c r="ADJ29">
        <v>6207476</v>
      </c>
      <c r="ADK29">
        <v>6207476</v>
      </c>
      <c r="ADL29">
        <v>6250694</v>
      </c>
      <c r="ADM29">
        <v>6250694</v>
      </c>
      <c r="ADN29">
        <v>6250694</v>
      </c>
      <c r="ADO29">
        <v>6250694</v>
      </c>
      <c r="ADP29">
        <v>6250694</v>
      </c>
      <c r="ADQ29">
        <v>6250694</v>
      </c>
      <c r="ADR29">
        <v>6285146</v>
      </c>
      <c r="ADS29">
        <v>6285146</v>
      </c>
      <c r="ADT29">
        <v>6285146</v>
      </c>
      <c r="ADU29">
        <v>6285146</v>
      </c>
      <c r="ADV29">
        <v>6285146</v>
      </c>
      <c r="ADW29">
        <v>6306434</v>
      </c>
      <c r="ADX29">
        <v>6306434</v>
      </c>
      <c r="ADY29">
        <v>6335439</v>
      </c>
      <c r="ADZ29">
        <v>6335439</v>
      </c>
      <c r="AEA29">
        <v>6335439</v>
      </c>
      <c r="AEB29">
        <v>6335439</v>
      </c>
      <c r="AEC29">
        <v>6335439</v>
      </c>
      <c r="AED29">
        <v>6403883</v>
      </c>
      <c r="AEE29">
        <v>6403883</v>
      </c>
      <c r="AEF29">
        <v>6403883</v>
      </c>
      <c r="AEG29">
        <v>6403883</v>
      </c>
      <c r="AEH29">
        <v>6403883</v>
      </c>
      <c r="AEI29">
        <v>6403883</v>
      </c>
      <c r="AEJ29">
        <v>6403883</v>
      </c>
      <c r="AEK29">
        <v>6451762</v>
      </c>
      <c r="AEL29">
        <v>6451762</v>
      </c>
      <c r="AEM29">
        <v>6451762</v>
      </c>
      <c r="AEN29">
        <v>6451762</v>
      </c>
      <c r="AEO29">
        <v>6451762</v>
      </c>
      <c r="AEP29">
        <v>6451762</v>
      </c>
      <c r="AEQ29">
        <v>6451762</v>
      </c>
      <c r="AER29">
        <v>6548750</v>
      </c>
      <c r="AES29">
        <v>6548750</v>
      </c>
      <c r="AET29">
        <v>6548750</v>
      </c>
      <c r="AEU29">
        <v>6548750</v>
      </c>
      <c r="AEV29">
        <v>6548750</v>
      </c>
      <c r="AEW29">
        <v>6548750</v>
      </c>
      <c r="AEX29">
        <v>6548750</v>
      </c>
      <c r="AEY29">
        <v>6548750</v>
      </c>
      <c r="AEZ29">
        <v>6548750</v>
      </c>
      <c r="AFA29">
        <v>6548750</v>
      </c>
      <c r="AFB29">
        <v>6548750</v>
      </c>
      <c r="AFC29">
        <v>6548750</v>
      </c>
      <c r="AFD29">
        <v>6548750</v>
      </c>
      <c r="AFE29">
        <v>6600087</v>
      </c>
      <c r="AFF29">
        <v>6600087</v>
      </c>
      <c r="AFG29">
        <v>6600087</v>
      </c>
      <c r="AFH29">
        <v>6600087</v>
      </c>
      <c r="AFI29">
        <v>6600087</v>
      </c>
      <c r="AFJ29">
        <v>6600087</v>
      </c>
      <c r="AFK29">
        <v>6600087</v>
      </c>
      <c r="AFL29">
        <v>6600087</v>
      </c>
      <c r="AFM29">
        <v>6600087</v>
      </c>
      <c r="AFN29">
        <v>6648667</v>
      </c>
      <c r="AFO29">
        <v>6648667</v>
      </c>
      <c r="AFP29">
        <v>6648667</v>
      </c>
      <c r="AFQ29">
        <v>6648667</v>
      </c>
      <c r="AFR29">
        <v>6648667</v>
      </c>
      <c r="AFS29">
        <v>6648667</v>
      </c>
      <c r="AFT29">
        <v>6688885</v>
      </c>
      <c r="AFU29">
        <v>6688885</v>
      </c>
      <c r="AFV29">
        <v>6688885</v>
      </c>
      <c r="AFW29">
        <v>6688885</v>
      </c>
      <c r="AFX29">
        <v>6688885</v>
      </c>
      <c r="AFY29">
        <v>6688885</v>
      </c>
      <c r="AFZ29">
        <v>6688885</v>
      </c>
      <c r="AGA29">
        <v>6782562</v>
      </c>
      <c r="AGB29">
        <v>6782562</v>
      </c>
      <c r="AGC29">
        <v>6782562</v>
      </c>
      <c r="AGD29">
        <v>6782562</v>
      </c>
      <c r="AGE29">
        <v>6782562</v>
      </c>
      <c r="AGF29">
        <v>6782562</v>
      </c>
      <c r="AGG29">
        <v>6782562</v>
      </c>
      <c r="AGH29">
        <v>6782562</v>
      </c>
      <c r="AGI29">
        <v>6782562</v>
      </c>
      <c r="AGJ29">
        <v>6782562</v>
      </c>
      <c r="AGK29">
        <v>6782562</v>
      </c>
      <c r="AGL29">
        <v>6782562</v>
      </c>
      <c r="AGM29">
        <v>6782562</v>
      </c>
      <c r="AGN29">
        <v>6782562</v>
      </c>
      <c r="AGO29">
        <v>6864451</v>
      </c>
      <c r="AGP29">
        <v>6864451</v>
      </c>
      <c r="AGQ29">
        <v>6864451</v>
      </c>
      <c r="AGR29">
        <v>6864451</v>
      </c>
      <c r="AGS29">
        <v>6864451</v>
      </c>
      <c r="AGT29">
        <v>6864451</v>
      </c>
      <c r="AGU29">
        <v>6864451</v>
      </c>
      <c r="AGV29">
        <v>6864451</v>
      </c>
      <c r="AGW29">
        <v>6864451</v>
      </c>
      <c r="AGX29">
        <v>6864451</v>
      </c>
      <c r="AGY29">
        <v>6864451</v>
      </c>
      <c r="AGZ29">
        <v>6864451</v>
      </c>
      <c r="AHA29">
        <v>6864451</v>
      </c>
      <c r="AHB29">
        <v>6864451</v>
      </c>
      <c r="AHC29">
        <v>6917051</v>
      </c>
      <c r="AHD29">
        <v>6917051</v>
      </c>
      <c r="AHE29">
        <v>6917051</v>
      </c>
      <c r="AHF29">
        <v>6917051</v>
      </c>
      <c r="AHG29">
        <v>6917051</v>
      </c>
      <c r="AHH29">
        <v>6917051</v>
      </c>
      <c r="AHI29">
        <v>6917051</v>
      </c>
      <c r="AHJ29">
        <v>6917051</v>
      </c>
      <c r="AHK29">
        <v>6948424</v>
      </c>
      <c r="AHL29">
        <v>6948424</v>
      </c>
      <c r="AHM29">
        <v>6948424</v>
      </c>
      <c r="AHN29">
        <v>6948424</v>
      </c>
      <c r="AHO29">
        <v>6948424</v>
      </c>
      <c r="AHP29">
        <v>6948424</v>
      </c>
      <c r="AHQ29">
        <v>6948424</v>
      </c>
    </row>
    <row r="30" spans="1:901">
      <c r="A30" s="1" t="s">
        <v>30</v>
      </c>
      <c r="B30">
        <v>161483</v>
      </c>
      <c r="C30">
        <v>161483</v>
      </c>
      <c r="D30">
        <v>165904</v>
      </c>
      <c r="E30">
        <v>167103</v>
      </c>
      <c r="F30">
        <v>169602</v>
      </c>
      <c r="G30">
        <v>170765</v>
      </c>
      <c r="H30">
        <v>171673</v>
      </c>
      <c r="I30">
        <v>172323</v>
      </c>
      <c r="J30">
        <v>172323</v>
      </c>
      <c r="K30">
        <v>172323</v>
      </c>
      <c r="L30">
        <v>175053</v>
      </c>
      <c r="M30">
        <v>176804</v>
      </c>
      <c r="N30">
        <v>178095</v>
      </c>
      <c r="O30">
        <v>179028</v>
      </c>
      <c r="P30">
        <v>179028</v>
      </c>
      <c r="Q30">
        <v>181731</v>
      </c>
      <c r="R30">
        <v>183299</v>
      </c>
      <c r="S30">
        <v>184962</v>
      </c>
      <c r="T30">
        <v>186350</v>
      </c>
      <c r="U30">
        <v>188174</v>
      </c>
      <c r="V30">
        <v>189176</v>
      </c>
      <c r="W30">
        <v>190387</v>
      </c>
      <c r="X30">
        <v>192595</v>
      </c>
      <c r="Y30">
        <v>194516</v>
      </c>
      <c r="Z30">
        <v>194516</v>
      </c>
      <c r="AA30">
        <v>198152</v>
      </c>
      <c r="AB30">
        <v>198841</v>
      </c>
      <c r="AC30">
        <v>200039</v>
      </c>
      <c r="AD30">
        <v>200039</v>
      </c>
      <c r="AE30">
        <v>203264</v>
      </c>
      <c r="AF30">
        <v>205258</v>
      </c>
      <c r="AG30">
        <v>205258</v>
      </c>
      <c r="AH30">
        <v>209170</v>
      </c>
      <c r="AI30">
        <v>211236</v>
      </c>
      <c r="AJ30">
        <v>213204</v>
      </c>
      <c r="AK30">
        <v>213204</v>
      </c>
      <c r="AL30">
        <v>214418</v>
      </c>
      <c r="AM30">
        <v>217953</v>
      </c>
      <c r="AN30">
        <v>220422</v>
      </c>
      <c r="AO30">
        <v>221619</v>
      </c>
      <c r="AP30">
        <v>223346</v>
      </c>
      <c r="AQ30">
        <v>225439</v>
      </c>
      <c r="AR30">
        <v>225439</v>
      </c>
      <c r="AS30">
        <v>225439</v>
      </c>
      <c r="AT30">
        <v>227440</v>
      </c>
      <c r="AU30">
        <v>229147</v>
      </c>
      <c r="AV30">
        <v>231005</v>
      </c>
      <c r="AW30">
        <v>231650</v>
      </c>
      <c r="AX30">
        <v>231650</v>
      </c>
      <c r="AY30">
        <v>231650</v>
      </c>
      <c r="AZ30">
        <v>231650</v>
      </c>
      <c r="BA30">
        <v>231650</v>
      </c>
      <c r="BB30">
        <v>231650</v>
      </c>
      <c r="BC30">
        <v>231650</v>
      </c>
      <c r="BD30">
        <v>242391</v>
      </c>
      <c r="BE30">
        <v>243725</v>
      </c>
      <c r="BF30">
        <v>243725</v>
      </c>
      <c r="BG30">
        <v>243725</v>
      </c>
      <c r="BH30">
        <v>246269</v>
      </c>
      <c r="BI30">
        <v>246269</v>
      </c>
      <c r="BJ30">
        <v>246269</v>
      </c>
      <c r="BK30">
        <v>251826</v>
      </c>
      <c r="BL30">
        <v>251826</v>
      </c>
      <c r="BM30">
        <v>251826</v>
      </c>
      <c r="BN30">
        <v>253694</v>
      </c>
      <c r="BO30">
        <v>255418</v>
      </c>
      <c r="BP30">
        <v>255418</v>
      </c>
      <c r="BQ30">
        <v>255418</v>
      </c>
      <c r="BR30">
        <v>258954</v>
      </c>
      <c r="BS30">
        <v>260224</v>
      </c>
      <c r="BT30">
        <v>261638</v>
      </c>
      <c r="BU30">
        <v>261638</v>
      </c>
      <c r="BV30">
        <v>264898</v>
      </c>
      <c r="BW30">
        <v>264898</v>
      </c>
      <c r="BX30">
        <v>267616</v>
      </c>
      <c r="BY30">
        <v>267616</v>
      </c>
      <c r="BZ30">
        <v>269711</v>
      </c>
      <c r="CA30">
        <v>269711</v>
      </c>
      <c r="CB30">
        <v>271223</v>
      </c>
      <c r="CC30">
        <v>271223</v>
      </c>
      <c r="CD30">
        <v>271223</v>
      </c>
      <c r="CE30">
        <v>271223</v>
      </c>
      <c r="CF30">
        <v>277350</v>
      </c>
      <c r="CG30">
        <v>277350</v>
      </c>
      <c r="CH30">
        <v>277350</v>
      </c>
      <c r="CI30">
        <v>282300</v>
      </c>
      <c r="CJ30">
        <v>282300</v>
      </c>
      <c r="CK30">
        <v>284003</v>
      </c>
      <c r="CL30">
        <v>284003</v>
      </c>
      <c r="CM30">
        <v>284003</v>
      </c>
      <c r="CN30">
        <v>289442</v>
      </c>
      <c r="CO30">
        <v>289442</v>
      </c>
      <c r="CP30">
        <v>291355</v>
      </c>
      <c r="CQ30">
        <v>291355</v>
      </c>
      <c r="CR30">
        <v>291355</v>
      </c>
      <c r="CS30">
        <v>291355</v>
      </c>
      <c r="CT30">
        <v>291355</v>
      </c>
      <c r="CU30">
        <v>294953</v>
      </c>
      <c r="CV30">
        <v>294953</v>
      </c>
      <c r="CW30">
        <v>300566</v>
      </c>
      <c r="CX30">
        <v>300566</v>
      </c>
      <c r="CY30">
        <v>300566</v>
      </c>
      <c r="CZ30">
        <v>304975</v>
      </c>
      <c r="DA30">
        <v>304975</v>
      </c>
      <c r="DB30">
        <v>304975</v>
      </c>
      <c r="DC30">
        <v>306450</v>
      </c>
      <c r="DD30">
        <v>306450</v>
      </c>
      <c r="DE30">
        <v>307374</v>
      </c>
      <c r="DF30">
        <v>307993</v>
      </c>
      <c r="DG30">
        <v>308510</v>
      </c>
      <c r="DH30">
        <v>308727</v>
      </c>
      <c r="DI30">
        <v>309827</v>
      </c>
      <c r="DJ30">
        <v>311072</v>
      </c>
      <c r="DK30">
        <v>311072</v>
      </c>
      <c r="DL30">
        <v>316655</v>
      </c>
      <c r="DM30">
        <v>318168</v>
      </c>
      <c r="DN30">
        <v>322530</v>
      </c>
      <c r="DO30">
        <v>333360</v>
      </c>
      <c r="DP30">
        <v>336727</v>
      </c>
      <c r="DQ30">
        <v>336727</v>
      </c>
      <c r="DR30">
        <v>336727</v>
      </c>
      <c r="DS30">
        <v>336727</v>
      </c>
      <c r="DT30">
        <v>336727</v>
      </c>
      <c r="DU30">
        <v>338931</v>
      </c>
      <c r="DV30">
        <v>341843</v>
      </c>
      <c r="DW30">
        <v>341843</v>
      </c>
      <c r="DX30">
        <v>344517</v>
      </c>
      <c r="DY30">
        <v>347776</v>
      </c>
      <c r="DZ30">
        <v>347776</v>
      </c>
      <c r="EA30">
        <v>350529</v>
      </c>
      <c r="EB30">
        <v>353034</v>
      </c>
      <c r="EC30">
        <v>356872</v>
      </c>
      <c r="ED30">
        <v>359997</v>
      </c>
      <c r="EE30">
        <v>363417</v>
      </c>
      <c r="EF30">
        <v>367547</v>
      </c>
      <c r="EG30">
        <v>371376</v>
      </c>
      <c r="EH30">
        <v>375217</v>
      </c>
      <c r="EI30">
        <v>377655</v>
      </c>
      <c r="EJ30">
        <v>377655</v>
      </c>
      <c r="EK30">
        <v>377655</v>
      </c>
      <c r="EL30">
        <v>381505</v>
      </c>
      <c r="EM30">
        <v>385028</v>
      </c>
      <c r="EN30">
        <v>388495</v>
      </c>
      <c r="EO30">
        <v>390510</v>
      </c>
      <c r="EP30">
        <v>392632</v>
      </c>
      <c r="EQ30">
        <v>395702</v>
      </c>
      <c r="ER30">
        <v>398589</v>
      </c>
      <c r="ES30">
        <v>401491</v>
      </c>
      <c r="ET30">
        <v>404607</v>
      </c>
      <c r="EU30">
        <v>406690</v>
      </c>
      <c r="EV30">
        <v>409017</v>
      </c>
      <c r="EW30">
        <v>410520</v>
      </c>
      <c r="EX30">
        <v>413541</v>
      </c>
      <c r="EY30">
        <v>416406</v>
      </c>
      <c r="EZ30">
        <v>419206</v>
      </c>
      <c r="FA30">
        <v>421938</v>
      </c>
      <c r="FB30">
        <v>424963</v>
      </c>
      <c r="FC30">
        <v>426862</v>
      </c>
      <c r="FD30">
        <v>428794</v>
      </c>
      <c r="FE30">
        <v>431672</v>
      </c>
      <c r="FF30">
        <v>434157</v>
      </c>
      <c r="FG30">
        <v>437914</v>
      </c>
      <c r="FH30">
        <v>441380</v>
      </c>
      <c r="FI30">
        <v>443500</v>
      </c>
      <c r="FJ30">
        <v>446239</v>
      </c>
      <c r="FK30">
        <v>447919</v>
      </c>
      <c r="FL30">
        <v>449997</v>
      </c>
      <c r="FM30">
        <v>453191</v>
      </c>
      <c r="FN30">
        <v>454905</v>
      </c>
      <c r="FO30">
        <v>457057</v>
      </c>
      <c r="FP30">
        <v>458389</v>
      </c>
      <c r="FQ30">
        <v>458389</v>
      </c>
      <c r="FR30">
        <v>459415</v>
      </c>
      <c r="FS30">
        <v>461743</v>
      </c>
      <c r="FT30">
        <v>463301</v>
      </c>
      <c r="FU30">
        <v>467130</v>
      </c>
      <c r="FV30">
        <v>470492</v>
      </c>
      <c r="FW30">
        <v>472651</v>
      </c>
      <c r="FX30">
        <v>474861</v>
      </c>
      <c r="FY30">
        <v>476615</v>
      </c>
      <c r="FZ30">
        <v>478991</v>
      </c>
      <c r="GA30">
        <v>481067</v>
      </c>
      <c r="GB30">
        <v>483906</v>
      </c>
      <c r="GC30">
        <v>485987</v>
      </c>
      <c r="GD30">
        <v>488266</v>
      </c>
      <c r="GE30">
        <v>490125</v>
      </c>
      <c r="GF30">
        <v>491852</v>
      </c>
      <c r="GG30">
        <v>494504</v>
      </c>
      <c r="GH30">
        <v>497104</v>
      </c>
      <c r="GI30">
        <v>499931</v>
      </c>
      <c r="GJ30">
        <v>502240</v>
      </c>
      <c r="GK30">
        <v>505898</v>
      </c>
      <c r="GL30">
        <v>508640</v>
      </c>
      <c r="GM30">
        <v>510855</v>
      </c>
      <c r="GN30">
        <v>513036</v>
      </c>
      <c r="GO30">
        <v>515173</v>
      </c>
      <c r="GP30">
        <v>517140</v>
      </c>
      <c r="GQ30">
        <v>519992</v>
      </c>
      <c r="GR30">
        <v>521330</v>
      </c>
      <c r="GS30">
        <v>522313</v>
      </c>
      <c r="GT30">
        <v>523102</v>
      </c>
      <c r="GU30">
        <v>525124</v>
      </c>
      <c r="GV30">
        <v>528970</v>
      </c>
      <c r="GW30">
        <v>531255</v>
      </c>
      <c r="GX30">
        <v>533891</v>
      </c>
      <c r="GY30">
        <v>536963</v>
      </c>
      <c r="GZ30">
        <v>539992</v>
      </c>
      <c r="HA30" s="3">
        <v>541380</v>
      </c>
      <c r="HB30">
        <v>542768</v>
      </c>
      <c r="HC30">
        <v>545442</v>
      </c>
      <c r="HD30">
        <v>550206</v>
      </c>
      <c r="HE30">
        <v>553262</v>
      </c>
      <c r="HF30">
        <v>555870</v>
      </c>
      <c r="HG30">
        <v>558803</v>
      </c>
      <c r="HH30">
        <v>560904</v>
      </c>
      <c r="HI30">
        <v>562923</v>
      </c>
      <c r="HJ30">
        <v>564993</v>
      </c>
      <c r="HK30">
        <v>567813</v>
      </c>
      <c r="HL30">
        <v>599426</v>
      </c>
      <c r="HM30">
        <v>602430</v>
      </c>
      <c r="HN30">
        <v>604804</v>
      </c>
      <c r="HO30">
        <v>607121</v>
      </c>
      <c r="HP30">
        <v>608949</v>
      </c>
      <c r="HQ30">
        <v>612712</v>
      </c>
      <c r="HR30">
        <v>616475</v>
      </c>
      <c r="HS30">
        <v>621659</v>
      </c>
      <c r="HT30">
        <v>625884</v>
      </c>
      <c r="HU30">
        <v>629447</v>
      </c>
      <c r="HV30">
        <v>631929</v>
      </c>
      <c r="HW30">
        <v>634254</v>
      </c>
      <c r="HX30">
        <v>638283</v>
      </c>
      <c r="HY30">
        <v>642025</v>
      </c>
      <c r="HZ30">
        <v>645503</v>
      </c>
      <c r="IA30">
        <v>648703</v>
      </c>
      <c r="IB30">
        <v>651677</v>
      </c>
      <c r="IC30">
        <v>654477</v>
      </c>
      <c r="ID30">
        <v>656966</v>
      </c>
      <c r="IE30">
        <v>660435</v>
      </c>
      <c r="IF30">
        <v>664126</v>
      </c>
      <c r="IG30">
        <v>668892</v>
      </c>
      <c r="IH30">
        <v>673368</v>
      </c>
      <c r="II30">
        <v>676623</v>
      </c>
      <c r="IJ30">
        <v>679008</v>
      </c>
      <c r="IK30">
        <v>681751</v>
      </c>
      <c r="IL30">
        <v>684637</v>
      </c>
      <c r="IM30">
        <v>687858</v>
      </c>
      <c r="IN30">
        <v>692210</v>
      </c>
      <c r="IO30">
        <v>696560</v>
      </c>
      <c r="IP30">
        <v>698674</v>
      </c>
      <c r="IQ30">
        <v>700725</v>
      </c>
      <c r="IR30">
        <v>702450</v>
      </c>
      <c r="IS30">
        <v>704817</v>
      </c>
      <c r="IT30">
        <v>708861</v>
      </c>
      <c r="IU30">
        <v>711728</v>
      </c>
      <c r="IV30">
        <v>714929</v>
      </c>
      <c r="IW30">
        <v>716997</v>
      </c>
      <c r="IX30">
        <v>719568</v>
      </c>
      <c r="IY30">
        <v>721939</v>
      </c>
      <c r="IZ30">
        <v>723991</v>
      </c>
      <c r="JA30">
        <v>726265</v>
      </c>
      <c r="JB30">
        <v>729325</v>
      </c>
      <c r="JC30">
        <v>731682</v>
      </c>
      <c r="JD30">
        <v>733593</v>
      </c>
      <c r="JE30">
        <v>734600</v>
      </c>
      <c r="JF30">
        <v>736313</v>
      </c>
      <c r="JG30">
        <v>738148</v>
      </c>
      <c r="JH30">
        <v>740445</v>
      </c>
      <c r="JI30">
        <v>743097</v>
      </c>
      <c r="JJ30">
        <v>746796</v>
      </c>
      <c r="JK30">
        <v>750724</v>
      </c>
      <c r="JL30">
        <v>752488</v>
      </c>
      <c r="JM30">
        <v>753629</v>
      </c>
      <c r="JN30">
        <v>757632</v>
      </c>
      <c r="JO30">
        <v>760395</v>
      </c>
      <c r="JP30">
        <v>764282</v>
      </c>
      <c r="JQ30">
        <v>766284</v>
      </c>
      <c r="JR30">
        <v>769963</v>
      </c>
      <c r="JS30">
        <v>772087</v>
      </c>
      <c r="JT30">
        <v>773147</v>
      </c>
      <c r="JU30">
        <v>776113</v>
      </c>
      <c r="JV30">
        <v>777660</v>
      </c>
      <c r="JW30">
        <v>781318</v>
      </c>
      <c r="JX30">
        <v>785273</v>
      </c>
      <c r="JY30">
        <v>788753</v>
      </c>
      <c r="JZ30">
        <v>790725</v>
      </c>
      <c r="KA30">
        <v>790725</v>
      </c>
      <c r="KB30">
        <v>790725</v>
      </c>
      <c r="KC30">
        <v>792602</v>
      </c>
      <c r="KD30">
        <v>794990</v>
      </c>
      <c r="KE30">
        <v>799430</v>
      </c>
      <c r="KF30">
        <v>803743</v>
      </c>
      <c r="KG30">
        <v>806489</v>
      </c>
      <c r="KH30">
        <v>809280</v>
      </c>
      <c r="KI30">
        <v>812037</v>
      </c>
      <c r="KJ30">
        <v>814258</v>
      </c>
      <c r="KK30">
        <v>816881</v>
      </c>
      <c r="KL30">
        <v>819889</v>
      </c>
      <c r="KM30">
        <v>822914</v>
      </c>
      <c r="KN30">
        <v>825046</v>
      </c>
      <c r="KO30">
        <v>826298</v>
      </c>
      <c r="KP30">
        <v>828388</v>
      </c>
      <c r="KQ30">
        <v>832402</v>
      </c>
      <c r="KR30">
        <v>834947</v>
      </c>
      <c r="KS30">
        <v>834947</v>
      </c>
      <c r="KT30">
        <v>834947</v>
      </c>
      <c r="KU30">
        <v>837492</v>
      </c>
      <c r="KV30">
        <v>844097</v>
      </c>
      <c r="KW30">
        <v>847320</v>
      </c>
      <c r="KX30">
        <v>851939</v>
      </c>
      <c r="KY30">
        <v>855408</v>
      </c>
      <c r="KZ30">
        <v>858134</v>
      </c>
      <c r="LA30">
        <v>858134</v>
      </c>
      <c r="LB30">
        <v>858134</v>
      </c>
      <c r="LC30">
        <v>865784</v>
      </c>
      <c r="LD30">
        <v>868725</v>
      </c>
      <c r="LE30">
        <v>871522</v>
      </c>
      <c r="LF30">
        <v>874864</v>
      </c>
      <c r="LG30">
        <v>880357</v>
      </c>
      <c r="LH30">
        <v>880357</v>
      </c>
      <c r="LI30">
        <v>880357</v>
      </c>
      <c r="LJ30">
        <v>887845</v>
      </c>
      <c r="LK30">
        <v>890327</v>
      </c>
      <c r="LL30">
        <v>894331</v>
      </c>
      <c r="LM30">
        <v>896130</v>
      </c>
      <c r="LN30">
        <v>900371</v>
      </c>
      <c r="LO30">
        <v>900371</v>
      </c>
      <c r="LP30">
        <v>900371</v>
      </c>
      <c r="LQ30">
        <v>906353</v>
      </c>
      <c r="LR30">
        <v>909947</v>
      </c>
      <c r="LS30">
        <v>913275</v>
      </c>
      <c r="LT30">
        <v>917998</v>
      </c>
      <c r="LU30">
        <v>921448</v>
      </c>
      <c r="LV30">
        <v>921448</v>
      </c>
      <c r="LW30">
        <v>921448</v>
      </c>
      <c r="LX30">
        <v>929028</v>
      </c>
      <c r="LY30">
        <v>933024</v>
      </c>
      <c r="LZ30">
        <v>938328</v>
      </c>
      <c r="MA30">
        <v>941923</v>
      </c>
      <c r="MB30">
        <v>945963</v>
      </c>
      <c r="MC30">
        <v>945963</v>
      </c>
      <c r="MD30">
        <v>945963</v>
      </c>
      <c r="ME30">
        <v>952984</v>
      </c>
      <c r="MF30">
        <v>956978</v>
      </c>
      <c r="MG30">
        <v>961084</v>
      </c>
      <c r="MH30">
        <v>964147</v>
      </c>
      <c r="MI30">
        <v>968331</v>
      </c>
      <c r="MJ30">
        <v>968331</v>
      </c>
      <c r="MK30">
        <v>968331</v>
      </c>
      <c r="ML30">
        <v>976655</v>
      </c>
      <c r="MM30">
        <v>979817</v>
      </c>
      <c r="MN30">
        <v>985214</v>
      </c>
      <c r="MO30">
        <v>988042</v>
      </c>
      <c r="MP30">
        <v>991447</v>
      </c>
      <c r="MQ30">
        <v>991447</v>
      </c>
      <c r="MR30">
        <v>991447</v>
      </c>
      <c r="MS30">
        <v>997299</v>
      </c>
      <c r="MT30">
        <v>1000308</v>
      </c>
      <c r="MU30">
        <v>1003887</v>
      </c>
      <c r="MV30">
        <v>1006824</v>
      </c>
      <c r="MW30">
        <v>1008878</v>
      </c>
      <c r="MX30">
        <v>1008878</v>
      </c>
      <c r="MY30">
        <v>1008878</v>
      </c>
      <c r="MZ30">
        <v>1008878</v>
      </c>
      <c r="NA30">
        <v>1012717</v>
      </c>
      <c r="NB30">
        <v>1012717</v>
      </c>
      <c r="NC30">
        <v>1012717</v>
      </c>
      <c r="ND30">
        <v>1012717</v>
      </c>
      <c r="NE30">
        <v>1012717</v>
      </c>
      <c r="NF30">
        <v>1012717</v>
      </c>
      <c r="NG30">
        <v>1018830</v>
      </c>
      <c r="NH30">
        <v>1021665</v>
      </c>
      <c r="NI30">
        <v>1024330</v>
      </c>
      <c r="NJ30">
        <v>1027310</v>
      </c>
      <c r="NK30">
        <v>1030003</v>
      </c>
      <c r="NL30">
        <v>1030003</v>
      </c>
      <c r="NM30">
        <v>1030003</v>
      </c>
      <c r="NN30">
        <v>1037137</v>
      </c>
      <c r="NO30">
        <v>1039873</v>
      </c>
      <c r="NP30">
        <v>1042559</v>
      </c>
      <c r="NQ30">
        <v>1045584</v>
      </c>
      <c r="NR30">
        <v>1047735</v>
      </c>
      <c r="NS30">
        <v>1047735</v>
      </c>
      <c r="NT30">
        <v>1047735</v>
      </c>
      <c r="NU30">
        <v>1052373</v>
      </c>
      <c r="NV30">
        <v>1053893</v>
      </c>
      <c r="NW30">
        <v>1055246</v>
      </c>
      <c r="NX30">
        <v>1055246</v>
      </c>
      <c r="NY30">
        <v>1055246</v>
      </c>
      <c r="NZ30">
        <v>1055246</v>
      </c>
      <c r="OA30">
        <v>1055246</v>
      </c>
      <c r="OB30">
        <v>1060480</v>
      </c>
      <c r="OC30">
        <v>1063681</v>
      </c>
      <c r="OD30">
        <v>1066079</v>
      </c>
      <c r="OE30">
        <v>1068458</v>
      </c>
      <c r="OF30">
        <v>1069940</v>
      </c>
      <c r="OG30">
        <v>1069940</v>
      </c>
      <c r="OH30">
        <v>1069940</v>
      </c>
      <c r="OI30">
        <v>1073924</v>
      </c>
      <c r="OJ30">
        <v>1075544</v>
      </c>
      <c r="OK30">
        <v>1077342</v>
      </c>
      <c r="OL30">
        <v>1078735</v>
      </c>
      <c r="OM30">
        <v>1080111</v>
      </c>
      <c r="ON30">
        <v>1080111</v>
      </c>
      <c r="OO30">
        <v>1080111</v>
      </c>
      <c r="OP30">
        <v>1083343</v>
      </c>
      <c r="OQ30">
        <v>1084755</v>
      </c>
      <c r="OR30">
        <v>1086743</v>
      </c>
      <c r="OS30">
        <v>1086743</v>
      </c>
      <c r="OT30">
        <v>1089253</v>
      </c>
      <c r="OU30">
        <v>1089253</v>
      </c>
      <c r="OV30">
        <v>1089253</v>
      </c>
      <c r="OW30">
        <v>1092755</v>
      </c>
      <c r="OX30">
        <v>1093901</v>
      </c>
      <c r="OY30">
        <v>1094615</v>
      </c>
      <c r="OZ30">
        <v>1096497</v>
      </c>
      <c r="PA30">
        <v>1098345</v>
      </c>
      <c r="PB30">
        <v>1098345</v>
      </c>
      <c r="PC30">
        <v>1098345</v>
      </c>
      <c r="PD30">
        <v>1101588</v>
      </c>
      <c r="PE30">
        <v>1102722</v>
      </c>
      <c r="PF30">
        <v>1104011</v>
      </c>
      <c r="PG30">
        <v>1105251</v>
      </c>
      <c r="PH30">
        <v>1106625</v>
      </c>
      <c r="PI30">
        <v>1106625</v>
      </c>
      <c r="PJ30">
        <v>1106625</v>
      </c>
      <c r="PK30">
        <v>1109134</v>
      </c>
      <c r="PL30">
        <v>1110426</v>
      </c>
      <c r="PM30">
        <v>1111203</v>
      </c>
      <c r="PN30">
        <v>1112411</v>
      </c>
      <c r="PO30">
        <v>1113653</v>
      </c>
      <c r="PP30">
        <v>1113653</v>
      </c>
      <c r="PQ30">
        <v>1113653</v>
      </c>
      <c r="PR30">
        <v>1115710</v>
      </c>
      <c r="PS30">
        <v>1116743</v>
      </c>
      <c r="PT30">
        <v>1118834</v>
      </c>
      <c r="PU30">
        <v>1121382</v>
      </c>
      <c r="PV30">
        <v>1121382</v>
      </c>
      <c r="PW30">
        <v>1121382</v>
      </c>
      <c r="PX30">
        <v>1121382</v>
      </c>
      <c r="PY30">
        <v>1121382</v>
      </c>
      <c r="PZ30">
        <v>1121382</v>
      </c>
      <c r="QA30">
        <v>1121382</v>
      </c>
      <c r="QB30">
        <v>1121382</v>
      </c>
      <c r="QC30">
        <v>1122483</v>
      </c>
      <c r="QD30">
        <v>1122483</v>
      </c>
      <c r="QE30">
        <v>1122483</v>
      </c>
      <c r="QF30">
        <v>1124574</v>
      </c>
      <c r="QG30">
        <v>1124574</v>
      </c>
      <c r="QH30">
        <v>1125268</v>
      </c>
      <c r="QI30">
        <v>1126359</v>
      </c>
      <c r="QJ30">
        <v>1126954</v>
      </c>
      <c r="QK30">
        <v>1126954</v>
      </c>
      <c r="QL30">
        <v>1126954</v>
      </c>
      <c r="QM30">
        <v>1128598</v>
      </c>
      <c r="QN30">
        <v>1129459</v>
      </c>
      <c r="QO30">
        <v>1130462</v>
      </c>
      <c r="QP30">
        <v>1131421</v>
      </c>
      <c r="QQ30">
        <v>1132491</v>
      </c>
      <c r="QR30">
        <v>1132491</v>
      </c>
      <c r="QS30">
        <v>1132491</v>
      </c>
      <c r="QT30">
        <v>1134218</v>
      </c>
      <c r="QU30">
        <v>1135433</v>
      </c>
      <c r="QV30">
        <v>1135433</v>
      </c>
      <c r="QW30">
        <v>1135703</v>
      </c>
      <c r="QX30">
        <v>1135703</v>
      </c>
      <c r="QY30">
        <v>1135703</v>
      </c>
      <c r="QZ30">
        <v>1135703</v>
      </c>
      <c r="RA30">
        <v>1138608</v>
      </c>
      <c r="RB30">
        <v>1139978</v>
      </c>
      <c r="RC30">
        <v>1139978</v>
      </c>
      <c r="RD30">
        <v>1139978</v>
      </c>
      <c r="RE30">
        <v>1139978</v>
      </c>
      <c r="RF30">
        <v>1139978</v>
      </c>
      <c r="RG30">
        <v>1139978</v>
      </c>
      <c r="RH30">
        <v>1139978</v>
      </c>
      <c r="RI30">
        <v>1141474</v>
      </c>
      <c r="RJ30">
        <v>1143557</v>
      </c>
      <c r="RK30">
        <v>1147021</v>
      </c>
      <c r="RL30">
        <v>1149633</v>
      </c>
      <c r="RM30">
        <v>1149633</v>
      </c>
      <c r="RN30">
        <v>1149633</v>
      </c>
      <c r="RO30">
        <v>1153594</v>
      </c>
      <c r="RP30">
        <v>1156120</v>
      </c>
      <c r="RQ30">
        <v>1158074</v>
      </c>
      <c r="RR30">
        <v>1161477</v>
      </c>
      <c r="RS30">
        <v>1164276</v>
      </c>
      <c r="RT30">
        <v>1164276</v>
      </c>
      <c r="RU30">
        <v>1164276</v>
      </c>
      <c r="RV30">
        <v>1168922</v>
      </c>
      <c r="RW30">
        <v>1171225</v>
      </c>
      <c r="RX30">
        <v>1174632</v>
      </c>
      <c r="RY30">
        <v>1177198</v>
      </c>
      <c r="RZ30">
        <v>1180490</v>
      </c>
      <c r="SA30">
        <v>1180490</v>
      </c>
      <c r="SB30">
        <v>1180490</v>
      </c>
      <c r="SC30">
        <v>1185301</v>
      </c>
      <c r="SD30">
        <v>1188129</v>
      </c>
      <c r="SE30">
        <v>1189896</v>
      </c>
      <c r="SF30">
        <v>1189896</v>
      </c>
      <c r="SG30">
        <v>1189896</v>
      </c>
      <c r="SH30">
        <v>1189896</v>
      </c>
      <c r="SI30">
        <v>1189896</v>
      </c>
      <c r="SJ30">
        <v>1189896</v>
      </c>
      <c r="SK30">
        <v>1189896</v>
      </c>
      <c r="SL30">
        <v>1189896</v>
      </c>
      <c r="SM30">
        <v>1189896</v>
      </c>
      <c r="SN30">
        <v>1189896</v>
      </c>
      <c r="SO30">
        <v>1189896</v>
      </c>
      <c r="SP30">
        <v>1189896</v>
      </c>
      <c r="SQ30">
        <v>1260227</v>
      </c>
      <c r="SR30">
        <v>1263329</v>
      </c>
      <c r="SS30">
        <v>1263329</v>
      </c>
      <c r="ST30">
        <v>1263329</v>
      </c>
      <c r="SU30">
        <v>1263329</v>
      </c>
      <c r="SV30">
        <v>1263329</v>
      </c>
      <c r="SW30">
        <v>1263329</v>
      </c>
      <c r="SX30">
        <v>1263329</v>
      </c>
      <c r="SY30">
        <v>1263329</v>
      </c>
      <c r="SZ30">
        <v>1263329</v>
      </c>
      <c r="TA30">
        <v>1263329</v>
      </c>
      <c r="TB30">
        <v>1263329</v>
      </c>
      <c r="TC30">
        <v>1263329</v>
      </c>
      <c r="TD30">
        <v>1263329</v>
      </c>
      <c r="TE30">
        <v>1263329</v>
      </c>
      <c r="TF30">
        <v>1263329</v>
      </c>
      <c r="TG30">
        <v>1263329</v>
      </c>
      <c r="TH30">
        <v>1263329</v>
      </c>
      <c r="TI30">
        <v>1263329</v>
      </c>
      <c r="TJ30">
        <v>1263329</v>
      </c>
      <c r="TK30">
        <v>1263329</v>
      </c>
      <c r="TL30">
        <v>1263329</v>
      </c>
      <c r="TM30">
        <v>1263329</v>
      </c>
      <c r="TN30">
        <v>1263329</v>
      </c>
      <c r="TO30">
        <v>1263329</v>
      </c>
      <c r="TP30">
        <v>1263329</v>
      </c>
      <c r="TQ30">
        <v>1263329</v>
      </c>
      <c r="TR30">
        <v>1263329</v>
      </c>
      <c r="TS30">
        <v>1263329</v>
      </c>
      <c r="TT30">
        <v>1263329</v>
      </c>
      <c r="TU30">
        <v>1263329</v>
      </c>
      <c r="TV30">
        <v>1263329</v>
      </c>
      <c r="TW30">
        <v>1263329</v>
      </c>
      <c r="TX30">
        <v>1263329</v>
      </c>
      <c r="TY30">
        <v>1263329</v>
      </c>
      <c r="TZ30">
        <v>1263329</v>
      </c>
      <c r="UA30">
        <v>1263329</v>
      </c>
      <c r="UB30">
        <v>1263329</v>
      </c>
      <c r="UC30">
        <v>1263329</v>
      </c>
      <c r="UD30">
        <v>1263329</v>
      </c>
      <c r="UE30">
        <v>1263329</v>
      </c>
      <c r="UF30">
        <v>1263329</v>
      </c>
      <c r="UG30">
        <v>1263329</v>
      </c>
      <c r="UH30">
        <v>1263329</v>
      </c>
      <c r="UI30">
        <v>1263329</v>
      </c>
      <c r="UJ30">
        <v>1263329</v>
      </c>
      <c r="UK30">
        <v>1263329</v>
      </c>
      <c r="UL30">
        <v>1263329</v>
      </c>
      <c r="UM30">
        <v>1263329</v>
      </c>
      <c r="UN30">
        <v>1263329</v>
      </c>
      <c r="UO30">
        <v>1263329</v>
      </c>
      <c r="UP30">
        <v>1263329</v>
      </c>
      <c r="UQ30">
        <v>1263329</v>
      </c>
      <c r="UR30">
        <v>1263329</v>
      </c>
      <c r="US30">
        <v>1263329</v>
      </c>
      <c r="UT30">
        <v>1263329</v>
      </c>
      <c r="UU30">
        <v>1263329</v>
      </c>
      <c r="UV30">
        <v>1263329</v>
      </c>
      <c r="UW30">
        <v>1263329</v>
      </c>
      <c r="UX30">
        <v>1263329</v>
      </c>
      <c r="UY30">
        <v>1263329</v>
      </c>
      <c r="UZ30">
        <v>1263329</v>
      </c>
      <c r="VA30">
        <v>1263329</v>
      </c>
      <c r="VB30">
        <v>1263329</v>
      </c>
      <c r="VC30">
        <v>1263329</v>
      </c>
      <c r="VD30">
        <v>1263329</v>
      </c>
      <c r="VE30">
        <v>1263329</v>
      </c>
      <c r="VF30">
        <v>1263329</v>
      </c>
      <c r="VG30">
        <v>1263329</v>
      </c>
      <c r="VH30">
        <v>1263329</v>
      </c>
      <c r="VI30">
        <v>1263329</v>
      </c>
      <c r="VJ30">
        <v>1263329</v>
      </c>
      <c r="VK30">
        <v>1263329</v>
      </c>
      <c r="VL30">
        <v>1263329</v>
      </c>
      <c r="VM30">
        <v>1263329</v>
      </c>
      <c r="VN30">
        <v>1263329</v>
      </c>
      <c r="VO30">
        <v>1263329</v>
      </c>
      <c r="VP30">
        <v>1263329</v>
      </c>
      <c r="VQ30">
        <v>1263329</v>
      </c>
      <c r="VR30">
        <v>1263329</v>
      </c>
      <c r="VS30">
        <v>1263329</v>
      </c>
      <c r="VT30">
        <v>1263329</v>
      </c>
      <c r="VU30">
        <v>1263329</v>
      </c>
      <c r="VV30">
        <v>1263329</v>
      </c>
      <c r="VW30">
        <v>1357403</v>
      </c>
      <c r="VX30">
        <v>1358559</v>
      </c>
      <c r="VY30">
        <v>1359869</v>
      </c>
      <c r="VZ30">
        <v>1359869</v>
      </c>
      <c r="WA30">
        <v>1359869</v>
      </c>
      <c r="WB30">
        <v>1359869</v>
      </c>
      <c r="WC30">
        <v>1363322</v>
      </c>
      <c r="WD30">
        <v>1364273</v>
      </c>
      <c r="WE30">
        <v>1364273</v>
      </c>
      <c r="WF30">
        <v>1365056</v>
      </c>
      <c r="WG30">
        <v>1365056</v>
      </c>
      <c r="WH30">
        <v>1365056</v>
      </c>
      <c r="WI30">
        <v>1365056</v>
      </c>
      <c r="WJ30">
        <v>1366423</v>
      </c>
      <c r="WK30">
        <v>1366423</v>
      </c>
      <c r="WL30">
        <v>1369816</v>
      </c>
      <c r="WM30">
        <v>1369816</v>
      </c>
      <c r="WN30">
        <v>1369816</v>
      </c>
      <c r="WO30">
        <v>1369816</v>
      </c>
      <c r="WP30">
        <v>1369816</v>
      </c>
      <c r="WQ30">
        <v>1375498</v>
      </c>
      <c r="WR30">
        <v>1375498</v>
      </c>
      <c r="WS30">
        <v>1375498</v>
      </c>
      <c r="WT30">
        <v>1375498</v>
      </c>
      <c r="WU30">
        <v>1376322</v>
      </c>
      <c r="WV30">
        <v>1376322</v>
      </c>
      <c r="WW30">
        <v>1376322</v>
      </c>
      <c r="WX30">
        <v>1381202</v>
      </c>
      <c r="WY30">
        <v>1381202</v>
      </c>
      <c r="WZ30">
        <v>1381202</v>
      </c>
      <c r="XA30">
        <v>1382273</v>
      </c>
      <c r="XB30">
        <v>1382273</v>
      </c>
      <c r="XC30">
        <v>1382942</v>
      </c>
      <c r="XD30">
        <v>1382942</v>
      </c>
      <c r="XE30">
        <v>1382942</v>
      </c>
      <c r="XF30">
        <v>1387113</v>
      </c>
      <c r="XG30">
        <v>1387113</v>
      </c>
      <c r="XH30">
        <v>1387113</v>
      </c>
      <c r="XI30">
        <v>1387113</v>
      </c>
      <c r="XJ30">
        <v>1387113</v>
      </c>
      <c r="XK30">
        <v>1387113</v>
      </c>
      <c r="XL30">
        <v>1387113</v>
      </c>
      <c r="XM30">
        <v>1393083</v>
      </c>
      <c r="XN30">
        <v>1393083</v>
      </c>
      <c r="XO30">
        <v>1393083</v>
      </c>
      <c r="XP30">
        <v>1393083</v>
      </c>
      <c r="XQ30">
        <v>1393083</v>
      </c>
      <c r="XR30">
        <v>1396711</v>
      </c>
      <c r="XS30">
        <v>1396711</v>
      </c>
      <c r="XT30">
        <v>1396711</v>
      </c>
      <c r="XU30">
        <v>1396711</v>
      </c>
      <c r="XV30">
        <v>1396711</v>
      </c>
      <c r="XW30">
        <v>1396711</v>
      </c>
      <c r="XX30">
        <v>1396711</v>
      </c>
      <c r="XY30">
        <v>1396711</v>
      </c>
      <c r="XZ30">
        <v>1398601</v>
      </c>
      <c r="YA30">
        <v>1398601</v>
      </c>
      <c r="YB30">
        <v>1401268</v>
      </c>
      <c r="YC30">
        <v>1404069</v>
      </c>
      <c r="YD30">
        <v>1404069</v>
      </c>
      <c r="YE30">
        <v>1404069</v>
      </c>
      <c r="YF30" s="1">
        <v>1404069</v>
      </c>
      <c r="YG30" s="1">
        <v>1404069</v>
      </c>
      <c r="YH30" s="1">
        <v>1404069</v>
      </c>
      <c r="YI30" s="1">
        <v>1404069</v>
      </c>
      <c r="YJ30">
        <v>1404069</v>
      </c>
      <c r="YK30">
        <v>1410623</v>
      </c>
      <c r="YL30">
        <v>1410623</v>
      </c>
      <c r="YM30">
        <v>1412412</v>
      </c>
      <c r="YN30">
        <v>1415120</v>
      </c>
      <c r="YO30">
        <v>1415120</v>
      </c>
      <c r="YP30">
        <v>1415120</v>
      </c>
      <c r="YQ30">
        <v>1415120</v>
      </c>
      <c r="YR30">
        <v>1415120</v>
      </c>
      <c r="YS30">
        <v>1415120</v>
      </c>
      <c r="YT30">
        <v>1415120</v>
      </c>
      <c r="YU30">
        <v>1420311</v>
      </c>
      <c r="YV30">
        <v>1420311</v>
      </c>
      <c r="YW30">
        <v>1433472</v>
      </c>
      <c r="YX30">
        <v>1433472</v>
      </c>
      <c r="YY30">
        <v>1433472</v>
      </c>
      <c r="YZ30">
        <v>1433472</v>
      </c>
      <c r="ZA30">
        <v>1433472</v>
      </c>
      <c r="ZB30">
        <v>1433472</v>
      </c>
      <c r="ZC30">
        <v>1433472</v>
      </c>
      <c r="ZD30">
        <v>1438732</v>
      </c>
      <c r="ZE30">
        <v>1438732</v>
      </c>
      <c r="ZF30">
        <v>1445273</v>
      </c>
      <c r="ZG30">
        <v>1445273</v>
      </c>
      <c r="ZH30">
        <v>1445273</v>
      </c>
      <c r="ZI30">
        <v>1452125</v>
      </c>
      <c r="ZJ30">
        <v>1452125</v>
      </c>
      <c r="ZK30">
        <v>1458053</v>
      </c>
      <c r="ZL30">
        <v>1458053</v>
      </c>
      <c r="ZM30">
        <v>1462318</v>
      </c>
      <c r="ZN30">
        <v>1462318</v>
      </c>
      <c r="ZO30">
        <v>1462318</v>
      </c>
      <c r="ZP30">
        <v>1462318</v>
      </c>
      <c r="ZQ30">
        <v>1467527</v>
      </c>
      <c r="ZR30">
        <v>1467527</v>
      </c>
      <c r="ZS30">
        <v>1471613</v>
      </c>
      <c r="ZT30">
        <v>1471613</v>
      </c>
      <c r="ZU30">
        <v>1471613</v>
      </c>
      <c r="ZV30">
        <v>1471613</v>
      </c>
      <c r="ZW30">
        <v>1479870</v>
      </c>
      <c r="ZX30">
        <v>1479870</v>
      </c>
      <c r="ZY30">
        <v>1479870</v>
      </c>
      <c r="ZZ30">
        <v>1482438</v>
      </c>
      <c r="AAA30">
        <v>1482438</v>
      </c>
      <c r="AAB30">
        <v>1482438</v>
      </c>
      <c r="AAC30">
        <v>1482438</v>
      </c>
      <c r="AAD30">
        <v>1482438</v>
      </c>
      <c r="AAE30">
        <v>1489133</v>
      </c>
      <c r="AAF30">
        <v>1494003</v>
      </c>
      <c r="AAG30">
        <v>1494003</v>
      </c>
      <c r="AAH30">
        <v>1494003</v>
      </c>
      <c r="AAI30">
        <v>1494003</v>
      </c>
      <c r="AAJ30">
        <v>1499738</v>
      </c>
      <c r="AAK30">
        <v>1499738</v>
      </c>
      <c r="AAL30">
        <v>1499738</v>
      </c>
      <c r="AAM30">
        <v>1505597</v>
      </c>
      <c r="AAN30">
        <v>1509607</v>
      </c>
      <c r="AAO30">
        <v>1509607</v>
      </c>
      <c r="AAP30">
        <v>1509607</v>
      </c>
      <c r="AAQ30">
        <v>1509607</v>
      </c>
      <c r="AAR30">
        <v>1509607</v>
      </c>
      <c r="AAS30">
        <v>1509607</v>
      </c>
      <c r="AAT30">
        <v>1509607</v>
      </c>
      <c r="AAU30">
        <v>1512013</v>
      </c>
      <c r="AAV30">
        <v>1512013</v>
      </c>
      <c r="AAW30">
        <v>1512013</v>
      </c>
      <c r="AAX30">
        <v>1512013</v>
      </c>
      <c r="AAY30">
        <v>1517825</v>
      </c>
      <c r="AAZ30">
        <v>1517825</v>
      </c>
      <c r="ABA30">
        <v>1517825</v>
      </c>
      <c r="ABB30">
        <v>1520247</v>
      </c>
      <c r="ABC30">
        <v>1520247</v>
      </c>
      <c r="ABD30">
        <v>1520247</v>
      </c>
      <c r="ABE30">
        <v>1520247</v>
      </c>
      <c r="ABF30">
        <v>1523122</v>
      </c>
      <c r="ABG30">
        <v>1523122</v>
      </c>
      <c r="ABH30">
        <v>1524368</v>
      </c>
      <c r="ABI30">
        <v>1524368</v>
      </c>
      <c r="ABJ30">
        <v>1524368</v>
      </c>
      <c r="ABK30">
        <v>1527364</v>
      </c>
      <c r="ABL30">
        <v>1527364</v>
      </c>
      <c r="ABM30">
        <v>1528531</v>
      </c>
      <c r="ABN30">
        <v>1528531</v>
      </c>
      <c r="ABO30">
        <v>1528531</v>
      </c>
      <c r="ABP30">
        <v>1528531</v>
      </c>
      <c r="ABQ30">
        <v>1528531</v>
      </c>
      <c r="ABR30">
        <v>1528531</v>
      </c>
      <c r="ABS30">
        <v>1528531</v>
      </c>
      <c r="ABT30">
        <v>1528531</v>
      </c>
      <c r="ABU30">
        <v>1528531</v>
      </c>
      <c r="ABV30">
        <v>1533488</v>
      </c>
      <c r="ABW30">
        <v>1533488</v>
      </c>
      <c r="ABX30">
        <v>1533488</v>
      </c>
      <c r="ABY30">
        <v>1533488</v>
      </c>
      <c r="ABZ30">
        <v>1533488</v>
      </c>
      <c r="ACA30">
        <v>1533488</v>
      </c>
      <c r="ACB30">
        <v>1533488</v>
      </c>
      <c r="ACC30">
        <v>1533488</v>
      </c>
      <c r="ACD30">
        <v>1533488</v>
      </c>
      <c r="ACE30">
        <v>1533488</v>
      </c>
      <c r="ACF30">
        <v>1533488</v>
      </c>
      <c r="ACG30">
        <v>1538888</v>
      </c>
      <c r="ACH30">
        <v>1538888</v>
      </c>
      <c r="ACI30">
        <v>1538888</v>
      </c>
      <c r="ACJ30">
        <v>1538888</v>
      </c>
      <c r="ACK30">
        <v>1542027</v>
      </c>
      <c r="ACL30">
        <v>1542027</v>
      </c>
      <c r="ACM30">
        <v>1542027</v>
      </c>
      <c r="ACN30">
        <v>1542027</v>
      </c>
      <c r="ACO30">
        <v>1542027</v>
      </c>
      <c r="ACP30">
        <v>1542027</v>
      </c>
      <c r="ACQ30">
        <v>1542027</v>
      </c>
      <c r="ACR30">
        <v>1542027</v>
      </c>
      <c r="ACS30">
        <v>1542027</v>
      </c>
      <c r="ACT30">
        <v>1542027</v>
      </c>
      <c r="ACU30">
        <v>1542027</v>
      </c>
      <c r="ACV30">
        <v>1549348</v>
      </c>
      <c r="ACW30">
        <v>1549348</v>
      </c>
      <c r="ACX30">
        <v>1549348</v>
      </c>
      <c r="ACY30">
        <v>1549348</v>
      </c>
      <c r="ACZ30">
        <v>1549348</v>
      </c>
      <c r="ADA30">
        <v>1549348</v>
      </c>
      <c r="ADB30">
        <v>1549348</v>
      </c>
      <c r="ADC30">
        <v>1549348</v>
      </c>
      <c r="ADD30">
        <v>1549348</v>
      </c>
      <c r="ADE30">
        <v>1549348</v>
      </c>
      <c r="ADF30">
        <v>1554691</v>
      </c>
      <c r="ADG30">
        <v>1554691</v>
      </c>
      <c r="ADH30">
        <v>1554691</v>
      </c>
      <c r="ADI30">
        <v>1556510</v>
      </c>
      <c r="ADJ30">
        <v>1556510</v>
      </c>
      <c r="ADK30">
        <v>1556510</v>
      </c>
      <c r="ADL30">
        <v>1559792</v>
      </c>
      <c r="ADM30">
        <v>1559792</v>
      </c>
      <c r="ADN30">
        <v>1559792</v>
      </c>
      <c r="ADO30">
        <v>1559792</v>
      </c>
      <c r="ADP30">
        <v>1559792</v>
      </c>
      <c r="ADQ30">
        <v>1559792</v>
      </c>
      <c r="ADR30">
        <v>1559792</v>
      </c>
      <c r="ADS30">
        <v>1559792</v>
      </c>
      <c r="ADT30">
        <v>1559792</v>
      </c>
      <c r="ADU30">
        <v>1559792</v>
      </c>
      <c r="ADV30">
        <v>1559792</v>
      </c>
      <c r="ADW30">
        <v>1563056</v>
      </c>
      <c r="ADX30">
        <v>1563056</v>
      </c>
      <c r="ADY30">
        <v>1568024</v>
      </c>
      <c r="ADZ30">
        <v>1568024</v>
      </c>
      <c r="AEA30">
        <v>1568024</v>
      </c>
      <c r="AEB30">
        <v>1568024</v>
      </c>
      <c r="AEC30">
        <v>1568024</v>
      </c>
      <c r="AED30">
        <v>1568024</v>
      </c>
      <c r="AEE30">
        <v>1568024</v>
      </c>
      <c r="AEF30">
        <v>1568024</v>
      </c>
      <c r="AEG30">
        <v>1568024</v>
      </c>
      <c r="AEH30">
        <v>1568024</v>
      </c>
      <c r="AEI30">
        <v>1568024</v>
      </c>
      <c r="AEJ30">
        <v>1568024</v>
      </c>
      <c r="AEK30">
        <v>1579199</v>
      </c>
      <c r="AEL30">
        <v>1579199</v>
      </c>
      <c r="AEM30">
        <v>1579199</v>
      </c>
      <c r="AEN30">
        <v>1579199</v>
      </c>
      <c r="AEO30">
        <v>1579199</v>
      </c>
      <c r="AEP30">
        <v>1579199</v>
      </c>
      <c r="AEQ30">
        <v>1579199</v>
      </c>
      <c r="AER30">
        <v>1590430</v>
      </c>
      <c r="AES30">
        <v>1590430</v>
      </c>
      <c r="AET30">
        <v>1590430</v>
      </c>
      <c r="AEU30">
        <v>1590430</v>
      </c>
      <c r="AEV30">
        <v>1590430</v>
      </c>
      <c r="AEW30">
        <v>1590430</v>
      </c>
      <c r="AEX30">
        <v>1590430</v>
      </c>
      <c r="AEY30">
        <v>1590430</v>
      </c>
      <c r="AEZ30">
        <v>1590430</v>
      </c>
      <c r="AFA30">
        <v>1590430</v>
      </c>
      <c r="AFB30">
        <v>1590430</v>
      </c>
      <c r="AFC30">
        <v>1590430</v>
      </c>
      <c r="AFD30">
        <v>1590430</v>
      </c>
      <c r="AFE30">
        <v>1602425</v>
      </c>
      <c r="AFF30">
        <v>1602425</v>
      </c>
      <c r="AFG30">
        <v>1602425</v>
      </c>
      <c r="AFH30">
        <v>1602425</v>
      </c>
      <c r="AFI30">
        <v>1602425</v>
      </c>
      <c r="AFJ30">
        <v>1602425</v>
      </c>
      <c r="AFK30">
        <v>1602425</v>
      </c>
      <c r="AFL30">
        <v>1602425</v>
      </c>
      <c r="AFM30">
        <v>1602425</v>
      </c>
      <c r="AFN30">
        <v>1608989</v>
      </c>
      <c r="AFO30">
        <v>1608989</v>
      </c>
      <c r="AFP30">
        <v>1608989</v>
      </c>
      <c r="AFQ30">
        <v>1608989</v>
      </c>
      <c r="AFR30">
        <v>1608989</v>
      </c>
      <c r="AFS30">
        <v>1608989</v>
      </c>
      <c r="AFT30">
        <v>1614662</v>
      </c>
      <c r="AFU30">
        <v>1614662</v>
      </c>
      <c r="AFV30">
        <v>1614662</v>
      </c>
      <c r="AFW30">
        <v>1614662</v>
      </c>
      <c r="AFX30">
        <v>1614662</v>
      </c>
      <c r="AFY30">
        <v>1614662</v>
      </c>
      <c r="AFZ30">
        <v>1614662</v>
      </c>
      <c r="AGA30">
        <v>1620796</v>
      </c>
      <c r="AGB30">
        <v>1620796</v>
      </c>
      <c r="AGC30">
        <v>1620796</v>
      </c>
      <c r="AGD30">
        <v>1620796</v>
      </c>
      <c r="AGE30">
        <v>1620796</v>
      </c>
      <c r="AGF30">
        <v>1620796</v>
      </c>
      <c r="AGG30">
        <v>1620796</v>
      </c>
      <c r="AGH30">
        <v>1620796</v>
      </c>
      <c r="AGI30">
        <v>1620796</v>
      </c>
      <c r="AGJ30">
        <v>1620796</v>
      </c>
      <c r="AGK30">
        <v>1620796</v>
      </c>
      <c r="AGL30">
        <v>1620796</v>
      </c>
      <c r="AGM30">
        <v>1620796</v>
      </c>
      <c r="AGN30">
        <v>1620796</v>
      </c>
      <c r="AGO30">
        <v>1626616</v>
      </c>
      <c r="AGP30">
        <v>1626616</v>
      </c>
      <c r="AGQ30">
        <v>1626616</v>
      </c>
      <c r="AGR30">
        <v>1626616</v>
      </c>
      <c r="AGS30">
        <v>1626616</v>
      </c>
      <c r="AGT30">
        <v>1626616</v>
      </c>
      <c r="AGU30">
        <v>1626616</v>
      </c>
      <c r="AGV30">
        <v>1626616</v>
      </c>
      <c r="AGW30">
        <v>1626616</v>
      </c>
      <c r="AGX30">
        <v>1626616</v>
      </c>
      <c r="AGY30">
        <v>1626616</v>
      </c>
      <c r="AGZ30">
        <v>1626616</v>
      </c>
      <c r="AHA30">
        <v>1626616</v>
      </c>
      <c r="AHB30">
        <v>1626616</v>
      </c>
      <c r="AHC30">
        <v>1633222</v>
      </c>
      <c r="AHD30">
        <v>1633222</v>
      </c>
      <c r="AHE30">
        <v>1633222</v>
      </c>
      <c r="AHF30">
        <v>1633222</v>
      </c>
      <c r="AHG30">
        <v>1633222</v>
      </c>
      <c r="AHH30">
        <v>1633222</v>
      </c>
      <c r="AHI30">
        <v>1633222</v>
      </c>
      <c r="AHJ30">
        <v>1633222</v>
      </c>
      <c r="AHK30">
        <v>1635233</v>
      </c>
      <c r="AHL30">
        <v>1635233</v>
      </c>
      <c r="AHM30">
        <v>1635233</v>
      </c>
      <c r="AHN30">
        <v>1635233</v>
      </c>
      <c r="AHO30">
        <v>1635233</v>
      </c>
      <c r="AHP30">
        <v>1635233</v>
      </c>
      <c r="AHQ30">
        <v>1635233</v>
      </c>
    </row>
    <row r="31" spans="1:901">
      <c r="A31" s="1" t="s">
        <v>44</v>
      </c>
      <c r="B31">
        <v>1520463</v>
      </c>
      <c r="C31">
        <v>1545572</v>
      </c>
      <c r="D31">
        <v>1549643</v>
      </c>
      <c r="E31">
        <v>1565452</v>
      </c>
      <c r="F31">
        <v>1580377</v>
      </c>
      <c r="G31">
        <v>1586191</v>
      </c>
      <c r="H31">
        <v>1589975</v>
      </c>
      <c r="I31">
        <v>1604845</v>
      </c>
      <c r="J31">
        <v>1620878</v>
      </c>
      <c r="K31">
        <v>1635790</v>
      </c>
      <c r="L31">
        <v>1665057</v>
      </c>
      <c r="M31">
        <v>1671189</v>
      </c>
      <c r="N31">
        <v>1918800</v>
      </c>
      <c r="O31">
        <v>1935334</v>
      </c>
      <c r="P31">
        <v>1952221</v>
      </c>
      <c r="Q31">
        <v>1968556</v>
      </c>
      <c r="R31">
        <v>1983157</v>
      </c>
      <c r="S31">
        <v>1997375</v>
      </c>
      <c r="T31">
        <v>2003141</v>
      </c>
      <c r="U31">
        <v>2007202</v>
      </c>
      <c r="V31">
        <v>2021255</v>
      </c>
      <c r="W31">
        <v>2037413</v>
      </c>
      <c r="X31">
        <v>2053282</v>
      </c>
      <c r="Y31">
        <v>2068647</v>
      </c>
      <c r="Z31">
        <v>2084627</v>
      </c>
      <c r="AA31">
        <v>2088941</v>
      </c>
      <c r="AB31">
        <v>2093408</v>
      </c>
      <c r="AC31">
        <v>2109456</v>
      </c>
      <c r="AD31">
        <v>2127667</v>
      </c>
      <c r="AE31">
        <v>2144441</v>
      </c>
      <c r="AF31">
        <v>2160139</v>
      </c>
      <c r="AG31">
        <v>2176522</v>
      </c>
      <c r="AH31">
        <v>2183272</v>
      </c>
      <c r="AI31">
        <v>2187985</v>
      </c>
      <c r="AJ31">
        <v>2207837</v>
      </c>
      <c r="AK31">
        <v>2229212</v>
      </c>
      <c r="AL31">
        <v>2249619</v>
      </c>
      <c r="AM31">
        <v>2269833</v>
      </c>
      <c r="AN31">
        <v>2288589</v>
      </c>
      <c r="AO31">
        <v>2295678</v>
      </c>
      <c r="AP31">
        <v>2301629</v>
      </c>
      <c r="AQ31">
        <v>2323014</v>
      </c>
      <c r="AR31">
        <v>2344805</v>
      </c>
      <c r="AS31">
        <v>2365584</v>
      </c>
      <c r="AT31">
        <v>2386284</v>
      </c>
      <c r="AU31">
        <v>2403499</v>
      </c>
      <c r="AV31">
        <v>2410306</v>
      </c>
      <c r="AW31">
        <v>2414882</v>
      </c>
      <c r="AX31">
        <v>2425553</v>
      </c>
      <c r="AY31">
        <v>2445709</v>
      </c>
      <c r="AZ31">
        <v>2465699</v>
      </c>
      <c r="BA31">
        <v>2485143</v>
      </c>
      <c r="BB31">
        <v>2503564</v>
      </c>
      <c r="BC31">
        <v>2511207</v>
      </c>
      <c r="BD31">
        <v>2516413</v>
      </c>
      <c r="BE31">
        <v>2537046</v>
      </c>
      <c r="BF31">
        <v>2558441</v>
      </c>
      <c r="BG31">
        <v>2573807</v>
      </c>
      <c r="BH31">
        <v>2589508</v>
      </c>
      <c r="BI31">
        <v>2604659</v>
      </c>
      <c r="BJ31">
        <v>2610548</v>
      </c>
      <c r="BK31">
        <v>2614544</v>
      </c>
      <c r="BL31">
        <v>2618363</v>
      </c>
      <c r="BM31">
        <v>2632675</v>
      </c>
      <c r="BN31">
        <v>2649000</v>
      </c>
      <c r="BO31">
        <v>2665407</v>
      </c>
      <c r="BP31">
        <v>2684780</v>
      </c>
      <c r="BQ31">
        <v>2701734</v>
      </c>
      <c r="BR31">
        <v>2716315</v>
      </c>
      <c r="BS31">
        <v>2742996</v>
      </c>
      <c r="BT31">
        <v>2771888</v>
      </c>
      <c r="BU31">
        <v>2798399</v>
      </c>
      <c r="BV31">
        <v>2825030</v>
      </c>
      <c r="BW31">
        <v>2849307</v>
      </c>
      <c r="BX31">
        <v>2859239</v>
      </c>
      <c r="BY31">
        <v>2866225</v>
      </c>
      <c r="BZ31">
        <v>2892449</v>
      </c>
      <c r="CA31">
        <v>2919879</v>
      </c>
      <c r="CB31">
        <v>2948516</v>
      </c>
      <c r="CC31">
        <v>2977002</v>
      </c>
      <c r="CD31">
        <v>3005228</v>
      </c>
      <c r="CE31">
        <v>3016042</v>
      </c>
      <c r="CF31">
        <v>3023227</v>
      </c>
      <c r="CG31">
        <v>3053713</v>
      </c>
      <c r="CH31">
        <v>3086510</v>
      </c>
      <c r="CI31">
        <v>3118237</v>
      </c>
      <c r="CJ31">
        <v>3150804</v>
      </c>
      <c r="CK31">
        <v>3182316</v>
      </c>
      <c r="CL31">
        <v>3194264</v>
      </c>
      <c r="CM31">
        <v>3202327</v>
      </c>
      <c r="CN31">
        <v>3235890</v>
      </c>
      <c r="CO31">
        <v>3269134</v>
      </c>
      <c r="CP31">
        <v>3301436</v>
      </c>
      <c r="CQ31">
        <v>3333868</v>
      </c>
      <c r="CR31">
        <v>3365035</v>
      </c>
      <c r="CS31">
        <v>3377517</v>
      </c>
      <c r="CT31">
        <v>3386195</v>
      </c>
      <c r="CU31">
        <v>3420215</v>
      </c>
      <c r="CV31">
        <v>3452803</v>
      </c>
      <c r="CW31">
        <v>3483572</v>
      </c>
      <c r="CX31">
        <v>3506836</v>
      </c>
      <c r="CY31">
        <v>3511534</v>
      </c>
      <c r="CZ31">
        <v>3511534</v>
      </c>
      <c r="DA31">
        <v>3531289</v>
      </c>
      <c r="DB31">
        <v>3562957</v>
      </c>
      <c r="DC31">
        <v>3596935</v>
      </c>
      <c r="DD31">
        <v>3628951</v>
      </c>
      <c r="DE31">
        <v>3653597</v>
      </c>
      <c r="DF31">
        <v>3662239</v>
      </c>
      <c r="DG31">
        <v>3670800</v>
      </c>
      <c r="DH31">
        <v>3680371</v>
      </c>
      <c r="DI31">
        <v>3711777</v>
      </c>
      <c r="DJ31">
        <v>3747317</v>
      </c>
      <c r="DK31">
        <v>3781625</v>
      </c>
      <c r="DL31">
        <v>3818542</v>
      </c>
      <c r="DM31">
        <v>3854077</v>
      </c>
      <c r="DN31">
        <v>3868961</v>
      </c>
      <c r="DO31">
        <v>3879629</v>
      </c>
      <c r="DP31">
        <v>3918394</v>
      </c>
      <c r="DQ31">
        <v>3959944</v>
      </c>
      <c r="DR31">
        <v>3999407</v>
      </c>
      <c r="DS31">
        <v>4052143</v>
      </c>
      <c r="DT31">
        <v>4100111</v>
      </c>
      <c r="DU31">
        <v>4121929</v>
      </c>
      <c r="DV31">
        <v>4139021</v>
      </c>
      <c r="DW31">
        <v>4190185</v>
      </c>
      <c r="DX31">
        <v>4244955</v>
      </c>
      <c r="DY31">
        <v>4299224</v>
      </c>
      <c r="DZ31">
        <v>4353072</v>
      </c>
      <c r="EA31">
        <v>4404916</v>
      </c>
      <c r="EB31">
        <v>4426668</v>
      </c>
      <c r="EC31">
        <v>4443940</v>
      </c>
      <c r="ED31">
        <v>4492270</v>
      </c>
      <c r="EE31">
        <v>4544322</v>
      </c>
      <c r="EF31">
        <v>4595309</v>
      </c>
      <c r="EG31">
        <v>4642539</v>
      </c>
      <c r="EH31">
        <v>4684273</v>
      </c>
      <c r="EI31">
        <v>4700463</v>
      </c>
      <c r="EJ31">
        <v>4711197</v>
      </c>
      <c r="EK31">
        <v>4721997</v>
      </c>
      <c r="EL31">
        <v>4762394</v>
      </c>
      <c r="EM31">
        <v>4805195</v>
      </c>
      <c r="EN31">
        <v>4843302</v>
      </c>
      <c r="EO31">
        <v>4880032</v>
      </c>
      <c r="EP31">
        <v>4893829</v>
      </c>
      <c r="EQ31">
        <v>4902400</v>
      </c>
      <c r="ER31">
        <v>4939771</v>
      </c>
      <c r="ES31">
        <v>4978871</v>
      </c>
      <c r="ET31">
        <v>5016163</v>
      </c>
      <c r="EU31">
        <v>5051401</v>
      </c>
      <c r="EV31">
        <v>5085315</v>
      </c>
      <c r="EW31">
        <v>5097666</v>
      </c>
      <c r="EX31">
        <v>5104764</v>
      </c>
      <c r="EY31">
        <v>5138262</v>
      </c>
      <c r="EZ31">
        <v>5171357</v>
      </c>
      <c r="FA31">
        <v>5203847</v>
      </c>
      <c r="FB31">
        <v>5236429</v>
      </c>
      <c r="FC31">
        <v>5266415</v>
      </c>
      <c r="FD31">
        <v>5277696</v>
      </c>
      <c r="FE31">
        <v>5285123</v>
      </c>
      <c r="FF31">
        <v>5319005</v>
      </c>
      <c r="FG31">
        <v>5352875</v>
      </c>
      <c r="FH31">
        <v>5384564</v>
      </c>
      <c r="FI31">
        <v>5414012</v>
      </c>
      <c r="FJ31">
        <v>5443167</v>
      </c>
      <c r="FK31">
        <v>5453322</v>
      </c>
      <c r="FL31">
        <v>5460692</v>
      </c>
      <c r="FM31">
        <v>5493439</v>
      </c>
      <c r="FN31">
        <v>5524624</v>
      </c>
      <c r="FO31">
        <v>5555699</v>
      </c>
      <c r="FP31">
        <v>5583199</v>
      </c>
      <c r="FQ31">
        <v>5608961</v>
      </c>
      <c r="FR31">
        <v>5619656</v>
      </c>
      <c r="FS31">
        <v>5626739</v>
      </c>
      <c r="FT31">
        <v>5656885</v>
      </c>
      <c r="FU31">
        <v>5685052</v>
      </c>
      <c r="FV31">
        <v>5711049</v>
      </c>
      <c r="FW31">
        <v>5737083</v>
      </c>
      <c r="FX31">
        <v>5762611</v>
      </c>
      <c r="FY31">
        <v>5771369</v>
      </c>
      <c r="FZ31">
        <v>5776241</v>
      </c>
      <c r="GA31">
        <v>5782013</v>
      </c>
      <c r="GB31">
        <v>5811642</v>
      </c>
      <c r="GC31">
        <v>5839528</v>
      </c>
      <c r="GD31">
        <v>5865279</v>
      </c>
      <c r="GE31">
        <v>5889318</v>
      </c>
      <c r="GF31">
        <v>5896765</v>
      </c>
      <c r="GG31">
        <v>5902321</v>
      </c>
      <c r="GH31">
        <v>5931263</v>
      </c>
      <c r="GI31">
        <v>5957631</v>
      </c>
      <c r="GJ31">
        <v>5983144</v>
      </c>
      <c r="GK31">
        <v>6006949</v>
      </c>
      <c r="GL31">
        <v>6027613</v>
      </c>
      <c r="GM31">
        <v>6034939</v>
      </c>
      <c r="GN31">
        <v>6040130</v>
      </c>
      <c r="GO31">
        <v>6064908</v>
      </c>
      <c r="GP31">
        <v>6089631</v>
      </c>
      <c r="GQ31">
        <v>6110815</v>
      </c>
      <c r="GR31">
        <v>6124274</v>
      </c>
      <c r="GS31">
        <v>6133559</v>
      </c>
      <c r="GT31">
        <v>6138274</v>
      </c>
      <c r="GU31">
        <v>6143274</v>
      </c>
      <c r="GV31">
        <v>6168255</v>
      </c>
      <c r="GW31">
        <v>6191679</v>
      </c>
      <c r="GX31">
        <v>6216314</v>
      </c>
      <c r="GY31">
        <v>6241611</v>
      </c>
      <c r="GZ31">
        <v>6265261</v>
      </c>
      <c r="HA31" s="3">
        <v>6272394</v>
      </c>
      <c r="HB31">
        <v>6279527</v>
      </c>
      <c r="HC31">
        <v>6305194</v>
      </c>
      <c r="HD31">
        <v>6332152</v>
      </c>
      <c r="HE31">
        <v>6355381</v>
      </c>
      <c r="HF31">
        <v>6378763</v>
      </c>
      <c r="HG31">
        <v>6400316</v>
      </c>
      <c r="HH31">
        <v>6407248</v>
      </c>
      <c r="HI31">
        <v>6412677</v>
      </c>
      <c r="HJ31">
        <v>6438267</v>
      </c>
      <c r="HK31">
        <v>6463391</v>
      </c>
      <c r="HL31">
        <v>6487007</v>
      </c>
      <c r="HM31">
        <v>6509956</v>
      </c>
      <c r="HN31">
        <v>6531935</v>
      </c>
      <c r="HO31">
        <v>6538675</v>
      </c>
      <c r="HP31">
        <v>6544421</v>
      </c>
      <c r="HQ31">
        <v>6567070</v>
      </c>
      <c r="HR31">
        <v>6589963</v>
      </c>
      <c r="HS31">
        <v>6612450</v>
      </c>
      <c r="HT31">
        <v>6632938</v>
      </c>
      <c r="HU31">
        <v>6650124</v>
      </c>
      <c r="HV31">
        <v>6654713</v>
      </c>
      <c r="HW31">
        <v>6659184</v>
      </c>
      <c r="HX31">
        <v>6678270</v>
      </c>
      <c r="HY31">
        <v>6697736</v>
      </c>
      <c r="HZ31">
        <v>6714852</v>
      </c>
      <c r="IA31">
        <v>6734249</v>
      </c>
      <c r="IB31">
        <v>6751476</v>
      </c>
      <c r="IC31">
        <v>6757360</v>
      </c>
      <c r="ID31">
        <v>6761179</v>
      </c>
      <c r="IE31">
        <v>6774089</v>
      </c>
      <c r="IF31">
        <v>6791913</v>
      </c>
      <c r="IG31">
        <v>6811363</v>
      </c>
      <c r="IH31">
        <v>6829477</v>
      </c>
      <c r="II31">
        <v>6846110</v>
      </c>
      <c r="IJ31">
        <v>6852082</v>
      </c>
      <c r="IK31">
        <v>6856267</v>
      </c>
      <c r="IL31">
        <v>6874702</v>
      </c>
      <c r="IM31">
        <v>6886170</v>
      </c>
      <c r="IN31">
        <v>6905098</v>
      </c>
      <c r="IO31">
        <v>6920902</v>
      </c>
      <c r="IP31">
        <v>6937483</v>
      </c>
      <c r="IQ31">
        <v>6943110</v>
      </c>
      <c r="IR31">
        <v>6946817</v>
      </c>
      <c r="IS31">
        <v>6965015</v>
      </c>
      <c r="IT31">
        <v>6983441</v>
      </c>
      <c r="IU31">
        <v>7000956</v>
      </c>
      <c r="IV31">
        <v>7017606</v>
      </c>
      <c r="IW31">
        <v>7033895</v>
      </c>
      <c r="IX31">
        <v>7039017</v>
      </c>
      <c r="IY31">
        <v>7042816</v>
      </c>
      <c r="IZ31">
        <v>7060910</v>
      </c>
      <c r="JA31">
        <v>7078737</v>
      </c>
      <c r="JB31">
        <v>7095414</v>
      </c>
      <c r="JC31">
        <v>7111318</v>
      </c>
      <c r="JD31">
        <v>7126804</v>
      </c>
      <c r="JE31">
        <v>7131367</v>
      </c>
      <c r="JF31">
        <v>7134254</v>
      </c>
      <c r="JG31">
        <v>7152174</v>
      </c>
      <c r="JH31">
        <v>7171377</v>
      </c>
      <c r="JI31">
        <v>7189826</v>
      </c>
      <c r="JJ31">
        <v>7206669</v>
      </c>
      <c r="JK31">
        <v>7223365</v>
      </c>
      <c r="JL31">
        <v>7228942</v>
      </c>
      <c r="JM31">
        <v>7233257</v>
      </c>
      <c r="JN31">
        <v>7252170</v>
      </c>
      <c r="JO31">
        <v>7270369</v>
      </c>
      <c r="JP31">
        <v>7289606</v>
      </c>
      <c r="JQ31">
        <v>7308357</v>
      </c>
      <c r="JR31">
        <v>7326525</v>
      </c>
      <c r="JS31">
        <v>7332752</v>
      </c>
      <c r="JT31">
        <v>7337725</v>
      </c>
      <c r="JU31">
        <v>7357804</v>
      </c>
      <c r="JV31">
        <v>7380366</v>
      </c>
      <c r="JW31">
        <v>7402958</v>
      </c>
      <c r="JX31">
        <v>7425434</v>
      </c>
      <c r="JY31">
        <v>7446966</v>
      </c>
      <c r="JZ31">
        <v>7454371</v>
      </c>
      <c r="KA31">
        <v>7459703</v>
      </c>
      <c r="KB31">
        <v>7483779</v>
      </c>
      <c r="KC31">
        <v>7507730</v>
      </c>
      <c r="KD31">
        <v>7530188</v>
      </c>
      <c r="KE31">
        <v>7551665</v>
      </c>
      <c r="KF31">
        <v>7573379</v>
      </c>
      <c r="KG31">
        <v>7580614</v>
      </c>
      <c r="KH31">
        <v>7586118</v>
      </c>
      <c r="KI31">
        <v>7613594</v>
      </c>
      <c r="KJ31">
        <v>7642337</v>
      </c>
      <c r="KK31">
        <v>7671778</v>
      </c>
      <c r="KL31">
        <v>7702229</v>
      </c>
      <c r="KM31">
        <v>7732694</v>
      </c>
      <c r="KN31">
        <v>7741945</v>
      </c>
      <c r="KO31">
        <v>7749537</v>
      </c>
      <c r="KP31">
        <v>7784995</v>
      </c>
      <c r="KQ31">
        <v>7824073</v>
      </c>
      <c r="KR31">
        <v>7861968</v>
      </c>
      <c r="KS31">
        <v>7900346</v>
      </c>
      <c r="KT31">
        <v>7937949</v>
      </c>
      <c r="KU31">
        <v>7950230</v>
      </c>
      <c r="KV31">
        <v>7960939</v>
      </c>
      <c r="KW31">
        <v>8003778</v>
      </c>
      <c r="KX31">
        <v>8048736</v>
      </c>
      <c r="KY31">
        <v>8095331</v>
      </c>
      <c r="KZ31">
        <v>8143484</v>
      </c>
      <c r="LA31">
        <v>8188367</v>
      </c>
      <c r="LB31">
        <v>8203852</v>
      </c>
      <c r="LC31">
        <v>8217052</v>
      </c>
      <c r="LD31">
        <v>8265105</v>
      </c>
      <c r="LE31">
        <v>8317170</v>
      </c>
      <c r="LF31">
        <v>8369464</v>
      </c>
      <c r="LG31">
        <v>8421353</v>
      </c>
      <c r="LH31">
        <v>8470246</v>
      </c>
      <c r="LI31">
        <v>8484584</v>
      </c>
      <c r="LJ31">
        <v>8498355</v>
      </c>
      <c r="LK31">
        <v>8549081</v>
      </c>
      <c r="LL31">
        <v>8603299</v>
      </c>
      <c r="LM31">
        <v>8657417</v>
      </c>
      <c r="LN31">
        <v>8711596</v>
      </c>
      <c r="LO31">
        <v>8761949</v>
      </c>
      <c r="LP31">
        <v>8777985</v>
      </c>
      <c r="LQ31">
        <v>8791128</v>
      </c>
      <c r="LR31">
        <v>8842906</v>
      </c>
      <c r="LS31">
        <v>8900950</v>
      </c>
      <c r="LT31">
        <v>8963237</v>
      </c>
      <c r="LU31">
        <v>9022864</v>
      </c>
      <c r="LV31">
        <v>9082292</v>
      </c>
      <c r="LW31">
        <v>9099012</v>
      </c>
      <c r="LX31">
        <v>9113592</v>
      </c>
      <c r="LY31">
        <v>9113592</v>
      </c>
      <c r="LZ31">
        <v>9230161</v>
      </c>
      <c r="MA31">
        <v>9290922</v>
      </c>
      <c r="MB31">
        <v>9349369</v>
      </c>
      <c r="MC31">
        <v>9404287</v>
      </c>
      <c r="MD31">
        <v>9420060</v>
      </c>
      <c r="ME31">
        <v>9435061</v>
      </c>
      <c r="MF31">
        <v>9487541</v>
      </c>
      <c r="MG31">
        <v>9545307</v>
      </c>
      <c r="MH31">
        <v>9599527</v>
      </c>
      <c r="MI31">
        <v>9651264</v>
      </c>
      <c r="MJ31">
        <v>9698652</v>
      </c>
      <c r="MK31">
        <v>9712233</v>
      </c>
      <c r="ML31">
        <v>9723416</v>
      </c>
      <c r="MM31">
        <v>9758240</v>
      </c>
      <c r="MN31">
        <v>9803728</v>
      </c>
      <c r="MO31">
        <v>9852284</v>
      </c>
      <c r="MP31">
        <v>9897911</v>
      </c>
      <c r="MQ31">
        <v>9943832</v>
      </c>
      <c r="MR31">
        <v>9959493</v>
      </c>
      <c r="MS31">
        <v>9971374</v>
      </c>
      <c r="MT31">
        <v>10019051</v>
      </c>
      <c r="MU31">
        <v>10064440</v>
      </c>
      <c r="MV31">
        <v>10104334</v>
      </c>
      <c r="MW31">
        <v>10144739</v>
      </c>
      <c r="MX31">
        <v>10181677</v>
      </c>
      <c r="MY31">
        <v>10192805</v>
      </c>
      <c r="MZ31">
        <v>10201547</v>
      </c>
      <c r="NA31">
        <v>10243347</v>
      </c>
      <c r="NB31">
        <v>10281923</v>
      </c>
      <c r="NC31">
        <v>10302152</v>
      </c>
      <c r="ND31">
        <v>10311181</v>
      </c>
      <c r="NE31">
        <v>10347746</v>
      </c>
      <c r="NF31">
        <v>10359194</v>
      </c>
      <c r="NG31">
        <v>10368354</v>
      </c>
      <c r="NH31">
        <v>10408601</v>
      </c>
      <c r="NI31">
        <v>10445677</v>
      </c>
      <c r="NJ31">
        <v>10482129</v>
      </c>
      <c r="NK31">
        <v>10516234</v>
      </c>
      <c r="NL31">
        <v>10548157</v>
      </c>
      <c r="NM31">
        <v>10559580</v>
      </c>
      <c r="NN31">
        <v>10568982</v>
      </c>
      <c r="NO31">
        <v>10605457</v>
      </c>
      <c r="NP31">
        <v>10640760</v>
      </c>
      <c r="NQ31">
        <v>10674232</v>
      </c>
      <c r="NR31">
        <v>10702352</v>
      </c>
      <c r="NS31">
        <v>10728270</v>
      </c>
      <c r="NT31">
        <v>10737104</v>
      </c>
      <c r="NU31">
        <v>10744438</v>
      </c>
      <c r="NV31">
        <v>10776217</v>
      </c>
      <c r="NW31">
        <v>10807151</v>
      </c>
      <c r="NX31">
        <v>10838697</v>
      </c>
      <c r="NY31">
        <v>10869447</v>
      </c>
      <c r="NZ31">
        <v>10896583</v>
      </c>
      <c r="OA31">
        <v>10904990</v>
      </c>
      <c r="OB31">
        <v>10912276</v>
      </c>
      <c r="OC31">
        <v>10946370</v>
      </c>
      <c r="OD31">
        <v>10977398</v>
      </c>
      <c r="OE31">
        <v>11007297</v>
      </c>
      <c r="OF31">
        <v>11035519</v>
      </c>
      <c r="OG31">
        <v>11062664</v>
      </c>
      <c r="OH31">
        <v>11070392</v>
      </c>
      <c r="OI31">
        <v>11076401</v>
      </c>
      <c r="OJ31">
        <v>11105568</v>
      </c>
      <c r="OK31">
        <v>11132330</v>
      </c>
      <c r="OL31">
        <v>11158446</v>
      </c>
      <c r="OM31">
        <v>11183029</v>
      </c>
      <c r="ON31">
        <v>11207941</v>
      </c>
      <c r="OO31">
        <v>11215881</v>
      </c>
      <c r="OP31">
        <v>11222399</v>
      </c>
      <c r="OQ31">
        <v>11250436</v>
      </c>
      <c r="OR31">
        <v>11275833</v>
      </c>
      <c r="OS31">
        <v>11275833</v>
      </c>
      <c r="OT31">
        <v>11323003</v>
      </c>
      <c r="OU31">
        <v>11343255</v>
      </c>
      <c r="OV31">
        <v>11346642</v>
      </c>
      <c r="OW31">
        <v>11354665</v>
      </c>
      <c r="OX31">
        <v>11375069</v>
      </c>
      <c r="OY31">
        <v>11391028</v>
      </c>
      <c r="OZ31">
        <v>11414073</v>
      </c>
      <c r="PA31">
        <v>11437464</v>
      </c>
      <c r="PB31">
        <v>11459655</v>
      </c>
      <c r="PC31">
        <v>11465960</v>
      </c>
      <c r="PD31">
        <v>11471048</v>
      </c>
      <c r="PE31">
        <v>11498298</v>
      </c>
      <c r="PF31">
        <v>11522912</v>
      </c>
      <c r="PG31">
        <v>11546549</v>
      </c>
      <c r="PH31">
        <v>11568810</v>
      </c>
      <c r="PI31">
        <v>11591671</v>
      </c>
      <c r="PJ31">
        <v>11596638</v>
      </c>
      <c r="PK31">
        <v>11600384</v>
      </c>
      <c r="PL31">
        <v>11604734</v>
      </c>
      <c r="PM31">
        <v>11630275</v>
      </c>
      <c r="PN31">
        <v>11654187</v>
      </c>
      <c r="PO31">
        <v>11677628</v>
      </c>
      <c r="PP31">
        <v>11699385</v>
      </c>
      <c r="PQ31">
        <v>11704633</v>
      </c>
      <c r="PR31">
        <v>11709481</v>
      </c>
      <c r="PS31">
        <v>11734369</v>
      </c>
      <c r="PT31">
        <v>11760622</v>
      </c>
      <c r="PU31">
        <v>11786219</v>
      </c>
      <c r="PV31">
        <v>11808599</v>
      </c>
      <c r="PW31">
        <v>11828650</v>
      </c>
      <c r="PX31">
        <v>11834145</v>
      </c>
      <c r="PY31">
        <v>11838624</v>
      </c>
      <c r="PZ31">
        <v>11861186</v>
      </c>
      <c r="QA31">
        <v>11883217</v>
      </c>
      <c r="QB31">
        <v>11904011</v>
      </c>
      <c r="QC31">
        <v>11925712</v>
      </c>
      <c r="QD31">
        <v>11944625</v>
      </c>
      <c r="QE31">
        <v>11949792</v>
      </c>
      <c r="QF31">
        <v>11954353</v>
      </c>
      <c r="QG31">
        <v>11976549</v>
      </c>
      <c r="QH31">
        <v>12000517</v>
      </c>
      <c r="QI31">
        <v>12024114</v>
      </c>
      <c r="QJ31">
        <v>12046280</v>
      </c>
      <c r="QK31">
        <v>12065033</v>
      </c>
      <c r="QL31">
        <v>12069833</v>
      </c>
      <c r="QM31">
        <v>12074161</v>
      </c>
      <c r="QN31">
        <v>12094380</v>
      </c>
      <c r="QO31">
        <v>12114652</v>
      </c>
      <c r="QP31">
        <v>12133530</v>
      </c>
      <c r="QQ31">
        <v>12152050</v>
      </c>
      <c r="QR31">
        <v>12169306</v>
      </c>
      <c r="QS31">
        <v>12173363</v>
      </c>
      <c r="QT31">
        <v>12177063</v>
      </c>
      <c r="QU31">
        <v>12196712</v>
      </c>
      <c r="QV31">
        <v>12216584</v>
      </c>
      <c r="QW31">
        <v>12237083</v>
      </c>
      <c r="QX31">
        <v>12257778</v>
      </c>
      <c r="QY31">
        <v>12272528</v>
      </c>
      <c r="QZ31">
        <v>12274679</v>
      </c>
      <c r="RA31">
        <v>12279310</v>
      </c>
      <c r="RB31">
        <v>12302660</v>
      </c>
      <c r="RC31">
        <v>12328458</v>
      </c>
      <c r="RD31">
        <v>12358387</v>
      </c>
      <c r="RE31">
        <v>12389659</v>
      </c>
      <c r="RF31">
        <v>12414103</v>
      </c>
      <c r="RG31">
        <v>12417832</v>
      </c>
      <c r="RH31">
        <v>12425179</v>
      </c>
      <c r="RI31">
        <v>12465799</v>
      </c>
      <c r="RJ31">
        <v>12515177</v>
      </c>
      <c r="RK31">
        <v>12570815</v>
      </c>
      <c r="RL31">
        <v>12630545</v>
      </c>
      <c r="RM31">
        <v>12693821</v>
      </c>
      <c r="RN31">
        <v>12714575</v>
      </c>
      <c r="RO31">
        <v>12733342</v>
      </c>
      <c r="RP31">
        <v>12802395</v>
      </c>
      <c r="RQ31">
        <v>12883792</v>
      </c>
      <c r="RR31">
        <v>12961475</v>
      </c>
      <c r="RS31">
        <v>13036525</v>
      </c>
      <c r="RT31">
        <v>13113024</v>
      </c>
      <c r="RU31">
        <v>13140039</v>
      </c>
      <c r="RV31">
        <v>13163932</v>
      </c>
      <c r="RW31">
        <v>13244807</v>
      </c>
      <c r="RX31">
        <v>13398630</v>
      </c>
      <c r="RY31">
        <v>13478205</v>
      </c>
      <c r="RZ31">
        <v>13553459</v>
      </c>
      <c r="SA31">
        <v>13631134</v>
      </c>
      <c r="SB31">
        <v>13660250</v>
      </c>
      <c r="SC31">
        <v>13683694</v>
      </c>
      <c r="SD31">
        <v>13757682</v>
      </c>
      <c r="SE31">
        <v>13833307</v>
      </c>
      <c r="SF31">
        <v>13911488</v>
      </c>
      <c r="SG31">
        <v>13982171</v>
      </c>
      <c r="SH31">
        <v>14049746</v>
      </c>
      <c r="SI31">
        <v>14069476</v>
      </c>
      <c r="SJ31">
        <v>14087509</v>
      </c>
      <c r="SK31">
        <v>14156658</v>
      </c>
      <c r="SL31">
        <v>14223621</v>
      </c>
      <c r="SM31">
        <v>14286258</v>
      </c>
      <c r="SN31">
        <v>14347746</v>
      </c>
      <c r="SO31">
        <v>14404278</v>
      </c>
      <c r="SP31">
        <v>14420955</v>
      </c>
      <c r="SQ31">
        <v>14437368</v>
      </c>
      <c r="SR31">
        <v>14449822</v>
      </c>
      <c r="SS31">
        <v>14494313</v>
      </c>
      <c r="ST31">
        <v>14549132</v>
      </c>
      <c r="SU31">
        <v>14601804</v>
      </c>
      <c r="SV31">
        <v>14647491</v>
      </c>
      <c r="SW31">
        <v>14662007</v>
      </c>
      <c r="SX31">
        <v>14674155</v>
      </c>
      <c r="SY31">
        <v>14713887</v>
      </c>
      <c r="SZ31">
        <v>14755034</v>
      </c>
      <c r="TA31">
        <v>14796374</v>
      </c>
      <c r="TB31">
        <v>14837164</v>
      </c>
      <c r="TC31">
        <v>14874503</v>
      </c>
      <c r="TD31">
        <v>14886426</v>
      </c>
      <c r="TE31">
        <v>14895473</v>
      </c>
      <c r="TF31">
        <v>14936438</v>
      </c>
      <c r="TG31">
        <v>14974790</v>
      </c>
      <c r="TH31">
        <v>15012028</v>
      </c>
      <c r="TI31">
        <v>15044617</v>
      </c>
      <c r="TJ31">
        <v>15074996</v>
      </c>
      <c r="TK31">
        <v>15084437</v>
      </c>
      <c r="TL31">
        <v>15089355</v>
      </c>
      <c r="TM31">
        <v>15120948</v>
      </c>
      <c r="TN31">
        <v>15147396</v>
      </c>
      <c r="TO31">
        <v>15171873</v>
      </c>
      <c r="TP31">
        <v>15198795</v>
      </c>
      <c r="TQ31">
        <v>15225057</v>
      </c>
      <c r="TR31">
        <v>15232625</v>
      </c>
      <c r="TS31">
        <v>15238167</v>
      </c>
      <c r="TT31">
        <v>15265608</v>
      </c>
      <c r="TU31">
        <v>15287662</v>
      </c>
      <c r="TV31">
        <v>15308764</v>
      </c>
      <c r="TW31">
        <v>15328170</v>
      </c>
      <c r="TX31">
        <v>15346122</v>
      </c>
      <c r="TY31">
        <v>15351490</v>
      </c>
      <c r="TZ31">
        <v>15355108</v>
      </c>
      <c r="UA31">
        <v>15376547</v>
      </c>
      <c r="UB31">
        <v>15396315</v>
      </c>
      <c r="UC31">
        <v>15430608</v>
      </c>
      <c r="UD31">
        <v>15430608</v>
      </c>
      <c r="UE31">
        <v>15445738</v>
      </c>
      <c r="UF31">
        <v>15450810</v>
      </c>
      <c r="UG31">
        <v>15453958</v>
      </c>
      <c r="UH31">
        <v>15457513</v>
      </c>
      <c r="UI31">
        <v>15475238</v>
      </c>
      <c r="UJ31">
        <v>15490465</v>
      </c>
      <c r="UK31">
        <v>15505265</v>
      </c>
      <c r="UL31">
        <v>15519390</v>
      </c>
      <c r="UM31">
        <v>15524434</v>
      </c>
      <c r="UN31">
        <v>15527815</v>
      </c>
      <c r="UO31">
        <v>15543430</v>
      </c>
      <c r="UP31">
        <v>15557210</v>
      </c>
      <c r="UQ31">
        <v>15582502</v>
      </c>
      <c r="UR31">
        <v>15595137</v>
      </c>
      <c r="US31">
        <v>15595137</v>
      </c>
      <c r="UT31">
        <v>15599685</v>
      </c>
      <c r="UU31">
        <v>15602608</v>
      </c>
      <c r="UV31">
        <v>15617943</v>
      </c>
      <c r="UW31">
        <v>15632134</v>
      </c>
      <c r="UX31">
        <v>15645671</v>
      </c>
      <c r="UY31">
        <v>15659694</v>
      </c>
      <c r="UZ31">
        <v>15669932</v>
      </c>
      <c r="VA31">
        <v>15674047</v>
      </c>
      <c r="VB31">
        <v>15675589</v>
      </c>
      <c r="VC31">
        <v>15691493</v>
      </c>
      <c r="VD31">
        <v>15691493</v>
      </c>
      <c r="VE31">
        <v>15691493</v>
      </c>
      <c r="VF31">
        <v>15705584</v>
      </c>
      <c r="VG31">
        <v>15705584</v>
      </c>
      <c r="VH31">
        <v>15714867</v>
      </c>
      <c r="VI31">
        <v>15717303</v>
      </c>
      <c r="VJ31">
        <v>15728496</v>
      </c>
      <c r="VK31">
        <v>15737769</v>
      </c>
      <c r="VL31">
        <v>15755813</v>
      </c>
      <c r="VM31">
        <v>15762889</v>
      </c>
      <c r="VN31">
        <v>15762889</v>
      </c>
      <c r="VO31">
        <v>15766174</v>
      </c>
      <c r="VP31">
        <v>15767876</v>
      </c>
      <c r="VQ31">
        <v>15777764</v>
      </c>
      <c r="VR31">
        <v>15786017</v>
      </c>
      <c r="VS31">
        <v>15801675</v>
      </c>
      <c r="VT31">
        <v>15801675</v>
      </c>
      <c r="VU31">
        <v>15801675</v>
      </c>
      <c r="VV31">
        <v>15801675</v>
      </c>
      <c r="VW31">
        <v>15801675</v>
      </c>
      <c r="VX31">
        <v>15801675</v>
      </c>
      <c r="VY31">
        <v>15801675</v>
      </c>
      <c r="VZ31">
        <v>15801675</v>
      </c>
      <c r="WA31">
        <v>15801675</v>
      </c>
      <c r="WB31">
        <v>15801675</v>
      </c>
      <c r="WC31">
        <v>15855490</v>
      </c>
      <c r="WD31">
        <v>15855490</v>
      </c>
      <c r="WE31">
        <v>15855490</v>
      </c>
      <c r="WF31">
        <v>15855490</v>
      </c>
      <c r="WG31">
        <v>15855490</v>
      </c>
      <c r="WH31">
        <v>15855490</v>
      </c>
      <c r="WI31">
        <v>15855490</v>
      </c>
      <c r="WJ31">
        <v>15897804</v>
      </c>
      <c r="WK31">
        <v>15897804</v>
      </c>
      <c r="WL31">
        <v>15897804</v>
      </c>
      <c r="WM31">
        <v>15897804</v>
      </c>
      <c r="WN31">
        <v>15897804</v>
      </c>
      <c r="WO31">
        <v>15897804</v>
      </c>
      <c r="WP31">
        <v>15897804</v>
      </c>
      <c r="WQ31">
        <v>15950212</v>
      </c>
      <c r="WR31">
        <v>15950212</v>
      </c>
      <c r="WS31">
        <v>15950212</v>
      </c>
      <c r="WT31">
        <v>15950212</v>
      </c>
      <c r="WU31">
        <v>15950212</v>
      </c>
      <c r="WV31">
        <v>15950212</v>
      </c>
      <c r="WW31">
        <v>15950212</v>
      </c>
      <c r="WX31">
        <v>16005640</v>
      </c>
      <c r="WY31">
        <v>16005640</v>
      </c>
      <c r="WZ31">
        <v>16005640</v>
      </c>
      <c r="XA31">
        <v>16005640</v>
      </c>
      <c r="XB31">
        <v>16005640</v>
      </c>
      <c r="XC31">
        <v>16005640</v>
      </c>
      <c r="XD31">
        <v>16005640</v>
      </c>
      <c r="XE31">
        <v>16005640</v>
      </c>
      <c r="XF31">
        <v>16143751</v>
      </c>
      <c r="XG31">
        <v>16143751</v>
      </c>
      <c r="XH31">
        <v>16143751</v>
      </c>
      <c r="XI31">
        <v>16143751</v>
      </c>
      <c r="XJ31">
        <v>16143751</v>
      </c>
      <c r="XK31">
        <v>16143751</v>
      </c>
      <c r="XL31">
        <v>16167272</v>
      </c>
      <c r="XM31">
        <v>16254828</v>
      </c>
      <c r="XN31">
        <v>16254828</v>
      </c>
      <c r="XO31">
        <v>16254828</v>
      </c>
      <c r="XP31">
        <v>16254828</v>
      </c>
      <c r="XQ31">
        <v>16254828</v>
      </c>
      <c r="XR31">
        <v>16400556</v>
      </c>
      <c r="XS31">
        <v>16400556</v>
      </c>
      <c r="XT31">
        <v>16400556</v>
      </c>
      <c r="XU31">
        <v>16400556</v>
      </c>
      <c r="XV31">
        <v>16400556</v>
      </c>
      <c r="XW31">
        <v>16400556</v>
      </c>
      <c r="XX31">
        <v>16400556</v>
      </c>
      <c r="XY31">
        <v>16428900</v>
      </c>
      <c r="XZ31">
        <v>16440423</v>
      </c>
      <c r="YA31">
        <v>16446387</v>
      </c>
      <c r="YB31">
        <v>16484158</v>
      </c>
      <c r="YC31">
        <v>16600027</v>
      </c>
      <c r="YD31">
        <v>16638854</v>
      </c>
      <c r="YE31">
        <v>16650148</v>
      </c>
      <c r="YF31" s="1">
        <v>16656709</v>
      </c>
      <c r="YG31" s="1">
        <v>16656709</v>
      </c>
      <c r="YH31" s="1">
        <v>16656709</v>
      </c>
      <c r="YI31" s="1">
        <v>16701977</v>
      </c>
      <c r="YJ31">
        <v>16750221</v>
      </c>
      <c r="YK31">
        <v>16849170</v>
      </c>
      <c r="YL31">
        <v>16898556</v>
      </c>
      <c r="YM31">
        <v>16913164</v>
      </c>
      <c r="YN31">
        <v>16922254</v>
      </c>
      <c r="YO31">
        <v>16922254</v>
      </c>
      <c r="YP31">
        <v>16978434</v>
      </c>
      <c r="YQ31">
        <v>17084916</v>
      </c>
      <c r="YR31">
        <v>17137536</v>
      </c>
      <c r="YS31">
        <v>17137536</v>
      </c>
      <c r="YT31">
        <v>17184357</v>
      </c>
      <c r="YU31">
        <v>17197766</v>
      </c>
      <c r="YV31">
        <v>17206325</v>
      </c>
      <c r="YW31">
        <v>17410397</v>
      </c>
      <c r="YX31">
        <v>17410397</v>
      </c>
      <c r="YY31">
        <v>17410397</v>
      </c>
      <c r="YZ31">
        <v>17410397</v>
      </c>
      <c r="ZA31">
        <v>17453950</v>
      </c>
      <c r="ZB31">
        <v>17465974</v>
      </c>
      <c r="ZC31">
        <v>17472649</v>
      </c>
      <c r="ZD31">
        <v>17519883</v>
      </c>
      <c r="ZE31">
        <v>17562324</v>
      </c>
      <c r="ZF31">
        <v>17636331</v>
      </c>
      <c r="ZG31">
        <v>17666519</v>
      </c>
      <c r="ZH31">
        <v>17674155</v>
      </c>
      <c r="ZI31">
        <v>17678760</v>
      </c>
      <c r="ZJ31">
        <v>17715503</v>
      </c>
      <c r="ZK31">
        <v>17748050</v>
      </c>
      <c r="ZL31">
        <v>17777962</v>
      </c>
      <c r="ZM31">
        <v>17806997</v>
      </c>
      <c r="ZN31">
        <v>17831555</v>
      </c>
      <c r="ZO31">
        <v>17837721</v>
      </c>
      <c r="ZP31">
        <v>17841685</v>
      </c>
      <c r="ZQ31">
        <v>17870169</v>
      </c>
      <c r="ZR31">
        <v>17895440</v>
      </c>
      <c r="ZS31">
        <v>17918580</v>
      </c>
      <c r="ZT31">
        <v>17940396</v>
      </c>
      <c r="ZU31">
        <v>17959197</v>
      </c>
      <c r="ZV31">
        <v>17964355</v>
      </c>
      <c r="ZW31">
        <v>17967104</v>
      </c>
      <c r="ZX31">
        <v>17987958</v>
      </c>
      <c r="ZY31">
        <v>18006614</v>
      </c>
      <c r="ZZ31">
        <v>18024696</v>
      </c>
      <c r="AAA31">
        <v>18056753</v>
      </c>
      <c r="AAB31">
        <v>18056753</v>
      </c>
      <c r="AAC31">
        <v>18060535</v>
      </c>
      <c r="AAD31">
        <v>18062977</v>
      </c>
      <c r="AAE31">
        <v>18080955</v>
      </c>
      <c r="AAF31">
        <v>18097151</v>
      </c>
      <c r="AAG31">
        <v>18113859</v>
      </c>
      <c r="AAH31">
        <v>18127231</v>
      </c>
      <c r="AAI31">
        <v>18139806</v>
      </c>
      <c r="AAJ31">
        <v>18143262</v>
      </c>
      <c r="AAK31">
        <v>18145182</v>
      </c>
      <c r="AAL31">
        <v>18161607</v>
      </c>
      <c r="AAM31">
        <v>18176077</v>
      </c>
      <c r="AAN31">
        <v>18200909</v>
      </c>
      <c r="AAO31">
        <v>18212238</v>
      </c>
      <c r="AAP31">
        <v>18212238</v>
      </c>
      <c r="AAQ31">
        <v>18215566</v>
      </c>
      <c r="AAR31">
        <v>18217627</v>
      </c>
      <c r="AAS31">
        <v>18233511</v>
      </c>
      <c r="AAT31">
        <v>18246276</v>
      </c>
      <c r="AAU31">
        <v>18257875</v>
      </c>
      <c r="AAV31">
        <v>18279364</v>
      </c>
      <c r="AAW31">
        <v>18279364</v>
      </c>
      <c r="AAX31">
        <v>18282820</v>
      </c>
      <c r="AAY31">
        <v>18285252</v>
      </c>
      <c r="AAZ31">
        <v>18299143</v>
      </c>
      <c r="ABA31">
        <v>18311199</v>
      </c>
      <c r="ABB31">
        <v>18328375</v>
      </c>
      <c r="ABC31">
        <v>18331358</v>
      </c>
      <c r="ABD31">
        <v>18331358</v>
      </c>
      <c r="ABE31">
        <v>18333521</v>
      </c>
      <c r="ABF31">
        <v>18346244</v>
      </c>
      <c r="ABG31">
        <v>18346244</v>
      </c>
      <c r="ABH31">
        <v>18346244</v>
      </c>
      <c r="ABI31">
        <v>18346244</v>
      </c>
      <c r="ABJ31">
        <v>18346244</v>
      </c>
      <c r="ABK31">
        <v>18346244</v>
      </c>
      <c r="ABL31">
        <v>18346244</v>
      </c>
      <c r="ABM31">
        <v>18393211</v>
      </c>
      <c r="ABN31">
        <v>18393211</v>
      </c>
      <c r="ABO31">
        <v>18393211</v>
      </c>
      <c r="ABP31">
        <v>18393211</v>
      </c>
      <c r="ABQ31">
        <v>18393211</v>
      </c>
      <c r="ABR31">
        <v>18393211</v>
      </c>
      <c r="ABS31">
        <v>18393211</v>
      </c>
      <c r="ABT31">
        <v>18442240</v>
      </c>
      <c r="ABU31">
        <v>18442240</v>
      </c>
      <c r="ABV31">
        <v>18442240</v>
      </c>
      <c r="ABW31">
        <v>18442240</v>
      </c>
      <c r="ABX31">
        <v>18442240</v>
      </c>
      <c r="ABY31">
        <v>18442240</v>
      </c>
      <c r="ABZ31">
        <v>18442240</v>
      </c>
      <c r="ACA31">
        <v>18484726</v>
      </c>
      <c r="ACB31">
        <v>18523417</v>
      </c>
      <c r="ACC31">
        <v>18523417</v>
      </c>
      <c r="ACD31">
        <v>18523417</v>
      </c>
      <c r="ACE31">
        <v>18523417</v>
      </c>
      <c r="ACF31">
        <v>18523417</v>
      </c>
      <c r="ACG31">
        <v>18523417</v>
      </c>
      <c r="ACH31">
        <v>18523417</v>
      </c>
      <c r="ACI31">
        <v>18523417</v>
      </c>
      <c r="ACJ31">
        <v>18523417</v>
      </c>
      <c r="ACK31">
        <v>18523417</v>
      </c>
      <c r="ACL31">
        <v>18523417</v>
      </c>
      <c r="ACM31">
        <v>18523417</v>
      </c>
      <c r="ACN31">
        <v>18564291</v>
      </c>
      <c r="ACO31">
        <v>18564291</v>
      </c>
      <c r="ACP31">
        <v>18564291</v>
      </c>
      <c r="ACQ31">
        <v>18564291</v>
      </c>
      <c r="ACR31">
        <v>18564291</v>
      </c>
      <c r="ACS31">
        <v>18564291</v>
      </c>
      <c r="ACT31">
        <v>18564291</v>
      </c>
      <c r="ACU31">
        <v>18600671</v>
      </c>
      <c r="ACV31">
        <v>18600671</v>
      </c>
      <c r="ACW31">
        <v>18600671</v>
      </c>
      <c r="ACX31">
        <v>18600671</v>
      </c>
      <c r="ACY31">
        <v>18600671</v>
      </c>
      <c r="ACZ31">
        <v>18600671</v>
      </c>
      <c r="ADA31">
        <v>18600671</v>
      </c>
      <c r="ADB31">
        <v>18600671</v>
      </c>
      <c r="ADC31">
        <v>18600671</v>
      </c>
      <c r="ADD31">
        <v>18600671</v>
      </c>
      <c r="ADE31">
        <v>18600671</v>
      </c>
      <c r="ADF31">
        <v>18657400</v>
      </c>
      <c r="ADG31">
        <v>18657400</v>
      </c>
      <c r="ADH31">
        <v>18657400</v>
      </c>
      <c r="ADI31">
        <v>18675146</v>
      </c>
      <c r="ADJ31">
        <v>18675146</v>
      </c>
      <c r="ADK31">
        <v>18675146</v>
      </c>
      <c r="ADL31">
        <v>18716808</v>
      </c>
      <c r="ADM31">
        <v>18716808</v>
      </c>
      <c r="ADN31">
        <v>18716808</v>
      </c>
      <c r="ADO31">
        <v>18716808</v>
      </c>
      <c r="ADP31">
        <v>18716808</v>
      </c>
      <c r="ADQ31">
        <v>18716808</v>
      </c>
      <c r="ADR31">
        <v>18716808</v>
      </c>
      <c r="ADS31">
        <v>18716808</v>
      </c>
      <c r="ADT31">
        <v>18716808</v>
      </c>
      <c r="ADU31">
        <v>18716808</v>
      </c>
      <c r="ADV31">
        <v>18716808</v>
      </c>
      <c r="ADW31">
        <v>18716808</v>
      </c>
      <c r="ADX31">
        <v>18716808</v>
      </c>
      <c r="ADY31">
        <v>18757827</v>
      </c>
      <c r="ADZ31">
        <v>18757827</v>
      </c>
      <c r="AEA31">
        <v>18757827</v>
      </c>
      <c r="AEB31">
        <v>18757827</v>
      </c>
      <c r="AEC31">
        <v>18757827</v>
      </c>
      <c r="AED31">
        <v>18849619</v>
      </c>
      <c r="AEE31">
        <v>18849619</v>
      </c>
      <c r="AEF31">
        <v>18849619</v>
      </c>
      <c r="AEG31">
        <v>18849619</v>
      </c>
      <c r="AEH31">
        <v>18849619</v>
      </c>
      <c r="AEI31">
        <v>18849619</v>
      </c>
      <c r="AEJ31">
        <v>18849619</v>
      </c>
      <c r="AEK31">
        <v>18938377</v>
      </c>
      <c r="AEL31">
        <v>18938377</v>
      </c>
      <c r="AEM31">
        <v>18938377</v>
      </c>
      <c r="AEN31">
        <v>18938377</v>
      </c>
      <c r="AEO31">
        <v>18938377</v>
      </c>
      <c r="AEP31">
        <v>18938377</v>
      </c>
      <c r="AEQ31">
        <v>18938377</v>
      </c>
      <c r="AER31">
        <v>19042684</v>
      </c>
      <c r="AES31">
        <v>19042684</v>
      </c>
      <c r="AET31">
        <v>19042684</v>
      </c>
      <c r="AEU31">
        <v>19042684</v>
      </c>
      <c r="AEV31">
        <v>19042684</v>
      </c>
      <c r="AEW31">
        <v>19042684</v>
      </c>
      <c r="AEX31">
        <v>19042684</v>
      </c>
      <c r="AEY31">
        <v>19042684</v>
      </c>
      <c r="AEZ31">
        <v>19042684</v>
      </c>
      <c r="AFA31">
        <v>19042684</v>
      </c>
      <c r="AFB31">
        <v>19042684</v>
      </c>
      <c r="AFC31">
        <v>19042684</v>
      </c>
      <c r="AFD31">
        <v>19042684</v>
      </c>
      <c r="AFE31">
        <v>19152462</v>
      </c>
      <c r="AFF31">
        <v>19152462</v>
      </c>
      <c r="AFG31">
        <v>19152462</v>
      </c>
      <c r="AFH31">
        <v>19152462</v>
      </c>
      <c r="AFI31">
        <v>19152462</v>
      </c>
      <c r="AFJ31">
        <v>19152462</v>
      </c>
      <c r="AFK31">
        <v>19152462</v>
      </c>
      <c r="AFL31">
        <v>19152462</v>
      </c>
      <c r="AFM31">
        <v>19152462</v>
      </c>
      <c r="AFN31">
        <v>19198152</v>
      </c>
      <c r="AFO31">
        <v>19198152</v>
      </c>
      <c r="AFP31">
        <v>19198152</v>
      </c>
      <c r="AFQ31">
        <v>19198152</v>
      </c>
      <c r="AFR31">
        <v>19198152</v>
      </c>
      <c r="AFS31">
        <v>19198152</v>
      </c>
      <c r="AFT31">
        <v>19289408</v>
      </c>
      <c r="AFU31">
        <v>19289408</v>
      </c>
      <c r="AFV31">
        <v>19289408</v>
      </c>
      <c r="AFW31">
        <v>19289408</v>
      </c>
      <c r="AFX31">
        <v>19289408</v>
      </c>
      <c r="AFY31">
        <v>19289408</v>
      </c>
      <c r="AFZ31">
        <v>19289408</v>
      </c>
      <c r="AGA31">
        <v>19356195</v>
      </c>
      <c r="AGB31">
        <v>19356195</v>
      </c>
      <c r="AGC31">
        <v>19356195</v>
      </c>
      <c r="AGD31">
        <v>19356195</v>
      </c>
      <c r="AGE31">
        <v>19356195</v>
      </c>
      <c r="AGF31">
        <v>19356195</v>
      </c>
      <c r="AGG31">
        <v>19356195</v>
      </c>
      <c r="AGH31">
        <v>19356195</v>
      </c>
      <c r="AGI31">
        <v>19356195</v>
      </c>
      <c r="AGJ31">
        <v>19356195</v>
      </c>
      <c r="AGK31">
        <v>19356195</v>
      </c>
      <c r="AGL31">
        <v>19356195</v>
      </c>
      <c r="AGM31">
        <v>19356195</v>
      </c>
      <c r="AGN31">
        <v>19356195</v>
      </c>
      <c r="AGO31">
        <v>19465548</v>
      </c>
      <c r="AGP31">
        <v>19465548</v>
      </c>
      <c r="AGQ31">
        <v>19465548</v>
      </c>
      <c r="AGR31">
        <v>19465548</v>
      </c>
      <c r="AGS31">
        <v>19465548</v>
      </c>
      <c r="AGT31">
        <v>19465548</v>
      </c>
      <c r="AGU31">
        <v>19465548</v>
      </c>
      <c r="AGV31">
        <v>19465548</v>
      </c>
      <c r="AGW31">
        <v>19465548</v>
      </c>
      <c r="AGX31">
        <v>19465548</v>
      </c>
      <c r="AGY31">
        <v>19465548</v>
      </c>
      <c r="AGZ31">
        <v>19465548</v>
      </c>
      <c r="AHA31">
        <v>19465548</v>
      </c>
      <c r="AHB31">
        <v>19465548</v>
      </c>
      <c r="AHC31">
        <v>19571192</v>
      </c>
      <c r="AHD31">
        <v>19571192</v>
      </c>
      <c r="AHE31">
        <v>19571192</v>
      </c>
      <c r="AHF31">
        <v>19571192</v>
      </c>
      <c r="AHG31">
        <v>19571192</v>
      </c>
      <c r="AHH31">
        <v>19571192</v>
      </c>
      <c r="AHI31">
        <v>19571192</v>
      </c>
      <c r="AHJ31">
        <v>19571192</v>
      </c>
      <c r="AHK31">
        <v>19572325</v>
      </c>
      <c r="AHL31">
        <v>19572325</v>
      </c>
      <c r="AHM31">
        <v>19572325</v>
      </c>
      <c r="AHN31">
        <v>19572325</v>
      </c>
      <c r="AHO31">
        <v>19572325</v>
      </c>
      <c r="AHP31">
        <v>19572325</v>
      </c>
      <c r="AHQ31">
        <v>19572325</v>
      </c>
    </row>
    <row r="32" spans="1:901">
      <c r="A32" s="1" t="s">
        <v>71</v>
      </c>
      <c r="B32">
        <v>412265</v>
      </c>
      <c r="C32">
        <v>417620</v>
      </c>
      <c r="D32">
        <v>423054</v>
      </c>
      <c r="E32">
        <v>428842</v>
      </c>
      <c r="F32">
        <v>433808</v>
      </c>
      <c r="G32">
        <v>437706</v>
      </c>
      <c r="H32">
        <v>442249</v>
      </c>
      <c r="I32">
        <v>447769</v>
      </c>
      <c r="J32">
        <v>453919</v>
      </c>
      <c r="K32">
        <v>459451</v>
      </c>
      <c r="L32">
        <v>468323</v>
      </c>
      <c r="M32">
        <v>472799</v>
      </c>
      <c r="N32">
        <v>477033</v>
      </c>
      <c r="O32">
        <v>482245</v>
      </c>
      <c r="P32">
        <v>488048</v>
      </c>
      <c r="Q32">
        <v>493485</v>
      </c>
      <c r="R32">
        <v>499050</v>
      </c>
      <c r="S32">
        <v>504299</v>
      </c>
      <c r="T32">
        <v>508442</v>
      </c>
      <c r="U32">
        <v>514367</v>
      </c>
      <c r="V32">
        <v>520582</v>
      </c>
      <c r="W32">
        <v>526418</v>
      </c>
      <c r="X32">
        <v>533146</v>
      </c>
      <c r="Y32">
        <v>540175</v>
      </c>
      <c r="Z32">
        <v>544735</v>
      </c>
      <c r="AA32">
        <v>548807</v>
      </c>
      <c r="AB32">
        <v>553942</v>
      </c>
      <c r="AC32">
        <v>560564</v>
      </c>
      <c r="AD32">
        <v>567540</v>
      </c>
      <c r="AE32">
        <v>574012</v>
      </c>
      <c r="AF32">
        <v>578200</v>
      </c>
      <c r="AG32">
        <v>582974</v>
      </c>
      <c r="AH32">
        <v>585821</v>
      </c>
      <c r="AI32">
        <v>591504</v>
      </c>
      <c r="AJ32">
        <v>600018</v>
      </c>
      <c r="AK32">
        <v>607766</v>
      </c>
      <c r="AL32">
        <v>614675</v>
      </c>
      <c r="AM32">
        <v>621118</v>
      </c>
      <c r="AN32">
        <v>627775</v>
      </c>
      <c r="AO32">
        <v>631430</v>
      </c>
      <c r="AP32">
        <v>638429</v>
      </c>
      <c r="AQ32">
        <v>646325</v>
      </c>
      <c r="AR32">
        <v>654264</v>
      </c>
      <c r="AS32">
        <v>662367</v>
      </c>
      <c r="AT32">
        <v>669813</v>
      </c>
      <c r="AU32">
        <v>676295</v>
      </c>
      <c r="AV32">
        <v>680908</v>
      </c>
      <c r="AW32">
        <v>686698</v>
      </c>
      <c r="AX32">
        <v>689899</v>
      </c>
      <c r="AY32">
        <v>694228</v>
      </c>
      <c r="AZ32">
        <v>701637</v>
      </c>
      <c r="BA32">
        <v>708085</v>
      </c>
      <c r="BB32">
        <v>715094</v>
      </c>
      <c r="BC32">
        <v>720441</v>
      </c>
      <c r="BD32">
        <v>727520</v>
      </c>
      <c r="BE32">
        <v>733808</v>
      </c>
      <c r="BF32">
        <v>740901</v>
      </c>
      <c r="BG32">
        <v>750055</v>
      </c>
      <c r="BH32">
        <v>755576</v>
      </c>
      <c r="BI32">
        <v>765482</v>
      </c>
      <c r="BJ32">
        <v>772702</v>
      </c>
      <c r="BK32">
        <v>781650</v>
      </c>
      <c r="BL32">
        <v>790855</v>
      </c>
      <c r="BM32">
        <v>801470</v>
      </c>
      <c r="BN32">
        <v>811323</v>
      </c>
      <c r="BO32">
        <v>822413</v>
      </c>
      <c r="BP32">
        <v>832079</v>
      </c>
      <c r="BQ32">
        <v>838981</v>
      </c>
      <c r="BR32">
        <v>848601</v>
      </c>
      <c r="BS32">
        <v>858579</v>
      </c>
      <c r="BT32">
        <v>869552</v>
      </c>
      <c r="BU32">
        <v>880590</v>
      </c>
      <c r="BV32">
        <v>891526</v>
      </c>
      <c r="BW32">
        <v>900224</v>
      </c>
      <c r="BX32">
        <v>907285</v>
      </c>
      <c r="BY32">
        <v>916423</v>
      </c>
      <c r="BZ32">
        <v>927315</v>
      </c>
      <c r="CA32">
        <v>942262</v>
      </c>
      <c r="CB32">
        <v>955664</v>
      </c>
      <c r="CC32">
        <v>970591</v>
      </c>
      <c r="CD32">
        <v>980089</v>
      </c>
      <c r="CE32">
        <v>988059</v>
      </c>
      <c r="CF32">
        <v>999313</v>
      </c>
      <c r="CG32">
        <v>1007599</v>
      </c>
      <c r="CH32">
        <v>1020898</v>
      </c>
      <c r="CI32">
        <v>1034667</v>
      </c>
      <c r="CJ32">
        <v>1051067</v>
      </c>
      <c r="CK32">
        <v>1063099</v>
      </c>
      <c r="CL32">
        <v>1072669</v>
      </c>
      <c r="CM32">
        <v>1086093</v>
      </c>
      <c r="CN32">
        <v>1100074</v>
      </c>
      <c r="CO32">
        <v>1116236</v>
      </c>
      <c r="CP32">
        <v>1132499</v>
      </c>
      <c r="CQ32">
        <v>1149983</v>
      </c>
      <c r="CR32">
        <v>1163813</v>
      </c>
      <c r="CS32">
        <v>1174159</v>
      </c>
      <c r="CT32">
        <v>1190500</v>
      </c>
      <c r="CU32">
        <v>1204739</v>
      </c>
      <c r="CV32">
        <v>1221114</v>
      </c>
      <c r="CW32">
        <v>1232494</v>
      </c>
      <c r="CX32">
        <v>1242275</v>
      </c>
      <c r="CY32">
        <v>1252106</v>
      </c>
      <c r="CZ32">
        <v>1259828</v>
      </c>
      <c r="DA32">
        <v>1275819</v>
      </c>
      <c r="DB32">
        <v>1291610</v>
      </c>
      <c r="DC32">
        <v>1306033</v>
      </c>
      <c r="DD32">
        <v>1317330</v>
      </c>
      <c r="DE32">
        <v>1324185</v>
      </c>
      <c r="DF32">
        <v>1332023</v>
      </c>
      <c r="DG32">
        <v>1343045</v>
      </c>
      <c r="DH32">
        <v>1355313</v>
      </c>
      <c r="DI32">
        <v>1375143</v>
      </c>
      <c r="DJ32">
        <v>1391279</v>
      </c>
      <c r="DK32">
        <v>1407449</v>
      </c>
      <c r="DL32">
        <v>1424274</v>
      </c>
      <c r="DM32">
        <v>1434663</v>
      </c>
      <c r="DN32">
        <v>1443775</v>
      </c>
      <c r="DO32">
        <v>1460912</v>
      </c>
      <c r="DP32">
        <v>1477179</v>
      </c>
      <c r="DQ32">
        <v>1490448</v>
      </c>
      <c r="DR32">
        <v>1503559</v>
      </c>
      <c r="DS32">
        <v>1519689</v>
      </c>
      <c r="DT32">
        <v>1529352</v>
      </c>
      <c r="DU32">
        <v>1537055</v>
      </c>
      <c r="DV32">
        <v>1550101</v>
      </c>
      <c r="DW32">
        <v>1563685</v>
      </c>
      <c r="DX32">
        <v>1576882</v>
      </c>
      <c r="DY32">
        <v>1590184</v>
      </c>
      <c r="DZ32">
        <v>1603361</v>
      </c>
      <c r="EA32">
        <v>1612640</v>
      </c>
      <c r="EB32">
        <v>1619025</v>
      </c>
      <c r="EC32">
        <v>1629815</v>
      </c>
      <c r="ED32">
        <v>1641092</v>
      </c>
      <c r="EE32">
        <v>1652122</v>
      </c>
      <c r="EF32">
        <v>1664107</v>
      </c>
      <c r="EG32">
        <v>1674023</v>
      </c>
      <c r="EH32">
        <v>1680715</v>
      </c>
      <c r="EI32">
        <v>1685772</v>
      </c>
      <c r="EJ32">
        <v>1694777</v>
      </c>
      <c r="EK32">
        <v>1704656</v>
      </c>
      <c r="EL32">
        <v>1714415</v>
      </c>
      <c r="EM32">
        <v>1724204</v>
      </c>
      <c r="EN32">
        <v>1733650</v>
      </c>
      <c r="EO32">
        <v>1739966</v>
      </c>
      <c r="EP32">
        <v>1745487</v>
      </c>
      <c r="EQ32">
        <v>1753517</v>
      </c>
      <c r="ER32">
        <v>1762500</v>
      </c>
      <c r="ES32">
        <v>1770793</v>
      </c>
      <c r="ET32">
        <v>1782418</v>
      </c>
      <c r="EU32">
        <v>1791373</v>
      </c>
      <c r="EV32">
        <v>1796407</v>
      </c>
      <c r="EW32">
        <v>1800571</v>
      </c>
      <c r="EX32">
        <v>1807810</v>
      </c>
      <c r="EY32">
        <v>1811923</v>
      </c>
      <c r="EZ32">
        <v>1820681</v>
      </c>
      <c r="FA32">
        <v>1831330</v>
      </c>
      <c r="FB32">
        <v>1840361</v>
      </c>
      <c r="FC32">
        <v>1846242</v>
      </c>
      <c r="FD32">
        <v>1856433</v>
      </c>
      <c r="FE32">
        <v>1865709</v>
      </c>
      <c r="FF32">
        <v>1875787</v>
      </c>
      <c r="FG32">
        <v>1885696</v>
      </c>
      <c r="FH32">
        <v>1891638</v>
      </c>
      <c r="FI32">
        <v>1903339</v>
      </c>
      <c r="FJ32">
        <v>1908448</v>
      </c>
      <c r="FK32">
        <v>1913569</v>
      </c>
      <c r="FL32">
        <v>1921987</v>
      </c>
      <c r="FM32">
        <v>1932067</v>
      </c>
      <c r="FN32">
        <v>1940572</v>
      </c>
      <c r="FO32">
        <v>1949472</v>
      </c>
      <c r="FP32">
        <v>1959066</v>
      </c>
      <c r="FQ32">
        <v>1963971</v>
      </c>
      <c r="FR32">
        <v>1968196</v>
      </c>
      <c r="FS32">
        <v>1977198</v>
      </c>
      <c r="FT32">
        <v>1986095</v>
      </c>
      <c r="FU32">
        <v>1995370</v>
      </c>
      <c r="FV32">
        <v>2003801</v>
      </c>
      <c r="FW32">
        <v>2012111</v>
      </c>
      <c r="FX32">
        <v>2017331</v>
      </c>
      <c r="FY32">
        <v>2020905</v>
      </c>
      <c r="FZ32">
        <v>2030053</v>
      </c>
      <c r="GA32">
        <v>2038760</v>
      </c>
      <c r="GB32">
        <v>2047706</v>
      </c>
      <c r="GC32">
        <v>2058286</v>
      </c>
      <c r="GD32">
        <v>2067115</v>
      </c>
      <c r="GE32">
        <v>2072144</v>
      </c>
      <c r="GF32">
        <v>2076630</v>
      </c>
      <c r="GG32">
        <v>2085617</v>
      </c>
      <c r="GH32">
        <v>2095216</v>
      </c>
      <c r="GI32">
        <v>2104908</v>
      </c>
      <c r="GJ32">
        <v>2114048</v>
      </c>
      <c r="GK32">
        <v>2123009</v>
      </c>
      <c r="GL32">
        <v>2128932</v>
      </c>
      <c r="GM32">
        <v>2133423</v>
      </c>
      <c r="GN32">
        <v>2143641</v>
      </c>
      <c r="GO32">
        <v>2154955</v>
      </c>
      <c r="GP32">
        <v>2164688</v>
      </c>
      <c r="GQ32">
        <v>2171575</v>
      </c>
      <c r="GR32">
        <v>2175451</v>
      </c>
      <c r="GS32">
        <v>2180385</v>
      </c>
      <c r="GT32">
        <v>2185241</v>
      </c>
      <c r="GU32">
        <v>2195622</v>
      </c>
      <c r="GV32">
        <v>2205603</v>
      </c>
      <c r="GW32">
        <v>2214840</v>
      </c>
      <c r="GX32">
        <v>2225209</v>
      </c>
      <c r="GY32">
        <v>2234081</v>
      </c>
      <c r="GZ32">
        <v>2239526</v>
      </c>
      <c r="HA32" s="3">
        <v>2246234.5</v>
      </c>
      <c r="HB32">
        <v>2252943</v>
      </c>
      <c r="HC32">
        <v>2262027</v>
      </c>
      <c r="HD32">
        <v>2272867</v>
      </c>
      <c r="HE32">
        <v>2283594</v>
      </c>
      <c r="HF32">
        <v>2292939</v>
      </c>
      <c r="HG32">
        <v>2299031</v>
      </c>
      <c r="HH32">
        <v>2303585</v>
      </c>
      <c r="HI32">
        <v>2312363</v>
      </c>
      <c r="HJ32">
        <v>2321435</v>
      </c>
      <c r="HK32">
        <v>2330456</v>
      </c>
      <c r="HL32">
        <v>2339492</v>
      </c>
      <c r="HM32">
        <v>2348261</v>
      </c>
      <c r="HN32">
        <v>2353895</v>
      </c>
      <c r="HO32">
        <v>2357883</v>
      </c>
      <c r="HP32">
        <v>2366942</v>
      </c>
      <c r="HQ32">
        <v>2376076</v>
      </c>
      <c r="HR32">
        <v>2384632</v>
      </c>
      <c r="HS32">
        <v>2394760</v>
      </c>
      <c r="HT32">
        <v>2402739</v>
      </c>
      <c r="HU32">
        <v>2408437</v>
      </c>
      <c r="HV32">
        <v>2412680</v>
      </c>
      <c r="HW32">
        <v>2421904</v>
      </c>
      <c r="HX32">
        <v>2430628</v>
      </c>
      <c r="HY32">
        <v>2439336</v>
      </c>
      <c r="HZ32">
        <v>2448142</v>
      </c>
      <c r="IA32">
        <v>2458134</v>
      </c>
      <c r="IB32">
        <v>2464149</v>
      </c>
      <c r="IC32">
        <v>2468735</v>
      </c>
      <c r="ID32">
        <v>2477351</v>
      </c>
      <c r="IE32">
        <v>2487010</v>
      </c>
      <c r="IF32">
        <v>2497125</v>
      </c>
      <c r="IG32">
        <v>2507280</v>
      </c>
      <c r="IH32">
        <v>2516022</v>
      </c>
      <c r="II32">
        <v>2524764</v>
      </c>
      <c r="IJ32">
        <v>2528006</v>
      </c>
      <c r="IK32">
        <v>2537845</v>
      </c>
      <c r="IL32">
        <v>2548227</v>
      </c>
      <c r="IM32">
        <v>2558265</v>
      </c>
      <c r="IN32">
        <v>2568303</v>
      </c>
      <c r="IO32">
        <v>2577788</v>
      </c>
      <c r="IP32">
        <v>2584254</v>
      </c>
      <c r="IQ32">
        <v>2589074</v>
      </c>
      <c r="IR32">
        <v>2600932</v>
      </c>
      <c r="IS32">
        <v>2610570</v>
      </c>
      <c r="IT32">
        <v>2621580</v>
      </c>
      <c r="IU32">
        <v>2632922</v>
      </c>
      <c r="IV32">
        <v>2643052</v>
      </c>
      <c r="IW32">
        <v>2650363</v>
      </c>
      <c r="IX32">
        <v>2655708</v>
      </c>
      <c r="IY32">
        <v>2666676</v>
      </c>
      <c r="IZ32">
        <v>2677542</v>
      </c>
      <c r="JA32">
        <v>2689180</v>
      </c>
      <c r="JB32">
        <v>2701741</v>
      </c>
      <c r="JC32">
        <v>2713980</v>
      </c>
      <c r="JD32">
        <v>2722147</v>
      </c>
      <c r="JE32">
        <v>2727936</v>
      </c>
      <c r="JF32">
        <v>2739532</v>
      </c>
      <c r="JG32">
        <v>2751651</v>
      </c>
      <c r="JH32">
        <v>2763242</v>
      </c>
      <c r="JI32">
        <v>2776097</v>
      </c>
      <c r="JJ32">
        <v>2790124</v>
      </c>
      <c r="JK32">
        <v>2798926</v>
      </c>
      <c r="JL32">
        <v>2805213</v>
      </c>
      <c r="JM32">
        <v>2817872</v>
      </c>
      <c r="JN32">
        <v>2831815</v>
      </c>
      <c r="JO32">
        <v>2843622</v>
      </c>
      <c r="JP32">
        <v>2857433</v>
      </c>
      <c r="JQ32">
        <v>2870509</v>
      </c>
      <c r="JR32">
        <v>2877925</v>
      </c>
      <c r="JS32">
        <v>2883890</v>
      </c>
      <c r="JT32">
        <v>2898109</v>
      </c>
      <c r="JU32">
        <v>2912226</v>
      </c>
      <c r="JV32">
        <v>2926173</v>
      </c>
      <c r="JW32">
        <v>2938877</v>
      </c>
      <c r="JX32">
        <v>2952703</v>
      </c>
      <c r="JY32">
        <v>2962169</v>
      </c>
      <c r="JZ32">
        <v>2969611</v>
      </c>
      <c r="KA32">
        <v>2983855</v>
      </c>
      <c r="KB32">
        <v>2998145</v>
      </c>
      <c r="KC32">
        <v>3012379</v>
      </c>
      <c r="KD32">
        <v>3027073</v>
      </c>
      <c r="KE32">
        <v>3041186</v>
      </c>
      <c r="KF32">
        <v>3050346</v>
      </c>
      <c r="KG32">
        <v>3057053</v>
      </c>
      <c r="KH32">
        <v>3071315</v>
      </c>
      <c r="KI32">
        <v>3085213</v>
      </c>
      <c r="KJ32">
        <v>3098829</v>
      </c>
      <c r="KK32">
        <v>3113192</v>
      </c>
      <c r="KL32">
        <v>3127128</v>
      </c>
      <c r="KM32">
        <v>3136235</v>
      </c>
      <c r="KN32">
        <v>3143680</v>
      </c>
      <c r="KO32">
        <v>3153596</v>
      </c>
      <c r="KP32">
        <v>3169198</v>
      </c>
      <c r="KQ32">
        <v>3184701</v>
      </c>
      <c r="KR32">
        <v>3197675</v>
      </c>
      <c r="KS32">
        <v>3211371</v>
      </c>
      <c r="KT32">
        <v>3221334</v>
      </c>
      <c r="KU32">
        <v>3227910</v>
      </c>
      <c r="KV32">
        <v>3241406</v>
      </c>
      <c r="KW32">
        <v>3255294</v>
      </c>
      <c r="KX32">
        <v>3268714</v>
      </c>
      <c r="KY32">
        <v>3282932</v>
      </c>
      <c r="KZ32">
        <v>3295447</v>
      </c>
      <c r="LA32">
        <v>3304970</v>
      </c>
      <c r="LB32">
        <v>3310909</v>
      </c>
      <c r="LC32">
        <v>3323433</v>
      </c>
      <c r="LD32">
        <v>3333808</v>
      </c>
      <c r="LE32">
        <v>3346454</v>
      </c>
      <c r="LF32">
        <v>3357308</v>
      </c>
      <c r="LG32">
        <v>3370414</v>
      </c>
      <c r="LH32">
        <v>3380719</v>
      </c>
      <c r="LI32">
        <v>3384322</v>
      </c>
      <c r="LJ32">
        <v>3395127</v>
      </c>
      <c r="LK32">
        <v>3407604</v>
      </c>
      <c r="LL32">
        <v>3417773</v>
      </c>
      <c r="LM32">
        <v>3427588</v>
      </c>
      <c r="LN32">
        <v>3437857</v>
      </c>
      <c r="LO32">
        <v>3437857</v>
      </c>
      <c r="LP32">
        <v>3454625</v>
      </c>
      <c r="LQ32">
        <v>3466213</v>
      </c>
      <c r="LR32">
        <v>3477937</v>
      </c>
      <c r="LS32">
        <v>3489290</v>
      </c>
      <c r="LT32">
        <v>3499216</v>
      </c>
      <c r="LU32">
        <v>3511533</v>
      </c>
      <c r="LV32">
        <v>3519764</v>
      </c>
      <c r="LW32">
        <v>3525245</v>
      </c>
      <c r="LX32">
        <v>3535532</v>
      </c>
      <c r="LY32">
        <v>3547018</v>
      </c>
      <c r="LZ32">
        <v>3558032</v>
      </c>
      <c r="MA32">
        <v>3568382</v>
      </c>
      <c r="MB32">
        <v>3579157</v>
      </c>
      <c r="MC32">
        <v>3587112</v>
      </c>
      <c r="MD32">
        <v>3592540</v>
      </c>
      <c r="ME32">
        <v>3601406</v>
      </c>
      <c r="MF32">
        <v>3613343</v>
      </c>
      <c r="MG32">
        <v>3623590</v>
      </c>
      <c r="MH32">
        <v>3635106</v>
      </c>
      <c r="MI32">
        <v>3645494</v>
      </c>
      <c r="MJ32">
        <v>3652689</v>
      </c>
      <c r="MK32">
        <v>3657722</v>
      </c>
      <c r="ML32">
        <v>3667145</v>
      </c>
      <c r="MM32">
        <v>3677348</v>
      </c>
      <c r="MN32">
        <v>3686021</v>
      </c>
      <c r="MO32">
        <v>3694522</v>
      </c>
      <c r="MP32">
        <v>3703356</v>
      </c>
      <c r="MQ32">
        <v>3708931</v>
      </c>
      <c r="MR32">
        <v>3712565</v>
      </c>
      <c r="MS32">
        <v>3721096</v>
      </c>
      <c r="MT32">
        <v>3728329</v>
      </c>
      <c r="MU32">
        <v>3735633</v>
      </c>
      <c r="MV32">
        <v>3743549</v>
      </c>
      <c r="MW32">
        <v>3750801</v>
      </c>
      <c r="MX32">
        <v>3755847</v>
      </c>
      <c r="MY32">
        <v>3759876</v>
      </c>
      <c r="MZ32">
        <v>3767668</v>
      </c>
      <c r="NA32">
        <v>3775659</v>
      </c>
      <c r="NB32">
        <v>3783274</v>
      </c>
      <c r="NC32">
        <v>3790505</v>
      </c>
      <c r="ND32">
        <v>3790505</v>
      </c>
      <c r="NE32">
        <v>3790505</v>
      </c>
      <c r="NF32">
        <v>3806490</v>
      </c>
      <c r="NG32">
        <v>3814917</v>
      </c>
      <c r="NH32">
        <v>3825432</v>
      </c>
      <c r="NI32">
        <v>3833845</v>
      </c>
      <c r="NJ32">
        <v>3841213</v>
      </c>
      <c r="NK32">
        <v>3849622</v>
      </c>
      <c r="NL32">
        <v>3854902</v>
      </c>
      <c r="NM32">
        <v>3858367</v>
      </c>
      <c r="NN32">
        <v>3865609</v>
      </c>
      <c r="NO32">
        <v>3872975</v>
      </c>
      <c r="NP32">
        <v>3880623</v>
      </c>
      <c r="NQ32">
        <v>3888624</v>
      </c>
      <c r="NR32">
        <v>3895904</v>
      </c>
      <c r="NS32">
        <v>3900359</v>
      </c>
      <c r="NT32">
        <v>3903364</v>
      </c>
      <c r="NU32">
        <v>3910258</v>
      </c>
      <c r="NV32">
        <v>3917803</v>
      </c>
      <c r="NW32">
        <v>3925189</v>
      </c>
      <c r="NX32">
        <v>3932433</v>
      </c>
      <c r="NY32">
        <v>3938786</v>
      </c>
      <c r="NZ32">
        <v>3942889</v>
      </c>
      <c r="OA32">
        <v>3946061</v>
      </c>
      <c r="OB32">
        <v>3953247</v>
      </c>
      <c r="OC32">
        <v>3958423</v>
      </c>
      <c r="OD32">
        <v>3966816</v>
      </c>
      <c r="OE32">
        <v>3966816</v>
      </c>
      <c r="OF32">
        <v>3973236</v>
      </c>
      <c r="OG32">
        <v>3984637</v>
      </c>
      <c r="OH32">
        <v>3987733</v>
      </c>
      <c r="OI32">
        <v>3994979</v>
      </c>
      <c r="OJ32">
        <v>4004156</v>
      </c>
      <c r="OK32">
        <v>4011025</v>
      </c>
      <c r="OL32">
        <v>4018662</v>
      </c>
      <c r="OM32">
        <v>4025224</v>
      </c>
      <c r="ON32">
        <v>4029716</v>
      </c>
      <c r="OO32">
        <v>4033042</v>
      </c>
      <c r="OP32">
        <v>4040000</v>
      </c>
      <c r="OQ32">
        <v>4047733</v>
      </c>
      <c r="OR32">
        <v>4054784</v>
      </c>
      <c r="OS32">
        <v>4062780</v>
      </c>
      <c r="OT32">
        <v>4070192</v>
      </c>
      <c r="OU32">
        <v>4075012</v>
      </c>
      <c r="OV32">
        <v>4078264</v>
      </c>
      <c r="OW32">
        <v>4085594</v>
      </c>
      <c r="OX32">
        <v>4090713</v>
      </c>
      <c r="OY32">
        <v>4093727</v>
      </c>
      <c r="OZ32">
        <v>4096752</v>
      </c>
      <c r="PA32">
        <v>4099798</v>
      </c>
      <c r="PB32">
        <v>4103490</v>
      </c>
      <c r="PC32">
        <v>4106286</v>
      </c>
      <c r="PD32">
        <v>4113095</v>
      </c>
      <c r="PE32">
        <v>4119843</v>
      </c>
      <c r="PF32">
        <v>4123363</v>
      </c>
      <c r="PG32">
        <v>4129390</v>
      </c>
      <c r="PH32">
        <v>4135921</v>
      </c>
      <c r="PI32">
        <v>4140481</v>
      </c>
      <c r="PJ32">
        <v>4143540</v>
      </c>
      <c r="PK32">
        <v>4150936</v>
      </c>
      <c r="PL32">
        <v>4159031</v>
      </c>
      <c r="PM32">
        <v>4166135</v>
      </c>
      <c r="PN32">
        <v>4173135</v>
      </c>
      <c r="PO32">
        <v>4179631</v>
      </c>
      <c r="PP32">
        <v>4184333</v>
      </c>
      <c r="PQ32">
        <v>4187923</v>
      </c>
      <c r="PR32">
        <v>4195059</v>
      </c>
      <c r="PS32">
        <v>4202759</v>
      </c>
      <c r="PT32">
        <v>4210454</v>
      </c>
      <c r="PU32">
        <v>4217639</v>
      </c>
      <c r="PV32">
        <v>4224325</v>
      </c>
      <c r="PW32">
        <v>4229187</v>
      </c>
      <c r="PX32">
        <v>4232560</v>
      </c>
      <c r="PY32">
        <v>4236620</v>
      </c>
      <c r="PZ32">
        <v>4244336</v>
      </c>
      <c r="QA32">
        <v>4251681</v>
      </c>
      <c r="QB32">
        <v>4258361</v>
      </c>
      <c r="QC32">
        <v>4265449</v>
      </c>
      <c r="QD32">
        <v>4270313</v>
      </c>
      <c r="QE32">
        <v>4270313</v>
      </c>
      <c r="QF32">
        <v>4281343</v>
      </c>
      <c r="QG32">
        <v>4289247</v>
      </c>
      <c r="QH32">
        <v>4293279</v>
      </c>
      <c r="QI32">
        <v>4296722</v>
      </c>
      <c r="QJ32">
        <v>4304404</v>
      </c>
      <c r="QK32">
        <v>4310101</v>
      </c>
      <c r="QL32">
        <v>4314516</v>
      </c>
      <c r="QM32">
        <v>4324051</v>
      </c>
      <c r="QN32">
        <v>4333065</v>
      </c>
      <c r="QO32">
        <v>4342008</v>
      </c>
      <c r="QP32">
        <v>4351363</v>
      </c>
      <c r="QQ32">
        <v>4351363</v>
      </c>
      <c r="QR32">
        <v>4366173</v>
      </c>
      <c r="QS32">
        <v>4371071</v>
      </c>
      <c r="QT32">
        <v>4379785</v>
      </c>
      <c r="QU32">
        <v>4390473</v>
      </c>
      <c r="QV32">
        <v>4401180</v>
      </c>
      <c r="QW32">
        <v>4401180</v>
      </c>
      <c r="QX32">
        <v>4413125</v>
      </c>
      <c r="QY32">
        <v>4432384</v>
      </c>
      <c r="QZ32">
        <v>4438772</v>
      </c>
      <c r="RA32">
        <v>4451122</v>
      </c>
      <c r="RB32">
        <v>4462855</v>
      </c>
      <c r="RC32">
        <v>4488534</v>
      </c>
      <c r="RD32">
        <v>4509816</v>
      </c>
      <c r="RE32">
        <v>4524594</v>
      </c>
      <c r="RF32">
        <v>4531950</v>
      </c>
      <c r="RG32">
        <v>4541240</v>
      </c>
      <c r="RH32">
        <v>4560761</v>
      </c>
      <c r="RI32">
        <v>4582752</v>
      </c>
      <c r="RJ32">
        <v>4604218</v>
      </c>
      <c r="RK32">
        <v>4628693</v>
      </c>
      <c r="RL32">
        <v>4652482</v>
      </c>
      <c r="RM32">
        <v>4670274</v>
      </c>
      <c r="RN32">
        <v>4684125</v>
      </c>
      <c r="RO32">
        <v>4700627</v>
      </c>
      <c r="RP32">
        <v>4724238</v>
      </c>
      <c r="RQ32">
        <v>4724238</v>
      </c>
      <c r="RR32">
        <v>4780459</v>
      </c>
      <c r="RS32">
        <v>4805650</v>
      </c>
      <c r="RT32">
        <v>4825959</v>
      </c>
      <c r="RU32">
        <v>4840565</v>
      </c>
      <c r="RV32">
        <v>4875304</v>
      </c>
      <c r="RW32">
        <v>4904989</v>
      </c>
      <c r="RX32">
        <v>4941046</v>
      </c>
      <c r="RY32">
        <v>4973955</v>
      </c>
      <c r="RZ32">
        <v>5003237</v>
      </c>
      <c r="SA32">
        <v>5022982</v>
      </c>
      <c r="SB32">
        <v>5037454</v>
      </c>
      <c r="SC32">
        <v>5037454</v>
      </c>
      <c r="SD32">
        <v>5092505</v>
      </c>
      <c r="SE32">
        <v>5119249</v>
      </c>
      <c r="SF32">
        <v>5143940</v>
      </c>
      <c r="SG32">
        <v>5168161</v>
      </c>
      <c r="SH32">
        <v>5184675</v>
      </c>
      <c r="SI32">
        <v>5196507</v>
      </c>
      <c r="SJ32">
        <v>5222353</v>
      </c>
      <c r="SK32">
        <v>5245490</v>
      </c>
      <c r="SL32">
        <v>5267010</v>
      </c>
      <c r="SM32">
        <v>5284883</v>
      </c>
      <c r="SN32">
        <v>5301944</v>
      </c>
      <c r="SO32">
        <v>5313027</v>
      </c>
      <c r="SP32">
        <v>5321126</v>
      </c>
      <c r="SQ32">
        <v>5338915</v>
      </c>
      <c r="SR32">
        <v>5354024</v>
      </c>
      <c r="SS32">
        <v>5366725</v>
      </c>
      <c r="ST32">
        <v>5378781</v>
      </c>
      <c r="SU32">
        <v>5390539</v>
      </c>
      <c r="SV32">
        <v>5398815</v>
      </c>
      <c r="SW32">
        <v>5404570</v>
      </c>
      <c r="SX32">
        <v>5417385</v>
      </c>
      <c r="SY32">
        <v>5428030</v>
      </c>
      <c r="SZ32">
        <v>5437779</v>
      </c>
      <c r="TA32">
        <v>5446742</v>
      </c>
      <c r="TB32">
        <v>5455120</v>
      </c>
      <c r="TC32">
        <v>5461497</v>
      </c>
      <c r="TD32">
        <v>5466002</v>
      </c>
      <c r="TE32">
        <v>5476124</v>
      </c>
      <c r="TF32">
        <v>5485072</v>
      </c>
      <c r="TG32">
        <v>5493703</v>
      </c>
      <c r="TH32">
        <v>5501932</v>
      </c>
      <c r="TI32">
        <v>5508991</v>
      </c>
      <c r="TJ32">
        <v>5513584</v>
      </c>
      <c r="TK32">
        <v>5517801</v>
      </c>
      <c r="TL32">
        <v>5523302</v>
      </c>
      <c r="TM32">
        <v>5526830</v>
      </c>
      <c r="TN32">
        <v>5534045</v>
      </c>
      <c r="TO32">
        <v>5541364</v>
      </c>
      <c r="TP32">
        <v>5547860</v>
      </c>
      <c r="TQ32">
        <v>5549591</v>
      </c>
      <c r="TR32">
        <v>5556253</v>
      </c>
      <c r="TS32">
        <v>5563603</v>
      </c>
      <c r="TT32">
        <v>5570079</v>
      </c>
      <c r="TU32">
        <v>5576954</v>
      </c>
      <c r="TV32">
        <v>5582962</v>
      </c>
      <c r="TW32">
        <v>5588502</v>
      </c>
      <c r="TX32">
        <v>5592742</v>
      </c>
      <c r="TY32">
        <v>5596410</v>
      </c>
      <c r="TZ32">
        <v>5603325</v>
      </c>
      <c r="UA32">
        <v>5609933</v>
      </c>
      <c r="UB32">
        <v>5616413</v>
      </c>
      <c r="UC32">
        <v>5622595</v>
      </c>
      <c r="UD32">
        <v>5629197</v>
      </c>
      <c r="UE32">
        <v>5634613</v>
      </c>
      <c r="UF32">
        <v>5638289</v>
      </c>
      <c r="UG32">
        <v>5645739</v>
      </c>
      <c r="UH32">
        <v>5652768</v>
      </c>
      <c r="UI32">
        <v>5659857</v>
      </c>
      <c r="UJ32">
        <v>5666600</v>
      </c>
      <c r="UK32">
        <v>5673524</v>
      </c>
      <c r="UL32">
        <v>5678637</v>
      </c>
      <c r="UM32">
        <v>5682298</v>
      </c>
      <c r="UN32">
        <v>5689994</v>
      </c>
      <c r="UO32">
        <v>5696867</v>
      </c>
      <c r="UP32">
        <v>5702946</v>
      </c>
      <c r="UQ32">
        <v>5714675</v>
      </c>
      <c r="UR32">
        <v>5719316</v>
      </c>
      <c r="US32">
        <v>5719316</v>
      </c>
      <c r="UT32">
        <v>5722835</v>
      </c>
      <c r="UU32">
        <v>5729565</v>
      </c>
      <c r="UV32">
        <v>5735815</v>
      </c>
      <c r="UW32">
        <v>5741600</v>
      </c>
      <c r="UX32">
        <v>5747623</v>
      </c>
      <c r="UY32">
        <v>5752906</v>
      </c>
      <c r="UZ32">
        <v>5757004</v>
      </c>
      <c r="VA32">
        <v>5760410</v>
      </c>
      <c r="VB32">
        <v>5767195</v>
      </c>
      <c r="VC32">
        <v>5773749</v>
      </c>
      <c r="VD32">
        <v>5779516</v>
      </c>
      <c r="VE32">
        <v>5786353</v>
      </c>
      <c r="VF32">
        <v>5786353</v>
      </c>
      <c r="VG32">
        <v>5786353</v>
      </c>
      <c r="VH32">
        <v>5793689</v>
      </c>
      <c r="VI32">
        <v>5800865</v>
      </c>
      <c r="VJ32">
        <v>5807856</v>
      </c>
      <c r="VK32">
        <v>5813988</v>
      </c>
      <c r="VL32">
        <v>5820472</v>
      </c>
      <c r="VM32">
        <v>5832022</v>
      </c>
      <c r="VN32">
        <v>5832022</v>
      </c>
      <c r="VO32">
        <v>5835793</v>
      </c>
      <c r="VP32">
        <v>5843308</v>
      </c>
      <c r="VQ32">
        <v>5850865</v>
      </c>
      <c r="VR32">
        <v>5858021</v>
      </c>
      <c r="VS32">
        <v>5873370</v>
      </c>
      <c r="VT32">
        <v>5883163</v>
      </c>
      <c r="VU32">
        <v>5887808</v>
      </c>
      <c r="VV32">
        <v>5887808</v>
      </c>
      <c r="VW32">
        <v>5887808</v>
      </c>
      <c r="VX32">
        <v>5897952</v>
      </c>
      <c r="VY32">
        <v>5918817</v>
      </c>
      <c r="VZ32">
        <v>5931178</v>
      </c>
      <c r="WA32">
        <v>5931178</v>
      </c>
      <c r="WB32">
        <v>5938833</v>
      </c>
      <c r="WC32">
        <v>5944913</v>
      </c>
      <c r="WD32">
        <v>5960270</v>
      </c>
      <c r="WE32">
        <v>5975743</v>
      </c>
      <c r="WF32">
        <v>5991973</v>
      </c>
      <c r="WG32">
        <v>6019923</v>
      </c>
      <c r="WH32">
        <v>6019923</v>
      </c>
      <c r="WI32">
        <v>6019923</v>
      </c>
      <c r="WJ32">
        <v>6038720</v>
      </c>
      <c r="WK32">
        <v>6056338</v>
      </c>
      <c r="WL32">
        <v>6073302</v>
      </c>
      <c r="WM32">
        <v>6090843</v>
      </c>
      <c r="WN32">
        <v>6132544</v>
      </c>
      <c r="WO32">
        <v>6132544</v>
      </c>
      <c r="WP32">
        <v>6132544</v>
      </c>
      <c r="WQ32">
        <v>6173831</v>
      </c>
      <c r="WR32">
        <v>6173831</v>
      </c>
      <c r="WS32">
        <v>6173831</v>
      </c>
      <c r="WT32">
        <v>6173831</v>
      </c>
      <c r="WU32">
        <v>6219180</v>
      </c>
      <c r="WV32">
        <v>6219180</v>
      </c>
      <c r="WW32">
        <v>6219180</v>
      </c>
      <c r="WX32">
        <v>6254430</v>
      </c>
      <c r="WY32">
        <v>6254430</v>
      </c>
      <c r="WZ32">
        <v>6254430</v>
      </c>
      <c r="XA32">
        <v>6315192</v>
      </c>
      <c r="XB32">
        <v>6315192</v>
      </c>
      <c r="XC32">
        <v>6324676</v>
      </c>
      <c r="XD32">
        <v>6324676</v>
      </c>
      <c r="XE32">
        <v>6332909</v>
      </c>
      <c r="XF32">
        <v>6403309</v>
      </c>
      <c r="XG32">
        <v>6403309</v>
      </c>
      <c r="XH32">
        <v>6403309</v>
      </c>
      <c r="XI32">
        <v>6403309</v>
      </c>
      <c r="XJ32">
        <v>6403309</v>
      </c>
      <c r="XK32">
        <v>6410918</v>
      </c>
      <c r="XL32">
        <v>6416881</v>
      </c>
      <c r="XM32">
        <v>6470972</v>
      </c>
      <c r="XN32">
        <v>6470972</v>
      </c>
      <c r="XO32">
        <v>6470972</v>
      </c>
      <c r="XP32">
        <v>6470972</v>
      </c>
      <c r="XQ32">
        <v>6470972</v>
      </c>
      <c r="XR32">
        <v>6531866</v>
      </c>
      <c r="XS32">
        <v>6531866</v>
      </c>
      <c r="XT32">
        <v>6531866</v>
      </c>
      <c r="XU32">
        <v>6531866</v>
      </c>
      <c r="XV32">
        <v>6531866</v>
      </c>
      <c r="XW32">
        <v>6531866</v>
      </c>
      <c r="XX32">
        <v>6531866</v>
      </c>
      <c r="XY32">
        <v>6537816</v>
      </c>
      <c r="XZ32">
        <v>6537816</v>
      </c>
      <c r="YA32">
        <v>6553197</v>
      </c>
      <c r="YB32">
        <v>6563209</v>
      </c>
      <c r="YC32">
        <v>6591645</v>
      </c>
      <c r="YD32">
        <v>6597121</v>
      </c>
      <c r="YE32">
        <v>6597121</v>
      </c>
      <c r="YF32" s="1">
        <v>6597121</v>
      </c>
      <c r="YG32" s="1">
        <v>6597121</v>
      </c>
      <c r="YH32" s="1">
        <v>6597121</v>
      </c>
      <c r="YI32" s="1">
        <v>6597121</v>
      </c>
      <c r="YJ32">
        <v>6597121</v>
      </c>
      <c r="YK32">
        <v>6637861</v>
      </c>
      <c r="YL32">
        <v>6637861</v>
      </c>
      <c r="YM32">
        <v>6637861</v>
      </c>
      <c r="YN32">
        <v>6637861</v>
      </c>
      <c r="YO32">
        <v>6637861</v>
      </c>
      <c r="YP32">
        <v>6637861</v>
      </c>
      <c r="YQ32">
        <v>6637861</v>
      </c>
      <c r="YR32">
        <v>6637861</v>
      </c>
      <c r="YS32">
        <v>6637861</v>
      </c>
      <c r="YT32">
        <v>6637861</v>
      </c>
      <c r="YU32">
        <v>6695106</v>
      </c>
      <c r="YV32">
        <v>6695106</v>
      </c>
      <c r="YW32">
        <v>6695106</v>
      </c>
      <c r="YX32">
        <v>6695106</v>
      </c>
      <c r="YY32">
        <v>6695106</v>
      </c>
      <c r="YZ32">
        <v>6695106</v>
      </c>
      <c r="ZA32">
        <v>6695106</v>
      </c>
      <c r="ZB32">
        <v>6695106</v>
      </c>
      <c r="ZC32">
        <v>6695106</v>
      </c>
      <c r="ZD32">
        <v>6695106</v>
      </c>
      <c r="ZE32">
        <v>6695106</v>
      </c>
      <c r="ZF32">
        <v>6695106</v>
      </c>
      <c r="ZG32">
        <v>6695106</v>
      </c>
      <c r="ZH32">
        <v>6772690</v>
      </c>
      <c r="ZI32">
        <v>6772690</v>
      </c>
      <c r="ZJ32">
        <v>6772690</v>
      </c>
      <c r="ZK32">
        <v>6772690</v>
      </c>
      <c r="ZL32">
        <v>6772690</v>
      </c>
      <c r="ZM32">
        <v>6772690</v>
      </c>
      <c r="ZN32">
        <v>6772690</v>
      </c>
      <c r="ZO32">
        <v>6813255</v>
      </c>
      <c r="ZP32">
        <v>6813255</v>
      </c>
      <c r="ZQ32">
        <v>6813255</v>
      </c>
      <c r="ZR32">
        <v>6813255</v>
      </c>
      <c r="ZS32">
        <v>6813255</v>
      </c>
      <c r="ZT32">
        <v>6813255</v>
      </c>
      <c r="ZU32">
        <v>6813255</v>
      </c>
      <c r="ZV32">
        <v>6856011</v>
      </c>
      <c r="ZW32">
        <v>6856011</v>
      </c>
      <c r="ZX32">
        <v>6856011</v>
      </c>
      <c r="ZY32">
        <v>6856011</v>
      </c>
      <c r="ZZ32">
        <v>6856011</v>
      </c>
      <c r="AAA32">
        <v>6856011</v>
      </c>
      <c r="AAB32">
        <v>6856011</v>
      </c>
      <c r="AAC32">
        <v>6898460</v>
      </c>
      <c r="AAD32">
        <v>6898460</v>
      </c>
      <c r="AAE32">
        <v>6898460</v>
      </c>
      <c r="AAF32">
        <v>6898460</v>
      </c>
      <c r="AAG32">
        <v>6898460</v>
      </c>
      <c r="AAH32">
        <v>6898460</v>
      </c>
      <c r="AAI32">
        <v>6898460</v>
      </c>
      <c r="AAJ32">
        <v>6940020</v>
      </c>
      <c r="AAK32">
        <v>6940020</v>
      </c>
      <c r="AAL32">
        <v>6940020</v>
      </c>
      <c r="AAM32">
        <v>6940020</v>
      </c>
      <c r="AAN32">
        <v>6940020</v>
      </c>
      <c r="AAO32">
        <v>6940020</v>
      </c>
      <c r="AAP32">
        <v>6940020</v>
      </c>
      <c r="AAQ32">
        <v>6976985</v>
      </c>
      <c r="AAR32">
        <v>6976985</v>
      </c>
      <c r="AAS32">
        <v>6976985</v>
      </c>
      <c r="AAT32">
        <v>6976985</v>
      </c>
      <c r="AAU32">
        <v>6976985</v>
      </c>
      <c r="AAV32">
        <v>6976985</v>
      </c>
      <c r="AAW32">
        <v>6976985</v>
      </c>
      <c r="AAX32">
        <v>7009916</v>
      </c>
      <c r="AAY32">
        <v>7009916</v>
      </c>
      <c r="AAZ32">
        <v>7009916</v>
      </c>
      <c r="ABA32">
        <v>7009916</v>
      </c>
      <c r="ABB32">
        <v>7009916</v>
      </c>
      <c r="ABC32">
        <v>7009916</v>
      </c>
      <c r="ABD32">
        <v>7009916</v>
      </c>
      <c r="ABE32">
        <v>7037466</v>
      </c>
      <c r="ABF32">
        <v>7037466</v>
      </c>
      <c r="ABG32">
        <v>7037466</v>
      </c>
      <c r="ABH32">
        <v>7037466</v>
      </c>
      <c r="ABI32">
        <v>7037466</v>
      </c>
      <c r="ABJ32">
        <v>7037466</v>
      </c>
      <c r="ABK32">
        <v>7037466</v>
      </c>
      <c r="ABL32">
        <v>7062027</v>
      </c>
      <c r="ABM32">
        <v>7062027</v>
      </c>
      <c r="ABN32">
        <v>7062027</v>
      </c>
      <c r="ABO32">
        <v>7062027</v>
      </c>
      <c r="ABP32">
        <v>7062027</v>
      </c>
      <c r="ABQ32">
        <v>7062027</v>
      </c>
      <c r="ABR32">
        <v>7062027</v>
      </c>
      <c r="ABS32">
        <v>7084004</v>
      </c>
      <c r="ABT32">
        <v>7084004</v>
      </c>
      <c r="ABU32">
        <v>7084004</v>
      </c>
      <c r="ABV32">
        <v>7084004</v>
      </c>
      <c r="ABW32">
        <v>7084004</v>
      </c>
      <c r="ABX32">
        <v>7084004</v>
      </c>
      <c r="ABY32">
        <v>7084004</v>
      </c>
      <c r="ABZ32">
        <v>7084004</v>
      </c>
      <c r="ACA32">
        <v>7104713</v>
      </c>
      <c r="ACB32">
        <v>7104713</v>
      </c>
      <c r="ACC32">
        <v>7104713</v>
      </c>
      <c r="ACD32">
        <v>7104713</v>
      </c>
      <c r="ACE32">
        <v>7104713</v>
      </c>
      <c r="ACF32">
        <v>7104713</v>
      </c>
      <c r="ACG32">
        <v>7104713</v>
      </c>
      <c r="ACH32">
        <v>7126135</v>
      </c>
      <c r="ACI32">
        <v>7126135</v>
      </c>
      <c r="ACJ32">
        <v>7126135</v>
      </c>
      <c r="ACK32">
        <v>7126135</v>
      </c>
      <c r="ACL32">
        <v>7126135</v>
      </c>
      <c r="ACM32">
        <v>7126135</v>
      </c>
      <c r="ACN32">
        <v>7145230</v>
      </c>
      <c r="ACO32">
        <v>7145230</v>
      </c>
      <c r="ACP32">
        <v>7145230</v>
      </c>
      <c r="ACQ32">
        <v>7145230</v>
      </c>
      <c r="ACR32">
        <v>7145230</v>
      </c>
      <c r="ACS32">
        <v>7145230</v>
      </c>
      <c r="ACT32">
        <v>7145230</v>
      </c>
      <c r="ACU32">
        <v>7164655</v>
      </c>
      <c r="ACV32">
        <v>7164655</v>
      </c>
      <c r="ACW32">
        <v>7164655</v>
      </c>
      <c r="ACX32">
        <v>7164655</v>
      </c>
      <c r="ACY32">
        <v>7164655</v>
      </c>
      <c r="ACZ32">
        <v>7164655</v>
      </c>
      <c r="ADA32">
        <v>7164655</v>
      </c>
      <c r="ADB32">
        <v>7178915</v>
      </c>
      <c r="ADC32">
        <v>7178915</v>
      </c>
      <c r="ADD32">
        <v>7178915</v>
      </c>
      <c r="ADE32">
        <v>7178915</v>
      </c>
      <c r="ADF32">
        <v>7178915</v>
      </c>
      <c r="ADG32">
        <v>7178915</v>
      </c>
      <c r="ADH32">
        <v>7178915</v>
      </c>
      <c r="ADI32">
        <v>7196883</v>
      </c>
      <c r="ADJ32">
        <v>7196883</v>
      </c>
      <c r="ADK32">
        <v>7196883</v>
      </c>
      <c r="ADL32">
        <v>7221986</v>
      </c>
      <c r="ADM32">
        <v>7221986</v>
      </c>
      <c r="ADN32">
        <v>7221986</v>
      </c>
      <c r="ADO32">
        <v>7221986</v>
      </c>
      <c r="ADP32">
        <v>7221986</v>
      </c>
      <c r="ADQ32">
        <v>7221986</v>
      </c>
      <c r="ADR32">
        <v>7221986</v>
      </c>
      <c r="ADS32">
        <v>7221986</v>
      </c>
      <c r="ADT32">
        <v>7221986</v>
      </c>
      <c r="ADU32">
        <v>7221986</v>
      </c>
      <c r="ADV32">
        <v>7221986</v>
      </c>
      <c r="ADW32">
        <v>7256244</v>
      </c>
      <c r="ADX32">
        <v>7256244</v>
      </c>
      <c r="ADY32">
        <v>7256244</v>
      </c>
      <c r="ADZ32">
        <v>7256244</v>
      </c>
      <c r="AEA32">
        <v>7256244</v>
      </c>
      <c r="AEB32">
        <v>7256244</v>
      </c>
      <c r="AEC32">
        <v>7256244</v>
      </c>
      <c r="AED32">
        <v>7292089</v>
      </c>
      <c r="AEE32">
        <v>7292089</v>
      </c>
      <c r="AEF32">
        <v>7292089</v>
      </c>
      <c r="AEG32">
        <v>7292089</v>
      </c>
      <c r="AEH32">
        <v>7292089</v>
      </c>
      <c r="AEI32">
        <v>7292089</v>
      </c>
      <c r="AEJ32">
        <v>7292089</v>
      </c>
      <c r="AEK32">
        <v>7328159</v>
      </c>
      <c r="AEL32">
        <v>7328159</v>
      </c>
      <c r="AEM32">
        <v>7328159</v>
      </c>
      <c r="AEN32">
        <v>7328159</v>
      </c>
      <c r="AEO32">
        <v>7328159</v>
      </c>
      <c r="AEP32">
        <v>7328159</v>
      </c>
      <c r="AEQ32">
        <v>7328159</v>
      </c>
      <c r="AER32">
        <v>7385118</v>
      </c>
      <c r="AES32">
        <v>7385118</v>
      </c>
      <c r="AET32">
        <v>7385118</v>
      </c>
      <c r="AEU32">
        <v>7385118</v>
      </c>
      <c r="AEV32">
        <v>7385118</v>
      </c>
      <c r="AEW32">
        <v>7385118</v>
      </c>
      <c r="AEX32">
        <v>7385118</v>
      </c>
      <c r="AEY32">
        <v>7385118</v>
      </c>
      <c r="AEZ32">
        <v>7385118</v>
      </c>
      <c r="AFA32">
        <v>7385118</v>
      </c>
      <c r="AFB32">
        <v>7385118</v>
      </c>
      <c r="AFC32">
        <v>7385118</v>
      </c>
      <c r="AFD32">
        <v>7385118</v>
      </c>
      <c r="AFE32">
        <v>7404783</v>
      </c>
      <c r="AFF32">
        <v>7404783</v>
      </c>
      <c r="AFG32">
        <v>7404783</v>
      </c>
      <c r="AFH32">
        <v>7404783</v>
      </c>
      <c r="AFI32">
        <v>7404783</v>
      </c>
      <c r="AFJ32">
        <v>7404783</v>
      </c>
      <c r="AFK32">
        <v>7404783</v>
      </c>
      <c r="AFL32">
        <v>7404783</v>
      </c>
      <c r="AFM32">
        <v>7404783</v>
      </c>
      <c r="AFN32">
        <v>7422622</v>
      </c>
      <c r="AFO32">
        <v>7422622</v>
      </c>
      <c r="AFP32">
        <v>7422622</v>
      </c>
      <c r="AFQ32">
        <v>7422622</v>
      </c>
      <c r="AFR32">
        <v>7422622</v>
      </c>
      <c r="AFS32">
        <v>7422622</v>
      </c>
      <c r="AFT32">
        <v>7441420</v>
      </c>
      <c r="AFU32">
        <v>7441420</v>
      </c>
      <c r="AFV32">
        <v>7441420</v>
      </c>
      <c r="AFW32">
        <v>7441420</v>
      </c>
      <c r="AFX32">
        <v>7441420</v>
      </c>
      <c r="AFY32">
        <v>7441420</v>
      </c>
      <c r="AFZ32">
        <v>7441420</v>
      </c>
      <c r="AGA32">
        <v>7475016</v>
      </c>
      <c r="AGB32">
        <v>7475016</v>
      </c>
      <c r="AGC32">
        <v>7475016</v>
      </c>
      <c r="AGD32">
        <v>7475016</v>
      </c>
      <c r="AGE32">
        <v>7475016</v>
      </c>
      <c r="AGF32">
        <v>7475016</v>
      </c>
      <c r="AGG32">
        <v>7475016</v>
      </c>
      <c r="AGH32">
        <v>7475016</v>
      </c>
      <c r="AGI32">
        <v>7475016</v>
      </c>
      <c r="AGJ32">
        <v>7475016</v>
      </c>
      <c r="AGK32">
        <v>7475016</v>
      </c>
      <c r="AGL32">
        <v>7475016</v>
      </c>
      <c r="AGM32">
        <v>7475016</v>
      </c>
      <c r="AGN32">
        <v>7475016</v>
      </c>
      <c r="AGO32">
        <v>7491978</v>
      </c>
      <c r="AGP32">
        <v>7491978</v>
      </c>
      <c r="AGQ32">
        <v>7491978</v>
      </c>
      <c r="AGR32">
        <v>7491978</v>
      </c>
      <c r="AGS32">
        <v>7491978</v>
      </c>
      <c r="AGT32">
        <v>7491978</v>
      </c>
      <c r="AGU32">
        <v>7491978</v>
      </c>
      <c r="AGV32">
        <v>7491978</v>
      </c>
      <c r="AGW32">
        <v>7491978</v>
      </c>
      <c r="AGX32">
        <v>7491978</v>
      </c>
      <c r="AGY32">
        <v>7491978</v>
      </c>
      <c r="AGZ32">
        <v>7491978</v>
      </c>
      <c r="AHA32">
        <v>7491978</v>
      </c>
      <c r="AHB32">
        <v>7491978</v>
      </c>
      <c r="AHC32">
        <v>7532271</v>
      </c>
      <c r="AHD32">
        <v>7532271</v>
      </c>
      <c r="AHE32">
        <v>7532271</v>
      </c>
      <c r="AHF32">
        <v>7532271</v>
      </c>
      <c r="AHG32">
        <v>7532271</v>
      </c>
      <c r="AHH32">
        <v>7532271</v>
      </c>
      <c r="AHI32">
        <v>7532271</v>
      </c>
      <c r="AHJ32">
        <v>7532271</v>
      </c>
      <c r="AHK32">
        <v>7548346</v>
      </c>
      <c r="AHL32">
        <v>7548346</v>
      </c>
      <c r="AHM32">
        <v>7548346</v>
      </c>
      <c r="AHN32">
        <v>7548346</v>
      </c>
      <c r="AHO32">
        <v>7548346</v>
      </c>
      <c r="AHP32">
        <v>7548346</v>
      </c>
      <c r="AHQ32">
        <v>7548346</v>
      </c>
    </row>
    <row r="33" spans="1:901">
      <c r="A33" s="1" t="s">
        <v>45</v>
      </c>
      <c r="B33">
        <v>3592221</v>
      </c>
      <c r="C33">
        <v>3614738</v>
      </c>
      <c r="D33">
        <v>3640863</v>
      </c>
      <c r="E33">
        <v>3667968</v>
      </c>
      <c r="F33">
        <v>3693813</v>
      </c>
      <c r="G33">
        <v>3710694</v>
      </c>
      <c r="H33">
        <v>3724872</v>
      </c>
      <c r="I33">
        <v>3751583</v>
      </c>
      <c r="J33">
        <v>3778648</v>
      </c>
      <c r="K33">
        <v>3804340</v>
      </c>
      <c r="L33">
        <v>3850122</v>
      </c>
      <c r="M33">
        <v>3865360</v>
      </c>
      <c r="N33">
        <v>3878323</v>
      </c>
      <c r="O33">
        <v>3892353</v>
      </c>
      <c r="P33">
        <v>3908125</v>
      </c>
      <c r="Q33">
        <v>3922567</v>
      </c>
      <c r="R33">
        <v>3939873</v>
      </c>
      <c r="S33">
        <v>3952298</v>
      </c>
      <c r="T33">
        <v>3961345</v>
      </c>
      <c r="U33">
        <v>3975007</v>
      </c>
      <c r="V33">
        <v>3988070</v>
      </c>
      <c r="W33">
        <v>4003363</v>
      </c>
      <c r="X33">
        <v>4027591</v>
      </c>
      <c r="Y33">
        <v>4050681</v>
      </c>
      <c r="Z33">
        <v>4077357</v>
      </c>
      <c r="AA33">
        <v>4092566</v>
      </c>
      <c r="AB33">
        <v>4111951</v>
      </c>
      <c r="AC33">
        <v>4135223</v>
      </c>
      <c r="AD33">
        <v>4158359</v>
      </c>
      <c r="AE33">
        <v>4181976</v>
      </c>
      <c r="AF33">
        <v>4206371</v>
      </c>
      <c r="AG33">
        <v>4230353</v>
      </c>
      <c r="AH33">
        <v>4249458</v>
      </c>
      <c r="AI33">
        <v>4270800</v>
      </c>
      <c r="AJ33">
        <v>4293748</v>
      </c>
      <c r="AK33">
        <v>4316879</v>
      </c>
      <c r="AL33">
        <v>4343547</v>
      </c>
      <c r="AM33">
        <v>4367969</v>
      </c>
      <c r="AN33">
        <v>4390402</v>
      </c>
      <c r="AO33">
        <v>4407293</v>
      </c>
      <c r="AP33">
        <v>4427751</v>
      </c>
      <c r="AQ33">
        <v>4449985</v>
      </c>
      <c r="AR33">
        <v>4473483</v>
      </c>
      <c r="AS33">
        <v>4489872</v>
      </c>
      <c r="AT33">
        <v>4517584</v>
      </c>
      <c r="AU33">
        <v>4537540</v>
      </c>
      <c r="AV33">
        <v>4551185</v>
      </c>
      <c r="AW33">
        <v>4568349</v>
      </c>
      <c r="AX33">
        <v>4591407</v>
      </c>
      <c r="AY33">
        <v>4611380</v>
      </c>
      <c r="AZ33">
        <v>4635248</v>
      </c>
      <c r="BA33">
        <v>4655418</v>
      </c>
      <c r="BB33">
        <v>4674263</v>
      </c>
      <c r="BC33">
        <v>4684817</v>
      </c>
      <c r="BD33">
        <v>4700489</v>
      </c>
      <c r="BE33">
        <v>4721179</v>
      </c>
      <c r="BF33">
        <v>4740666</v>
      </c>
      <c r="BG33">
        <v>4761540</v>
      </c>
      <c r="BH33">
        <v>4784978</v>
      </c>
      <c r="BI33">
        <v>4802591</v>
      </c>
      <c r="BJ33">
        <v>4815828</v>
      </c>
      <c r="BK33">
        <v>4831147</v>
      </c>
      <c r="BL33">
        <v>4852474</v>
      </c>
      <c r="BM33">
        <v>4874713</v>
      </c>
      <c r="BN33">
        <v>4896839</v>
      </c>
      <c r="BO33">
        <v>4916164</v>
      </c>
      <c r="BP33">
        <v>4935037</v>
      </c>
      <c r="BQ33">
        <v>4945165</v>
      </c>
      <c r="BR33">
        <v>4961493</v>
      </c>
      <c r="BS33">
        <v>4982778</v>
      </c>
      <c r="BT33">
        <v>4999956</v>
      </c>
      <c r="BU33">
        <v>5019608</v>
      </c>
      <c r="BV33">
        <v>5039956</v>
      </c>
      <c r="BW33">
        <v>5059179</v>
      </c>
      <c r="BX33">
        <v>5069698</v>
      </c>
      <c r="BY33">
        <v>5085775</v>
      </c>
      <c r="BZ33">
        <v>5103401</v>
      </c>
      <c r="CA33">
        <v>5119245</v>
      </c>
      <c r="CB33">
        <v>5136390</v>
      </c>
      <c r="CC33">
        <v>5154919</v>
      </c>
      <c r="CD33">
        <v>5167466</v>
      </c>
      <c r="CE33">
        <v>5179331</v>
      </c>
      <c r="CF33">
        <v>5195499</v>
      </c>
      <c r="CG33">
        <v>5204299</v>
      </c>
      <c r="CH33">
        <v>5217086</v>
      </c>
      <c r="CI33">
        <v>5232485</v>
      </c>
      <c r="CJ33">
        <v>5248832</v>
      </c>
      <c r="CK33">
        <v>5264455</v>
      </c>
      <c r="CL33">
        <v>5273241</v>
      </c>
      <c r="CM33">
        <v>5284292</v>
      </c>
      <c r="CN33">
        <v>5301184</v>
      </c>
      <c r="CO33">
        <v>5318292</v>
      </c>
      <c r="CP33">
        <v>5345801</v>
      </c>
      <c r="CQ33">
        <v>5361432</v>
      </c>
      <c r="CR33">
        <v>5374886</v>
      </c>
      <c r="CS33">
        <v>5383267</v>
      </c>
      <c r="CT33">
        <v>5397861</v>
      </c>
      <c r="CU33">
        <v>5416226</v>
      </c>
      <c r="CV33">
        <v>5433168</v>
      </c>
      <c r="CW33">
        <v>5446927</v>
      </c>
      <c r="CX33">
        <v>5453091</v>
      </c>
      <c r="CY33">
        <v>5463577</v>
      </c>
      <c r="CZ33">
        <v>5473555</v>
      </c>
      <c r="DA33">
        <v>5486007</v>
      </c>
      <c r="DB33">
        <v>5502884</v>
      </c>
      <c r="DC33">
        <v>5522513</v>
      </c>
      <c r="DD33">
        <v>5537730</v>
      </c>
      <c r="DE33">
        <v>5543366</v>
      </c>
      <c r="DF33">
        <v>5555591</v>
      </c>
      <c r="DG33">
        <v>5567797</v>
      </c>
      <c r="DH33">
        <v>5581668</v>
      </c>
      <c r="DI33">
        <v>5601619</v>
      </c>
      <c r="DJ33">
        <v>5616880</v>
      </c>
      <c r="DK33">
        <v>5631415</v>
      </c>
      <c r="DL33">
        <v>5651113</v>
      </c>
      <c r="DM33">
        <v>5667879</v>
      </c>
      <c r="DN33">
        <v>5681038</v>
      </c>
      <c r="DO33">
        <v>5697183</v>
      </c>
      <c r="DP33">
        <v>5732537</v>
      </c>
      <c r="DQ33">
        <v>5767641</v>
      </c>
      <c r="DR33">
        <v>5815670</v>
      </c>
      <c r="DS33">
        <v>5844283</v>
      </c>
      <c r="DT33">
        <v>5876017</v>
      </c>
      <c r="DU33">
        <v>5901809</v>
      </c>
      <c r="DV33">
        <v>5928005</v>
      </c>
      <c r="DW33">
        <v>5958860</v>
      </c>
      <c r="DX33">
        <v>5989114</v>
      </c>
      <c r="DY33">
        <v>6028030</v>
      </c>
      <c r="DZ33">
        <v>6060702</v>
      </c>
      <c r="EA33">
        <v>6093440</v>
      </c>
      <c r="EB33">
        <v>6093440</v>
      </c>
      <c r="EC33">
        <v>6142221</v>
      </c>
      <c r="ED33">
        <v>6176497</v>
      </c>
      <c r="EE33">
        <v>6213099</v>
      </c>
      <c r="EF33">
        <v>6250392</v>
      </c>
      <c r="EG33">
        <v>6300181</v>
      </c>
      <c r="EH33">
        <v>6333674</v>
      </c>
      <c r="EI33">
        <v>6354240</v>
      </c>
      <c r="EJ33">
        <v>6395019</v>
      </c>
      <c r="EK33">
        <v>6440564</v>
      </c>
      <c r="EL33">
        <v>6491121</v>
      </c>
      <c r="EM33">
        <v>6533783</v>
      </c>
      <c r="EN33">
        <v>6581216</v>
      </c>
      <c r="EO33">
        <v>6608063</v>
      </c>
      <c r="EP33">
        <v>6636133</v>
      </c>
      <c r="EQ33">
        <v>6667246</v>
      </c>
      <c r="ER33">
        <v>6707787</v>
      </c>
      <c r="ES33">
        <v>6767793</v>
      </c>
      <c r="ET33">
        <v>6825553</v>
      </c>
      <c r="EU33">
        <v>6879425</v>
      </c>
      <c r="EV33">
        <v>6927747</v>
      </c>
      <c r="EW33">
        <v>6950735</v>
      </c>
      <c r="EX33">
        <v>6993146</v>
      </c>
      <c r="EY33">
        <v>7050280</v>
      </c>
      <c r="EZ33">
        <v>7109157</v>
      </c>
      <c r="FA33">
        <v>7162772</v>
      </c>
      <c r="FB33">
        <v>7214178</v>
      </c>
      <c r="FC33">
        <v>7259287</v>
      </c>
      <c r="FD33">
        <v>7281747</v>
      </c>
      <c r="FE33">
        <v>7332078</v>
      </c>
      <c r="FF33">
        <v>7381274</v>
      </c>
      <c r="FG33">
        <v>7435218</v>
      </c>
      <c r="FH33">
        <v>7489096</v>
      </c>
      <c r="FI33">
        <v>7541959</v>
      </c>
      <c r="FJ33">
        <v>7584699</v>
      </c>
      <c r="FK33">
        <v>7604514</v>
      </c>
      <c r="FL33">
        <v>7648496</v>
      </c>
      <c r="FM33">
        <v>7701919</v>
      </c>
      <c r="FN33">
        <v>7757176</v>
      </c>
      <c r="FO33">
        <v>7812832</v>
      </c>
      <c r="FP33">
        <v>7868298</v>
      </c>
      <c r="FQ33">
        <v>7917284</v>
      </c>
      <c r="FR33">
        <v>7940435</v>
      </c>
      <c r="FS33">
        <v>7986252</v>
      </c>
      <c r="FT33">
        <v>8046193</v>
      </c>
      <c r="FU33">
        <v>8105930</v>
      </c>
      <c r="FV33">
        <v>8172738</v>
      </c>
      <c r="FW33">
        <v>8234401</v>
      </c>
      <c r="FX33">
        <v>8284625</v>
      </c>
      <c r="FY33">
        <v>8329451</v>
      </c>
      <c r="FZ33">
        <v>8395433</v>
      </c>
      <c r="GA33">
        <v>8466183</v>
      </c>
      <c r="GB33">
        <v>8529823</v>
      </c>
      <c r="GC33">
        <v>8592274</v>
      </c>
      <c r="GD33">
        <v>8659841</v>
      </c>
      <c r="GE33">
        <v>8711797</v>
      </c>
      <c r="GF33">
        <v>8748899</v>
      </c>
      <c r="GG33">
        <v>8810146</v>
      </c>
      <c r="GH33">
        <v>8881594</v>
      </c>
      <c r="GI33">
        <v>8950031</v>
      </c>
      <c r="GJ33">
        <v>9014018</v>
      </c>
      <c r="GK33">
        <v>9089474</v>
      </c>
      <c r="GL33">
        <v>9160551</v>
      </c>
      <c r="GM33">
        <v>9190114</v>
      </c>
      <c r="GN33">
        <v>9243545</v>
      </c>
      <c r="GO33">
        <v>9314947</v>
      </c>
      <c r="GP33">
        <v>9394499</v>
      </c>
      <c r="GQ33">
        <v>9445356</v>
      </c>
      <c r="GR33">
        <v>9483230</v>
      </c>
      <c r="GS33">
        <v>9538127</v>
      </c>
      <c r="GT33">
        <v>9579440</v>
      </c>
      <c r="GU33">
        <v>9641031</v>
      </c>
      <c r="GV33">
        <v>9709043</v>
      </c>
      <c r="GW33">
        <v>9790744</v>
      </c>
      <c r="GX33">
        <v>9876422</v>
      </c>
      <c r="GY33">
        <v>9945732</v>
      </c>
      <c r="GZ33">
        <v>10001832</v>
      </c>
      <c r="HA33" s="3">
        <v>10043917</v>
      </c>
      <c r="HB33">
        <v>10086002</v>
      </c>
      <c r="HC33">
        <v>10158843</v>
      </c>
      <c r="HD33">
        <v>10226394</v>
      </c>
      <c r="HE33">
        <v>10295559</v>
      </c>
      <c r="HF33">
        <v>10374315</v>
      </c>
      <c r="HG33">
        <v>10435441</v>
      </c>
      <c r="HH33">
        <v>10461475</v>
      </c>
      <c r="HI33">
        <v>10524419</v>
      </c>
      <c r="HJ33">
        <v>10582462</v>
      </c>
      <c r="HK33">
        <v>10650847</v>
      </c>
      <c r="HL33">
        <v>10723364</v>
      </c>
      <c r="HM33">
        <v>10798298</v>
      </c>
      <c r="HN33">
        <v>10862019</v>
      </c>
      <c r="HO33">
        <v>10899191</v>
      </c>
      <c r="HP33">
        <v>10964758</v>
      </c>
      <c r="HQ33">
        <v>11037602</v>
      </c>
      <c r="HR33">
        <v>11096385</v>
      </c>
      <c r="HS33">
        <v>11169530</v>
      </c>
      <c r="HT33">
        <v>11225924</v>
      </c>
      <c r="HU33">
        <v>11269734</v>
      </c>
      <c r="HV33">
        <v>11293108</v>
      </c>
      <c r="HW33">
        <v>11348411</v>
      </c>
      <c r="HX33">
        <v>11411358</v>
      </c>
      <c r="HY33">
        <v>11483598</v>
      </c>
      <c r="HZ33">
        <v>11555688</v>
      </c>
      <c r="IA33">
        <v>11624047</v>
      </c>
      <c r="IB33">
        <v>11682182</v>
      </c>
      <c r="IC33">
        <v>11705258</v>
      </c>
      <c r="ID33">
        <v>11761084</v>
      </c>
      <c r="IE33">
        <v>11832582</v>
      </c>
      <c r="IF33">
        <v>11901521</v>
      </c>
      <c r="IG33">
        <v>11972376</v>
      </c>
      <c r="IH33">
        <v>12034432</v>
      </c>
      <c r="II33">
        <v>12091820</v>
      </c>
      <c r="IJ33">
        <v>12118928</v>
      </c>
      <c r="IK33">
        <v>12173032</v>
      </c>
      <c r="IL33">
        <v>12240660</v>
      </c>
      <c r="IM33">
        <v>12306614</v>
      </c>
      <c r="IN33">
        <v>12370803</v>
      </c>
      <c r="IO33">
        <v>12432321</v>
      </c>
      <c r="IP33">
        <v>12482876</v>
      </c>
      <c r="IQ33">
        <v>12506500</v>
      </c>
      <c r="IR33">
        <v>12554299</v>
      </c>
      <c r="IS33">
        <v>12614761</v>
      </c>
      <c r="IT33">
        <v>12675765</v>
      </c>
      <c r="IU33">
        <v>12733231</v>
      </c>
      <c r="IV33">
        <v>12790076</v>
      </c>
      <c r="IW33">
        <v>12839497</v>
      </c>
      <c r="IX33">
        <v>12839497</v>
      </c>
      <c r="IY33">
        <v>12911851</v>
      </c>
      <c r="IZ33">
        <v>12969305</v>
      </c>
      <c r="JA33">
        <v>13025140</v>
      </c>
      <c r="JB33">
        <v>13076134</v>
      </c>
      <c r="JC33">
        <v>13132238</v>
      </c>
      <c r="JD33">
        <v>13173460</v>
      </c>
      <c r="JE33">
        <v>13188675</v>
      </c>
      <c r="JF33">
        <v>13230098</v>
      </c>
      <c r="JG33">
        <v>13274284</v>
      </c>
      <c r="JH33">
        <v>13325242</v>
      </c>
      <c r="JI33">
        <v>13371116</v>
      </c>
      <c r="JJ33">
        <v>13418289</v>
      </c>
      <c r="JK33">
        <v>13454594</v>
      </c>
      <c r="JL33">
        <v>13471110</v>
      </c>
      <c r="JM33">
        <v>13510063</v>
      </c>
      <c r="JN33">
        <v>13564562</v>
      </c>
      <c r="JO33">
        <v>13620937</v>
      </c>
      <c r="JP33">
        <v>13673551</v>
      </c>
      <c r="JQ33">
        <v>13730352</v>
      </c>
      <c r="JR33">
        <v>13773500</v>
      </c>
      <c r="JS33">
        <v>13791063</v>
      </c>
      <c r="JT33">
        <v>13836430</v>
      </c>
      <c r="JU33">
        <v>13886987</v>
      </c>
      <c r="JV33">
        <v>13939292</v>
      </c>
      <c r="JW33">
        <v>13992580</v>
      </c>
      <c r="JX33">
        <v>14042806</v>
      </c>
      <c r="JY33">
        <v>14084148</v>
      </c>
      <c r="JZ33">
        <v>14102037</v>
      </c>
      <c r="KA33">
        <v>14102037</v>
      </c>
      <c r="KB33">
        <v>14146986</v>
      </c>
      <c r="KC33">
        <v>14224136</v>
      </c>
      <c r="KD33">
        <v>14276475</v>
      </c>
      <c r="KE33">
        <v>14331473</v>
      </c>
      <c r="KF33">
        <v>14373931</v>
      </c>
      <c r="KG33">
        <v>14392964</v>
      </c>
      <c r="KH33">
        <v>14437212</v>
      </c>
      <c r="KI33">
        <v>14486350</v>
      </c>
      <c r="KJ33">
        <v>14540713</v>
      </c>
      <c r="KK33">
        <v>14596948</v>
      </c>
      <c r="KL33">
        <v>14642569</v>
      </c>
      <c r="KM33">
        <v>14689572</v>
      </c>
      <c r="KN33">
        <v>14712510</v>
      </c>
      <c r="KO33">
        <v>14760685</v>
      </c>
      <c r="KP33">
        <v>14815619</v>
      </c>
      <c r="KQ33">
        <v>14869121</v>
      </c>
      <c r="KR33">
        <v>14917790</v>
      </c>
      <c r="KS33">
        <v>14967701</v>
      </c>
      <c r="KT33">
        <v>15011901</v>
      </c>
      <c r="KU33">
        <v>15032458</v>
      </c>
      <c r="KV33">
        <v>15073218</v>
      </c>
      <c r="KW33">
        <v>15122721</v>
      </c>
      <c r="KX33">
        <v>15169438</v>
      </c>
      <c r="KY33">
        <v>15221108</v>
      </c>
      <c r="KZ33">
        <v>15272816</v>
      </c>
      <c r="LA33">
        <v>15315895</v>
      </c>
      <c r="LB33">
        <v>15337567</v>
      </c>
      <c r="LC33">
        <v>15380675</v>
      </c>
      <c r="LD33">
        <v>15432556</v>
      </c>
      <c r="LE33">
        <v>15457306</v>
      </c>
      <c r="LF33">
        <v>15476472</v>
      </c>
      <c r="LG33">
        <v>15515297</v>
      </c>
      <c r="LH33">
        <v>15552222</v>
      </c>
      <c r="LI33">
        <v>15573179</v>
      </c>
      <c r="LJ33">
        <v>15617865</v>
      </c>
      <c r="LK33">
        <v>15669595</v>
      </c>
      <c r="LL33">
        <v>15715737</v>
      </c>
      <c r="LM33">
        <v>15762783</v>
      </c>
      <c r="LN33">
        <v>15807736</v>
      </c>
      <c r="LO33">
        <v>15843728</v>
      </c>
      <c r="LP33">
        <v>15861011</v>
      </c>
      <c r="LQ33">
        <v>15898568</v>
      </c>
      <c r="LR33">
        <v>15948211</v>
      </c>
      <c r="LS33">
        <v>15996274</v>
      </c>
      <c r="LT33">
        <v>16047113</v>
      </c>
      <c r="LU33">
        <v>16093186</v>
      </c>
      <c r="LV33">
        <v>16129668</v>
      </c>
      <c r="LW33">
        <v>16145785</v>
      </c>
      <c r="LX33">
        <v>16145785</v>
      </c>
      <c r="LY33">
        <v>16235798</v>
      </c>
      <c r="LZ33">
        <v>16284168</v>
      </c>
      <c r="MA33">
        <v>16332153</v>
      </c>
      <c r="MB33">
        <v>16383337</v>
      </c>
      <c r="MC33">
        <v>16425523</v>
      </c>
      <c r="MD33">
        <v>16442717</v>
      </c>
      <c r="ME33">
        <v>16484068</v>
      </c>
      <c r="MF33">
        <v>16535979</v>
      </c>
      <c r="MG33">
        <v>16586657</v>
      </c>
      <c r="MH33">
        <v>16634746</v>
      </c>
      <c r="MI33">
        <v>16682090</v>
      </c>
      <c r="MJ33">
        <v>16682090</v>
      </c>
      <c r="MK33">
        <v>16733426</v>
      </c>
      <c r="ML33">
        <v>16752029</v>
      </c>
      <c r="MM33">
        <v>16793799</v>
      </c>
      <c r="MN33">
        <v>16840906</v>
      </c>
      <c r="MO33">
        <v>16886394</v>
      </c>
      <c r="MP33">
        <v>16930834</v>
      </c>
      <c r="MQ33">
        <v>16968090</v>
      </c>
      <c r="MR33">
        <v>16988123</v>
      </c>
      <c r="MS33">
        <v>17026824</v>
      </c>
      <c r="MT33">
        <v>17072143</v>
      </c>
      <c r="MU33">
        <v>17110053</v>
      </c>
      <c r="MV33">
        <v>17146903</v>
      </c>
      <c r="MW33">
        <v>17191030</v>
      </c>
      <c r="MX33">
        <v>17230320</v>
      </c>
      <c r="MY33">
        <v>17248413</v>
      </c>
      <c r="MZ33">
        <v>17285788</v>
      </c>
      <c r="NA33">
        <v>17331083</v>
      </c>
      <c r="NB33">
        <v>17377197</v>
      </c>
      <c r="NC33">
        <v>17421539</v>
      </c>
      <c r="ND33">
        <v>17463391</v>
      </c>
      <c r="NE33">
        <v>17500824</v>
      </c>
      <c r="NF33">
        <v>17521739</v>
      </c>
      <c r="NG33">
        <v>17556028</v>
      </c>
      <c r="NH33">
        <v>17599779</v>
      </c>
      <c r="NI33">
        <v>17643188</v>
      </c>
      <c r="NJ33">
        <v>17688400</v>
      </c>
      <c r="NK33">
        <v>17728752</v>
      </c>
      <c r="NL33">
        <v>17765463</v>
      </c>
      <c r="NM33">
        <v>17782096</v>
      </c>
      <c r="NN33">
        <v>17817252</v>
      </c>
      <c r="NO33">
        <v>17861932</v>
      </c>
      <c r="NP33">
        <v>17904999</v>
      </c>
      <c r="NQ33">
        <v>17950693</v>
      </c>
      <c r="NR33">
        <v>17950693</v>
      </c>
      <c r="NS33">
        <v>18031837</v>
      </c>
      <c r="NT33">
        <v>18051310</v>
      </c>
      <c r="NU33">
        <v>18088014</v>
      </c>
      <c r="NV33">
        <v>18132280</v>
      </c>
      <c r="NW33">
        <v>18173294</v>
      </c>
      <c r="NX33">
        <v>18218057</v>
      </c>
      <c r="NY33">
        <v>18241022</v>
      </c>
      <c r="NZ33">
        <v>18273305</v>
      </c>
      <c r="OA33">
        <v>18289317</v>
      </c>
      <c r="OB33">
        <v>18324467</v>
      </c>
      <c r="OC33">
        <v>18367317</v>
      </c>
      <c r="OD33">
        <v>18412077</v>
      </c>
      <c r="OE33">
        <v>18458015</v>
      </c>
      <c r="OF33">
        <v>18501179</v>
      </c>
      <c r="OG33">
        <v>18538550</v>
      </c>
      <c r="OH33">
        <v>18558389</v>
      </c>
      <c r="OI33">
        <v>18594953</v>
      </c>
      <c r="OJ33">
        <v>18640751</v>
      </c>
      <c r="OK33">
        <v>18640751</v>
      </c>
      <c r="OL33">
        <v>18728727</v>
      </c>
      <c r="OM33">
        <v>18771607</v>
      </c>
      <c r="ON33">
        <v>18811869</v>
      </c>
      <c r="OO33">
        <v>18833282</v>
      </c>
      <c r="OP33">
        <v>18867422</v>
      </c>
      <c r="OQ33">
        <v>18910768</v>
      </c>
      <c r="OR33">
        <v>18955153</v>
      </c>
      <c r="OS33">
        <v>18955153</v>
      </c>
      <c r="OT33">
        <v>19043600</v>
      </c>
      <c r="OU33">
        <v>19087167</v>
      </c>
      <c r="OV33">
        <v>19107779</v>
      </c>
      <c r="OW33">
        <v>19127782</v>
      </c>
      <c r="OX33">
        <v>19162650</v>
      </c>
      <c r="OY33">
        <v>19206158</v>
      </c>
      <c r="OZ33">
        <v>19253562</v>
      </c>
      <c r="PA33">
        <v>19300645</v>
      </c>
      <c r="PB33">
        <v>19345563</v>
      </c>
      <c r="PC33">
        <v>19364380</v>
      </c>
      <c r="PD33">
        <v>19405865</v>
      </c>
      <c r="PE33">
        <v>19455747</v>
      </c>
      <c r="PF33">
        <v>19503585</v>
      </c>
      <c r="PG33">
        <v>19552599</v>
      </c>
      <c r="PH33">
        <v>19599815</v>
      </c>
      <c r="PI33">
        <v>19641289</v>
      </c>
      <c r="PJ33">
        <v>19664890</v>
      </c>
      <c r="PK33">
        <v>19707040</v>
      </c>
      <c r="PL33">
        <v>19752740</v>
      </c>
      <c r="PM33">
        <v>19798022</v>
      </c>
      <c r="PN33">
        <v>19846203</v>
      </c>
      <c r="PO33">
        <v>19894374</v>
      </c>
      <c r="PP33">
        <v>19939334</v>
      </c>
      <c r="PQ33">
        <v>19964326</v>
      </c>
      <c r="PR33">
        <v>20008200</v>
      </c>
      <c r="PS33">
        <v>20059723</v>
      </c>
      <c r="PT33">
        <v>20109465</v>
      </c>
      <c r="PU33">
        <v>20109465</v>
      </c>
      <c r="PV33">
        <v>20204659</v>
      </c>
      <c r="PW33">
        <v>20249074</v>
      </c>
      <c r="PX33">
        <v>20273392</v>
      </c>
      <c r="PY33">
        <v>20314089</v>
      </c>
      <c r="PZ33">
        <v>20314089</v>
      </c>
      <c r="QA33">
        <v>20414072</v>
      </c>
      <c r="QB33">
        <v>20463224</v>
      </c>
      <c r="QC33">
        <v>20511702</v>
      </c>
      <c r="QD33">
        <v>20555444</v>
      </c>
      <c r="QE33">
        <v>20580665</v>
      </c>
      <c r="QF33">
        <v>20623407</v>
      </c>
      <c r="QG33">
        <v>20674445</v>
      </c>
      <c r="QH33">
        <v>20708063</v>
      </c>
      <c r="QI33">
        <v>20753581</v>
      </c>
      <c r="QJ33">
        <v>20753581</v>
      </c>
      <c r="QK33">
        <v>20753581</v>
      </c>
      <c r="QL33">
        <v>20879254</v>
      </c>
      <c r="QM33">
        <v>20921494</v>
      </c>
      <c r="QN33">
        <v>20969226</v>
      </c>
      <c r="QO33">
        <v>21022179</v>
      </c>
      <c r="QP33">
        <v>21074547</v>
      </c>
      <c r="QQ33">
        <v>21125401</v>
      </c>
      <c r="QR33">
        <v>21169755</v>
      </c>
      <c r="QS33">
        <v>21192993</v>
      </c>
      <c r="QT33">
        <v>21231952</v>
      </c>
      <c r="QU33">
        <v>21280472</v>
      </c>
      <c r="QV33">
        <v>21333592</v>
      </c>
      <c r="QW33">
        <v>21352702</v>
      </c>
      <c r="QX33">
        <v>21507541</v>
      </c>
      <c r="QY33">
        <v>21524736</v>
      </c>
      <c r="QZ33">
        <v>21550239</v>
      </c>
      <c r="RA33">
        <v>21591818</v>
      </c>
      <c r="RB33">
        <v>21656119</v>
      </c>
      <c r="RC33">
        <v>21725629</v>
      </c>
      <c r="RD33">
        <v>21790289</v>
      </c>
      <c r="RE33">
        <v>21790289</v>
      </c>
      <c r="RF33">
        <v>21843645</v>
      </c>
      <c r="RG33">
        <v>21881553</v>
      </c>
      <c r="RH33">
        <v>21929599</v>
      </c>
      <c r="RI33">
        <v>21999418</v>
      </c>
      <c r="RJ33">
        <v>22086761</v>
      </c>
      <c r="RK33">
        <v>22173887</v>
      </c>
      <c r="RL33">
        <v>22270297</v>
      </c>
      <c r="RM33">
        <v>22270297</v>
      </c>
      <c r="RN33">
        <v>22430563</v>
      </c>
      <c r="RO33">
        <v>22544032</v>
      </c>
      <c r="RP33">
        <v>22674737</v>
      </c>
      <c r="RQ33">
        <v>22824009</v>
      </c>
      <c r="RR33">
        <v>22974449</v>
      </c>
      <c r="RS33">
        <v>23133453</v>
      </c>
      <c r="RT33">
        <v>23133453</v>
      </c>
      <c r="RU33">
        <v>23372678</v>
      </c>
      <c r="RV33">
        <v>23488903</v>
      </c>
      <c r="RW33">
        <v>23656156</v>
      </c>
      <c r="RX33">
        <v>23825355</v>
      </c>
      <c r="RY33">
        <v>23995453</v>
      </c>
      <c r="RZ33">
        <v>24166026</v>
      </c>
      <c r="SA33">
        <v>24325873</v>
      </c>
      <c r="SB33">
        <v>24413349</v>
      </c>
      <c r="SC33">
        <v>24547117</v>
      </c>
      <c r="SD33">
        <v>24712863</v>
      </c>
      <c r="SE33">
        <v>24888301</v>
      </c>
      <c r="SF33">
        <v>25035696</v>
      </c>
      <c r="SG33">
        <v>25035696</v>
      </c>
      <c r="SH33">
        <v>25283300</v>
      </c>
      <c r="SI33">
        <v>25338842</v>
      </c>
      <c r="SJ33">
        <v>25436629</v>
      </c>
      <c r="SK33">
        <v>25544384</v>
      </c>
      <c r="SL33">
        <v>25652377</v>
      </c>
      <c r="SM33">
        <v>25759330</v>
      </c>
      <c r="SN33">
        <v>25854325</v>
      </c>
      <c r="SO33">
        <v>25933414</v>
      </c>
      <c r="SP33">
        <v>25983005</v>
      </c>
      <c r="SQ33">
        <v>26075030</v>
      </c>
      <c r="SR33">
        <v>26171623</v>
      </c>
      <c r="SS33">
        <v>26171623</v>
      </c>
      <c r="ST33">
        <v>26363363</v>
      </c>
      <c r="SU33">
        <v>26447601</v>
      </c>
      <c r="SV33">
        <v>26523394</v>
      </c>
      <c r="SW33">
        <v>26556891</v>
      </c>
      <c r="SX33">
        <v>26620405</v>
      </c>
      <c r="SY33">
        <v>26697922</v>
      </c>
      <c r="SZ33">
        <v>26777800</v>
      </c>
      <c r="TA33">
        <v>26843930</v>
      </c>
      <c r="TB33">
        <v>26909789</v>
      </c>
      <c r="TC33">
        <v>26969707</v>
      </c>
      <c r="TD33">
        <v>26997737</v>
      </c>
      <c r="TE33">
        <v>27049785</v>
      </c>
      <c r="TF33">
        <v>27110980</v>
      </c>
      <c r="TG33">
        <v>27166379</v>
      </c>
      <c r="TH33">
        <v>27224498</v>
      </c>
      <c r="TI33">
        <v>27286215</v>
      </c>
      <c r="TJ33">
        <v>27340836</v>
      </c>
      <c r="TK33">
        <v>27364060</v>
      </c>
      <c r="TL33">
        <v>27407063</v>
      </c>
      <c r="TM33">
        <v>27460384</v>
      </c>
      <c r="TN33">
        <v>27510769</v>
      </c>
      <c r="TO33">
        <v>27557825</v>
      </c>
      <c r="TP33">
        <v>27557825</v>
      </c>
      <c r="TQ33">
        <v>27647736</v>
      </c>
      <c r="TR33">
        <v>27665850</v>
      </c>
      <c r="TS33">
        <v>27669558</v>
      </c>
      <c r="TT33">
        <v>27740350</v>
      </c>
      <c r="TU33">
        <v>27785664</v>
      </c>
      <c r="TV33">
        <v>27851471</v>
      </c>
      <c r="TW33">
        <v>27898207</v>
      </c>
      <c r="TX33">
        <v>27941525</v>
      </c>
      <c r="TY33">
        <v>27960358</v>
      </c>
      <c r="TZ33">
        <v>28001696</v>
      </c>
      <c r="UA33">
        <v>28001696</v>
      </c>
      <c r="UB33">
        <v>28107876</v>
      </c>
      <c r="UC33">
        <v>28158045</v>
      </c>
      <c r="UD33">
        <v>28199031</v>
      </c>
      <c r="UE33">
        <v>28238793</v>
      </c>
      <c r="UF33">
        <v>28259007</v>
      </c>
      <c r="UG33">
        <v>28300965</v>
      </c>
      <c r="UH33">
        <v>28300965</v>
      </c>
      <c r="UI33">
        <v>28399228</v>
      </c>
      <c r="UJ33">
        <v>28459124</v>
      </c>
      <c r="UK33">
        <v>28511805</v>
      </c>
      <c r="UL33">
        <v>28566991</v>
      </c>
      <c r="UM33">
        <v>28614628</v>
      </c>
      <c r="UN33">
        <v>28614628</v>
      </c>
      <c r="UO33">
        <v>28675909</v>
      </c>
      <c r="UP33">
        <v>28736342</v>
      </c>
      <c r="UQ33">
        <v>28860933</v>
      </c>
      <c r="UR33">
        <v>28904299</v>
      </c>
      <c r="US33">
        <v>28904299</v>
      </c>
      <c r="UT33">
        <v>28937071</v>
      </c>
      <c r="UU33">
        <v>28971116</v>
      </c>
      <c r="UV33">
        <v>29002138</v>
      </c>
      <c r="UW33">
        <v>29043592</v>
      </c>
      <c r="UX33">
        <v>29106235</v>
      </c>
      <c r="UY33">
        <v>29171760</v>
      </c>
      <c r="UZ33">
        <v>29204946</v>
      </c>
      <c r="VA33">
        <v>29222627</v>
      </c>
      <c r="VB33">
        <v>29255017</v>
      </c>
      <c r="VC33">
        <v>29296629</v>
      </c>
      <c r="VD33">
        <v>29338086</v>
      </c>
      <c r="VE33">
        <v>29380269</v>
      </c>
      <c r="VF33">
        <v>29380269</v>
      </c>
      <c r="VG33">
        <v>29402394</v>
      </c>
      <c r="VH33">
        <v>29447514</v>
      </c>
      <c r="VI33">
        <v>29453565</v>
      </c>
      <c r="VJ33">
        <v>29509747</v>
      </c>
      <c r="VK33">
        <v>29550426</v>
      </c>
      <c r="VL33">
        <v>29627340</v>
      </c>
      <c r="VM33">
        <v>29627340</v>
      </c>
      <c r="VN33">
        <v>29659485</v>
      </c>
      <c r="VO33">
        <v>29673543</v>
      </c>
      <c r="VP33">
        <v>29702409</v>
      </c>
      <c r="VQ33">
        <v>29738803</v>
      </c>
      <c r="VR33">
        <v>29778939</v>
      </c>
      <c r="VS33">
        <v>29846819</v>
      </c>
      <c r="VT33">
        <v>29886697</v>
      </c>
      <c r="VU33">
        <v>29912021</v>
      </c>
      <c r="VV33">
        <v>29912021</v>
      </c>
      <c r="VW33">
        <v>29912021</v>
      </c>
      <c r="VX33">
        <v>29946934</v>
      </c>
      <c r="VY33">
        <v>30012076</v>
      </c>
      <c r="VZ33">
        <v>30039358</v>
      </c>
      <c r="WA33">
        <v>30039358</v>
      </c>
      <c r="WB33">
        <v>30065461</v>
      </c>
      <c r="WC33">
        <v>30075629</v>
      </c>
      <c r="WD33">
        <v>30100460</v>
      </c>
      <c r="WE33">
        <v>30134364</v>
      </c>
      <c r="WF33">
        <v>30166746</v>
      </c>
      <c r="WG33">
        <v>30226868</v>
      </c>
      <c r="WH33">
        <v>30226868</v>
      </c>
      <c r="WI33">
        <v>30226868</v>
      </c>
      <c r="WJ33">
        <v>30265672</v>
      </c>
      <c r="WK33">
        <v>30290953</v>
      </c>
      <c r="WL33">
        <v>30327514</v>
      </c>
      <c r="WM33">
        <v>30358848</v>
      </c>
      <c r="WN33">
        <v>30448621</v>
      </c>
      <c r="WO33">
        <v>30448621</v>
      </c>
      <c r="WP33">
        <v>30448621</v>
      </c>
      <c r="WQ33">
        <v>30514300</v>
      </c>
      <c r="WR33">
        <v>30514300</v>
      </c>
      <c r="WS33">
        <v>30514300</v>
      </c>
      <c r="WT33">
        <v>30514300</v>
      </c>
      <c r="WU33">
        <v>30613240</v>
      </c>
      <c r="WV33">
        <v>30613240</v>
      </c>
      <c r="WW33">
        <v>30613240</v>
      </c>
      <c r="WX33">
        <v>30673824</v>
      </c>
      <c r="WY33">
        <v>30673824</v>
      </c>
      <c r="WZ33">
        <v>30704411</v>
      </c>
      <c r="XA33">
        <v>30795010</v>
      </c>
      <c r="XB33">
        <v>30795010</v>
      </c>
      <c r="XC33">
        <v>30818288</v>
      </c>
      <c r="XD33">
        <v>30818288</v>
      </c>
      <c r="XE33">
        <v>30830666</v>
      </c>
      <c r="XF33">
        <v>30978786</v>
      </c>
      <c r="XG33">
        <v>30978786</v>
      </c>
      <c r="XH33">
        <v>30978786</v>
      </c>
      <c r="XI33">
        <v>30978786</v>
      </c>
      <c r="XJ33">
        <v>30978786</v>
      </c>
      <c r="XK33">
        <v>31006663</v>
      </c>
      <c r="XL33">
        <v>31020248</v>
      </c>
      <c r="XM33">
        <v>31164971</v>
      </c>
      <c r="XN33">
        <v>31164971</v>
      </c>
      <c r="XO33">
        <v>31164971</v>
      </c>
      <c r="XP33">
        <v>31164971</v>
      </c>
      <c r="XQ33">
        <v>31164971</v>
      </c>
      <c r="XR33">
        <v>31376588</v>
      </c>
      <c r="XS33">
        <v>31376588</v>
      </c>
      <c r="XT33">
        <v>31376588</v>
      </c>
      <c r="XU33">
        <v>31376588</v>
      </c>
      <c r="XV33">
        <v>31376588</v>
      </c>
      <c r="XW33">
        <v>31376588</v>
      </c>
      <c r="XX33">
        <v>31376588</v>
      </c>
      <c r="XY33">
        <v>31403367</v>
      </c>
      <c r="XZ33">
        <v>31415559</v>
      </c>
      <c r="YA33">
        <v>31415559</v>
      </c>
      <c r="YB33">
        <v>31451145</v>
      </c>
      <c r="YC33">
        <v>31599147</v>
      </c>
      <c r="YD33">
        <v>31635310</v>
      </c>
      <c r="YE33">
        <v>31654872</v>
      </c>
      <c r="YF33" s="1">
        <v>31689024</v>
      </c>
      <c r="YG33" s="1">
        <v>31689024</v>
      </c>
      <c r="YH33" s="1">
        <v>31689024</v>
      </c>
      <c r="YI33" s="1">
        <v>31739945</v>
      </c>
      <c r="YJ33">
        <v>31785989</v>
      </c>
      <c r="YK33">
        <v>31882576</v>
      </c>
      <c r="YL33">
        <v>31928183</v>
      </c>
      <c r="YM33">
        <v>31953011</v>
      </c>
      <c r="YN33">
        <v>31998554</v>
      </c>
      <c r="YO33">
        <v>31998554</v>
      </c>
      <c r="YP33">
        <v>32068347</v>
      </c>
      <c r="YQ33">
        <v>32200364</v>
      </c>
      <c r="YR33">
        <v>32200364</v>
      </c>
      <c r="YS33">
        <v>32262575</v>
      </c>
      <c r="YT33">
        <v>32314304</v>
      </c>
      <c r="YU33">
        <v>32342335</v>
      </c>
      <c r="YV33">
        <v>32401541</v>
      </c>
      <c r="YW33">
        <v>32692197</v>
      </c>
      <c r="YX33">
        <v>32692197</v>
      </c>
      <c r="YY33">
        <v>32692197</v>
      </c>
      <c r="YZ33">
        <v>32692197</v>
      </c>
      <c r="ZA33">
        <v>32743087</v>
      </c>
      <c r="ZB33">
        <v>32771119</v>
      </c>
      <c r="ZC33">
        <v>32832543</v>
      </c>
      <c r="ZD33">
        <v>32901024</v>
      </c>
      <c r="ZE33">
        <v>32973273</v>
      </c>
      <c r="ZF33">
        <v>33025603</v>
      </c>
      <c r="ZG33">
        <v>33058821</v>
      </c>
      <c r="ZH33">
        <v>33082702</v>
      </c>
      <c r="ZI33">
        <v>33131204</v>
      </c>
      <c r="ZJ33">
        <v>33185333</v>
      </c>
      <c r="ZK33">
        <v>33232447</v>
      </c>
      <c r="ZL33">
        <v>33293835</v>
      </c>
      <c r="ZM33">
        <v>33293835</v>
      </c>
      <c r="ZN33">
        <v>33375498</v>
      </c>
      <c r="ZO33">
        <v>33392028</v>
      </c>
      <c r="ZP33">
        <v>33392028</v>
      </c>
      <c r="ZQ33">
        <v>33504659</v>
      </c>
      <c r="ZR33">
        <v>33560831</v>
      </c>
      <c r="ZS33">
        <v>33624426</v>
      </c>
      <c r="ZT33">
        <v>33679041</v>
      </c>
      <c r="ZU33">
        <v>33716142</v>
      </c>
      <c r="ZV33">
        <v>33733561</v>
      </c>
      <c r="ZW33">
        <v>33775516</v>
      </c>
      <c r="ZX33">
        <v>33837142</v>
      </c>
      <c r="ZY33">
        <v>33897775</v>
      </c>
      <c r="ZZ33">
        <v>33897775</v>
      </c>
      <c r="AAA33">
        <v>33988912</v>
      </c>
      <c r="AAB33">
        <v>34020601</v>
      </c>
      <c r="AAC33">
        <v>34020601</v>
      </c>
      <c r="AAD33">
        <v>34036166</v>
      </c>
      <c r="AAE33">
        <v>34127667</v>
      </c>
      <c r="AAF33">
        <v>34175692</v>
      </c>
      <c r="AAG33">
        <v>34212702</v>
      </c>
      <c r="AAH33">
        <v>34244986</v>
      </c>
      <c r="AAI33">
        <v>34271616</v>
      </c>
      <c r="AAJ33">
        <v>34282331</v>
      </c>
      <c r="AAK33">
        <v>34303728</v>
      </c>
      <c r="AAL33">
        <v>34319819</v>
      </c>
      <c r="AAM33">
        <v>34362768</v>
      </c>
      <c r="AAN33">
        <v>34411527</v>
      </c>
      <c r="AAO33">
        <v>34446855</v>
      </c>
      <c r="AAP33">
        <v>34472619</v>
      </c>
      <c r="AAQ33">
        <v>34485893</v>
      </c>
      <c r="AAR33">
        <v>34508249</v>
      </c>
      <c r="AAS33">
        <v>34539182</v>
      </c>
      <c r="AAT33">
        <v>34539182</v>
      </c>
      <c r="AAU33">
        <v>34619453</v>
      </c>
      <c r="AAV33">
        <v>34652975</v>
      </c>
      <c r="AAW33">
        <v>34673228</v>
      </c>
      <c r="AAX33">
        <v>34682972</v>
      </c>
      <c r="AAY33">
        <v>34708823</v>
      </c>
      <c r="AAZ33">
        <v>34734578</v>
      </c>
      <c r="ABA33">
        <v>34768346</v>
      </c>
      <c r="ABB33">
        <v>34796829</v>
      </c>
      <c r="ABC33">
        <v>34823147</v>
      </c>
      <c r="ABD33">
        <v>34842182</v>
      </c>
      <c r="ABE33">
        <v>34849500</v>
      </c>
      <c r="ABF33">
        <v>34896562</v>
      </c>
      <c r="ABG33">
        <v>34954822</v>
      </c>
      <c r="ABH33">
        <v>34984365</v>
      </c>
      <c r="ABI33">
        <v>35014903</v>
      </c>
      <c r="ABJ33">
        <v>35040186</v>
      </c>
      <c r="ABK33">
        <v>35057809</v>
      </c>
      <c r="ABL33">
        <v>35066735</v>
      </c>
      <c r="ABM33">
        <v>35092019</v>
      </c>
      <c r="ABN33">
        <v>35126382</v>
      </c>
      <c r="ABO33">
        <v>35126382</v>
      </c>
      <c r="ABP33">
        <v>35176534</v>
      </c>
      <c r="ABQ33">
        <v>35213941</v>
      </c>
      <c r="ABR33">
        <v>35213941</v>
      </c>
      <c r="ABS33">
        <v>35220911</v>
      </c>
      <c r="ABT33">
        <v>35243858</v>
      </c>
      <c r="ABU33">
        <v>35274380</v>
      </c>
      <c r="ABV33">
        <v>35305298</v>
      </c>
      <c r="ABW33">
        <v>35348161</v>
      </c>
      <c r="ABX33">
        <v>35348161</v>
      </c>
      <c r="ABY33">
        <v>35348161</v>
      </c>
      <c r="ABZ33">
        <v>35348161</v>
      </c>
      <c r="ACA33">
        <v>35379140</v>
      </c>
      <c r="ACB33">
        <v>35462029</v>
      </c>
      <c r="ACC33">
        <v>35462029</v>
      </c>
      <c r="ACD33">
        <v>35462029</v>
      </c>
      <c r="ACE33">
        <v>35462029</v>
      </c>
      <c r="ACF33">
        <v>35462029</v>
      </c>
      <c r="ACG33">
        <v>35480685</v>
      </c>
      <c r="ACH33">
        <v>35494385</v>
      </c>
      <c r="ACI33">
        <v>35515389</v>
      </c>
      <c r="ACJ33">
        <v>35531971</v>
      </c>
      <c r="ACK33">
        <v>35610210</v>
      </c>
      <c r="ACL33">
        <v>35610210</v>
      </c>
      <c r="ACM33">
        <v>35610210</v>
      </c>
      <c r="ACN33">
        <v>35627428</v>
      </c>
      <c r="ACO33">
        <v>35627428</v>
      </c>
      <c r="ACP33">
        <v>35677217</v>
      </c>
      <c r="ACQ33">
        <v>35677217</v>
      </c>
      <c r="ACR33">
        <v>35727002</v>
      </c>
      <c r="ACS33">
        <v>35727002</v>
      </c>
      <c r="ACT33">
        <v>35727002</v>
      </c>
      <c r="ACU33">
        <v>35755880</v>
      </c>
      <c r="ACV33">
        <v>35844165</v>
      </c>
      <c r="ACW33">
        <v>35844165</v>
      </c>
      <c r="ACX33">
        <v>35844165</v>
      </c>
      <c r="ACY33">
        <v>35844165</v>
      </c>
      <c r="ACZ33">
        <v>35844165</v>
      </c>
      <c r="ADA33">
        <v>35844165</v>
      </c>
      <c r="ADB33">
        <v>35851406</v>
      </c>
      <c r="ADC33">
        <v>35879414</v>
      </c>
      <c r="ADD33">
        <v>35938609</v>
      </c>
      <c r="ADE33">
        <v>35938609</v>
      </c>
      <c r="ADF33">
        <v>36005716</v>
      </c>
      <c r="ADG33">
        <v>36005716</v>
      </c>
      <c r="ADH33">
        <v>36005716</v>
      </c>
      <c r="ADI33">
        <v>36073768</v>
      </c>
      <c r="ADJ33">
        <v>36073768</v>
      </c>
      <c r="ADK33">
        <v>36073768</v>
      </c>
      <c r="ADL33">
        <v>36210669</v>
      </c>
      <c r="ADM33">
        <v>36210669</v>
      </c>
      <c r="ADN33">
        <v>36210669</v>
      </c>
      <c r="ADO33">
        <v>36210669</v>
      </c>
      <c r="ADP33">
        <v>36210669</v>
      </c>
      <c r="ADQ33">
        <v>36210669</v>
      </c>
      <c r="ADR33">
        <v>36376044</v>
      </c>
      <c r="ADS33">
        <v>36376044</v>
      </c>
      <c r="ADT33">
        <v>36376044</v>
      </c>
      <c r="ADU33">
        <v>36376044</v>
      </c>
      <c r="ADV33">
        <v>36376044</v>
      </c>
      <c r="ADW33">
        <v>36415323</v>
      </c>
      <c r="ADX33">
        <v>36415323</v>
      </c>
      <c r="ADY33">
        <v>36641366</v>
      </c>
      <c r="ADZ33">
        <v>36641366</v>
      </c>
      <c r="AEA33">
        <v>36641366</v>
      </c>
      <c r="AEB33">
        <v>36641366</v>
      </c>
      <c r="AEC33">
        <v>36641366</v>
      </c>
      <c r="AED33">
        <v>36834059</v>
      </c>
      <c r="AEE33">
        <v>36834059</v>
      </c>
      <c r="AEF33">
        <v>36834059</v>
      </c>
      <c r="AEG33">
        <v>36834059</v>
      </c>
      <c r="AEH33">
        <v>36834059</v>
      </c>
      <c r="AEI33">
        <v>36834059</v>
      </c>
      <c r="AEJ33">
        <v>36834059</v>
      </c>
      <c r="AEK33">
        <v>37096001</v>
      </c>
      <c r="AEL33">
        <v>37096001</v>
      </c>
      <c r="AEM33">
        <v>37096001</v>
      </c>
      <c r="AEN33">
        <v>37096001</v>
      </c>
      <c r="AEO33">
        <v>37096001</v>
      </c>
      <c r="AEP33">
        <v>37096001</v>
      </c>
      <c r="AEQ33">
        <v>37096001</v>
      </c>
      <c r="AER33">
        <v>37356671</v>
      </c>
      <c r="AES33">
        <v>37356671</v>
      </c>
      <c r="AET33">
        <v>37356671</v>
      </c>
      <c r="AEU33">
        <v>37356671</v>
      </c>
      <c r="AEV33">
        <v>37356671</v>
      </c>
      <c r="AEW33">
        <v>37356671</v>
      </c>
      <c r="AEX33">
        <v>37356671</v>
      </c>
      <c r="AEY33">
        <v>37356671</v>
      </c>
      <c r="AEZ33">
        <v>37356671</v>
      </c>
      <c r="AFA33">
        <v>37356671</v>
      </c>
      <c r="AFB33">
        <v>37356671</v>
      </c>
      <c r="AFC33">
        <v>37356671</v>
      </c>
      <c r="AFD33">
        <v>37356671</v>
      </c>
      <c r="AFE33">
        <v>37481592</v>
      </c>
      <c r="AFF33">
        <v>37481592</v>
      </c>
      <c r="AFG33">
        <v>37481592</v>
      </c>
      <c r="AFH33">
        <v>37481592</v>
      </c>
      <c r="AFI33">
        <v>37481592</v>
      </c>
      <c r="AFJ33">
        <v>37481592</v>
      </c>
      <c r="AFK33">
        <v>37481592</v>
      </c>
      <c r="AFL33">
        <v>37481592</v>
      </c>
      <c r="AFM33">
        <v>37481592</v>
      </c>
      <c r="AFN33">
        <v>37574614</v>
      </c>
      <c r="AFO33">
        <v>37574614</v>
      </c>
      <c r="AFP33">
        <v>37574614</v>
      </c>
      <c r="AFQ33">
        <v>37574614</v>
      </c>
      <c r="AFR33">
        <v>37574614</v>
      </c>
      <c r="AFS33">
        <v>37574614</v>
      </c>
      <c r="AFT33">
        <v>37659426</v>
      </c>
      <c r="AFU33">
        <v>37659426</v>
      </c>
      <c r="AFV33">
        <v>37659426</v>
      </c>
      <c r="AFW33">
        <v>37659426</v>
      </c>
      <c r="AFX33">
        <v>37659426</v>
      </c>
      <c r="AFY33">
        <v>37659426</v>
      </c>
      <c r="AFZ33">
        <v>37659426</v>
      </c>
      <c r="AGA33">
        <v>37806239</v>
      </c>
      <c r="AGB33">
        <v>37806239</v>
      </c>
      <c r="AGC33">
        <v>37806239</v>
      </c>
      <c r="AGD33">
        <v>37806239</v>
      </c>
      <c r="AGE33">
        <v>37806239</v>
      </c>
      <c r="AGF33">
        <v>37806239</v>
      </c>
      <c r="AGG33">
        <v>37806239</v>
      </c>
      <c r="AGH33">
        <v>37806239</v>
      </c>
      <c r="AGI33">
        <v>37806239</v>
      </c>
      <c r="AGJ33">
        <v>37806239</v>
      </c>
      <c r="AGK33">
        <v>37806239</v>
      </c>
      <c r="AGL33">
        <v>37806239</v>
      </c>
      <c r="AGM33">
        <v>37806239</v>
      </c>
      <c r="AGN33">
        <v>37806239</v>
      </c>
      <c r="AGO33">
        <v>37948182</v>
      </c>
      <c r="AGP33">
        <v>37948182</v>
      </c>
      <c r="AGQ33">
        <v>37948182</v>
      </c>
      <c r="AGR33">
        <v>37948182</v>
      </c>
      <c r="AGS33">
        <v>37948182</v>
      </c>
      <c r="AGT33">
        <v>37948182</v>
      </c>
      <c r="AGU33">
        <v>37948182</v>
      </c>
      <c r="AGV33">
        <v>37948182</v>
      </c>
      <c r="AGW33">
        <v>37948182</v>
      </c>
      <c r="AGX33">
        <v>37948182</v>
      </c>
      <c r="AGY33">
        <v>37948182</v>
      </c>
      <c r="AGZ33">
        <v>37948182</v>
      </c>
      <c r="AHA33">
        <v>37948182</v>
      </c>
      <c r="AHB33">
        <v>37948182</v>
      </c>
      <c r="AHC33">
        <v>37997691</v>
      </c>
      <c r="AHD33">
        <v>37997691</v>
      </c>
      <c r="AHE33">
        <v>37997691</v>
      </c>
      <c r="AHF33">
        <v>37997691</v>
      </c>
      <c r="AHG33">
        <v>37997691</v>
      </c>
      <c r="AHH33">
        <v>37997691</v>
      </c>
      <c r="AHI33">
        <v>37997691</v>
      </c>
      <c r="AHJ33">
        <v>37997691</v>
      </c>
      <c r="AHK33">
        <v>38089514</v>
      </c>
      <c r="AHL33">
        <v>38089514</v>
      </c>
      <c r="AHM33">
        <v>38089514</v>
      </c>
      <c r="AHN33">
        <v>38089514</v>
      </c>
      <c r="AHO33">
        <v>38089514</v>
      </c>
      <c r="AHP33">
        <v>38089514</v>
      </c>
      <c r="AHQ33">
        <v>38089514</v>
      </c>
    </row>
    <row r="34" spans="1:901">
      <c r="A34" s="1" t="s">
        <v>99</v>
      </c>
      <c r="B34">
        <v>352379</v>
      </c>
      <c r="C34">
        <v>357309</v>
      </c>
      <c r="D34">
        <v>359765</v>
      </c>
      <c r="E34">
        <v>362029</v>
      </c>
      <c r="F34">
        <v>364493</v>
      </c>
      <c r="G34">
        <v>367920</v>
      </c>
      <c r="H34">
        <v>371387</v>
      </c>
      <c r="I34">
        <v>371387</v>
      </c>
      <c r="J34">
        <v>374821</v>
      </c>
      <c r="K34">
        <v>378273</v>
      </c>
      <c r="L34">
        <v>383771</v>
      </c>
      <c r="M34">
        <v>391051</v>
      </c>
      <c r="N34">
        <v>393472</v>
      </c>
      <c r="O34">
        <v>395921</v>
      </c>
      <c r="P34">
        <v>398401</v>
      </c>
      <c r="Q34">
        <v>398401</v>
      </c>
      <c r="R34">
        <v>403345</v>
      </c>
      <c r="S34">
        <v>405807</v>
      </c>
      <c r="T34">
        <v>408212</v>
      </c>
      <c r="U34">
        <v>410622</v>
      </c>
      <c r="V34">
        <v>413036</v>
      </c>
      <c r="W34">
        <v>415439</v>
      </c>
      <c r="X34">
        <v>417880</v>
      </c>
      <c r="Y34">
        <v>420363</v>
      </c>
      <c r="Z34">
        <v>422858</v>
      </c>
      <c r="AA34">
        <v>425295</v>
      </c>
      <c r="AB34">
        <v>427709</v>
      </c>
      <c r="AC34">
        <v>430118</v>
      </c>
      <c r="AD34">
        <v>432581</v>
      </c>
      <c r="AE34">
        <v>438019</v>
      </c>
      <c r="AF34">
        <v>441490</v>
      </c>
      <c r="AG34">
        <v>443923</v>
      </c>
      <c r="AH34">
        <v>446343</v>
      </c>
      <c r="AI34">
        <v>448802</v>
      </c>
      <c r="AJ34">
        <v>451284</v>
      </c>
      <c r="AK34">
        <v>453726</v>
      </c>
      <c r="AL34">
        <v>456202</v>
      </c>
      <c r="AM34">
        <v>458630</v>
      </c>
      <c r="AN34">
        <v>461080</v>
      </c>
      <c r="AO34">
        <v>463545</v>
      </c>
      <c r="AP34">
        <v>463545</v>
      </c>
      <c r="AQ34">
        <v>468482</v>
      </c>
      <c r="AR34">
        <v>470913</v>
      </c>
      <c r="AS34">
        <v>470913</v>
      </c>
      <c r="AT34">
        <v>475802</v>
      </c>
      <c r="AU34">
        <v>478223</v>
      </c>
      <c r="AV34">
        <v>478223</v>
      </c>
      <c r="AW34">
        <v>478223</v>
      </c>
      <c r="AX34">
        <v>485374</v>
      </c>
      <c r="AY34">
        <v>487782</v>
      </c>
      <c r="AZ34">
        <v>490212</v>
      </c>
      <c r="BA34">
        <v>492626</v>
      </c>
      <c r="BB34">
        <v>492626</v>
      </c>
      <c r="BC34">
        <v>492626</v>
      </c>
      <c r="BD34">
        <v>492626</v>
      </c>
      <c r="BE34">
        <v>492626</v>
      </c>
      <c r="BF34">
        <v>504958</v>
      </c>
      <c r="BG34">
        <v>507396</v>
      </c>
      <c r="BH34">
        <v>509827</v>
      </c>
      <c r="BI34">
        <v>512288</v>
      </c>
      <c r="BJ34">
        <v>514708</v>
      </c>
      <c r="BK34">
        <v>514708</v>
      </c>
      <c r="BL34">
        <v>519612</v>
      </c>
      <c r="BM34">
        <v>522064</v>
      </c>
      <c r="BN34">
        <v>524508</v>
      </c>
      <c r="BO34">
        <v>526961</v>
      </c>
      <c r="BP34">
        <v>529430</v>
      </c>
      <c r="BQ34">
        <v>532885</v>
      </c>
      <c r="BR34">
        <v>535345</v>
      </c>
      <c r="BS34">
        <v>535345</v>
      </c>
      <c r="BT34">
        <v>540258</v>
      </c>
      <c r="BU34">
        <v>542757</v>
      </c>
      <c r="BV34">
        <v>542757</v>
      </c>
      <c r="BW34">
        <v>542757</v>
      </c>
      <c r="BX34">
        <v>542757</v>
      </c>
      <c r="BY34">
        <v>552608</v>
      </c>
      <c r="BZ34">
        <v>552608</v>
      </c>
      <c r="CA34">
        <v>557544</v>
      </c>
      <c r="CB34">
        <v>560018</v>
      </c>
      <c r="CC34">
        <v>562432</v>
      </c>
      <c r="CD34">
        <v>564906</v>
      </c>
      <c r="CE34">
        <v>567311</v>
      </c>
      <c r="CF34">
        <v>569774</v>
      </c>
      <c r="CG34">
        <v>572266</v>
      </c>
      <c r="CH34">
        <v>572266</v>
      </c>
      <c r="CI34">
        <v>572266</v>
      </c>
      <c r="CJ34">
        <v>579690</v>
      </c>
      <c r="CK34">
        <v>582161</v>
      </c>
      <c r="CL34">
        <v>584631</v>
      </c>
      <c r="CM34">
        <v>587066</v>
      </c>
      <c r="CN34">
        <v>589528</v>
      </c>
      <c r="CO34">
        <v>589528</v>
      </c>
      <c r="CP34">
        <v>594620</v>
      </c>
      <c r="CQ34">
        <v>597047</v>
      </c>
      <c r="CR34">
        <v>599469</v>
      </c>
      <c r="CS34">
        <v>601922</v>
      </c>
      <c r="CT34">
        <v>601922</v>
      </c>
      <c r="CU34">
        <v>601922</v>
      </c>
      <c r="CV34">
        <v>609398</v>
      </c>
      <c r="CW34">
        <v>609398</v>
      </c>
      <c r="CX34">
        <v>609398</v>
      </c>
      <c r="CY34">
        <v>609398</v>
      </c>
      <c r="CZ34">
        <v>616738</v>
      </c>
      <c r="DA34">
        <v>619208</v>
      </c>
      <c r="DB34">
        <v>621624</v>
      </c>
      <c r="DC34">
        <v>621624</v>
      </c>
      <c r="DD34">
        <v>624028</v>
      </c>
      <c r="DE34">
        <v>626469</v>
      </c>
      <c r="DF34">
        <v>628956</v>
      </c>
      <c r="DG34">
        <v>631180</v>
      </c>
      <c r="DH34">
        <v>633608</v>
      </c>
      <c r="DI34">
        <v>636024</v>
      </c>
      <c r="DJ34">
        <v>638463</v>
      </c>
      <c r="DK34">
        <v>640908</v>
      </c>
      <c r="DL34">
        <v>643320</v>
      </c>
      <c r="DM34">
        <v>645753</v>
      </c>
      <c r="DN34">
        <v>645753</v>
      </c>
      <c r="DO34">
        <v>650658</v>
      </c>
      <c r="DP34">
        <v>653107</v>
      </c>
      <c r="DQ34">
        <v>655591</v>
      </c>
      <c r="DR34">
        <v>655591</v>
      </c>
      <c r="DS34">
        <v>660519</v>
      </c>
      <c r="DT34">
        <v>662924</v>
      </c>
      <c r="DU34">
        <v>665341</v>
      </c>
      <c r="DV34">
        <v>665341</v>
      </c>
      <c r="DW34">
        <v>665341</v>
      </c>
      <c r="DX34">
        <v>672626</v>
      </c>
      <c r="DY34">
        <v>675048</v>
      </c>
      <c r="DZ34">
        <v>677534</v>
      </c>
      <c r="EA34">
        <v>679964</v>
      </c>
      <c r="EB34">
        <v>682382</v>
      </c>
      <c r="EC34">
        <v>684840</v>
      </c>
      <c r="ED34">
        <v>687303</v>
      </c>
      <c r="EE34">
        <v>687303</v>
      </c>
      <c r="EF34">
        <v>687303</v>
      </c>
      <c r="EG34">
        <v>687303</v>
      </c>
      <c r="EH34">
        <v>697186</v>
      </c>
      <c r="EI34">
        <v>700633</v>
      </c>
      <c r="EJ34">
        <v>700633</v>
      </c>
      <c r="EK34">
        <v>705478</v>
      </c>
      <c r="EL34">
        <v>707896</v>
      </c>
      <c r="EM34">
        <v>710396</v>
      </c>
      <c r="EN34">
        <v>712915</v>
      </c>
      <c r="EO34">
        <v>715411</v>
      </c>
      <c r="EP34">
        <v>717882</v>
      </c>
      <c r="EQ34">
        <v>717882</v>
      </c>
      <c r="ER34">
        <v>717882</v>
      </c>
      <c r="ES34">
        <v>717882</v>
      </c>
      <c r="ET34">
        <v>717882</v>
      </c>
      <c r="EU34">
        <v>717882</v>
      </c>
      <c r="EV34">
        <v>717882</v>
      </c>
      <c r="EW34">
        <v>734966</v>
      </c>
      <c r="EX34">
        <v>734966</v>
      </c>
      <c r="EY34">
        <v>734966</v>
      </c>
      <c r="EZ34">
        <v>742274</v>
      </c>
      <c r="FA34">
        <v>742274</v>
      </c>
      <c r="FB34">
        <v>742274</v>
      </c>
      <c r="FC34">
        <v>742274</v>
      </c>
      <c r="FD34">
        <v>752027</v>
      </c>
      <c r="FE34">
        <v>752027</v>
      </c>
      <c r="FF34">
        <v>752027</v>
      </c>
      <c r="FG34">
        <v>759408</v>
      </c>
      <c r="FH34">
        <v>761858</v>
      </c>
      <c r="FI34">
        <v>761858</v>
      </c>
      <c r="FJ34">
        <v>761858</v>
      </c>
      <c r="FK34">
        <v>761858</v>
      </c>
      <c r="FL34">
        <v>761858</v>
      </c>
      <c r="FM34">
        <v>761858</v>
      </c>
      <c r="FN34">
        <v>776696</v>
      </c>
      <c r="FO34">
        <v>776696</v>
      </c>
      <c r="FP34">
        <v>776696</v>
      </c>
      <c r="FQ34">
        <v>776696</v>
      </c>
      <c r="FR34">
        <v>776696</v>
      </c>
      <c r="FS34">
        <v>789516</v>
      </c>
      <c r="FT34">
        <v>792031</v>
      </c>
      <c r="FU34">
        <v>794526</v>
      </c>
      <c r="FV34">
        <v>797032</v>
      </c>
      <c r="FW34">
        <v>799510</v>
      </c>
      <c r="FX34">
        <v>802118</v>
      </c>
      <c r="FY34">
        <v>804558</v>
      </c>
      <c r="FZ34">
        <v>807015</v>
      </c>
      <c r="GA34">
        <v>807015</v>
      </c>
      <c r="GB34">
        <v>807015</v>
      </c>
      <c r="GC34">
        <v>807015</v>
      </c>
      <c r="GD34">
        <v>817113</v>
      </c>
      <c r="GE34">
        <v>819582</v>
      </c>
      <c r="GF34">
        <v>819582</v>
      </c>
      <c r="GG34">
        <v>819582</v>
      </c>
      <c r="GH34">
        <v>827129</v>
      </c>
      <c r="GI34">
        <v>827129</v>
      </c>
      <c r="GJ34">
        <v>827129</v>
      </c>
      <c r="GK34">
        <v>827129</v>
      </c>
      <c r="GL34">
        <v>827129</v>
      </c>
      <c r="GM34">
        <v>839408</v>
      </c>
      <c r="GN34">
        <v>839408</v>
      </c>
      <c r="GO34">
        <v>839408</v>
      </c>
      <c r="GP34">
        <v>839408</v>
      </c>
      <c r="GQ34">
        <v>839408</v>
      </c>
      <c r="GR34">
        <v>839408</v>
      </c>
      <c r="GS34">
        <v>839408</v>
      </c>
      <c r="GT34">
        <v>856658</v>
      </c>
      <c r="GU34">
        <v>856658</v>
      </c>
      <c r="GV34">
        <v>856658</v>
      </c>
      <c r="GW34">
        <v>856658</v>
      </c>
      <c r="GX34">
        <v>856658</v>
      </c>
      <c r="GY34">
        <v>856658</v>
      </c>
      <c r="GZ34">
        <v>871383</v>
      </c>
      <c r="HA34" s="3">
        <v>872628</v>
      </c>
      <c r="HB34">
        <v>873873</v>
      </c>
      <c r="HC34">
        <v>876378</v>
      </c>
      <c r="HD34">
        <v>878793</v>
      </c>
      <c r="HE34">
        <v>883790</v>
      </c>
      <c r="HF34">
        <v>886223</v>
      </c>
      <c r="HG34">
        <v>888633</v>
      </c>
      <c r="HH34">
        <v>888633</v>
      </c>
      <c r="HI34">
        <v>892504</v>
      </c>
      <c r="HJ34">
        <v>894988</v>
      </c>
      <c r="HK34">
        <v>897456</v>
      </c>
      <c r="HL34">
        <v>897456</v>
      </c>
      <c r="HM34">
        <v>902426</v>
      </c>
      <c r="HN34">
        <v>902426</v>
      </c>
      <c r="HO34">
        <v>907295</v>
      </c>
      <c r="HP34">
        <v>909746</v>
      </c>
      <c r="HQ34">
        <v>909746</v>
      </c>
      <c r="HR34">
        <v>914674</v>
      </c>
      <c r="HS34">
        <v>914674</v>
      </c>
      <c r="HT34">
        <v>914674</v>
      </c>
      <c r="HU34">
        <v>917088</v>
      </c>
      <c r="HV34">
        <v>919566</v>
      </c>
      <c r="HW34">
        <v>924481</v>
      </c>
      <c r="HX34">
        <v>929409</v>
      </c>
      <c r="HY34">
        <v>931887</v>
      </c>
      <c r="HZ34">
        <v>934357</v>
      </c>
      <c r="IA34">
        <v>936793</v>
      </c>
      <c r="IB34">
        <v>936793</v>
      </c>
      <c r="IC34">
        <v>936793</v>
      </c>
      <c r="ID34">
        <v>936793</v>
      </c>
      <c r="IE34">
        <v>946627</v>
      </c>
      <c r="IF34">
        <v>946627</v>
      </c>
      <c r="IG34">
        <v>946627</v>
      </c>
      <c r="IH34">
        <v>953979</v>
      </c>
      <c r="II34">
        <v>956458</v>
      </c>
      <c r="IJ34">
        <v>956458</v>
      </c>
      <c r="IK34">
        <v>956458</v>
      </c>
      <c r="IL34">
        <v>956458</v>
      </c>
      <c r="IM34">
        <v>966259</v>
      </c>
      <c r="IN34">
        <v>968755</v>
      </c>
      <c r="IO34">
        <v>968755</v>
      </c>
      <c r="IP34">
        <v>968755</v>
      </c>
      <c r="IQ34">
        <v>968755</v>
      </c>
      <c r="IR34">
        <v>978592</v>
      </c>
      <c r="IS34">
        <v>978592</v>
      </c>
      <c r="IT34">
        <v>978592</v>
      </c>
      <c r="IU34">
        <v>983500</v>
      </c>
      <c r="IV34">
        <v>985987</v>
      </c>
      <c r="IW34">
        <v>985987</v>
      </c>
      <c r="IX34">
        <v>985987</v>
      </c>
      <c r="IY34">
        <v>993302</v>
      </c>
      <c r="IZ34">
        <v>993302</v>
      </c>
      <c r="JA34">
        <v>1000769</v>
      </c>
      <c r="JB34">
        <v>1000769</v>
      </c>
      <c r="JC34">
        <v>1000769</v>
      </c>
      <c r="JD34">
        <v>1000769</v>
      </c>
      <c r="JE34">
        <v>1000769</v>
      </c>
      <c r="JF34">
        <v>1013016</v>
      </c>
      <c r="JG34">
        <v>1013016</v>
      </c>
      <c r="JH34">
        <v>1017902</v>
      </c>
      <c r="JI34">
        <v>1017902</v>
      </c>
      <c r="JJ34">
        <v>1017902</v>
      </c>
      <c r="JK34">
        <v>1017902</v>
      </c>
      <c r="JL34">
        <v>1017902</v>
      </c>
      <c r="JM34">
        <v>1030223</v>
      </c>
      <c r="JN34">
        <v>1032660</v>
      </c>
      <c r="JO34">
        <v>1032660</v>
      </c>
      <c r="JP34">
        <v>1032660</v>
      </c>
      <c r="JQ34">
        <v>1035061</v>
      </c>
      <c r="JR34">
        <v>1039940</v>
      </c>
      <c r="JS34">
        <v>1044841</v>
      </c>
      <c r="JT34">
        <v>1044841</v>
      </c>
      <c r="JU34">
        <v>1044841</v>
      </c>
      <c r="JV34">
        <v>1044841</v>
      </c>
      <c r="JW34">
        <v>1044841</v>
      </c>
      <c r="JX34">
        <v>1044841</v>
      </c>
      <c r="JY34">
        <v>1059641</v>
      </c>
      <c r="JZ34">
        <v>1062066</v>
      </c>
      <c r="KA34">
        <v>1062066</v>
      </c>
      <c r="KB34">
        <v>1062066</v>
      </c>
      <c r="KC34">
        <v>1062066</v>
      </c>
      <c r="KD34">
        <v>1062066</v>
      </c>
      <c r="KE34">
        <v>1074483</v>
      </c>
      <c r="KF34">
        <v>1074483</v>
      </c>
      <c r="KG34">
        <v>1079417</v>
      </c>
      <c r="KH34">
        <v>1079417</v>
      </c>
      <c r="KI34">
        <v>1079417</v>
      </c>
      <c r="KJ34">
        <v>1086688</v>
      </c>
      <c r="KK34">
        <v>1086688</v>
      </c>
      <c r="KL34">
        <v>1086688</v>
      </c>
      <c r="KM34">
        <v>1094009</v>
      </c>
      <c r="KN34">
        <v>1094009</v>
      </c>
      <c r="KO34">
        <v>1098929</v>
      </c>
      <c r="KP34">
        <v>1101422</v>
      </c>
      <c r="KQ34">
        <v>1103861</v>
      </c>
      <c r="KR34">
        <v>1106352</v>
      </c>
      <c r="KS34">
        <v>1106352</v>
      </c>
      <c r="KT34">
        <v>1106352</v>
      </c>
      <c r="KU34">
        <v>1106352</v>
      </c>
      <c r="KV34">
        <v>1106352</v>
      </c>
      <c r="KW34">
        <v>1118621</v>
      </c>
      <c r="KX34">
        <v>1118621</v>
      </c>
      <c r="KY34">
        <v>1123560</v>
      </c>
      <c r="KZ34">
        <v>1123560</v>
      </c>
      <c r="LA34">
        <v>1123560</v>
      </c>
      <c r="LB34">
        <v>1123560</v>
      </c>
      <c r="LC34">
        <v>1133412</v>
      </c>
      <c r="LD34">
        <v>1135930</v>
      </c>
      <c r="LE34">
        <v>1138454</v>
      </c>
      <c r="LF34">
        <v>1140958</v>
      </c>
      <c r="LG34">
        <v>1140958</v>
      </c>
      <c r="LH34">
        <v>1140958</v>
      </c>
      <c r="LI34">
        <v>1148242</v>
      </c>
      <c r="LJ34">
        <v>1148242</v>
      </c>
      <c r="LK34">
        <v>1148242</v>
      </c>
      <c r="LL34">
        <v>1155634</v>
      </c>
      <c r="LM34">
        <v>1155634</v>
      </c>
      <c r="LN34">
        <v>1155634</v>
      </c>
      <c r="LO34">
        <v>1155634</v>
      </c>
      <c r="LP34">
        <v>1155634</v>
      </c>
      <c r="LQ34">
        <v>1167868</v>
      </c>
      <c r="LR34">
        <v>1170330</v>
      </c>
      <c r="LS34">
        <v>1170330</v>
      </c>
      <c r="LT34">
        <v>1170330</v>
      </c>
      <c r="LU34">
        <v>1170330</v>
      </c>
      <c r="LV34">
        <v>1170330</v>
      </c>
      <c r="LW34">
        <v>1170330</v>
      </c>
      <c r="LX34">
        <v>1170330</v>
      </c>
      <c r="LY34">
        <v>1187410</v>
      </c>
      <c r="LZ34">
        <v>1189882</v>
      </c>
      <c r="MA34">
        <v>1189882</v>
      </c>
      <c r="MB34">
        <v>1192402</v>
      </c>
      <c r="MC34">
        <v>1192402</v>
      </c>
      <c r="MD34">
        <v>1192402</v>
      </c>
      <c r="ME34">
        <v>1202347</v>
      </c>
      <c r="MF34">
        <v>1204834</v>
      </c>
      <c r="MG34">
        <v>1204834</v>
      </c>
      <c r="MH34">
        <v>1204834</v>
      </c>
      <c r="MI34">
        <v>1204834</v>
      </c>
      <c r="MJ34">
        <v>1204834</v>
      </c>
      <c r="MK34">
        <v>1204834</v>
      </c>
      <c r="ML34">
        <v>1204834</v>
      </c>
      <c r="MM34">
        <v>1221446</v>
      </c>
      <c r="MN34">
        <v>1221446</v>
      </c>
      <c r="MO34">
        <v>1221446</v>
      </c>
      <c r="MP34">
        <v>1221446</v>
      </c>
      <c r="MQ34">
        <v>1221446</v>
      </c>
      <c r="MR34">
        <v>1221446</v>
      </c>
      <c r="MS34">
        <v>1221446</v>
      </c>
      <c r="MT34">
        <v>1238524</v>
      </c>
      <c r="MU34">
        <v>1238524</v>
      </c>
      <c r="MV34">
        <v>1238524</v>
      </c>
      <c r="MW34">
        <v>1238524</v>
      </c>
      <c r="MX34">
        <v>1248444</v>
      </c>
      <c r="MY34">
        <v>1250900</v>
      </c>
      <c r="MZ34">
        <v>1250900</v>
      </c>
      <c r="NA34">
        <v>1250900</v>
      </c>
      <c r="NB34">
        <v>1250900</v>
      </c>
      <c r="NC34">
        <v>1250900</v>
      </c>
      <c r="ND34">
        <v>1250900</v>
      </c>
      <c r="NE34">
        <v>1250900</v>
      </c>
      <c r="NF34">
        <v>1268090</v>
      </c>
      <c r="NG34">
        <v>1268090</v>
      </c>
      <c r="NH34">
        <v>1268090</v>
      </c>
      <c r="NI34">
        <v>1268090</v>
      </c>
      <c r="NJ34">
        <v>1268090</v>
      </c>
      <c r="NK34">
        <v>1268090</v>
      </c>
      <c r="NL34">
        <v>1268090</v>
      </c>
      <c r="NM34">
        <v>1285112</v>
      </c>
      <c r="NN34">
        <v>1285112</v>
      </c>
      <c r="NO34">
        <v>1285112</v>
      </c>
      <c r="NP34">
        <v>1285112</v>
      </c>
      <c r="NQ34">
        <v>1285112</v>
      </c>
      <c r="NR34">
        <v>1285112</v>
      </c>
      <c r="NS34">
        <v>1285112</v>
      </c>
      <c r="NT34">
        <v>1285112</v>
      </c>
      <c r="NU34">
        <v>1285112</v>
      </c>
      <c r="NV34">
        <v>1307138</v>
      </c>
      <c r="NW34">
        <v>1309644</v>
      </c>
      <c r="NX34">
        <v>1309644</v>
      </c>
      <c r="NY34">
        <v>1309644</v>
      </c>
      <c r="NZ34">
        <v>1309644</v>
      </c>
      <c r="OA34">
        <v>1309644</v>
      </c>
      <c r="OB34">
        <v>1309644</v>
      </c>
      <c r="OC34">
        <v>1309644</v>
      </c>
      <c r="OD34">
        <v>1327099</v>
      </c>
      <c r="OE34">
        <v>1329565</v>
      </c>
      <c r="OF34">
        <v>1329565</v>
      </c>
      <c r="OG34">
        <v>1329565</v>
      </c>
      <c r="OH34">
        <v>1329565</v>
      </c>
      <c r="OI34">
        <v>1329565</v>
      </c>
      <c r="OJ34">
        <v>1329565</v>
      </c>
      <c r="OK34">
        <v>1344703</v>
      </c>
      <c r="OL34">
        <v>1347189</v>
      </c>
      <c r="OM34">
        <v>1347189</v>
      </c>
      <c r="ON34">
        <v>1347189</v>
      </c>
      <c r="OO34">
        <v>1347189</v>
      </c>
      <c r="OP34">
        <v>1357788</v>
      </c>
      <c r="OQ34">
        <v>1357788</v>
      </c>
      <c r="OR34">
        <v>1357788</v>
      </c>
      <c r="OS34">
        <v>1357788</v>
      </c>
      <c r="OT34">
        <v>1357788</v>
      </c>
      <c r="OU34">
        <v>1357788</v>
      </c>
      <c r="OV34">
        <v>1357788</v>
      </c>
      <c r="OW34">
        <v>1357788</v>
      </c>
      <c r="OX34">
        <v>1357788</v>
      </c>
      <c r="OY34">
        <v>1357788</v>
      </c>
      <c r="OZ34">
        <v>1357788</v>
      </c>
      <c r="PA34">
        <v>1385010</v>
      </c>
      <c r="PB34">
        <v>1385010</v>
      </c>
      <c r="PC34">
        <v>1385010</v>
      </c>
      <c r="PD34">
        <v>1385010</v>
      </c>
      <c r="PE34">
        <v>1385010</v>
      </c>
      <c r="PF34">
        <v>1397810</v>
      </c>
      <c r="PG34">
        <v>1400377</v>
      </c>
      <c r="PH34">
        <v>1403172</v>
      </c>
      <c r="PI34">
        <v>1405684</v>
      </c>
      <c r="PJ34">
        <v>1408214</v>
      </c>
      <c r="PK34">
        <v>1408214</v>
      </c>
      <c r="PL34">
        <v>1408214</v>
      </c>
      <c r="PM34">
        <v>1408214</v>
      </c>
      <c r="PN34">
        <v>1408214</v>
      </c>
      <c r="PO34">
        <v>1408214</v>
      </c>
      <c r="PP34">
        <v>1408214</v>
      </c>
      <c r="PQ34">
        <v>1408214</v>
      </c>
      <c r="PR34">
        <v>1408214</v>
      </c>
      <c r="PS34">
        <v>1408214</v>
      </c>
      <c r="PT34">
        <v>1408214</v>
      </c>
      <c r="PU34">
        <v>1408214</v>
      </c>
      <c r="PV34">
        <v>1408214</v>
      </c>
      <c r="PW34">
        <v>1440742</v>
      </c>
      <c r="PX34">
        <v>1440742</v>
      </c>
      <c r="PY34">
        <v>1440742</v>
      </c>
      <c r="PZ34">
        <v>1440742</v>
      </c>
      <c r="QA34">
        <v>1440742</v>
      </c>
      <c r="QB34">
        <v>1440742</v>
      </c>
      <c r="QC34">
        <v>1440742</v>
      </c>
      <c r="QD34">
        <v>1440742</v>
      </c>
      <c r="QE34">
        <v>1440742</v>
      </c>
      <c r="QF34">
        <v>1440742</v>
      </c>
      <c r="QG34">
        <v>1440742</v>
      </c>
      <c r="QH34">
        <v>1440742</v>
      </c>
      <c r="QI34">
        <v>1440742</v>
      </c>
      <c r="QJ34">
        <v>1440742</v>
      </c>
      <c r="QK34">
        <v>1473136</v>
      </c>
      <c r="QL34">
        <v>1475681</v>
      </c>
      <c r="QM34">
        <v>1480700</v>
      </c>
      <c r="QN34">
        <v>1480700</v>
      </c>
      <c r="QO34">
        <v>1480700</v>
      </c>
      <c r="QP34">
        <v>1488216</v>
      </c>
      <c r="QQ34">
        <v>1490757</v>
      </c>
      <c r="QR34">
        <v>1493233</v>
      </c>
      <c r="QS34">
        <v>1493233</v>
      </c>
      <c r="QT34">
        <v>1498151</v>
      </c>
      <c r="QU34">
        <v>1498151</v>
      </c>
      <c r="QV34">
        <v>1503170</v>
      </c>
      <c r="QW34">
        <v>1505621</v>
      </c>
      <c r="QX34">
        <v>1505621</v>
      </c>
      <c r="QY34">
        <v>1505621</v>
      </c>
      <c r="QZ34">
        <v>1505621</v>
      </c>
      <c r="RA34">
        <v>1505621</v>
      </c>
      <c r="RB34">
        <v>1505621</v>
      </c>
      <c r="RC34">
        <v>1520383</v>
      </c>
      <c r="RD34">
        <v>1520383</v>
      </c>
      <c r="RE34">
        <v>1520383</v>
      </c>
      <c r="RF34">
        <v>1527819</v>
      </c>
      <c r="RG34">
        <v>1530272</v>
      </c>
      <c r="RH34">
        <v>1530272</v>
      </c>
      <c r="RI34">
        <v>1530272</v>
      </c>
      <c r="RJ34">
        <v>1537585</v>
      </c>
      <c r="RK34">
        <v>1540056</v>
      </c>
      <c r="RL34">
        <v>1540056</v>
      </c>
      <c r="RM34">
        <v>1545003</v>
      </c>
      <c r="RN34">
        <v>1547464</v>
      </c>
      <c r="RO34">
        <v>1549876</v>
      </c>
      <c r="RP34">
        <v>1552331</v>
      </c>
      <c r="RQ34">
        <v>1552331</v>
      </c>
      <c r="RR34">
        <v>1557257</v>
      </c>
      <c r="RS34">
        <v>1557257</v>
      </c>
      <c r="RT34">
        <v>1557257</v>
      </c>
      <c r="RU34">
        <v>1557257</v>
      </c>
      <c r="RV34">
        <v>1557257</v>
      </c>
      <c r="RW34">
        <v>1557257</v>
      </c>
      <c r="RX34">
        <v>1557257</v>
      </c>
      <c r="RY34">
        <v>1580995</v>
      </c>
      <c r="RZ34">
        <v>1580995</v>
      </c>
      <c r="SA34">
        <v>1580995</v>
      </c>
      <c r="SB34">
        <v>1580995</v>
      </c>
      <c r="SC34">
        <v>1580995</v>
      </c>
      <c r="SD34">
        <v>1580995</v>
      </c>
      <c r="SE34">
        <v>1580995</v>
      </c>
      <c r="SF34">
        <v>1613809</v>
      </c>
      <c r="SG34">
        <v>1618473</v>
      </c>
      <c r="SH34">
        <v>1623193</v>
      </c>
      <c r="SI34">
        <v>1623193</v>
      </c>
      <c r="SJ34">
        <v>1627890</v>
      </c>
      <c r="SK34">
        <v>1627890</v>
      </c>
      <c r="SL34">
        <v>1627890</v>
      </c>
      <c r="SM34">
        <v>1627890</v>
      </c>
      <c r="SN34">
        <v>1627890</v>
      </c>
      <c r="SO34">
        <v>1627890</v>
      </c>
      <c r="SP34">
        <v>1627890</v>
      </c>
      <c r="SQ34">
        <v>1627890</v>
      </c>
      <c r="SR34">
        <v>1627890</v>
      </c>
      <c r="SS34">
        <v>1627890</v>
      </c>
      <c r="ST34">
        <v>1627890</v>
      </c>
      <c r="SU34">
        <v>1627890</v>
      </c>
      <c r="SV34">
        <v>1684067</v>
      </c>
      <c r="SW34">
        <v>1693464</v>
      </c>
      <c r="SX34">
        <v>1693464</v>
      </c>
      <c r="SY34">
        <v>1693464</v>
      </c>
      <c r="SZ34">
        <v>1693464</v>
      </c>
      <c r="TA34">
        <v>1693464</v>
      </c>
      <c r="TB34">
        <v>1693464</v>
      </c>
      <c r="TC34">
        <v>1693464</v>
      </c>
      <c r="TD34">
        <v>1693464</v>
      </c>
      <c r="TE34">
        <v>1693464</v>
      </c>
      <c r="TF34">
        <v>1693464</v>
      </c>
      <c r="TG34">
        <v>1693464</v>
      </c>
      <c r="TH34">
        <v>1693464</v>
      </c>
      <c r="TI34">
        <v>1693464</v>
      </c>
      <c r="TJ34">
        <v>1693464</v>
      </c>
      <c r="TK34">
        <v>1758939</v>
      </c>
      <c r="TL34">
        <v>1758939</v>
      </c>
      <c r="TM34">
        <v>1758939</v>
      </c>
      <c r="TN34">
        <v>1758939</v>
      </c>
      <c r="TO34">
        <v>1758939</v>
      </c>
      <c r="TP34">
        <v>1758939</v>
      </c>
      <c r="TQ34">
        <v>1758939</v>
      </c>
      <c r="TR34">
        <v>1758939</v>
      </c>
      <c r="TS34">
        <v>1758939</v>
      </c>
      <c r="TT34">
        <v>1758939</v>
      </c>
      <c r="TU34">
        <v>1758939</v>
      </c>
      <c r="TV34">
        <v>1758939</v>
      </c>
      <c r="TW34">
        <v>1758939</v>
      </c>
      <c r="TX34">
        <v>1758939</v>
      </c>
      <c r="TY34">
        <v>1758939</v>
      </c>
      <c r="TZ34">
        <v>1758939</v>
      </c>
      <c r="UA34">
        <v>1758939</v>
      </c>
      <c r="UB34">
        <v>1758939</v>
      </c>
      <c r="UC34">
        <v>1847861</v>
      </c>
      <c r="UD34">
        <v>1847861</v>
      </c>
      <c r="UE34">
        <v>1847861</v>
      </c>
      <c r="UF34">
        <v>1847861</v>
      </c>
      <c r="UG34">
        <v>1847861</v>
      </c>
      <c r="UH34">
        <v>1847861</v>
      </c>
      <c r="UI34">
        <v>1847861</v>
      </c>
      <c r="UJ34">
        <v>1847861</v>
      </c>
      <c r="UK34">
        <v>1847861</v>
      </c>
      <c r="UL34">
        <v>1847861</v>
      </c>
      <c r="UM34">
        <v>1847861</v>
      </c>
      <c r="UN34">
        <v>1847861</v>
      </c>
      <c r="UO34">
        <v>1847861</v>
      </c>
      <c r="UP34">
        <v>1847861</v>
      </c>
      <c r="UQ34">
        <v>1875785</v>
      </c>
      <c r="UR34">
        <v>1875785</v>
      </c>
      <c r="US34">
        <v>1875785</v>
      </c>
      <c r="UT34">
        <v>1875785</v>
      </c>
      <c r="UU34">
        <v>1875785</v>
      </c>
      <c r="UV34">
        <v>1875785</v>
      </c>
      <c r="UW34">
        <v>1875785</v>
      </c>
      <c r="UX34">
        <v>1875785</v>
      </c>
      <c r="UY34">
        <v>1917873</v>
      </c>
      <c r="UZ34">
        <v>1950448</v>
      </c>
      <c r="VA34">
        <v>1950448</v>
      </c>
      <c r="VB34">
        <v>1950448</v>
      </c>
      <c r="VC34">
        <v>1950448</v>
      </c>
      <c r="VD34">
        <v>1950448</v>
      </c>
      <c r="VE34">
        <v>1950448</v>
      </c>
      <c r="VF34">
        <v>1950448</v>
      </c>
      <c r="VG34">
        <v>1950448</v>
      </c>
      <c r="VH34">
        <v>1950448</v>
      </c>
      <c r="VI34">
        <v>1950448</v>
      </c>
      <c r="VJ34">
        <v>1950448</v>
      </c>
      <c r="VK34">
        <v>1950448</v>
      </c>
      <c r="VL34">
        <v>1950448</v>
      </c>
      <c r="VM34">
        <v>1950448</v>
      </c>
      <c r="VN34">
        <v>1950448</v>
      </c>
      <c r="VO34">
        <v>1950448</v>
      </c>
      <c r="VP34">
        <v>1950448</v>
      </c>
      <c r="VQ34">
        <v>1950448</v>
      </c>
      <c r="VR34">
        <v>1950448</v>
      </c>
      <c r="VS34">
        <v>1950448</v>
      </c>
      <c r="VT34">
        <v>1950448</v>
      </c>
      <c r="VU34">
        <v>1950448</v>
      </c>
      <c r="VV34">
        <v>1950448</v>
      </c>
      <c r="VW34">
        <v>1950448</v>
      </c>
      <c r="VX34">
        <v>1950448</v>
      </c>
      <c r="VY34">
        <v>1950448</v>
      </c>
      <c r="VZ34">
        <v>1950448</v>
      </c>
      <c r="WA34">
        <v>1950448</v>
      </c>
      <c r="WB34">
        <v>1950448</v>
      </c>
      <c r="WC34">
        <v>1950448</v>
      </c>
      <c r="WD34">
        <v>1950448</v>
      </c>
      <c r="WE34">
        <v>1950448</v>
      </c>
      <c r="WF34">
        <v>1950448</v>
      </c>
      <c r="WG34">
        <v>1950448</v>
      </c>
      <c r="WH34">
        <v>1950448</v>
      </c>
      <c r="WI34">
        <v>1950448</v>
      </c>
      <c r="WJ34">
        <v>1950448</v>
      </c>
      <c r="WK34">
        <v>1950448</v>
      </c>
      <c r="WL34">
        <v>1950448</v>
      </c>
      <c r="WM34">
        <v>1950448</v>
      </c>
      <c r="WN34">
        <v>1950448</v>
      </c>
      <c r="WO34">
        <v>1950448</v>
      </c>
      <c r="WP34">
        <v>1950448</v>
      </c>
      <c r="WQ34">
        <v>1950448</v>
      </c>
      <c r="WR34">
        <v>1950448</v>
      </c>
      <c r="WS34">
        <v>1950448</v>
      </c>
      <c r="WT34">
        <v>1950448</v>
      </c>
      <c r="WU34">
        <v>2168616</v>
      </c>
      <c r="WV34">
        <v>2168616</v>
      </c>
      <c r="WW34">
        <v>2168616</v>
      </c>
      <c r="WX34">
        <v>2168616</v>
      </c>
      <c r="WY34">
        <v>2168616</v>
      </c>
      <c r="WZ34">
        <v>2168616</v>
      </c>
      <c r="XA34">
        <v>2168616</v>
      </c>
      <c r="XB34">
        <v>2168616</v>
      </c>
      <c r="XC34">
        <v>2210553</v>
      </c>
      <c r="XD34">
        <v>2210553</v>
      </c>
      <c r="XE34">
        <v>2210553</v>
      </c>
      <c r="XF34">
        <v>2219800</v>
      </c>
      <c r="XG34">
        <v>2219800</v>
      </c>
      <c r="XH34">
        <v>2219800</v>
      </c>
      <c r="XI34">
        <v>2219800</v>
      </c>
      <c r="XJ34">
        <v>2219800</v>
      </c>
      <c r="XK34">
        <v>2219800</v>
      </c>
      <c r="XL34">
        <v>2219800</v>
      </c>
      <c r="XM34">
        <v>2219800</v>
      </c>
      <c r="XN34">
        <v>2219800</v>
      </c>
      <c r="XO34">
        <v>2219800</v>
      </c>
      <c r="XP34">
        <v>2219800</v>
      </c>
      <c r="XQ34">
        <v>2219800</v>
      </c>
      <c r="XR34">
        <v>2284873</v>
      </c>
      <c r="XS34">
        <v>2284873</v>
      </c>
      <c r="XT34">
        <v>2284873</v>
      </c>
      <c r="XU34">
        <v>2284873</v>
      </c>
      <c r="XV34">
        <v>2284873</v>
      </c>
      <c r="XW34">
        <v>2284873</v>
      </c>
      <c r="XX34">
        <v>2284873</v>
      </c>
      <c r="XY34">
        <v>2284873</v>
      </c>
      <c r="XZ34">
        <v>2284873</v>
      </c>
      <c r="YA34">
        <v>2284873</v>
      </c>
      <c r="YB34">
        <v>2284873</v>
      </c>
      <c r="YC34">
        <v>2284873</v>
      </c>
      <c r="YD34">
        <v>2284873</v>
      </c>
      <c r="YE34">
        <v>2284873</v>
      </c>
      <c r="YF34" s="1">
        <v>2284873</v>
      </c>
      <c r="YG34" s="1">
        <v>2284873</v>
      </c>
      <c r="YH34" s="1">
        <v>2284873</v>
      </c>
      <c r="YI34" s="1">
        <v>2284873</v>
      </c>
      <c r="YJ34">
        <v>2284873</v>
      </c>
      <c r="YK34">
        <v>2284873</v>
      </c>
      <c r="YL34">
        <v>2284873</v>
      </c>
      <c r="YM34">
        <v>2284873</v>
      </c>
      <c r="YN34">
        <v>2284873</v>
      </c>
      <c r="YO34">
        <v>2284873</v>
      </c>
      <c r="YP34">
        <v>2284873</v>
      </c>
      <c r="YQ34">
        <v>2284873</v>
      </c>
      <c r="YR34">
        <v>2284873</v>
      </c>
      <c r="YS34">
        <v>2284873</v>
      </c>
      <c r="YT34">
        <v>2284873</v>
      </c>
      <c r="YU34">
        <v>2368512</v>
      </c>
      <c r="YV34">
        <v>2368512</v>
      </c>
      <c r="YW34">
        <v>2368512</v>
      </c>
      <c r="YX34">
        <v>2368512</v>
      </c>
      <c r="YY34">
        <v>2368512</v>
      </c>
      <c r="YZ34">
        <v>2368512</v>
      </c>
      <c r="ZA34">
        <v>2368512</v>
      </c>
      <c r="ZB34">
        <v>2368512</v>
      </c>
      <c r="ZC34">
        <v>2368512</v>
      </c>
      <c r="ZD34">
        <v>2368512</v>
      </c>
      <c r="ZE34">
        <v>2456913</v>
      </c>
      <c r="ZF34">
        <v>2456913</v>
      </c>
      <c r="ZG34">
        <v>2456913</v>
      </c>
      <c r="ZH34">
        <v>2456913</v>
      </c>
      <c r="ZI34">
        <v>2456913</v>
      </c>
      <c r="ZJ34">
        <v>2456913</v>
      </c>
      <c r="ZK34">
        <v>2456913</v>
      </c>
      <c r="ZL34">
        <v>2456913</v>
      </c>
      <c r="ZM34">
        <v>2456913</v>
      </c>
      <c r="ZN34">
        <v>2456913</v>
      </c>
      <c r="ZO34">
        <v>2456913</v>
      </c>
      <c r="ZP34">
        <v>2456913</v>
      </c>
      <c r="ZQ34">
        <v>2456913</v>
      </c>
      <c r="ZR34">
        <v>2456913</v>
      </c>
      <c r="ZS34">
        <v>2456913</v>
      </c>
      <c r="ZT34">
        <v>2456913</v>
      </c>
      <c r="ZU34">
        <v>2456913</v>
      </c>
      <c r="ZV34">
        <v>2456913</v>
      </c>
      <c r="ZW34">
        <v>2456913</v>
      </c>
      <c r="ZX34">
        <v>2456913</v>
      </c>
      <c r="ZY34">
        <v>2456913</v>
      </c>
      <c r="ZZ34">
        <v>2456913</v>
      </c>
      <c r="AAA34">
        <v>2456913</v>
      </c>
      <c r="AAB34">
        <v>2456913</v>
      </c>
      <c r="AAC34">
        <v>2456913</v>
      </c>
      <c r="AAD34">
        <v>2456913</v>
      </c>
      <c r="AAE34">
        <v>2456913</v>
      </c>
      <c r="AAF34">
        <v>2456913</v>
      </c>
      <c r="AAG34">
        <v>2456913</v>
      </c>
      <c r="AAH34">
        <v>2456913</v>
      </c>
      <c r="AAI34">
        <v>2456913</v>
      </c>
      <c r="AAJ34">
        <v>2456913</v>
      </c>
      <c r="AAK34">
        <v>2610114</v>
      </c>
      <c r="AAL34">
        <v>2610114</v>
      </c>
      <c r="AAM34">
        <v>2610114</v>
      </c>
      <c r="AAN34">
        <v>2610114</v>
      </c>
      <c r="AAO34">
        <v>2610114</v>
      </c>
      <c r="AAP34">
        <v>2610114</v>
      </c>
      <c r="AAQ34">
        <v>2610114</v>
      </c>
      <c r="AAR34">
        <v>2610114</v>
      </c>
      <c r="AAS34">
        <v>2610114</v>
      </c>
      <c r="AAT34">
        <v>2610114</v>
      </c>
      <c r="AAU34">
        <v>2610114</v>
      </c>
      <c r="AAV34">
        <v>2610114</v>
      </c>
      <c r="AAW34">
        <v>2610114</v>
      </c>
      <c r="AAX34">
        <v>2610114</v>
      </c>
      <c r="AAY34">
        <v>2610114</v>
      </c>
      <c r="AAZ34">
        <v>2610114</v>
      </c>
      <c r="ABA34">
        <v>2610114</v>
      </c>
      <c r="ABB34">
        <v>2610114</v>
      </c>
      <c r="ABC34">
        <v>2610114</v>
      </c>
      <c r="ABD34">
        <v>2610114</v>
      </c>
      <c r="ABE34">
        <v>2610114</v>
      </c>
      <c r="ABF34">
        <v>2610114</v>
      </c>
      <c r="ABG34">
        <v>2610114</v>
      </c>
      <c r="ABH34">
        <v>2610114</v>
      </c>
      <c r="ABI34">
        <v>2610114</v>
      </c>
      <c r="ABJ34">
        <v>2610114</v>
      </c>
      <c r="ABK34">
        <v>2610114</v>
      </c>
      <c r="ABL34">
        <v>2610114</v>
      </c>
      <c r="ABM34">
        <v>2610114</v>
      </c>
      <c r="ABN34">
        <v>2610114</v>
      </c>
      <c r="ABO34">
        <v>2610114</v>
      </c>
      <c r="ABP34">
        <v>2610114</v>
      </c>
      <c r="ABQ34">
        <v>2610114</v>
      </c>
      <c r="ABR34">
        <v>2610114</v>
      </c>
      <c r="ABS34">
        <v>2610114</v>
      </c>
      <c r="ABT34">
        <v>2610114</v>
      </c>
      <c r="ABU34">
        <v>2610114</v>
      </c>
      <c r="ABV34">
        <v>2610114</v>
      </c>
      <c r="ABW34">
        <v>2610114</v>
      </c>
      <c r="ABX34">
        <v>2610114</v>
      </c>
      <c r="ABY34">
        <v>2610114</v>
      </c>
      <c r="ABZ34">
        <v>2610114</v>
      </c>
      <c r="ACA34">
        <v>2610114</v>
      </c>
      <c r="ACB34">
        <v>2610114</v>
      </c>
      <c r="ACC34">
        <v>2610114</v>
      </c>
      <c r="ACD34">
        <v>2610114</v>
      </c>
      <c r="ACE34">
        <v>2610114</v>
      </c>
      <c r="ACF34">
        <v>2610114</v>
      </c>
      <c r="ACG34">
        <v>2610114</v>
      </c>
      <c r="ACH34">
        <v>2610114</v>
      </c>
      <c r="ACI34">
        <v>2610114</v>
      </c>
      <c r="ACJ34">
        <v>2610114</v>
      </c>
      <c r="ACK34">
        <v>2610114</v>
      </c>
      <c r="ACL34">
        <v>2610114</v>
      </c>
      <c r="ACM34">
        <v>2610114</v>
      </c>
      <c r="ACN34">
        <v>2610114</v>
      </c>
      <c r="ACO34">
        <v>2610114</v>
      </c>
      <c r="ACP34">
        <v>2610114</v>
      </c>
      <c r="ACQ34">
        <v>2610114</v>
      </c>
      <c r="ACR34">
        <v>2610114</v>
      </c>
      <c r="ACS34">
        <v>2610114</v>
      </c>
      <c r="ACT34">
        <v>2610114</v>
      </c>
      <c r="ACU34">
        <v>2610114</v>
      </c>
      <c r="ACV34">
        <v>2610114</v>
      </c>
      <c r="ACW34">
        <v>2610114</v>
      </c>
      <c r="ACX34">
        <v>2610114</v>
      </c>
      <c r="ACY34">
        <v>2610114</v>
      </c>
      <c r="ACZ34">
        <v>2610114</v>
      </c>
      <c r="ADA34">
        <v>2610114</v>
      </c>
      <c r="ADB34">
        <v>2610114</v>
      </c>
      <c r="ADC34">
        <v>2610114</v>
      </c>
      <c r="ADD34">
        <v>2610114</v>
      </c>
      <c r="ADE34">
        <v>2610114</v>
      </c>
      <c r="ADF34">
        <v>2610114</v>
      </c>
      <c r="ADG34">
        <v>2610114</v>
      </c>
      <c r="ADH34">
        <v>2610114</v>
      </c>
      <c r="ADI34">
        <v>2610114</v>
      </c>
      <c r="ADJ34">
        <v>2610114</v>
      </c>
      <c r="ADK34">
        <v>2610114</v>
      </c>
      <c r="ADL34">
        <v>2610114</v>
      </c>
      <c r="ADM34">
        <v>2610114</v>
      </c>
      <c r="ADN34">
        <v>2610114</v>
      </c>
      <c r="ADO34">
        <v>2610114</v>
      </c>
      <c r="ADP34">
        <v>2610114</v>
      </c>
      <c r="ADQ34">
        <v>2610114</v>
      </c>
      <c r="ADR34">
        <v>2610114</v>
      </c>
      <c r="ADS34">
        <v>2610114</v>
      </c>
      <c r="ADT34">
        <v>2610114</v>
      </c>
      <c r="ADU34">
        <v>2610114</v>
      </c>
      <c r="ADV34">
        <v>2610114</v>
      </c>
      <c r="ADW34">
        <v>2610114</v>
      </c>
      <c r="ADX34">
        <v>2610114</v>
      </c>
      <c r="ADY34">
        <v>2610114</v>
      </c>
      <c r="ADZ34">
        <v>2610114</v>
      </c>
      <c r="AEA34">
        <v>2610114</v>
      </c>
      <c r="AEB34">
        <v>2610114</v>
      </c>
      <c r="AEC34">
        <v>2610114</v>
      </c>
      <c r="AED34">
        <v>2610114</v>
      </c>
      <c r="AEE34">
        <v>2610114</v>
      </c>
      <c r="AEF34">
        <v>2610114</v>
      </c>
      <c r="AEG34">
        <v>2610114</v>
      </c>
      <c r="AEH34">
        <v>2610114</v>
      </c>
      <c r="AEI34">
        <v>2610114</v>
      </c>
      <c r="AEJ34">
        <v>2610114</v>
      </c>
      <c r="AEK34">
        <v>2610114</v>
      </c>
      <c r="AEL34">
        <v>2610114</v>
      </c>
      <c r="AEM34">
        <v>2610114</v>
      </c>
      <c r="AEN34">
        <v>2610114</v>
      </c>
      <c r="AEO34">
        <v>2610114</v>
      </c>
      <c r="AEP34">
        <v>2610114</v>
      </c>
      <c r="AEQ34">
        <v>2610114</v>
      </c>
      <c r="AER34">
        <v>2610114</v>
      </c>
      <c r="AES34">
        <v>2610114</v>
      </c>
      <c r="AET34">
        <v>2610114</v>
      </c>
      <c r="AEU34">
        <v>2610114</v>
      </c>
      <c r="AEV34">
        <v>2610114</v>
      </c>
      <c r="AEW34">
        <v>2610114</v>
      </c>
      <c r="AEX34">
        <v>2610114</v>
      </c>
      <c r="AEY34">
        <v>2610114</v>
      </c>
      <c r="AEZ34">
        <v>2610114</v>
      </c>
      <c r="AFA34">
        <v>2610114</v>
      </c>
      <c r="AFB34">
        <v>2610114</v>
      </c>
      <c r="AFC34">
        <v>2610114</v>
      </c>
      <c r="AFD34">
        <v>2610114</v>
      </c>
      <c r="AFE34">
        <v>2610114</v>
      </c>
      <c r="AFF34">
        <v>2610114</v>
      </c>
      <c r="AFG34">
        <v>2610114</v>
      </c>
      <c r="AFH34">
        <v>2610114</v>
      </c>
      <c r="AFI34">
        <v>2610114</v>
      </c>
      <c r="AFJ34">
        <v>2610114</v>
      </c>
      <c r="AFK34">
        <v>2610114</v>
      </c>
      <c r="AFL34">
        <v>2610114</v>
      </c>
      <c r="AFM34">
        <v>2610114</v>
      </c>
      <c r="AFN34">
        <v>2610114</v>
      </c>
      <c r="AFO34">
        <v>2610114</v>
      </c>
      <c r="AFP34">
        <v>2610114</v>
      </c>
      <c r="AFQ34">
        <v>2610114</v>
      </c>
      <c r="AFR34">
        <v>2610114</v>
      </c>
      <c r="AFS34">
        <v>2610114</v>
      </c>
      <c r="AFT34">
        <v>2610114</v>
      </c>
      <c r="AFU34">
        <v>2610114</v>
      </c>
      <c r="AFV34">
        <v>2610114</v>
      </c>
      <c r="AFW34">
        <v>2610114</v>
      </c>
      <c r="AFX34">
        <v>2610114</v>
      </c>
      <c r="AFY34">
        <v>2610114</v>
      </c>
      <c r="AFZ34">
        <v>2610114</v>
      </c>
      <c r="AGA34">
        <v>2610114</v>
      </c>
      <c r="AGB34">
        <v>2610114</v>
      </c>
      <c r="AGC34">
        <v>2610114</v>
      </c>
      <c r="AGD34">
        <v>2610114</v>
      </c>
      <c r="AGE34">
        <v>2610114</v>
      </c>
      <c r="AGF34">
        <v>2610114</v>
      </c>
      <c r="AGG34">
        <v>2610114</v>
      </c>
      <c r="AGH34">
        <v>2610114</v>
      </c>
      <c r="AGI34">
        <v>2610114</v>
      </c>
      <c r="AGJ34">
        <v>2610114</v>
      </c>
      <c r="AGK34">
        <v>2610114</v>
      </c>
      <c r="AGL34">
        <v>2610114</v>
      </c>
      <c r="AGM34">
        <v>2610114</v>
      </c>
      <c r="AGN34">
        <v>2610114</v>
      </c>
      <c r="AGO34">
        <v>2610114</v>
      </c>
      <c r="AGP34">
        <v>2610114</v>
      </c>
      <c r="AGQ34">
        <v>2610114</v>
      </c>
      <c r="AGR34">
        <v>2610114</v>
      </c>
      <c r="AGS34">
        <v>2610114</v>
      </c>
      <c r="AGT34">
        <v>2610114</v>
      </c>
      <c r="AGU34">
        <v>2610114</v>
      </c>
      <c r="AGV34">
        <v>2610114</v>
      </c>
      <c r="AGW34">
        <v>2610114</v>
      </c>
      <c r="AGX34">
        <v>2610114</v>
      </c>
      <c r="AGY34">
        <v>2610114</v>
      </c>
      <c r="AGZ34">
        <v>2610114</v>
      </c>
      <c r="AHA34">
        <v>2610114</v>
      </c>
      <c r="AHB34">
        <v>2610114</v>
      </c>
      <c r="AHC34">
        <v>2610114</v>
      </c>
      <c r="AHD34">
        <v>2610114</v>
      </c>
      <c r="AHE34">
        <v>2610114</v>
      </c>
      <c r="AHF34">
        <v>2610114</v>
      </c>
      <c r="AHG34">
        <v>2610114</v>
      </c>
      <c r="AHH34">
        <v>2610114</v>
      </c>
      <c r="AHI34">
        <v>2610114</v>
      </c>
      <c r="AHJ34">
        <v>2610114</v>
      </c>
      <c r="AHK34">
        <v>2610114</v>
      </c>
      <c r="AHL34">
        <v>2610114</v>
      </c>
      <c r="AHM34">
        <v>2610114</v>
      </c>
      <c r="AHN34">
        <v>2610114</v>
      </c>
      <c r="AHO34">
        <v>2610114</v>
      </c>
      <c r="AHP34">
        <v>2610114</v>
      </c>
      <c r="AHQ34">
        <v>2610114</v>
      </c>
    </row>
    <row r="35" spans="1:901">
      <c r="A35" s="44" t="s">
        <v>66</v>
      </c>
      <c r="B35">
        <v>437317</v>
      </c>
      <c r="C35">
        <v>442354</v>
      </c>
      <c r="D35">
        <v>446239</v>
      </c>
      <c r="E35">
        <v>449589</v>
      </c>
      <c r="F35" s="2">
        <v>452188</v>
      </c>
      <c r="G35" s="2">
        <v>455525</v>
      </c>
      <c r="H35" s="2">
        <v>458581</v>
      </c>
      <c r="I35">
        <v>462287</v>
      </c>
      <c r="J35">
        <v>465821</v>
      </c>
      <c r="K35" s="2">
        <v>470261</v>
      </c>
      <c r="L35">
        <v>472421</v>
      </c>
      <c r="M35">
        <v>474030</v>
      </c>
      <c r="N35">
        <v>477407</v>
      </c>
      <c r="O35">
        <v>481002</v>
      </c>
      <c r="P35" s="2">
        <v>484751</v>
      </c>
      <c r="Q35" s="2">
        <v>488732</v>
      </c>
      <c r="R35" s="2">
        <v>493091</v>
      </c>
      <c r="S35" s="2">
        <v>496200</v>
      </c>
      <c r="T35">
        <v>498081</v>
      </c>
      <c r="U35" s="2">
        <v>502680</v>
      </c>
      <c r="V35" s="2">
        <v>506418</v>
      </c>
      <c r="W35" s="2">
        <v>510984</v>
      </c>
      <c r="X35">
        <v>515598</v>
      </c>
      <c r="Y35">
        <v>519366</v>
      </c>
      <c r="Z35">
        <v>522112</v>
      </c>
      <c r="AA35">
        <v>523637</v>
      </c>
      <c r="AB35">
        <v>528987</v>
      </c>
      <c r="AC35">
        <v>531666</v>
      </c>
      <c r="AD35">
        <v>535572</v>
      </c>
      <c r="AE35" s="2">
        <v>539053</v>
      </c>
      <c r="AF35" s="2">
        <v>542227</v>
      </c>
      <c r="AG35">
        <v>545492</v>
      </c>
      <c r="AH35" s="2">
        <v>547737</v>
      </c>
      <c r="AI35" s="2">
        <v>551041</v>
      </c>
      <c r="AJ35" s="2">
        <v>554736</v>
      </c>
      <c r="AK35">
        <v>558508</v>
      </c>
      <c r="AL35">
        <v>563639</v>
      </c>
      <c r="AM35">
        <v>567976</v>
      </c>
      <c r="AN35">
        <v>570751</v>
      </c>
      <c r="AO35" s="2">
        <v>572506</v>
      </c>
      <c r="AP35" s="2">
        <v>578567</v>
      </c>
      <c r="AQ35" s="2">
        <v>582708</v>
      </c>
      <c r="AR35">
        <v>588002</v>
      </c>
      <c r="AS35" s="2">
        <v>594704</v>
      </c>
      <c r="AT35" s="2">
        <v>598728</v>
      </c>
      <c r="AU35" s="2">
        <v>602101</v>
      </c>
      <c r="AV35" s="2">
        <v>605360</v>
      </c>
      <c r="AW35" s="2">
        <v>609031</v>
      </c>
      <c r="AX35" s="2">
        <v>612758</v>
      </c>
      <c r="AY35" s="2">
        <v>616366</v>
      </c>
      <c r="AZ35" s="2">
        <v>619292</v>
      </c>
      <c r="BA35" s="2">
        <v>622881</v>
      </c>
      <c r="BB35" s="2">
        <v>625828</v>
      </c>
      <c r="BC35" s="2">
        <v>629295</v>
      </c>
      <c r="BD35" s="2">
        <v>630586</v>
      </c>
      <c r="BE35" s="2">
        <v>633837</v>
      </c>
      <c r="BF35" s="2">
        <v>640206</v>
      </c>
      <c r="BG35" s="2">
        <v>644538</v>
      </c>
      <c r="BH35" s="2">
        <v>648559</v>
      </c>
      <c r="BI35" s="2">
        <v>652070</v>
      </c>
      <c r="BJ35" s="2">
        <v>655291</v>
      </c>
      <c r="BK35" s="2">
        <v>659160</v>
      </c>
      <c r="BL35">
        <v>665035</v>
      </c>
      <c r="BM35">
        <v>670174</v>
      </c>
      <c r="BN35">
        <v>676578</v>
      </c>
      <c r="BO35">
        <v>682193</v>
      </c>
      <c r="BP35">
        <v>685707</v>
      </c>
      <c r="BQ35">
        <v>687292</v>
      </c>
      <c r="BR35">
        <v>690728</v>
      </c>
      <c r="BS35">
        <v>698990</v>
      </c>
      <c r="BT35">
        <v>704580</v>
      </c>
      <c r="BU35">
        <v>711049</v>
      </c>
      <c r="BV35">
        <v>715862</v>
      </c>
      <c r="BW35">
        <v>718735</v>
      </c>
      <c r="BX35">
        <v>720805</v>
      </c>
      <c r="BY35">
        <v>727606</v>
      </c>
      <c r="BZ35">
        <v>732425</v>
      </c>
      <c r="CA35">
        <v>738156</v>
      </c>
      <c r="CB35">
        <v>746654</v>
      </c>
      <c r="CC35">
        <v>753133</v>
      </c>
      <c r="CD35">
        <v>757043</v>
      </c>
      <c r="CE35">
        <v>761012</v>
      </c>
      <c r="CF35">
        <v>766071</v>
      </c>
      <c r="CG35">
        <v>774387</v>
      </c>
      <c r="CH35">
        <v>778887</v>
      </c>
      <c r="CI35">
        <v>784626</v>
      </c>
      <c r="CJ35">
        <v>790739</v>
      </c>
      <c r="CK35">
        <v>793563</v>
      </c>
      <c r="CL35">
        <v>797371</v>
      </c>
      <c r="CM35">
        <v>801531</v>
      </c>
      <c r="CN35">
        <v>806580</v>
      </c>
      <c r="CO35">
        <v>811130</v>
      </c>
      <c r="CP35">
        <v>818104</v>
      </c>
      <c r="CQ35">
        <v>826029</v>
      </c>
      <c r="CR35">
        <v>829781</v>
      </c>
      <c r="CS35">
        <v>835431</v>
      </c>
      <c r="CT35">
        <v>838784</v>
      </c>
      <c r="CU35">
        <v>843393</v>
      </c>
      <c r="CV35">
        <v>850082</v>
      </c>
      <c r="CW35">
        <v>853047</v>
      </c>
      <c r="CX35">
        <v>855855</v>
      </c>
      <c r="CY35">
        <v>857895</v>
      </c>
      <c r="CZ35">
        <v>860206</v>
      </c>
      <c r="DA35">
        <v>865594</v>
      </c>
      <c r="DB35">
        <v>869860</v>
      </c>
      <c r="DC35">
        <v>876244</v>
      </c>
      <c r="DD35">
        <v>878581</v>
      </c>
      <c r="DE35">
        <v>879918</v>
      </c>
      <c r="DF35">
        <v>885776</v>
      </c>
      <c r="DG35">
        <v>887402</v>
      </c>
      <c r="DH35">
        <v>889180</v>
      </c>
      <c r="DI35">
        <v>892748</v>
      </c>
      <c r="DJ35">
        <v>898033</v>
      </c>
      <c r="DK35">
        <v>904944</v>
      </c>
      <c r="DL35">
        <v>909877</v>
      </c>
      <c r="DM35">
        <v>914256</v>
      </c>
      <c r="DN35">
        <v>919721</v>
      </c>
      <c r="DO35">
        <v>927749</v>
      </c>
      <c r="DP35">
        <v>932589</v>
      </c>
      <c r="DQ35">
        <v>938753</v>
      </c>
      <c r="DR35">
        <v>947423</v>
      </c>
      <c r="DS35">
        <v>953837</v>
      </c>
      <c r="DT35">
        <v>960804</v>
      </c>
      <c r="DU35">
        <v>966545</v>
      </c>
      <c r="DV35">
        <v>973586</v>
      </c>
      <c r="DW35">
        <v>981506</v>
      </c>
      <c r="DX35">
        <v>989038</v>
      </c>
      <c r="DY35">
        <v>995970</v>
      </c>
      <c r="DZ35">
        <v>1003477</v>
      </c>
      <c r="EA35">
        <v>1008077</v>
      </c>
      <c r="EB35">
        <v>1012644</v>
      </c>
      <c r="EC35">
        <v>1017664</v>
      </c>
      <c r="ED35">
        <v>1026338</v>
      </c>
      <c r="EE35">
        <v>1033532</v>
      </c>
      <c r="EF35">
        <v>1044861</v>
      </c>
      <c r="EG35">
        <v>1051813</v>
      </c>
      <c r="EH35">
        <v>1057194</v>
      </c>
      <c r="EI35">
        <v>1062607</v>
      </c>
      <c r="EJ35">
        <v>1068693</v>
      </c>
      <c r="EK35">
        <v>1076923</v>
      </c>
      <c r="EL35">
        <v>1084728</v>
      </c>
      <c r="EM35">
        <v>1094196</v>
      </c>
      <c r="EN35">
        <v>1102117</v>
      </c>
      <c r="EO35">
        <v>1107257</v>
      </c>
      <c r="EP35">
        <v>1109443</v>
      </c>
      <c r="EQ35">
        <v>1114834</v>
      </c>
      <c r="ER35">
        <v>1121386</v>
      </c>
      <c r="ES35">
        <v>1127561</v>
      </c>
      <c r="ET35">
        <v>1134670</v>
      </c>
      <c r="EU35">
        <v>1140464</v>
      </c>
      <c r="EV35">
        <v>1146477</v>
      </c>
      <c r="EW35">
        <v>1149682</v>
      </c>
      <c r="EX35">
        <v>1153449</v>
      </c>
      <c r="EY35">
        <v>1159480</v>
      </c>
      <c r="EZ35">
        <v>1165107</v>
      </c>
      <c r="FA35">
        <v>1172161</v>
      </c>
      <c r="FB35">
        <v>1178227</v>
      </c>
      <c r="FC35">
        <v>1181810</v>
      </c>
      <c r="FD35">
        <v>1184091</v>
      </c>
      <c r="FE35">
        <v>1187973</v>
      </c>
      <c r="FF35">
        <v>1192275</v>
      </c>
      <c r="FG35">
        <v>1196844</v>
      </c>
      <c r="FH35">
        <v>1203441</v>
      </c>
      <c r="FI35">
        <v>1207621</v>
      </c>
      <c r="FJ35">
        <v>1210716</v>
      </c>
      <c r="FK35">
        <v>1211817</v>
      </c>
      <c r="FL35">
        <v>1215781</v>
      </c>
      <c r="FM35">
        <v>1219587</v>
      </c>
      <c r="FN35">
        <v>1223808</v>
      </c>
      <c r="FO35">
        <v>1227215</v>
      </c>
      <c r="FP35">
        <v>1230872</v>
      </c>
      <c r="FQ35">
        <v>1232699</v>
      </c>
      <c r="FR35">
        <v>1233986</v>
      </c>
      <c r="FS35">
        <v>1236163</v>
      </c>
      <c r="FT35">
        <v>1241357</v>
      </c>
      <c r="FU35">
        <v>1244942</v>
      </c>
      <c r="FV35">
        <v>1248641</v>
      </c>
      <c r="FW35">
        <v>1252478</v>
      </c>
      <c r="FX35">
        <v>1254317</v>
      </c>
      <c r="FY35">
        <v>1258336</v>
      </c>
      <c r="FZ35">
        <v>1263135</v>
      </c>
      <c r="GA35">
        <v>1267187</v>
      </c>
      <c r="GB35">
        <v>1271071</v>
      </c>
      <c r="GC35">
        <v>1275756</v>
      </c>
      <c r="GD35">
        <v>1279403</v>
      </c>
      <c r="GE35">
        <v>1281376</v>
      </c>
      <c r="GF35">
        <v>1284835</v>
      </c>
      <c r="GG35">
        <v>1287584</v>
      </c>
      <c r="GH35">
        <v>1290819</v>
      </c>
      <c r="GI35">
        <v>1294575</v>
      </c>
      <c r="GJ35">
        <v>1298220</v>
      </c>
      <c r="GK35">
        <v>1301772</v>
      </c>
      <c r="GL35">
        <v>1303504</v>
      </c>
      <c r="GM35">
        <v>1305803</v>
      </c>
      <c r="GN35">
        <v>1308616</v>
      </c>
      <c r="GO35">
        <v>1311788</v>
      </c>
      <c r="GP35">
        <v>1316412</v>
      </c>
      <c r="GQ35">
        <v>1319083</v>
      </c>
      <c r="GR35">
        <v>1320163</v>
      </c>
      <c r="GS35" s="3">
        <v>1321775</v>
      </c>
      <c r="GT35">
        <v>1322907</v>
      </c>
      <c r="GU35">
        <v>1325145</v>
      </c>
      <c r="GV35">
        <v>1336261</v>
      </c>
      <c r="GW35">
        <v>1339875</v>
      </c>
      <c r="GX35">
        <v>1343391</v>
      </c>
      <c r="GY35">
        <v>1347004</v>
      </c>
      <c r="GZ35">
        <v>1348754</v>
      </c>
      <c r="HA35" s="3">
        <v>1352703</v>
      </c>
      <c r="HB35">
        <v>1357657</v>
      </c>
      <c r="HC35">
        <v>1360208</v>
      </c>
      <c r="HD35">
        <v>1363804</v>
      </c>
      <c r="HE35">
        <v>1367138</v>
      </c>
      <c r="HF35">
        <v>1370499</v>
      </c>
      <c r="HG35">
        <v>1373143</v>
      </c>
      <c r="HH35">
        <v>1374857</v>
      </c>
      <c r="HI35">
        <v>1378669</v>
      </c>
      <c r="HJ35">
        <v>1381990</v>
      </c>
      <c r="HK35">
        <v>1385268</v>
      </c>
      <c r="HL35">
        <v>1387700</v>
      </c>
      <c r="HM35">
        <v>1393432</v>
      </c>
      <c r="HN35">
        <v>1396399</v>
      </c>
      <c r="HO35">
        <v>1397223</v>
      </c>
      <c r="HP35">
        <v>1399642</v>
      </c>
      <c r="HQ35">
        <v>1402391</v>
      </c>
      <c r="HR35">
        <v>1404570</v>
      </c>
      <c r="HS35">
        <v>1406420</v>
      </c>
      <c r="HT35">
        <v>1410731</v>
      </c>
      <c r="HU35">
        <v>1412165</v>
      </c>
      <c r="HV35">
        <v>1413746</v>
      </c>
      <c r="HW35">
        <v>1417472</v>
      </c>
      <c r="HX35">
        <v>1423534</v>
      </c>
      <c r="HY35">
        <v>1428975</v>
      </c>
      <c r="HZ35">
        <v>1434503</v>
      </c>
      <c r="IA35">
        <v>1441239</v>
      </c>
      <c r="IB35">
        <v>1447753</v>
      </c>
      <c r="IC35">
        <v>1452665</v>
      </c>
      <c r="ID35">
        <v>1456859</v>
      </c>
      <c r="IE35">
        <v>1461677</v>
      </c>
      <c r="IF35">
        <v>1468228</v>
      </c>
      <c r="IG35">
        <v>1473359</v>
      </c>
      <c r="IH35">
        <v>1478358</v>
      </c>
      <c r="II35">
        <v>1483386</v>
      </c>
      <c r="IJ35">
        <v>1487136</v>
      </c>
      <c r="IK35">
        <v>1491612</v>
      </c>
      <c r="IL35">
        <v>1497608</v>
      </c>
      <c r="IM35">
        <v>1501540</v>
      </c>
      <c r="IN35">
        <v>1506870</v>
      </c>
      <c r="IO35">
        <v>1512067</v>
      </c>
      <c r="IP35">
        <v>1517163</v>
      </c>
      <c r="IQ35">
        <v>1520322</v>
      </c>
      <c r="IR35">
        <v>1524386</v>
      </c>
      <c r="IS35">
        <v>1531097</v>
      </c>
      <c r="IT35">
        <v>1535724</v>
      </c>
      <c r="IU35">
        <v>1541405</v>
      </c>
      <c r="IV35">
        <v>1547338</v>
      </c>
      <c r="IW35" s="2">
        <v>1551549</v>
      </c>
      <c r="IX35" s="2">
        <v>1556971</v>
      </c>
      <c r="IY35">
        <v>1563177</v>
      </c>
      <c r="IZ35">
        <v>1568665</v>
      </c>
      <c r="JA35" s="3">
        <v>1573448</v>
      </c>
      <c r="JB35">
        <v>1578947</v>
      </c>
      <c r="JC35">
        <v>1585935</v>
      </c>
      <c r="JD35">
        <v>1590765</v>
      </c>
      <c r="JE35">
        <v>1595359</v>
      </c>
      <c r="JF35">
        <v>1601470</v>
      </c>
      <c r="JG35">
        <v>1607078</v>
      </c>
      <c r="JH35">
        <v>1612174</v>
      </c>
      <c r="JI35">
        <v>1618108</v>
      </c>
      <c r="JJ35">
        <v>1622856</v>
      </c>
      <c r="JK35">
        <v>1627049</v>
      </c>
      <c r="JL35">
        <v>1632441</v>
      </c>
      <c r="JM35">
        <v>1638427</v>
      </c>
      <c r="JN35">
        <v>1643730</v>
      </c>
      <c r="JO35">
        <v>1649763</v>
      </c>
      <c r="JP35">
        <v>1658225</v>
      </c>
      <c r="JQ35">
        <v>1662425</v>
      </c>
      <c r="JR35">
        <v>1667342</v>
      </c>
      <c r="JS35">
        <v>1671718</v>
      </c>
      <c r="JT35">
        <v>1676356</v>
      </c>
      <c r="JU35">
        <v>1680956</v>
      </c>
      <c r="JV35">
        <v>1685706</v>
      </c>
      <c r="JW35">
        <v>1690555</v>
      </c>
      <c r="JX35">
        <v>1695532</v>
      </c>
      <c r="JY35">
        <v>1701922</v>
      </c>
      <c r="JZ35">
        <v>1706766</v>
      </c>
      <c r="KA35">
        <v>1711877</v>
      </c>
      <c r="KB35">
        <v>1717949</v>
      </c>
      <c r="KC35">
        <v>1725408</v>
      </c>
      <c r="KD35">
        <v>1730180</v>
      </c>
      <c r="KE35">
        <v>1733312</v>
      </c>
      <c r="KF35">
        <v>1736653</v>
      </c>
      <c r="KG35">
        <v>1741898</v>
      </c>
      <c r="KH35">
        <v>1746982</v>
      </c>
      <c r="KI35">
        <v>1752635</v>
      </c>
      <c r="KJ35">
        <v>1756364</v>
      </c>
      <c r="KK35">
        <v>1760816</v>
      </c>
      <c r="KL35">
        <v>1764596</v>
      </c>
      <c r="KM35">
        <v>1770735</v>
      </c>
      <c r="KN35">
        <v>1775161</v>
      </c>
      <c r="KO35">
        <v>1779298</v>
      </c>
      <c r="KP35">
        <v>1783168</v>
      </c>
      <c r="KQ35">
        <v>1787985</v>
      </c>
      <c r="KR35">
        <v>1792584</v>
      </c>
      <c r="KS35">
        <v>1796661</v>
      </c>
      <c r="KT35">
        <v>1798172</v>
      </c>
      <c r="KU35">
        <v>1800609</v>
      </c>
      <c r="KV35">
        <v>1803305</v>
      </c>
      <c r="KW35">
        <v>1808633</v>
      </c>
      <c r="KX35">
        <v>1812226</v>
      </c>
      <c r="KY35">
        <v>1815857</v>
      </c>
      <c r="KZ35">
        <v>1819179</v>
      </c>
      <c r="LA35">
        <v>1821089</v>
      </c>
      <c r="LB35">
        <v>1823813</v>
      </c>
      <c r="LC35">
        <v>1827375</v>
      </c>
      <c r="LD35">
        <v>1830942</v>
      </c>
      <c r="LE35">
        <v>1834025</v>
      </c>
      <c r="LF35">
        <v>1837882</v>
      </c>
      <c r="LG35">
        <v>1840606</v>
      </c>
      <c r="LH35">
        <v>1843574</v>
      </c>
      <c r="LI35">
        <v>1846343</v>
      </c>
      <c r="LJ35">
        <v>1852127</v>
      </c>
      <c r="LK35">
        <v>1855521</v>
      </c>
      <c r="LL35">
        <v>1859383</v>
      </c>
      <c r="LM35">
        <v>1862459</v>
      </c>
      <c r="LN35">
        <v>1867427</v>
      </c>
      <c r="LO35">
        <v>1871048</v>
      </c>
      <c r="LP35">
        <v>1875579</v>
      </c>
      <c r="LQ35">
        <v>1879041</v>
      </c>
      <c r="LR35">
        <v>1881546</v>
      </c>
      <c r="LS35">
        <v>1886107</v>
      </c>
      <c r="LT35">
        <v>1891438</v>
      </c>
      <c r="LU35">
        <v>1896388</v>
      </c>
      <c r="LV35">
        <v>1906552</v>
      </c>
      <c r="LW35">
        <v>1910033</v>
      </c>
      <c r="LX35">
        <v>1913448</v>
      </c>
      <c r="LY35">
        <v>1917095</v>
      </c>
      <c r="LZ35">
        <v>1921446</v>
      </c>
      <c r="MA35">
        <v>1925367</v>
      </c>
      <c r="MB35">
        <v>1928791</v>
      </c>
      <c r="MC35">
        <v>1932424</v>
      </c>
      <c r="MD35">
        <v>1934952</v>
      </c>
      <c r="ME35">
        <v>1938279</v>
      </c>
      <c r="MF35">
        <v>1941724</v>
      </c>
      <c r="MG35">
        <v>1944815</v>
      </c>
      <c r="MH35">
        <v>1948204</v>
      </c>
      <c r="MI35">
        <v>1950593</v>
      </c>
      <c r="MJ35">
        <v>1952650</v>
      </c>
      <c r="MK35">
        <v>1955059</v>
      </c>
      <c r="ML35">
        <v>1958308</v>
      </c>
      <c r="MM35">
        <v>1962204</v>
      </c>
      <c r="MN35">
        <v>1966234</v>
      </c>
      <c r="MO35">
        <v>1969687</v>
      </c>
      <c r="MP35">
        <v>1973448</v>
      </c>
      <c r="MQ35">
        <v>1975055</v>
      </c>
      <c r="MR35">
        <v>1976301</v>
      </c>
      <c r="MS35">
        <v>1980023</v>
      </c>
      <c r="MT35">
        <v>1983983</v>
      </c>
      <c r="MU35">
        <v>1987753</v>
      </c>
      <c r="MV35">
        <v>1991308</v>
      </c>
      <c r="MW35">
        <v>1995366</v>
      </c>
      <c r="MX35">
        <v>1998887</v>
      </c>
      <c r="MY35">
        <v>2002636</v>
      </c>
      <c r="MZ35">
        <v>2006885</v>
      </c>
      <c r="NA35">
        <v>2010899</v>
      </c>
      <c r="NB35">
        <v>2014476</v>
      </c>
      <c r="NC35">
        <v>2019733</v>
      </c>
      <c r="ND35">
        <v>2021413</v>
      </c>
      <c r="NE35">
        <v>2023717</v>
      </c>
      <c r="NF35">
        <v>2027784</v>
      </c>
      <c r="NG35">
        <v>2031896</v>
      </c>
      <c r="NH35">
        <v>2035823</v>
      </c>
      <c r="NI35">
        <v>2039561</v>
      </c>
      <c r="NJ35">
        <v>2043150</v>
      </c>
      <c r="NK35">
        <v>2046233</v>
      </c>
      <c r="NL35">
        <v>2049621</v>
      </c>
      <c r="NM35">
        <v>2053321</v>
      </c>
      <c r="NN35">
        <v>2056767</v>
      </c>
      <c r="NO35">
        <v>2060939</v>
      </c>
      <c r="NP35">
        <v>2063850</v>
      </c>
      <c r="NQ35">
        <v>2068811</v>
      </c>
      <c r="NR35">
        <v>2073724</v>
      </c>
      <c r="NS35">
        <v>2078617</v>
      </c>
      <c r="NT35">
        <v>2084340</v>
      </c>
      <c r="NU35">
        <v>2089332</v>
      </c>
      <c r="NV35">
        <v>2094159</v>
      </c>
      <c r="NW35">
        <v>2097752</v>
      </c>
      <c r="NX35">
        <v>2102907</v>
      </c>
      <c r="NY35">
        <v>2107304</v>
      </c>
      <c r="NZ35">
        <v>2111655</v>
      </c>
      <c r="OA35">
        <v>2115185</v>
      </c>
      <c r="OB35">
        <v>2120491</v>
      </c>
      <c r="OC35">
        <v>2126489</v>
      </c>
      <c r="OD35">
        <v>2131595</v>
      </c>
      <c r="OE35">
        <v>2136729</v>
      </c>
      <c r="OF35">
        <v>2141794</v>
      </c>
      <c r="OG35">
        <v>2147416</v>
      </c>
      <c r="OH35">
        <v>2153012</v>
      </c>
      <c r="OI35">
        <v>2158103</v>
      </c>
      <c r="OJ35">
        <v>2162984</v>
      </c>
      <c r="OK35">
        <v>2167853</v>
      </c>
      <c r="OL35">
        <v>2172916</v>
      </c>
      <c r="OM35">
        <v>2178394</v>
      </c>
      <c r="ON35">
        <v>2182600</v>
      </c>
      <c r="OO35">
        <v>2187112</v>
      </c>
      <c r="OP35">
        <v>2191882</v>
      </c>
      <c r="OQ35">
        <v>2197647</v>
      </c>
      <c r="OR35">
        <v>2205103</v>
      </c>
      <c r="OS35">
        <v>2210528</v>
      </c>
      <c r="OT35">
        <v>2216354</v>
      </c>
      <c r="OU35">
        <v>2221850</v>
      </c>
      <c r="OV35">
        <v>2227882</v>
      </c>
      <c r="OW35">
        <v>2233727</v>
      </c>
      <c r="OX35">
        <v>2240229</v>
      </c>
      <c r="OY35">
        <v>2248871</v>
      </c>
      <c r="OZ35">
        <v>2257715</v>
      </c>
      <c r="PA35">
        <v>2265706</v>
      </c>
      <c r="PB35">
        <v>2272987</v>
      </c>
      <c r="PC35">
        <v>2279876</v>
      </c>
      <c r="PD35">
        <v>2286927</v>
      </c>
      <c r="PE35">
        <v>2296960</v>
      </c>
      <c r="PF35">
        <v>2308089</v>
      </c>
      <c r="PG35">
        <v>2328687</v>
      </c>
      <c r="PH35">
        <v>2328687</v>
      </c>
      <c r="PI35">
        <v>2336664</v>
      </c>
      <c r="PJ35">
        <v>2346344</v>
      </c>
      <c r="PK35">
        <v>2353775</v>
      </c>
      <c r="PL35">
        <v>2363954</v>
      </c>
      <c r="PM35">
        <v>2375640</v>
      </c>
      <c r="PN35">
        <v>2387186</v>
      </c>
      <c r="PO35">
        <v>2396718</v>
      </c>
      <c r="PP35">
        <v>2406145</v>
      </c>
      <c r="PQ35">
        <v>2416483</v>
      </c>
      <c r="PR35">
        <v>2423520</v>
      </c>
      <c r="PS35">
        <v>2432226</v>
      </c>
      <c r="PT35">
        <v>2438353</v>
      </c>
      <c r="PU35">
        <v>2444399</v>
      </c>
      <c r="PV35">
        <v>2449337</v>
      </c>
      <c r="PW35">
        <v>2453480</v>
      </c>
      <c r="PX35">
        <v>2458249</v>
      </c>
      <c r="PY35">
        <v>2464049</v>
      </c>
      <c r="PZ35">
        <v>2467839</v>
      </c>
      <c r="QA35">
        <v>2473093</v>
      </c>
      <c r="QB35">
        <v>2477059</v>
      </c>
      <c r="QC35">
        <v>2480431</v>
      </c>
      <c r="QD35">
        <v>2483666</v>
      </c>
      <c r="QE35">
        <v>2486340</v>
      </c>
      <c r="QF35">
        <v>2489104</v>
      </c>
      <c r="QG35">
        <v>2491974</v>
      </c>
      <c r="QH35">
        <v>2496351</v>
      </c>
      <c r="QI35">
        <v>2499867</v>
      </c>
      <c r="QJ35">
        <v>2505224</v>
      </c>
      <c r="QK35">
        <v>2509341</v>
      </c>
      <c r="QL35">
        <v>2512287</v>
      </c>
      <c r="QM35">
        <v>2515068</v>
      </c>
      <c r="QN35">
        <v>2519229</v>
      </c>
      <c r="QO35">
        <v>2523473</v>
      </c>
      <c r="QP35">
        <v>2529518</v>
      </c>
      <c r="QQ35">
        <v>2529418</v>
      </c>
      <c r="QR35">
        <v>2532073</v>
      </c>
      <c r="QS35">
        <v>2536204</v>
      </c>
      <c r="QT35">
        <v>2541818</v>
      </c>
      <c r="QU35">
        <v>2547334</v>
      </c>
      <c r="QV35">
        <v>2550939</v>
      </c>
      <c r="QW35">
        <v>2553956</v>
      </c>
      <c r="QX35">
        <v>2558377</v>
      </c>
      <c r="QY35">
        <v>2561187</v>
      </c>
      <c r="QZ35">
        <v>2564990</v>
      </c>
      <c r="RA35">
        <v>2568096</v>
      </c>
      <c r="RB35">
        <v>2570850</v>
      </c>
      <c r="RC35">
        <v>2575837</v>
      </c>
      <c r="RD35">
        <v>2579438</v>
      </c>
      <c r="RE35">
        <v>2584828</v>
      </c>
      <c r="RF35">
        <v>2591285</v>
      </c>
      <c r="RG35">
        <v>2599246</v>
      </c>
      <c r="RH35">
        <v>2611265</v>
      </c>
      <c r="RI35">
        <v>2624951</v>
      </c>
      <c r="RJ35">
        <v>2641727</v>
      </c>
      <c r="RK35">
        <v>2657983</v>
      </c>
      <c r="RL35">
        <v>2675633</v>
      </c>
      <c r="RM35">
        <v>2689654</v>
      </c>
      <c r="RN35">
        <v>2708516</v>
      </c>
      <c r="RO35">
        <v>2727733</v>
      </c>
      <c r="RP35">
        <v>2743211</v>
      </c>
      <c r="RQ35">
        <v>2761191</v>
      </c>
      <c r="RR35">
        <v>2773607</v>
      </c>
      <c r="RS35">
        <v>2783959</v>
      </c>
      <c r="RT35">
        <v>2801578</v>
      </c>
      <c r="RU35">
        <v>2815248</v>
      </c>
      <c r="RV35">
        <v>2833192</v>
      </c>
      <c r="RW35">
        <v>2851410</v>
      </c>
      <c r="RX35">
        <v>2867969</v>
      </c>
      <c r="RY35">
        <v>2882863</v>
      </c>
      <c r="RZ35">
        <v>2893086</v>
      </c>
      <c r="SA35">
        <v>2902205</v>
      </c>
      <c r="SB35">
        <v>2909973</v>
      </c>
      <c r="SC35">
        <v>2919647</v>
      </c>
      <c r="SD35">
        <v>2932955</v>
      </c>
      <c r="SE35">
        <v>2938287</v>
      </c>
      <c r="SF35">
        <v>2943135</v>
      </c>
      <c r="SG35">
        <v>2947820</v>
      </c>
      <c r="SH35">
        <v>2952303</v>
      </c>
      <c r="SI35">
        <v>2959092</v>
      </c>
      <c r="SJ35">
        <v>2967292</v>
      </c>
      <c r="SK35">
        <v>2973479</v>
      </c>
      <c r="SL35">
        <v>2979688</v>
      </c>
      <c r="SM35">
        <v>2988770</v>
      </c>
      <c r="SN35">
        <v>2995816</v>
      </c>
      <c r="SO35">
        <v>3033295</v>
      </c>
      <c r="SP35">
        <v>3008356</v>
      </c>
      <c r="SQ35">
        <v>3014967</v>
      </c>
      <c r="SR35">
        <v>3022224</v>
      </c>
      <c r="SS35">
        <v>3029237</v>
      </c>
      <c r="ST35">
        <v>3037873</v>
      </c>
      <c r="SU35">
        <v>3045273</v>
      </c>
      <c r="SV35">
        <v>3051202</v>
      </c>
      <c r="SW35">
        <v>3054996</v>
      </c>
      <c r="SX35">
        <v>3058874</v>
      </c>
      <c r="SY35">
        <v>3062209</v>
      </c>
      <c r="SZ35">
        <v>3065877</v>
      </c>
      <c r="TA35">
        <v>3070836</v>
      </c>
      <c r="TB35">
        <v>3075508</v>
      </c>
      <c r="TC35">
        <v>3079556</v>
      </c>
      <c r="TD35">
        <v>3084256</v>
      </c>
      <c r="TE35">
        <v>3093792</v>
      </c>
      <c r="TF35">
        <v>3093792</v>
      </c>
      <c r="TG35">
        <v>3098279</v>
      </c>
      <c r="TH35">
        <v>3103088</v>
      </c>
      <c r="TI35">
        <v>3106862</v>
      </c>
      <c r="TJ35">
        <v>3115197</v>
      </c>
      <c r="TK35">
        <v>3119841</v>
      </c>
      <c r="TL35">
        <v>3124587</v>
      </c>
      <c r="TM35">
        <v>3129690</v>
      </c>
      <c r="TN35">
        <v>3134774</v>
      </c>
      <c r="TO35">
        <v>3139196</v>
      </c>
      <c r="TP35">
        <v>3143848</v>
      </c>
      <c r="TQ35">
        <v>3148849</v>
      </c>
      <c r="TR35">
        <v>3152115</v>
      </c>
      <c r="TS35">
        <v>3154505</v>
      </c>
      <c r="TT35">
        <v>3156761</v>
      </c>
      <c r="TU35">
        <v>3158390</v>
      </c>
      <c r="TV35">
        <v>3162871</v>
      </c>
      <c r="TW35">
        <v>3167036</v>
      </c>
      <c r="TX35">
        <v>3170542</v>
      </c>
      <c r="TY35">
        <v>3174924</v>
      </c>
      <c r="TZ35">
        <v>3179742</v>
      </c>
      <c r="UA35">
        <v>3183162</v>
      </c>
      <c r="UB35">
        <v>3186681</v>
      </c>
      <c r="UC35">
        <v>3190086</v>
      </c>
      <c r="UD35">
        <v>3190086</v>
      </c>
      <c r="UE35">
        <v>3199116</v>
      </c>
      <c r="UF35">
        <v>3202322</v>
      </c>
      <c r="UG35">
        <v>3202322</v>
      </c>
      <c r="UH35">
        <v>3208952</v>
      </c>
      <c r="UI35">
        <v>3208952</v>
      </c>
      <c r="UJ35">
        <v>3214009</v>
      </c>
      <c r="UK35">
        <v>3214009</v>
      </c>
      <c r="UL35">
        <v>3214009</v>
      </c>
      <c r="UM35">
        <v>3218626</v>
      </c>
      <c r="UN35">
        <v>3222385</v>
      </c>
      <c r="UO35">
        <v>3222385</v>
      </c>
      <c r="UP35">
        <v>3222385</v>
      </c>
      <c r="UQ35">
        <v>3222385</v>
      </c>
      <c r="UR35">
        <v>3222385</v>
      </c>
      <c r="US35">
        <v>3233154</v>
      </c>
      <c r="UT35">
        <v>3233154</v>
      </c>
      <c r="UU35">
        <v>3237860</v>
      </c>
      <c r="UV35">
        <v>3237860</v>
      </c>
      <c r="UW35">
        <v>3243299</v>
      </c>
      <c r="UX35">
        <v>3243299</v>
      </c>
      <c r="UY35">
        <v>3243299</v>
      </c>
      <c r="UZ35">
        <v>3243299</v>
      </c>
      <c r="VA35">
        <v>3247359</v>
      </c>
      <c r="VB35">
        <v>3251191</v>
      </c>
      <c r="VC35">
        <v>3251191</v>
      </c>
      <c r="VD35">
        <v>3251191</v>
      </c>
      <c r="VE35">
        <v>3251191</v>
      </c>
      <c r="VF35">
        <v>3251191</v>
      </c>
      <c r="VG35">
        <v>3255822</v>
      </c>
      <c r="VH35">
        <v>3255822</v>
      </c>
      <c r="VI35">
        <v>3255822</v>
      </c>
      <c r="VJ35">
        <v>3255822</v>
      </c>
      <c r="VK35">
        <v>3255822</v>
      </c>
      <c r="VL35">
        <v>3261060</v>
      </c>
      <c r="VM35">
        <v>3261060</v>
      </c>
      <c r="VN35">
        <v>3261060</v>
      </c>
      <c r="VO35">
        <v>3261060</v>
      </c>
      <c r="VP35">
        <v>3265645</v>
      </c>
      <c r="VQ35">
        <v>3265645</v>
      </c>
      <c r="VR35">
        <v>3274131</v>
      </c>
      <c r="VS35">
        <v>3274131</v>
      </c>
      <c r="VT35">
        <v>3279736</v>
      </c>
      <c r="VU35">
        <v>3279736</v>
      </c>
      <c r="VV35">
        <v>3279736</v>
      </c>
      <c r="VW35">
        <v>3279736</v>
      </c>
      <c r="VX35">
        <v>3279736</v>
      </c>
      <c r="VY35">
        <v>3279736</v>
      </c>
      <c r="VZ35">
        <v>3279736</v>
      </c>
      <c r="WA35">
        <v>3279736</v>
      </c>
      <c r="WB35">
        <v>3279736</v>
      </c>
      <c r="WC35">
        <v>3296116</v>
      </c>
      <c r="WD35">
        <v>3296116</v>
      </c>
      <c r="WE35">
        <v>3296116</v>
      </c>
      <c r="WF35">
        <v>3296116</v>
      </c>
      <c r="WG35">
        <v>3304458</v>
      </c>
      <c r="WH35">
        <v>3304458</v>
      </c>
      <c r="WI35">
        <v>3304458</v>
      </c>
      <c r="WJ35">
        <v>3310374</v>
      </c>
      <c r="WK35">
        <v>3310374</v>
      </c>
      <c r="WL35">
        <v>3310374</v>
      </c>
      <c r="WM35">
        <v>3310374</v>
      </c>
      <c r="WN35">
        <v>3310374</v>
      </c>
      <c r="WO35">
        <v>3310374</v>
      </c>
      <c r="WP35">
        <v>3310374</v>
      </c>
      <c r="WQ35">
        <v>3327063</v>
      </c>
      <c r="WR35">
        <v>3327063</v>
      </c>
      <c r="WS35">
        <v>3327063</v>
      </c>
      <c r="WT35">
        <v>3327063</v>
      </c>
      <c r="WU35">
        <v>3327063</v>
      </c>
      <c r="WV35">
        <v>3327063</v>
      </c>
      <c r="WW35">
        <v>3327063</v>
      </c>
      <c r="WX35">
        <v>3354353</v>
      </c>
      <c r="WY35">
        <v>3354353</v>
      </c>
      <c r="WZ35">
        <v>3358913</v>
      </c>
      <c r="XA35">
        <v>3377961</v>
      </c>
      <c r="XB35">
        <v>3377961</v>
      </c>
      <c r="XC35">
        <v>3377961</v>
      </c>
      <c r="XD35">
        <v>3387537</v>
      </c>
      <c r="XE35">
        <v>3387537</v>
      </c>
      <c r="XF35">
        <v>3406181</v>
      </c>
      <c r="XG35">
        <v>3406181</v>
      </c>
      <c r="XH35">
        <v>3406181</v>
      </c>
      <c r="XI35">
        <v>3406181</v>
      </c>
      <c r="XJ35">
        <v>3406181</v>
      </c>
      <c r="XK35">
        <v>3406181</v>
      </c>
      <c r="XL35">
        <v>3411051</v>
      </c>
      <c r="XM35">
        <v>3440614</v>
      </c>
      <c r="XN35">
        <v>3440614</v>
      </c>
      <c r="XO35">
        <v>3440614</v>
      </c>
      <c r="XP35">
        <v>3440614</v>
      </c>
      <c r="XQ35">
        <v>3440614</v>
      </c>
      <c r="XR35">
        <v>3469885</v>
      </c>
      <c r="XS35">
        <v>3469885</v>
      </c>
      <c r="XT35">
        <v>3469885</v>
      </c>
      <c r="XU35">
        <v>3469885</v>
      </c>
      <c r="XV35">
        <v>3469885</v>
      </c>
      <c r="XW35">
        <v>3469885</v>
      </c>
      <c r="XX35">
        <v>3469885</v>
      </c>
      <c r="XY35">
        <v>3469885</v>
      </c>
      <c r="XZ35">
        <v>3469885</v>
      </c>
      <c r="YA35">
        <v>3469885</v>
      </c>
      <c r="YB35">
        <v>3469885</v>
      </c>
      <c r="YC35">
        <v>3481454</v>
      </c>
      <c r="YD35">
        <v>3481454</v>
      </c>
      <c r="YE35">
        <v>3508264</v>
      </c>
      <c r="YF35" s="1">
        <v>3508264</v>
      </c>
      <c r="YG35" s="1">
        <v>3508264</v>
      </c>
      <c r="YH35" s="1">
        <v>3508264</v>
      </c>
      <c r="YI35" s="1">
        <v>3508264</v>
      </c>
      <c r="YJ35">
        <v>3517728</v>
      </c>
      <c r="YK35">
        <v>3517728</v>
      </c>
      <c r="YL35">
        <v>3517728</v>
      </c>
      <c r="YM35">
        <v>3528739</v>
      </c>
      <c r="YN35">
        <v>3528739</v>
      </c>
      <c r="YO35">
        <v>3548349</v>
      </c>
      <c r="YP35">
        <v>3548349</v>
      </c>
      <c r="YQ35">
        <v>3548349</v>
      </c>
      <c r="YR35">
        <v>3548349</v>
      </c>
      <c r="YS35">
        <v>3558356</v>
      </c>
      <c r="YT35">
        <v>3558356</v>
      </c>
      <c r="YU35">
        <v>3558356</v>
      </c>
      <c r="YV35">
        <v>3558356</v>
      </c>
      <c r="YW35">
        <v>3570755</v>
      </c>
      <c r="YX35">
        <v>3570755</v>
      </c>
      <c r="YY35">
        <v>3570755</v>
      </c>
      <c r="YZ35">
        <v>3570755</v>
      </c>
      <c r="ZA35">
        <v>3570755</v>
      </c>
      <c r="ZB35">
        <v>3570755</v>
      </c>
      <c r="ZC35">
        <v>3570755</v>
      </c>
      <c r="ZD35">
        <v>3570755</v>
      </c>
      <c r="ZE35">
        <v>3570755</v>
      </c>
      <c r="ZF35">
        <v>3570755</v>
      </c>
      <c r="ZG35">
        <v>3570755</v>
      </c>
      <c r="ZH35">
        <v>3584619</v>
      </c>
      <c r="ZI35">
        <v>3584619</v>
      </c>
      <c r="ZJ35">
        <v>3590929</v>
      </c>
      <c r="ZK35">
        <v>3597292</v>
      </c>
      <c r="ZL35">
        <v>3597292</v>
      </c>
      <c r="ZM35">
        <v>3597292</v>
      </c>
      <c r="ZN35">
        <v>3604653</v>
      </c>
      <c r="ZO35">
        <v>3604653</v>
      </c>
      <c r="ZP35">
        <v>3604653</v>
      </c>
      <c r="ZQ35">
        <v>3609445</v>
      </c>
      <c r="ZR35">
        <v>3609445</v>
      </c>
      <c r="ZS35">
        <v>3609445</v>
      </c>
      <c r="ZT35">
        <v>3609445</v>
      </c>
      <c r="ZU35">
        <v>3615242</v>
      </c>
      <c r="ZV35">
        <v>3615242</v>
      </c>
      <c r="ZW35">
        <v>3615242</v>
      </c>
      <c r="ZX35">
        <v>3618065</v>
      </c>
      <c r="ZY35">
        <v>3618065</v>
      </c>
      <c r="ZZ35">
        <v>3618065</v>
      </c>
      <c r="AAA35">
        <v>3618065</v>
      </c>
      <c r="AAB35">
        <v>3618065</v>
      </c>
      <c r="AAC35">
        <v>3622326</v>
      </c>
      <c r="AAD35">
        <v>3622326</v>
      </c>
      <c r="AAE35">
        <v>3622326</v>
      </c>
      <c r="AAF35">
        <v>3622326</v>
      </c>
      <c r="AAG35">
        <v>3627612</v>
      </c>
      <c r="AAH35">
        <v>3627612</v>
      </c>
      <c r="AAI35">
        <v>3627612</v>
      </c>
      <c r="AAJ35">
        <v>3627612</v>
      </c>
      <c r="AAK35">
        <v>3631917</v>
      </c>
      <c r="AAL35">
        <v>3631917</v>
      </c>
      <c r="AAM35">
        <v>3631917</v>
      </c>
      <c r="AAN35">
        <v>3631917</v>
      </c>
      <c r="AAO35">
        <v>3631917</v>
      </c>
      <c r="AAP35">
        <v>3631917</v>
      </c>
      <c r="AAQ35">
        <v>3639028</v>
      </c>
      <c r="AAR35">
        <v>3639028</v>
      </c>
      <c r="AAS35">
        <v>3639028</v>
      </c>
      <c r="AAT35">
        <v>3639028</v>
      </c>
      <c r="AAU35">
        <v>3639028</v>
      </c>
      <c r="AAV35">
        <v>3639028</v>
      </c>
      <c r="AAW35">
        <v>3639028</v>
      </c>
      <c r="AAX35">
        <v>3646388</v>
      </c>
      <c r="AAY35">
        <v>3646388</v>
      </c>
      <c r="AAZ35">
        <v>3646388</v>
      </c>
      <c r="ABA35">
        <v>3646388</v>
      </c>
      <c r="ABB35">
        <v>3646388</v>
      </c>
      <c r="ABC35">
        <v>3646388</v>
      </c>
      <c r="ABD35">
        <v>3646388</v>
      </c>
      <c r="ABE35">
        <v>3649705</v>
      </c>
      <c r="ABF35">
        <v>3653099</v>
      </c>
      <c r="ABG35">
        <v>3653099</v>
      </c>
      <c r="ABH35">
        <v>3653099</v>
      </c>
      <c r="ABI35">
        <v>3658582</v>
      </c>
      <c r="ABJ35">
        <v>3658582</v>
      </c>
      <c r="ABK35">
        <v>3658582</v>
      </c>
      <c r="ABL35">
        <v>3658582</v>
      </c>
      <c r="ABM35">
        <v>3658582</v>
      </c>
      <c r="ABN35">
        <v>3658582</v>
      </c>
      <c r="ABO35">
        <v>3658582</v>
      </c>
      <c r="ABP35">
        <v>3658582</v>
      </c>
      <c r="ABQ35">
        <v>3670613</v>
      </c>
      <c r="ABR35">
        <v>3670613</v>
      </c>
      <c r="ABS35">
        <v>3670613</v>
      </c>
      <c r="ABT35">
        <v>3670613</v>
      </c>
      <c r="ABU35">
        <v>3670613</v>
      </c>
      <c r="ABV35">
        <v>3670613</v>
      </c>
      <c r="ABW35">
        <v>3670613</v>
      </c>
      <c r="ABX35">
        <v>3670613</v>
      </c>
      <c r="ABY35">
        <v>3670613</v>
      </c>
      <c r="ABZ35">
        <v>3670613</v>
      </c>
      <c r="ACA35">
        <v>3670613</v>
      </c>
      <c r="ACB35">
        <v>3688610</v>
      </c>
      <c r="ACC35">
        <v>3688610</v>
      </c>
      <c r="ACD35">
        <v>3688610</v>
      </c>
      <c r="ACE35">
        <v>3688610</v>
      </c>
      <c r="ACF35">
        <v>3688610</v>
      </c>
      <c r="ACG35">
        <v>3688610</v>
      </c>
      <c r="ACH35">
        <v>3688610</v>
      </c>
      <c r="ACI35">
        <v>3688610</v>
      </c>
      <c r="ACJ35">
        <v>3688610</v>
      </c>
      <c r="ACK35">
        <v>3688610</v>
      </c>
      <c r="ACL35">
        <v>3688610</v>
      </c>
      <c r="ACM35">
        <v>3688610</v>
      </c>
      <c r="ACN35">
        <v>3688610</v>
      </c>
      <c r="ACO35">
        <v>3688610</v>
      </c>
      <c r="ACP35">
        <v>3688610</v>
      </c>
      <c r="ACQ35">
        <v>3688610</v>
      </c>
      <c r="ACR35">
        <v>3688610</v>
      </c>
      <c r="ACS35">
        <v>3688610</v>
      </c>
      <c r="ACT35">
        <v>3688610</v>
      </c>
      <c r="ACU35">
        <v>3688610</v>
      </c>
      <c r="ACV35">
        <v>3688610</v>
      </c>
      <c r="ACW35">
        <v>3688610</v>
      </c>
      <c r="ACX35">
        <v>3688610</v>
      </c>
      <c r="ACY35">
        <v>3688610</v>
      </c>
      <c r="ACZ35">
        <v>3688610</v>
      </c>
      <c r="ADA35">
        <v>3688610</v>
      </c>
      <c r="ADB35">
        <v>3688610</v>
      </c>
      <c r="ADC35">
        <v>3688610</v>
      </c>
      <c r="ADD35">
        <v>3688610</v>
      </c>
      <c r="ADE35">
        <v>3688610</v>
      </c>
      <c r="ADF35">
        <v>3688610</v>
      </c>
      <c r="ADG35">
        <v>3688610</v>
      </c>
      <c r="ADH35">
        <v>3688610</v>
      </c>
      <c r="ADI35">
        <v>3688610</v>
      </c>
      <c r="ADJ35">
        <v>3688610</v>
      </c>
      <c r="ADK35">
        <v>3688610</v>
      </c>
      <c r="ADL35">
        <v>3726206</v>
      </c>
      <c r="ADM35">
        <v>3726206</v>
      </c>
      <c r="ADN35">
        <v>3726206</v>
      </c>
      <c r="ADO35">
        <v>3726206</v>
      </c>
      <c r="ADP35">
        <v>3726206</v>
      </c>
      <c r="ADQ35">
        <v>3726206</v>
      </c>
      <c r="ADR35">
        <v>3735061</v>
      </c>
      <c r="ADS35">
        <v>3735061</v>
      </c>
      <c r="ADT35">
        <v>3735061</v>
      </c>
      <c r="ADU35">
        <v>3735061</v>
      </c>
      <c r="ADV35">
        <v>3735061</v>
      </c>
      <c r="ADW35">
        <v>3738144</v>
      </c>
      <c r="ADX35">
        <v>3738144</v>
      </c>
      <c r="ADY35">
        <v>3742493</v>
      </c>
      <c r="ADZ35">
        <v>3742493</v>
      </c>
      <c r="AEA35">
        <v>3742493</v>
      </c>
      <c r="AEB35">
        <v>3742493</v>
      </c>
      <c r="AEC35">
        <v>3742493</v>
      </c>
      <c r="AED35">
        <v>3742493</v>
      </c>
      <c r="AEE35">
        <v>3742493</v>
      </c>
      <c r="AEF35">
        <v>3742493</v>
      </c>
      <c r="AEG35">
        <v>3742493</v>
      </c>
      <c r="AEH35">
        <v>3742493</v>
      </c>
      <c r="AEI35">
        <v>3742493</v>
      </c>
      <c r="AEJ35">
        <v>3742493</v>
      </c>
      <c r="AEK35">
        <v>3742493</v>
      </c>
      <c r="AEL35">
        <v>3742493</v>
      </c>
      <c r="AEM35">
        <v>3742493</v>
      </c>
      <c r="AEN35">
        <v>3742493</v>
      </c>
      <c r="AEO35">
        <v>3742493</v>
      </c>
      <c r="AEP35">
        <v>3742493</v>
      </c>
      <c r="AEQ35">
        <v>3742493</v>
      </c>
      <c r="AER35">
        <v>3742493</v>
      </c>
      <c r="AES35">
        <v>3742493</v>
      </c>
      <c r="AET35">
        <v>3742493</v>
      </c>
      <c r="AEU35">
        <v>3742493</v>
      </c>
      <c r="AEV35">
        <v>3742493</v>
      </c>
      <c r="AEW35">
        <v>3742493</v>
      </c>
      <c r="AEX35">
        <v>3742493</v>
      </c>
      <c r="AEY35">
        <v>3742493</v>
      </c>
      <c r="AEZ35">
        <v>3742493</v>
      </c>
      <c r="AFA35">
        <v>3742493</v>
      </c>
      <c r="AFB35">
        <v>3742493</v>
      </c>
      <c r="AFC35">
        <v>3742493</v>
      </c>
      <c r="AFD35">
        <v>3742493</v>
      </c>
      <c r="AFE35">
        <v>3742493</v>
      </c>
      <c r="AFF35">
        <v>3742493</v>
      </c>
      <c r="AFG35">
        <v>3742493</v>
      </c>
      <c r="AFH35">
        <v>3742493</v>
      </c>
      <c r="AFI35">
        <v>3742493</v>
      </c>
      <c r="AFJ35">
        <v>3742493</v>
      </c>
      <c r="AFK35">
        <v>3742493</v>
      </c>
      <c r="AFL35">
        <v>3742493</v>
      </c>
      <c r="AFM35">
        <v>3742493</v>
      </c>
      <c r="AFN35">
        <v>3742493</v>
      </c>
      <c r="AFO35">
        <v>3742493</v>
      </c>
      <c r="AFP35">
        <v>3742493</v>
      </c>
      <c r="AFQ35">
        <v>3742493</v>
      </c>
      <c r="AFR35">
        <v>3742493</v>
      </c>
      <c r="AFS35">
        <v>3742493</v>
      </c>
      <c r="AFT35">
        <v>3742493</v>
      </c>
      <c r="AFU35">
        <v>3742493</v>
      </c>
      <c r="AFV35">
        <v>3742493</v>
      </c>
      <c r="AFW35">
        <v>3742493</v>
      </c>
      <c r="AFX35">
        <v>3742493</v>
      </c>
      <c r="AFY35">
        <v>3742493</v>
      </c>
      <c r="AFZ35">
        <v>3742493</v>
      </c>
      <c r="AGA35">
        <v>3742493</v>
      </c>
      <c r="AGB35">
        <v>3742493</v>
      </c>
      <c r="AGC35">
        <v>3742493</v>
      </c>
      <c r="AGD35">
        <v>3742493</v>
      </c>
      <c r="AGE35">
        <v>3742493</v>
      </c>
      <c r="AGF35">
        <v>3742493</v>
      </c>
      <c r="AGG35">
        <v>3742493</v>
      </c>
      <c r="AGH35">
        <v>3742493</v>
      </c>
      <c r="AGI35">
        <v>3742493</v>
      </c>
      <c r="AGJ35">
        <v>3742493</v>
      </c>
      <c r="AGK35">
        <v>3742493</v>
      </c>
      <c r="AGL35">
        <v>3742493</v>
      </c>
      <c r="AGM35">
        <v>3742493</v>
      </c>
      <c r="AGN35">
        <v>3742493</v>
      </c>
      <c r="AGO35">
        <v>3742493</v>
      </c>
      <c r="AGP35">
        <v>3742493</v>
      </c>
      <c r="AGQ35">
        <v>3742493</v>
      </c>
      <c r="AGR35">
        <v>3742493</v>
      </c>
      <c r="AGS35">
        <v>3742493</v>
      </c>
      <c r="AGT35">
        <v>3742493</v>
      </c>
      <c r="AGU35">
        <v>3742493</v>
      </c>
      <c r="AGV35">
        <v>3742493</v>
      </c>
      <c r="AGW35">
        <v>3742493</v>
      </c>
      <c r="AGX35">
        <v>3742493</v>
      </c>
      <c r="AGY35">
        <v>3742493</v>
      </c>
      <c r="AGZ35">
        <v>3742493</v>
      </c>
      <c r="AHA35">
        <v>3742493</v>
      </c>
      <c r="AHB35">
        <v>3742493</v>
      </c>
      <c r="AHC35">
        <v>3742493</v>
      </c>
      <c r="AHD35">
        <v>3742493</v>
      </c>
      <c r="AHE35">
        <v>3742493</v>
      </c>
      <c r="AHF35">
        <v>3742493</v>
      </c>
      <c r="AHG35">
        <v>3742493</v>
      </c>
      <c r="AHH35">
        <v>3742493</v>
      </c>
      <c r="AHI35">
        <v>3742493</v>
      </c>
      <c r="AHJ35">
        <v>3742493</v>
      </c>
      <c r="AHK35">
        <v>3742493</v>
      </c>
      <c r="AHL35">
        <v>3742493</v>
      </c>
      <c r="AHM35">
        <v>3742493</v>
      </c>
      <c r="AHN35">
        <v>3742493</v>
      </c>
      <c r="AHO35">
        <v>3742493</v>
      </c>
      <c r="AHP35">
        <v>3742493</v>
      </c>
      <c r="AHQ35">
        <v>3742493</v>
      </c>
    </row>
    <row r="36" spans="1:901">
      <c r="A36" s="1" t="s">
        <v>96</v>
      </c>
      <c r="B36">
        <v>190570</v>
      </c>
      <c r="C36">
        <v>190570</v>
      </c>
      <c r="D36">
        <v>196377</v>
      </c>
      <c r="E36">
        <v>196377</v>
      </c>
      <c r="F36">
        <v>199713</v>
      </c>
      <c r="G36">
        <v>204765</v>
      </c>
      <c r="H36">
        <v>204765</v>
      </c>
      <c r="I36">
        <v>210057</v>
      </c>
      <c r="J36">
        <v>213404</v>
      </c>
      <c r="K36">
        <v>216356</v>
      </c>
      <c r="L36">
        <v>219823</v>
      </c>
      <c r="M36">
        <v>224515</v>
      </c>
      <c r="N36">
        <v>224515</v>
      </c>
      <c r="O36">
        <v>229178</v>
      </c>
      <c r="P36">
        <v>229178</v>
      </c>
      <c r="Q36">
        <v>234624</v>
      </c>
      <c r="R36">
        <v>238248</v>
      </c>
      <c r="S36">
        <v>238248</v>
      </c>
      <c r="T36">
        <v>243276</v>
      </c>
      <c r="U36">
        <v>245115</v>
      </c>
      <c r="V36">
        <v>245115</v>
      </c>
      <c r="W36">
        <v>251285</v>
      </c>
      <c r="X36">
        <v>254262</v>
      </c>
      <c r="Y36">
        <v>257549</v>
      </c>
      <c r="Z36">
        <v>257549</v>
      </c>
      <c r="AA36">
        <v>257549</v>
      </c>
      <c r="AB36">
        <v>264549</v>
      </c>
      <c r="AC36">
        <v>267827</v>
      </c>
      <c r="AD36">
        <v>271394</v>
      </c>
      <c r="AE36">
        <v>271394</v>
      </c>
      <c r="AF36">
        <v>271394</v>
      </c>
      <c r="AG36">
        <v>271394</v>
      </c>
      <c r="AH36">
        <v>271394</v>
      </c>
      <c r="AI36">
        <v>271394</v>
      </c>
      <c r="AJ36">
        <v>271394</v>
      </c>
      <c r="AK36">
        <v>271394</v>
      </c>
      <c r="AL36">
        <v>271394</v>
      </c>
      <c r="AM36">
        <v>296363</v>
      </c>
      <c r="AN36">
        <v>296363</v>
      </c>
      <c r="AO36">
        <v>296363</v>
      </c>
      <c r="AP36">
        <v>302168</v>
      </c>
      <c r="AQ36">
        <v>305146</v>
      </c>
      <c r="AR36">
        <v>308063</v>
      </c>
      <c r="AS36">
        <v>308063</v>
      </c>
      <c r="AT36">
        <v>308063</v>
      </c>
      <c r="AU36">
        <v>308063</v>
      </c>
      <c r="AV36">
        <v>308063</v>
      </c>
      <c r="AW36">
        <v>318064</v>
      </c>
      <c r="AX36">
        <v>318064</v>
      </c>
      <c r="AY36">
        <v>326539</v>
      </c>
      <c r="AZ36">
        <v>326539</v>
      </c>
      <c r="BA36">
        <v>326539</v>
      </c>
      <c r="BB36">
        <v>326539</v>
      </c>
      <c r="BC36">
        <v>336529</v>
      </c>
      <c r="BD36">
        <v>336529</v>
      </c>
      <c r="BE36">
        <v>336529</v>
      </c>
      <c r="BF36">
        <v>341594</v>
      </c>
      <c r="BG36">
        <v>341594</v>
      </c>
      <c r="BH36">
        <v>341594</v>
      </c>
      <c r="BI36">
        <v>341594</v>
      </c>
      <c r="BJ36">
        <v>355362</v>
      </c>
      <c r="BK36">
        <v>355362</v>
      </c>
      <c r="BL36">
        <v>355362</v>
      </c>
      <c r="BM36">
        <v>363834</v>
      </c>
      <c r="BN36">
        <v>363834</v>
      </c>
      <c r="BO36">
        <v>363834</v>
      </c>
      <c r="BP36">
        <v>363834</v>
      </c>
      <c r="BQ36">
        <v>375720</v>
      </c>
      <c r="BR36">
        <v>375720</v>
      </c>
      <c r="BS36">
        <v>381490</v>
      </c>
      <c r="BT36">
        <v>381490</v>
      </c>
      <c r="BU36">
        <v>381490</v>
      </c>
      <c r="BV36">
        <v>381490</v>
      </c>
      <c r="BW36">
        <v>381490</v>
      </c>
      <c r="BX36">
        <v>397311</v>
      </c>
      <c r="BY36">
        <v>398784</v>
      </c>
      <c r="BZ36">
        <v>398784</v>
      </c>
      <c r="CA36">
        <v>398784</v>
      </c>
      <c r="CB36">
        <v>404440</v>
      </c>
      <c r="CC36">
        <v>404440</v>
      </c>
      <c r="CD36">
        <v>404440</v>
      </c>
      <c r="CE36">
        <v>404440</v>
      </c>
      <c r="CF36">
        <v>419572</v>
      </c>
      <c r="CG36">
        <v>419572</v>
      </c>
      <c r="CH36">
        <v>427104</v>
      </c>
      <c r="CI36">
        <v>427104</v>
      </c>
      <c r="CJ36">
        <v>427104</v>
      </c>
      <c r="CK36">
        <v>431232</v>
      </c>
      <c r="CL36">
        <v>440279</v>
      </c>
      <c r="CM36">
        <v>440279</v>
      </c>
      <c r="CN36">
        <v>446344</v>
      </c>
      <c r="CO36">
        <v>446344</v>
      </c>
      <c r="CP36">
        <v>453805</v>
      </c>
      <c r="CQ36">
        <v>453805</v>
      </c>
      <c r="CR36">
        <v>453805</v>
      </c>
      <c r="CS36">
        <v>464376</v>
      </c>
      <c r="CT36">
        <v>464376</v>
      </c>
      <c r="CU36">
        <v>464376</v>
      </c>
      <c r="CV36">
        <v>464376</v>
      </c>
      <c r="CW36">
        <v>475338</v>
      </c>
      <c r="CX36">
        <v>475338</v>
      </c>
      <c r="CY36">
        <v>475338</v>
      </c>
      <c r="CZ36">
        <v>483612</v>
      </c>
      <c r="DA36">
        <v>483612</v>
      </c>
      <c r="DB36">
        <v>483612</v>
      </c>
      <c r="DC36">
        <v>495225</v>
      </c>
      <c r="DD36">
        <v>495225</v>
      </c>
      <c r="DE36">
        <v>495225</v>
      </c>
      <c r="DF36">
        <v>495225</v>
      </c>
      <c r="DG36">
        <v>506685</v>
      </c>
      <c r="DH36">
        <v>506685</v>
      </c>
      <c r="DI36">
        <v>513929</v>
      </c>
      <c r="DJ36">
        <v>513929</v>
      </c>
      <c r="DK36">
        <v>522113</v>
      </c>
      <c r="DL36">
        <v>522113</v>
      </c>
      <c r="DM36">
        <v>522113</v>
      </c>
      <c r="DN36">
        <v>522113</v>
      </c>
      <c r="DO36">
        <v>535554</v>
      </c>
      <c r="DP36">
        <v>535554</v>
      </c>
      <c r="DQ36">
        <v>535554</v>
      </c>
      <c r="DR36">
        <v>546784</v>
      </c>
      <c r="DS36">
        <v>546784</v>
      </c>
      <c r="DT36">
        <v>546784</v>
      </c>
      <c r="DU36">
        <v>555839</v>
      </c>
      <c r="DV36">
        <v>555839</v>
      </c>
      <c r="DW36">
        <v>555839</v>
      </c>
      <c r="DX36">
        <v>561356</v>
      </c>
      <c r="DY36">
        <v>567141</v>
      </c>
      <c r="DZ36">
        <v>567141</v>
      </c>
      <c r="EA36">
        <v>567141</v>
      </c>
      <c r="EB36">
        <v>571988</v>
      </c>
      <c r="EC36">
        <v>571988</v>
      </c>
      <c r="ED36">
        <v>571988</v>
      </c>
      <c r="EE36">
        <v>577889</v>
      </c>
      <c r="EF36">
        <v>577889</v>
      </c>
      <c r="EG36">
        <v>584200</v>
      </c>
      <c r="EH36">
        <v>584200</v>
      </c>
      <c r="EI36">
        <v>595057</v>
      </c>
      <c r="EJ36">
        <v>595057</v>
      </c>
      <c r="EK36">
        <v>601058</v>
      </c>
      <c r="EL36">
        <v>601058</v>
      </c>
      <c r="EM36">
        <v>607403</v>
      </c>
      <c r="EN36">
        <v>607403</v>
      </c>
      <c r="EO36">
        <v>607403</v>
      </c>
      <c r="EP36">
        <v>617086</v>
      </c>
      <c r="EQ36">
        <v>617086</v>
      </c>
      <c r="ER36">
        <v>617086</v>
      </c>
      <c r="ES36">
        <v>617086</v>
      </c>
      <c r="ET36">
        <v>629031</v>
      </c>
      <c r="EU36">
        <v>629031</v>
      </c>
      <c r="EV36">
        <v>629031</v>
      </c>
      <c r="EW36">
        <v>638716</v>
      </c>
      <c r="EX36">
        <v>638716</v>
      </c>
      <c r="EY36">
        <v>645809</v>
      </c>
      <c r="EZ36">
        <v>645809</v>
      </c>
      <c r="FA36">
        <v>645809</v>
      </c>
      <c r="FB36">
        <v>645809</v>
      </c>
      <c r="FC36">
        <v>645809</v>
      </c>
      <c r="FD36">
        <v>662941</v>
      </c>
      <c r="FE36">
        <v>662941</v>
      </c>
      <c r="FF36">
        <v>669685</v>
      </c>
      <c r="FG36">
        <v>669685</v>
      </c>
      <c r="FH36">
        <v>669685</v>
      </c>
      <c r="FI36">
        <v>669685</v>
      </c>
      <c r="FJ36">
        <v>669685</v>
      </c>
      <c r="FK36">
        <v>690013</v>
      </c>
      <c r="FL36">
        <v>690013</v>
      </c>
      <c r="FM36">
        <v>690013</v>
      </c>
      <c r="FN36">
        <v>700259</v>
      </c>
      <c r="FO36">
        <v>700259</v>
      </c>
      <c r="FP36">
        <v>700259</v>
      </c>
      <c r="FQ36">
        <v>700259</v>
      </c>
      <c r="FR36">
        <v>700259</v>
      </c>
      <c r="FS36">
        <v>717791</v>
      </c>
      <c r="FT36">
        <v>717791</v>
      </c>
      <c r="FU36">
        <v>717791</v>
      </c>
      <c r="FV36">
        <v>729069</v>
      </c>
      <c r="FW36">
        <v>729069</v>
      </c>
      <c r="FX36">
        <v>729069</v>
      </c>
      <c r="FY36">
        <v>729069</v>
      </c>
      <c r="FZ36">
        <v>743550</v>
      </c>
      <c r="GA36">
        <v>743550</v>
      </c>
      <c r="GB36">
        <v>743550</v>
      </c>
      <c r="GC36">
        <v>758012</v>
      </c>
      <c r="GD36">
        <v>758012</v>
      </c>
      <c r="GE36">
        <v>758012</v>
      </c>
      <c r="GF36">
        <v>758012</v>
      </c>
      <c r="GG36">
        <v>775821</v>
      </c>
      <c r="GH36">
        <v>775821</v>
      </c>
      <c r="GI36">
        <v>775821</v>
      </c>
      <c r="GJ36">
        <v>792044</v>
      </c>
      <c r="GK36">
        <v>792044</v>
      </c>
      <c r="GL36">
        <v>792044</v>
      </c>
      <c r="GM36">
        <v>792044</v>
      </c>
      <c r="GN36">
        <v>811544</v>
      </c>
      <c r="GO36">
        <v>811544</v>
      </c>
      <c r="GP36">
        <v>811544</v>
      </c>
      <c r="GQ36">
        <v>811544</v>
      </c>
      <c r="GR36">
        <v>811544</v>
      </c>
      <c r="GS36">
        <v>811544</v>
      </c>
      <c r="GT36">
        <v>811544</v>
      </c>
      <c r="GU36">
        <v>842015</v>
      </c>
      <c r="GV36">
        <v>842015</v>
      </c>
      <c r="GW36">
        <v>842015</v>
      </c>
      <c r="GX36">
        <v>842015</v>
      </c>
      <c r="GY36">
        <v>842015</v>
      </c>
      <c r="GZ36">
        <v>842015</v>
      </c>
      <c r="HA36" s="3">
        <v>842015</v>
      </c>
      <c r="HB36">
        <v>842015</v>
      </c>
      <c r="HC36">
        <v>879450</v>
      </c>
      <c r="HD36">
        <v>889922</v>
      </c>
      <c r="HE36">
        <v>895974</v>
      </c>
      <c r="HF36">
        <v>895974</v>
      </c>
      <c r="HG36">
        <v>895974</v>
      </c>
      <c r="HH36">
        <v>914427</v>
      </c>
      <c r="HI36">
        <v>919324</v>
      </c>
      <c r="HJ36">
        <v>919324</v>
      </c>
      <c r="HK36">
        <v>932115</v>
      </c>
      <c r="HL36">
        <v>932115</v>
      </c>
      <c r="HM36">
        <v>932115</v>
      </c>
      <c r="HN36">
        <v>932115</v>
      </c>
      <c r="HO36">
        <v>953061</v>
      </c>
      <c r="HP36">
        <v>953061</v>
      </c>
      <c r="HQ36">
        <v>966243</v>
      </c>
      <c r="HR36">
        <v>974477</v>
      </c>
      <c r="HS36">
        <v>974477</v>
      </c>
      <c r="HT36">
        <v>974477</v>
      </c>
      <c r="HU36">
        <v>974477</v>
      </c>
      <c r="HV36">
        <v>1004802</v>
      </c>
      <c r="HW36">
        <v>1010785</v>
      </c>
      <c r="HX36">
        <v>1010785</v>
      </c>
      <c r="HY36">
        <v>1025064</v>
      </c>
      <c r="HZ36">
        <v>1033203</v>
      </c>
      <c r="IA36">
        <v>1033203</v>
      </c>
      <c r="IB36">
        <v>1033203</v>
      </c>
      <c r="IC36">
        <v>1033203</v>
      </c>
      <c r="ID36">
        <v>1064094</v>
      </c>
      <c r="IE36">
        <v>1073443</v>
      </c>
      <c r="IF36">
        <v>1083035</v>
      </c>
      <c r="IG36">
        <v>1083035</v>
      </c>
      <c r="IH36">
        <v>1093074</v>
      </c>
      <c r="II36">
        <v>1093074</v>
      </c>
      <c r="IJ36">
        <v>1093074</v>
      </c>
      <c r="IK36">
        <v>1093074</v>
      </c>
      <c r="IL36">
        <v>1134165</v>
      </c>
      <c r="IM36">
        <v>1134165</v>
      </c>
      <c r="IN36">
        <v>1153337</v>
      </c>
      <c r="IO36">
        <v>1153337</v>
      </c>
      <c r="IP36">
        <v>1153337</v>
      </c>
      <c r="IQ36">
        <v>1177571</v>
      </c>
      <c r="IR36">
        <v>1177571</v>
      </c>
      <c r="IS36">
        <v>1193313</v>
      </c>
      <c r="IT36">
        <v>1193313</v>
      </c>
      <c r="IU36">
        <v>1193313</v>
      </c>
      <c r="IV36">
        <v>1193313</v>
      </c>
      <c r="IW36">
        <v>1193313</v>
      </c>
      <c r="IX36">
        <v>1193313</v>
      </c>
      <c r="IY36">
        <v>1193313</v>
      </c>
      <c r="IZ36">
        <v>1250797</v>
      </c>
      <c r="JA36">
        <v>1250797</v>
      </c>
      <c r="JB36">
        <v>1267269</v>
      </c>
      <c r="JC36">
        <v>1267269</v>
      </c>
      <c r="JD36">
        <v>1267269</v>
      </c>
      <c r="JE36">
        <v>1291655</v>
      </c>
      <c r="JF36">
        <v>1291655</v>
      </c>
      <c r="JG36">
        <v>1309540</v>
      </c>
      <c r="JH36">
        <v>1309540</v>
      </c>
      <c r="JI36">
        <v>1309540</v>
      </c>
      <c r="JJ36">
        <v>1328762</v>
      </c>
      <c r="JK36">
        <v>1328762</v>
      </c>
      <c r="JL36">
        <v>1351949</v>
      </c>
      <c r="JM36">
        <v>1351949</v>
      </c>
      <c r="JN36">
        <v>1368966</v>
      </c>
      <c r="JO36">
        <v>1368966</v>
      </c>
      <c r="JP36">
        <v>1387706</v>
      </c>
      <c r="JQ36">
        <v>1387706</v>
      </c>
      <c r="JR36">
        <v>1387706</v>
      </c>
      <c r="JS36">
        <v>1411469</v>
      </c>
      <c r="JT36">
        <v>1411469</v>
      </c>
      <c r="JU36">
        <v>1411469</v>
      </c>
      <c r="JV36">
        <v>1411469</v>
      </c>
      <c r="JW36">
        <v>1411469</v>
      </c>
      <c r="JX36">
        <v>1411469</v>
      </c>
      <c r="JY36">
        <v>1411469</v>
      </c>
      <c r="JZ36">
        <v>1468597</v>
      </c>
      <c r="KA36">
        <v>1468597</v>
      </c>
      <c r="KB36">
        <v>1468597</v>
      </c>
      <c r="KC36">
        <v>1489540</v>
      </c>
      <c r="KD36">
        <v>1509763</v>
      </c>
      <c r="KE36">
        <v>1509763</v>
      </c>
      <c r="KF36">
        <v>1509763</v>
      </c>
      <c r="KG36">
        <v>1509763</v>
      </c>
      <c r="KH36">
        <v>1509763</v>
      </c>
      <c r="KI36">
        <v>1509763</v>
      </c>
      <c r="KJ36">
        <v>1561442</v>
      </c>
      <c r="KK36">
        <v>1561442</v>
      </c>
      <c r="KL36">
        <v>1561442</v>
      </c>
      <c r="KM36">
        <v>1561442</v>
      </c>
      <c r="KN36">
        <v>1592489</v>
      </c>
      <c r="KO36">
        <v>1592489</v>
      </c>
      <c r="KP36">
        <v>1592489</v>
      </c>
      <c r="KQ36">
        <v>1619389</v>
      </c>
      <c r="KR36">
        <v>1619389</v>
      </c>
      <c r="KS36">
        <v>1619389</v>
      </c>
      <c r="KT36">
        <v>1619389</v>
      </c>
      <c r="KU36">
        <v>1619389</v>
      </c>
      <c r="KV36">
        <v>1667142</v>
      </c>
      <c r="KW36">
        <v>1667142</v>
      </c>
      <c r="KX36">
        <v>1686460</v>
      </c>
      <c r="KY36">
        <v>1686460</v>
      </c>
      <c r="KZ36">
        <v>1686460</v>
      </c>
      <c r="LA36">
        <v>1686460</v>
      </c>
      <c r="LB36">
        <v>1686460</v>
      </c>
      <c r="LC36">
        <v>1686460</v>
      </c>
      <c r="LD36">
        <v>1734362</v>
      </c>
      <c r="LE36">
        <v>1734362</v>
      </c>
      <c r="LF36">
        <v>1734362</v>
      </c>
      <c r="LG36">
        <v>1734362</v>
      </c>
      <c r="LH36">
        <v>1734362</v>
      </c>
      <c r="LI36">
        <v>1734362</v>
      </c>
      <c r="LJ36">
        <v>1796836</v>
      </c>
      <c r="LK36">
        <v>1796836</v>
      </c>
      <c r="LL36">
        <v>1818915</v>
      </c>
      <c r="LM36">
        <v>1818915</v>
      </c>
      <c r="LN36">
        <v>1818915</v>
      </c>
      <c r="LO36">
        <v>1818915</v>
      </c>
      <c r="LP36">
        <v>1818915</v>
      </c>
      <c r="LQ36">
        <v>1866579</v>
      </c>
      <c r="LR36">
        <v>1866579</v>
      </c>
      <c r="LS36">
        <v>1866579</v>
      </c>
      <c r="LT36">
        <v>1866579</v>
      </c>
      <c r="LU36">
        <v>1866579</v>
      </c>
      <c r="LV36">
        <v>1866579</v>
      </c>
      <c r="LW36">
        <v>1866579</v>
      </c>
      <c r="LX36">
        <v>1866579</v>
      </c>
      <c r="LY36">
        <v>1935225</v>
      </c>
      <c r="LZ36">
        <v>1957788</v>
      </c>
      <c r="MA36">
        <v>1968955</v>
      </c>
      <c r="MB36">
        <v>1968955</v>
      </c>
      <c r="MC36">
        <v>1968955</v>
      </c>
      <c r="MD36">
        <v>1968955</v>
      </c>
      <c r="ME36">
        <v>2006420</v>
      </c>
      <c r="MF36">
        <v>2006420</v>
      </c>
      <c r="MG36">
        <v>2006420</v>
      </c>
      <c r="MH36">
        <v>2006420</v>
      </c>
      <c r="MI36">
        <v>2006420</v>
      </c>
      <c r="MJ36">
        <v>2006420</v>
      </c>
      <c r="MK36">
        <v>2006420</v>
      </c>
      <c r="ML36">
        <v>2006420</v>
      </c>
      <c r="MM36">
        <v>2006420</v>
      </c>
      <c r="MN36">
        <v>2006420</v>
      </c>
      <c r="MO36">
        <v>2110681</v>
      </c>
      <c r="MP36">
        <v>2110681</v>
      </c>
      <c r="MQ36">
        <v>2110681</v>
      </c>
      <c r="MR36">
        <v>2110681</v>
      </c>
      <c r="MS36">
        <v>2110681</v>
      </c>
      <c r="MT36">
        <v>2110681</v>
      </c>
      <c r="MU36">
        <v>2156767</v>
      </c>
      <c r="MV36">
        <v>2156767</v>
      </c>
      <c r="MW36">
        <v>2156767</v>
      </c>
      <c r="MX36">
        <v>2156767</v>
      </c>
      <c r="MY36">
        <v>2156767</v>
      </c>
      <c r="MZ36">
        <v>2156767</v>
      </c>
      <c r="NA36">
        <v>2214843</v>
      </c>
      <c r="NB36">
        <v>2214843</v>
      </c>
      <c r="NC36">
        <v>2214843</v>
      </c>
      <c r="ND36">
        <v>2214843</v>
      </c>
      <c r="NE36">
        <v>2214843</v>
      </c>
      <c r="NF36">
        <v>2266808</v>
      </c>
      <c r="NG36">
        <v>2266808</v>
      </c>
      <c r="NH36">
        <v>2266808</v>
      </c>
      <c r="NI36">
        <v>2286585</v>
      </c>
      <c r="NJ36">
        <v>2295558</v>
      </c>
      <c r="NK36">
        <v>2295558</v>
      </c>
      <c r="NL36">
        <v>2295558</v>
      </c>
      <c r="NM36">
        <v>2393237</v>
      </c>
      <c r="NN36">
        <v>2393237</v>
      </c>
      <c r="NO36">
        <v>2393237</v>
      </c>
      <c r="NP36">
        <v>2393237</v>
      </c>
      <c r="NQ36">
        <v>2393237</v>
      </c>
      <c r="NR36">
        <v>2393237</v>
      </c>
      <c r="NS36">
        <v>2393237</v>
      </c>
      <c r="NT36">
        <v>2393237</v>
      </c>
      <c r="NU36">
        <v>2393237</v>
      </c>
      <c r="NV36">
        <v>2393237</v>
      </c>
      <c r="NW36">
        <v>2393237</v>
      </c>
      <c r="NX36">
        <v>2393237</v>
      </c>
      <c r="NY36">
        <v>2393237</v>
      </c>
      <c r="NZ36">
        <v>2393237</v>
      </c>
      <c r="OA36">
        <v>2394098</v>
      </c>
      <c r="OB36">
        <v>2394098</v>
      </c>
      <c r="OC36">
        <v>2471064</v>
      </c>
      <c r="OD36">
        <v>2471064</v>
      </c>
      <c r="OE36">
        <v>2471064</v>
      </c>
      <c r="OF36">
        <v>2471064</v>
      </c>
      <c r="OG36">
        <v>2471064</v>
      </c>
      <c r="OH36">
        <v>2471064</v>
      </c>
      <c r="OI36">
        <v>2471064</v>
      </c>
      <c r="OJ36">
        <v>2471064</v>
      </c>
      <c r="OK36">
        <v>2471064</v>
      </c>
      <c r="OL36">
        <v>2524241</v>
      </c>
      <c r="OM36">
        <v>2524241</v>
      </c>
      <c r="ON36">
        <v>2524241</v>
      </c>
      <c r="OO36">
        <v>2524241</v>
      </c>
      <c r="OP36">
        <v>2524241</v>
      </c>
      <c r="OQ36">
        <v>2544016</v>
      </c>
      <c r="OR36">
        <v>2544016</v>
      </c>
      <c r="OS36">
        <v>2544016</v>
      </c>
      <c r="OT36">
        <v>2544016</v>
      </c>
      <c r="OU36">
        <v>2544016</v>
      </c>
      <c r="OV36">
        <v>2544016</v>
      </c>
      <c r="OW36">
        <v>2544016</v>
      </c>
      <c r="OX36">
        <v>2575363</v>
      </c>
      <c r="OY36">
        <v>2575363</v>
      </c>
      <c r="OZ36">
        <v>2575363</v>
      </c>
      <c r="PA36">
        <v>2575363</v>
      </c>
      <c r="PB36">
        <v>2575363</v>
      </c>
      <c r="PC36">
        <v>2575363</v>
      </c>
      <c r="PD36">
        <v>2575363</v>
      </c>
      <c r="PE36">
        <v>2575363</v>
      </c>
      <c r="PF36">
        <v>2575363</v>
      </c>
      <c r="PG36">
        <v>2575363</v>
      </c>
      <c r="PH36">
        <v>2575363</v>
      </c>
      <c r="PI36">
        <v>2575363</v>
      </c>
      <c r="PJ36">
        <v>2575363</v>
      </c>
      <c r="PK36">
        <v>2575363</v>
      </c>
      <c r="PL36">
        <v>2674625</v>
      </c>
      <c r="PM36">
        <v>2674625</v>
      </c>
      <c r="PN36">
        <v>2674625</v>
      </c>
      <c r="PO36">
        <v>2674625</v>
      </c>
      <c r="PP36">
        <v>2674625</v>
      </c>
      <c r="PQ36">
        <v>2674625</v>
      </c>
      <c r="PR36">
        <v>2715029</v>
      </c>
      <c r="PS36">
        <v>2715029</v>
      </c>
      <c r="PT36">
        <v>2715029</v>
      </c>
      <c r="PU36">
        <v>2715029</v>
      </c>
      <c r="PV36">
        <v>2715029</v>
      </c>
      <c r="PW36">
        <v>2715029</v>
      </c>
      <c r="PX36">
        <v>2715029</v>
      </c>
      <c r="PY36">
        <v>2715029</v>
      </c>
      <c r="PZ36">
        <v>2715029</v>
      </c>
      <c r="QA36">
        <v>2715029</v>
      </c>
      <c r="QB36">
        <v>2715029</v>
      </c>
      <c r="QC36">
        <v>2715029</v>
      </c>
      <c r="QD36">
        <v>2715029</v>
      </c>
      <c r="QE36">
        <v>2715029</v>
      </c>
      <c r="QF36">
        <v>2715029</v>
      </c>
      <c r="QG36">
        <v>2715029</v>
      </c>
      <c r="QH36">
        <v>2715029</v>
      </c>
      <c r="QI36">
        <v>2839020</v>
      </c>
      <c r="QJ36">
        <v>2839020</v>
      </c>
      <c r="QK36">
        <v>2839020</v>
      </c>
      <c r="QL36">
        <v>2839020</v>
      </c>
      <c r="QM36">
        <v>2881944</v>
      </c>
      <c r="QN36">
        <v>2881944</v>
      </c>
      <c r="QO36">
        <v>2881944</v>
      </c>
      <c r="QP36">
        <v>2881944</v>
      </c>
      <c r="QQ36">
        <v>2881944</v>
      </c>
      <c r="QR36">
        <v>2881944</v>
      </c>
      <c r="QS36">
        <v>2881944</v>
      </c>
      <c r="QT36">
        <v>2911504</v>
      </c>
      <c r="QU36">
        <v>2911504</v>
      </c>
      <c r="QV36">
        <v>2911504</v>
      </c>
      <c r="QW36">
        <v>2911504</v>
      </c>
      <c r="QX36">
        <v>2911504</v>
      </c>
      <c r="QY36">
        <v>2911504</v>
      </c>
      <c r="QZ36">
        <v>2911504</v>
      </c>
      <c r="RA36">
        <v>2965435</v>
      </c>
      <c r="RB36">
        <v>2965435</v>
      </c>
      <c r="RC36">
        <v>2965435</v>
      </c>
      <c r="RD36">
        <v>2965435</v>
      </c>
      <c r="RE36">
        <v>2965435</v>
      </c>
      <c r="RF36">
        <v>2965435</v>
      </c>
      <c r="RG36">
        <v>2965435</v>
      </c>
      <c r="RH36">
        <v>2965435</v>
      </c>
      <c r="RI36">
        <v>3015552</v>
      </c>
      <c r="RJ36">
        <v>3015552</v>
      </c>
      <c r="RK36">
        <v>3015552</v>
      </c>
      <c r="RL36">
        <v>3015552</v>
      </c>
      <c r="RM36">
        <v>3015552</v>
      </c>
      <c r="RN36">
        <v>3015552</v>
      </c>
      <c r="RO36">
        <v>3015552</v>
      </c>
      <c r="RP36">
        <v>3105720</v>
      </c>
      <c r="RQ36">
        <v>3105720</v>
      </c>
      <c r="RR36">
        <v>3105720</v>
      </c>
      <c r="RS36">
        <v>3105720</v>
      </c>
      <c r="RT36">
        <v>3105720</v>
      </c>
      <c r="RU36">
        <v>3105720</v>
      </c>
      <c r="RV36">
        <v>3105720</v>
      </c>
      <c r="RW36">
        <v>3105720</v>
      </c>
      <c r="RX36">
        <v>3105720</v>
      </c>
      <c r="RY36">
        <v>3105720</v>
      </c>
      <c r="RZ36">
        <v>3105720</v>
      </c>
      <c r="SA36">
        <v>3105720</v>
      </c>
      <c r="SB36">
        <v>3244147</v>
      </c>
      <c r="SC36">
        <v>3244147</v>
      </c>
      <c r="SD36">
        <v>3244147</v>
      </c>
      <c r="SE36">
        <v>3244147</v>
      </c>
      <c r="SF36">
        <v>3244147</v>
      </c>
      <c r="SG36">
        <v>3244147</v>
      </c>
      <c r="SH36">
        <v>3244147</v>
      </c>
      <c r="SI36">
        <v>3324431</v>
      </c>
      <c r="SJ36">
        <v>3324431</v>
      </c>
      <c r="SK36">
        <v>3324431</v>
      </c>
      <c r="SL36">
        <v>3324431</v>
      </c>
      <c r="SM36">
        <v>3324431</v>
      </c>
      <c r="SN36">
        <v>3324431</v>
      </c>
      <c r="SO36">
        <v>3324431</v>
      </c>
      <c r="SP36">
        <v>3324431</v>
      </c>
      <c r="SQ36">
        <v>3324431</v>
      </c>
      <c r="SR36">
        <v>3324431</v>
      </c>
      <c r="SS36">
        <v>3324431</v>
      </c>
      <c r="ST36">
        <v>3324431</v>
      </c>
      <c r="SU36">
        <v>3324431</v>
      </c>
      <c r="SV36">
        <v>3324431</v>
      </c>
      <c r="SW36">
        <v>3544847</v>
      </c>
      <c r="SX36">
        <v>3544847</v>
      </c>
      <c r="SY36">
        <v>3544847</v>
      </c>
      <c r="SZ36">
        <v>3544847</v>
      </c>
      <c r="TA36">
        <v>3544847</v>
      </c>
      <c r="TB36">
        <v>3544847</v>
      </c>
      <c r="TC36">
        <v>3544847</v>
      </c>
      <c r="TD36">
        <v>3635922</v>
      </c>
      <c r="TE36">
        <v>3635922</v>
      </c>
      <c r="TF36">
        <v>3635922</v>
      </c>
      <c r="TG36">
        <v>3635922</v>
      </c>
      <c r="TH36">
        <v>3635922</v>
      </c>
      <c r="TI36">
        <v>3635922</v>
      </c>
      <c r="TJ36">
        <v>3635922</v>
      </c>
      <c r="TK36">
        <v>3712867</v>
      </c>
      <c r="TL36">
        <v>3712867</v>
      </c>
      <c r="TM36">
        <v>3712867</v>
      </c>
      <c r="TN36">
        <v>3712867</v>
      </c>
      <c r="TO36">
        <v>3712867</v>
      </c>
      <c r="TP36">
        <v>3712867</v>
      </c>
      <c r="TQ36">
        <v>3712867</v>
      </c>
      <c r="TR36">
        <v>3801529</v>
      </c>
      <c r="TS36">
        <v>3801529</v>
      </c>
      <c r="TT36">
        <v>3801529</v>
      </c>
      <c r="TU36">
        <v>3801529</v>
      </c>
      <c r="TV36">
        <v>3801529</v>
      </c>
      <c r="TW36">
        <v>3801529</v>
      </c>
      <c r="TX36">
        <v>3801529</v>
      </c>
      <c r="TY36">
        <v>3854668</v>
      </c>
      <c r="TZ36">
        <v>3854668</v>
      </c>
      <c r="UA36">
        <v>3854668</v>
      </c>
      <c r="UB36">
        <v>3854668</v>
      </c>
      <c r="UC36">
        <v>3854668</v>
      </c>
      <c r="UD36">
        <v>3854668</v>
      </c>
      <c r="UE36">
        <v>3854668</v>
      </c>
      <c r="UF36">
        <v>3913872</v>
      </c>
      <c r="UG36">
        <v>3913872</v>
      </c>
      <c r="UH36">
        <v>3913872</v>
      </c>
      <c r="UI36">
        <v>3913872</v>
      </c>
      <c r="UJ36">
        <v>3913872</v>
      </c>
      <c r="UK36">
        <v>3913872</v>
      </c>
      <c r="UL36">
        <v>3913872</v>
      </c>
      <c r="UM36">
        <v>3913872</v>
      </c>
      <c r="UN36">
        <v>3913872</v>
      </c>
      <c r="UO36">
        <v>4053111</v>
      </c>
      <c r="UP36">
        <v>4053111</v>
      </c>
      <c r="UQ36">
        <v>4053111</v>
      </c>
      <c r="UR36">
        <v>4053111</v>
      </c>
      <c r="US36">
        <v>4053111</v>
      </c>
      <c r="UT36">
        <v>4053111</v>
      </c>
      <c r="UU36">
        <v>4136613</v>
      </c>
      <c r="UV36">
        <v>4136613</v>
      </c>
      <c r="UW36">
        <v>4136613</v>
      </c>
      <c r="UX36">
        <v>4136613</v>
      </c>
      <c r="UY36">
        <v>4136613</v>
      </c>
      <c r="UZ36">
        <v>4136613</v>
      </c>
      <c r="VA36">
        <v>4136613</v>
      </c>
      <c r="VB36">
        <v>4163300</v>
      </c>
      <c r="VC36">
        <v>4163300</v>
      </c>
      <c r="VD36">
        <v>4163300</v>
      </c>
      <c r="VE36">
        <v>4163300</v>
      </c>
      <c r="VF36">
        <v>4163300</v>
      </c>
      <c r="VG36">
        <v>4163300</v>
      </c>
      <c r="VH36">
        <v>4240743</v>
      </c>
      <c r="VI36">
        <v>4240743</v>
      </c>
      <c r="VJ36">
        <v>4240743</v>
      </c>
      <c r="VK36">
        <v>4240743</v>
      </c>
      <c r="VL36">
        <v>4240743</v>
      </c>
      <c r="VM36">
        <v>4240743</v>
      </c>
      <c r="VN36">
        <v>4240743</v>
      </c>
      <c r="VO36">
        <v>4240743</v>
      </c>
      <c r="VP36">
        <v>4291131</v>
      </c>
      <c r="VQ36">
        <v>4291131</v>
      </c>
      <c r="VR36">
        <v>4291131</v>
      </c>
      <c r="VS36">
        <v>4291131</v>
      </c>
      <c r="VT36">
        <v>4291131</v>
      </c>
      <c r="VU36">
        <v>4291131</v>
      </c>
      <c r="VV36">
        <v>4291131</v>
      </c>
      <c r="VW36">
        <v>4291131</v>
      </c>
      <c r="VX36">
        <v>4291131</v>
      </c>
      <c r="VY36">
        <v>4291131</v>
      </c>
      <c r="VZ36">
        <v>4291131</v>
      </c>
      <c r="WA36">
        <v>4291131</v>
      </c>
      <c r="WB36">
        <v>4291131</v>
      </c>
      <c r="WC36">
        <v>4291131</v>
      </c>
      <c r="WD36">
        <v>4401922</v>
      </c>
      <c r="WE36">
        <v>4401922</v>
      </c>
      <c r="WF36">
        <v>4401922</v>
      </c>
      <c r="WG36">
        <v>4401922</v>
      </c>
      <c r="WH36">
        <v>4401922</v>
      </c>
      <c r="WI36">
        <v>4401922</v>
      </c>
      <c r="WJ36">
        <v>4401922</v>
      </c>
      <c r="WK36">
        <v>4487906</v>
      </c>
      <c r="WL36">
        <v>4487906</v>
      </c>
      <c r="WM36">
        <v>4487906</v>
      </c>
      <c r="WN36">
        <v>4487906</v>
      </c>
      <c r="WO36">
        <v>4487906</v>
      </c>
      <c r="WP36">
        <v>4487906</v>
      </c>
      <c r="WQ36">
        <v>4575910</v>
      </c>
      <c r="WR36">
        <v>4575910</v>
      </c>
      <c r="WS36">
        <v>4575910</v>
      </c>
      <c r="WT36">
        <v>4575910</v>
      </c>
      <c r="WU36">
        <v>4575910</v>
      </c>
      <c r="WV36">
        <v>4575910</v>
      </c>
      <c r="WW36">
        <v>4575910</v>
      </c>
      <c r="WX36">
        <v>4659757</v>
      </c>
      <c r="WY36">
        <v>4659757</v>
      </c>
      <c r="WZ36">
        <v>4659757</v>
      </c>
      <c r="XA36">
        <v>4659757</v>
      </c>
      <c r="XB36">
        <v>4659757</v>
      </c>
      <c r="XC36">
        <v>4659757</v>
      </c>
      <c r="XD36">
        <v>4659757</v>
      </c>
      <c r="XE36">
        <v>4659757</v>
      </c>
      <c r="XF36">
        <v>4659757</v>
      </c>
      <c r="XG36">
        <v>4659757</v>
      </c>
      <c r="XH36">
        <v>4659757</v>
      </c>
      <c r="XI36">
        <v>4659757</v>
      </c>
      <c r="XJ36">
        <v>4659757</v>
      </c>
      <c r="XK36">
        <v>4659757</v>
      </c>
      <c r="XL36">
        <v>4659757</v>
      </c>
      <c r="XM36">
        <v>4659757</v>
      </c>
      <c r="XN36">
        <v>4659757</v>
      </c>
      <c r="XO36">
        <v>4659757</v>
      </c>
      <c r="XP36">
        <v>4659757</v>
      </c>
      <c r="XQ36">
        <v>4659757</v>
      </c>
      <c r="XR36">
        <v>4659757</v>
      </c>
      <c r="XS36">
        <v>4659757</v>
      </c>
      <c r="XT36">
        <v>4659757</v>
      </c>
      <c r="XU36">
        <v>4659757</v>
      </c>
      <c r="XV36">
        <v>4659757</v>
      </c>
      <c r="XW36">
        <v>4659757</v>
      </c>
      <c r="XX36">
        <v>4659757</v>
      </c>
      <c r="XY36">
        <v>4659757</v>
      </c>
      <c r="XZ36">
        <v>4659757</v>
      </c>
      <c r="YA36">
        <v>4659757</v>
      </c>
      <c r="YB36">
        <v>4659757</v>
      </c>
      <c r="YC36">
        <v>4659757</v>
      </c>
      <c r="YD36">
        <v>4659757</v>
      </c>
      <c r="YE36">
        <v>4659757</v>
      </c>
      <c r="YF36" s="1">
        <v>4659757</v>
      </c>
      <c r="YG36" s="1">
        <v>4659757</v>
      </c>
      <c r="YH36" s="1">
        <v>4659757</v>
      </c>
      <c r="YI36" s="1">
        <v>4659757</v>
      </c>
      <c r="YJ36">
        <v>4659757</v>
      </c>
      <c r="YK36">
        <v>4659757</v>
      </c>
      <c r="YL36">
        <v>4659757</v>
      </c>
      <c r="YM36">
        <v>4659757</v>
      </c>
      <c r="YN36">
        <v>4659757</v>
      </c>
      <c r="YO36">
        <v>4659757</v>
      </c>
      <c r="YP36">
        <v>4659757</v>
      </c>
      <c r="YQ36">
        <v>4659757</v>
      </c>
      <c r="YR36">
        <v>4659757</v>
      </c>
      <c r="YS36">
        <v>4659757</v>
      </c>
      <c r="YT36">
        <v>4659757</v>
      </c>
      <c r="YU36">
        <v>4659757</v>
      </c>
      <c r="YV36">
        <v>4659757</v>
      </c>
      <c r="YW36">
        <v>4659757</v>
      </c>
      <c r="YX36">
        <v>4659757</v>
      </c>
      <c r="YY36">
        <v>4659757</v>
      </c>
      <c r="YZ36">
        <v>4659757</v>
      </c>
      <c r="ZA36">
        <v>4659757</v>
      </c>
      <c r="ZB36">
        <v>4659757</v>
      </c>
      <c r="ZC36">
        <v>4659757</v>
      </c>
      <c r="ZD36">
        <v>4659757</v>
      </c>
      <c r="ZE36">
        <v>4659757</v>
      </c>
      <c r="ZF36">
        <v>4659757</v>
      </c>
      <c r="ZG36">
        <v>4659757</v>
      </c>
      <c r="ZH36">
        <v>4659757</v>
      </c>
      <c r="ZI36">
        <v>4659757</v>
      </c>
      <c r="ZJ36">
        <v>4659757</v>
      </c>
      <c r="ZK36">
        <v>4659757</v>
      </c>
      <c r="ZL36">
        <v>4659757</v>
      </c>
      <c r="ZM36">
        <v>4659757</v>
      </c>
      <c r="ZN36">
        <v>4659757</v>
      </c>
      <c r="ZO36">
        <v>4659757</v>
      </c>
      <c r="ZP36">
        <v>4659757</v>
      </c>
      <c r="ZQ36">
        <v>4659757</v>
      </c>
      <c r="ZR36">
        <v>4659757</v>
      </c>
      <c r="ZS36">
        <v>4659757</v>
      </c>
      <c r="ZT36">
        <v>4659757</v>
      </c>
      <c r="ZU36">
        <v>4659757</v>
      </c>
      <c r="ZV36">
        <v>4659757</v>
      </c>
      <c r="ZW36">
        <v>4659757</v>
      </c>
      <c r="ZX36">
        <v>4659757</v>
      </c>
      <c r="ZY36">
        <v>4659757</v>
      </c>
      <c r="ZZ36">
        <v>4659757</v>
      </c>
      <c r="AAA36">
        <v>4659757</v>
      </c>
      <c r="AAB36">
        <v>4659757</v>
      </c>
      <c r="AAC36">
        <v>4659757</v>
      </c>
      <c r="AAD36">
        <v>4659757</v>
      </c>
      <c r="AAE36">
        <v>4659757</v>
      </c>
      <c r="AAF36">
        <v>4659757</v>
      </c>
      <c r="AAG36">
        <v>4659757</v>
      </c>
      <c r="AAH36">
        <v>4659757</v>
      </c>
      <c r="AAI36">
        <v>4659757</v>
      </c>
      <c r="AAJ36">
        <v>4659757</v>
      </c>
      <c r="AAK36">
        <v>4659757</v>
      </c>
      <c r="AAL36">
        <v>4659757</v>
      </c>
      <c r="AAM36">
        <v>4659757</v>
      </c>
      <c r="AAN36">
        <v>4659757</v>
      </c>
      <c r="AAO36">
        <v>4659757</v>
      </c>
      <c r="AAP36">
        <v>4659757</v>
      </c>
      <c r="AAQ36">
        <v>4659757</v>
      </c>
      <c r="AAR36">
        <v>4659757</v>
      </c>
      <c r="AAS36">
        <v>4659757</v>
      </c>
      <c r="AAT36">
        <v>4659757</v>
      </c>
      <c r="AAU36">
        <v>4659757</v>
      </c>
      <c r="AAV36">
        <v>4659757</v>
      </c>
      <c r="AAW36">
        <v>4659757</v>
      </c>
      <c r="AAX36">
        <v>4659757</v>
      </c>
      <c r="AAY36">
        <v>4659757</v>
      </c>
      <c r="AAZ36">
        <v>4659757</v>
      </c>
      <c r="ABA36">
        <v>4659757</v>
      </c>
      <c r="ABB36">
        <v>4659757</v>
      </c>
      <c r="ABC36">
        <v>4659757</v>
      </c>
      <c r="ABD36">
        <v>4659757</v>
      </c>
      <c r="ABE36">
        <v>4659757</v>
      </c>
      <c r="ABF36">
        <v>4659757</v>
      </c>
      <c r="ABG36">
        <v>4659757</v>
      </c>
      <c r="ABH36">
        <v>4659757</v>
      </c>
      <c r="ABI36">
        <v>4659757</v>
      </c>
      <c r="ABJ36">
        <v>4659757</v>
      </c>
      <c r="ABK36">
        <v>4659757</v>
      </c>
      <c r="ABL36">
        <v>4659757</v>
      </c>
      <c r="ABM36">
        <v>4659757</v>
      </c>
      <c r="ABN36">
        <v>4659757</v>
      </c>
      <c r="ABO36">
        <v>4659757</v>
      </c>
      <c r="ABP36">
        <v>4659757</v>
      </c>
      <c r="ABQ36">
        <v>4659757</v>
      </c>
      <c r="ABR36">
        <v>4659757</v>
      </c>
      <c r="ABS36">
        <v>4659757</v>
      </c>
      <c r="ABT36">
        <v>4659757</v>
      </c>
      <c r="ABU36">
        <v>4659757</v>
      </c>
      <c r="ABV36">
        <v>4659757</v>
      </c>
      <c r="ABW36">
        <v>4659757</v>
      </c>
      <c r="ABX36">
        <v>4659757</v>
      </c>
      <c r="ABY36">
        <v>4659757</v>
      </c>
      <c r="ABZ36">
        <v>4659757</v>
      </c>
      <c r="ACA36">
        <v>4659757</v>
      </c>
      <c r="ACB36">
        <v>4659757</v>
      </c>
      <c r="ACC36">
        <v>4659757</v>
      </c>
      <c r="ACD36">
        <v>4659757</v>
      </c>
      <c r="ACE36">
        <v>4659757</v>
      </c>
      <c r="ACF36">
        <v>4659757</v>
      </c>
      <c r="ACG36">
        <v>4659757</v>
      </c>
      <c r="ACH36">
        <v>4659757</v>
      </c>
      <c r="ACI36">
        <v>4659757</v>
      </c>
      <c r="ACJ36">
        <v>4659757</v>
      </c>
      <c r="ACK36">
        <v>4659757</v>
      </c>
      <c r="ACL36">
        <v>4659757</v>
      </c>
      <c r="ACM36">
        <v>4659757</v>
      </c>
      <c r="ACN36">
        <v>4659757</v>
      </c>
      <c r="ACO36">
        <v>4659757</v>
      </c>
      <c r="ACP36">
        <v>4659757</v>
      </c>
      <c r="ACQ36">
        <v>4659757</v>
      </c>
      <c r="ACR36">
        <v>4659757</v>
      </c>
      <c r="ACS36">
        <v>4659757</v>
      </c>
      <c r="ACT36">
        <v>4659757</v>
      </c>
      <c r="ACU36">
        <v>4659757</v>
      </c>
      <c r="ACV36">
        <v>4659757</v>
      </c>
      <c r="ACW36">
        <v>4659757</v>
      </c>
      <c r="ACX36">
        <v>4659757</v>
      </c>
      <c r="ACY36">
        <v>4659757</v>
      </c>
      <c r="ACZ36">
        <v>4659757</v>
      </c>
      <c r="ADA36">
        <v>4659757</v>
      </c>
      <c r="ADB36">
        <v>4659757</v>
      </c>
      <c r="ADC36">
        <v>4659757</v>
      </c>
      <c r="ADD36">
        <v>4659757</v>
      </c>
      <c r="ADE36">
        <v>4659757</v>
      </c>
      <c r="ADF36">
        <v>4659757</v>
      </c>
      <c r="ADG36">
        <v>4659757</v>
      </c>
      <c r="ADH36">
        <v>4659757</v>
      </c>
      <c r="ADI36">
        <v>4659757</v>
      </c>
      <c r="ADJ36">
        <v>4659757</v>
      </c>
      <c r="ADK36">
        <v>4659757</v>
      </c>
      <c r="ADL36">
        <v>4659757</v>
      </c>
      <c r="ADM36">
        <v>4659757</v>
      </c>
      <c r="ADN36">
        <v>4659757</v>
      </c>
      <c r="ADO36">
        <v>4659757</v>
      </c>
      <c r="ADP36">
        <v>4659757</v>
      </c>
      <c r="ADQ36">
        <v>4659757</v>
      </c>
      <c r="ADR36">
        <v>4659757</v>
      </c>
      <c r="ADS36">
        <v>4659757</v>
      </c>
      <c r="ADT36">
        <v>4659757</v>
      </c>
      <c r="ADU36">
        <v>4659757</v>
      </c>
      <c r="ADV36">
        <v>4659757</v>
      </c>
      <c r="ADW36">
        <v>4659757</v>
      </c>
      <c r="ADX36">
        <v>4659757</v>
      </c>
      <c r="ADY36">
        <v>4659757</v>
      </c>
      <c r="ADZ36">
        <v>4659757</v>
      </c>
      <c r="AEA36">
        <v>4659757</v>
      </c>
      <c r="AEB36">
        <v>4659757</v>
      </c>
      <c r="AEC36">
        <v>4659757</v>
      </c>
      <c r="AED36">
        <v>4659757</v>
      </c>
      <c r="AEE36">
        <v>4659757</v>
      </c>
      <c r="AEF36">
        <v>4659757</v>
      </c>
      <c r="AEG36">
        <v>4659757</v>
      </c>
      <c r="AEH36">
        <v>4659757</v>
      </c>
      <c r="AEI36">
        <v>4659757</v>
      </c>
      <c r="AEJ36">
        <v>4659757</v>
      </c>
      <c r="AEK36">
        <v>4659757</v>
      </c>
      <c r="AEL36">
        <v>4659757</v>
      </c>
      <c r="AEM36">
        <v>4659757</v>
      </c>
      <c r="AEN36">
        <v>4659757</v>
      </c>
      <c r="AEO36">
        <v>4659757</v>
      </c>
      <c r="AEP36">
        <v>4659757</v>
      </c>
      <c r="AEQ36">
        <v>4659757</v>
      </c>
      <c r="AER36">
        <v>4659757</v>
      </c>
      <c r="AES36">
        <v>4659757</v>
      </c>
      <c r="AET36">
        <v>4659757</v>
      </c>
      <c r="AEU36">
        <v>4659757</v>
      </c>
      <c r="AEV36">
        <v>4659757</v>
      </c>
      <c r="AEW36">
        <v>4659757</v>
      </c>
      <c r="AEX36">
        <v>4659757</v>
      </c>
      <c r="AEY36">
        <v>4659757</v>
      </c>
      <c r="AEZ36">
        <v>4659757</v>
      </c>
      <c r="AFA36">
        <v>4659757</v>
      </c>
      <c r="AFB36">
        <v>4659757</v>
      </c>
      <c r="AFC36">
        <v>4659757</v>
      </c>
      <c r="AFD36">
        <v>4659757</v>
      </c>
      <c r="AFE36">
        <v>4659757</v>
      </c>
      <c r="AFF36">
        <v>4659757</v>
      </c>
      <c r="AFG36">
        <v>4659757</v>
      </c>
      <c r="AFH36">
        <v>4659757</v>
      </c>
      <c r="AFI36">
        <v>4659757</v>
      </c>
      <c r="AFJ36">
        <v>4659757</v>
      </c>
      <c r="AFK36">
        <v>4659757</v>
      </c>
      <c r="AFL36">
        <v>4659757</v>
      </c>
      <c r="AFM36">
        <v>4659757</v>
      </c>
      <c r="AFN36">
        <v>4659757</v>
      </c>
      <c r="AFO36">
        <v>4659757</v>
      </c>
      <c r="AFP36">
        <v>4659757</v>
      </c>
      <c r="AFQ36">
        <v>4659757</v>
      </c>
      <c r="AFR36">
        <v>4659757</v>
      </c>
      <c r="AFS36">
        <v>4659757</v>
      </c>
      <c r="AFT36">
        <v>4659757</v>
      </c>
      <c r="AFU36">
        <v>4659757</v>
      </c>
      <c r="AFV36">
        <v>4659757</v>
      </c>
      <c r="AFW36">
        <v>4659757</v>
      </c>
      <c r="AFX36">
        <v>4659757</v>
      </c>
      <c r="AFY36">
        <v>4659757</v>
      </c>
      <c r="AFZ36">
        <v>4659757</v>
      </c>
      <c r="AGA36">
        <v>4659757</v>
      </c>
      <c r="AGB36">
        <v>4659757</v>
      </c>
      <c r="AGC36">
        <v>4659757</v>
      </c>
      <c r="AGD36">
        <v>4659757</v>
      </c>
      <c r="AGE36">
        <v>4659757</v>
      </c>
      <c r="AGF36">
        <v>4659757</v>
      </c>
      <c r="AGG36">
        <v>4659757</v>
      </c>
      <c r="AGH36">
        <v>4659757</v>
      </c>
      <c r="AGI36">
        <v>4659757</v>
      </c>
      <c r="AGJ36">
        <v>4659757</v>
      </c>
      <c r="AGK36">
        <v>4659757</v>
      </c>
      <c r="AGL36">
        <v>4659757</v>
      </c>
      <c r="AGM36">
        <v>4659757</v>
      </c>
      <c r="AGN36">
        <v>4659757</v>
      </c>
      <c r="AGO36">
        <v>4659757</v>
      </c>
      <c r="AGP36">
        <v>4659757</v>
      </c>
      <c r="AGQ36">
        <v>4659757</v>
      </c>
      <c r="AGR36">
        <v>4659757</v>
      </c>
      <c r="AGS36">
        <v>4659757</v>
      </c>
      <c r="AGT36">
        <v>4659757</v>
      </c>
      <c r="AGU36">
        <v>4659757</v>
      </c>
      <c r="AGV36">
        <v>4659757</v>
      </c>
      <c r="AGW36">
        <v>4659757</v>
      </c>
      <c r="AGX36">
        <v>4659757</v>
      </c>
      <c r="AGY36">
        <v>4659757</v>
      </c>
      <c r="AGZ36">
        <v>4659757</v>
      </c>
      <c r="AHA36">
        <v>4659757</v>
      </c>
      <c r="AHB36">
        <v>4659757</v>
      </c>
      <c r="AHC36">
        <v>4659757</v>
      </c>
      <c r="AHD36">
        <v>4659757</v>
      </c>
      <c r="AHE36">
        <v>4659757</v>
      </c>
      <c r="AHF36">
        <v>4659757</v>
      </c>
      <c r="AHG36">
        <v>4659757</v>
      </c>
      <c r="AHH36">
        <v>4659757</v>
      </c>
      <c r="AHI36">
        <v>4659757</v>
      </c>
      <c r="AHJ36">
        <v>4659757</v>
      </c>
      <c r="AHK36">
        <v>4659757</v>
      </c>
      <c r="AHL36">
        <v>4659757</v>
      </c>
      <c r="AHM36">
        <v>4659757</v>
      </c>
      <c r="AHN36">
        <v>4659757</v>
      </c>
      <c r="AHO36">
        <v>4659757</v>
      </c>
      <c r="AHP36">
        <v>4659757</v>
      </c>
      <c r="AHQ36">
        <v>4659757</v>
      </c>
    </row>
    <row r="37" spans="1:901">
      <c r="A37" s="1" t="s">
        <v>159</v>
      </c>
      <c r="B37">
        <v>205278</v>
      </c>
      <c r="C37">
        <v>208293</v>
      </c>
      <c r="D37">
        <v>210199</v>
      </c>
      <c r="E37">
        <v>211556</v>
      </c>
      <c r="F37">
        <v>212901</v>
      </c>
      <c r="G37">
        <v>216358</v>
      </c>
      <c r="H37">
        <v>218239</v>
      </c>
      <c r="I37">
        <v>221313</v>
      </c>
      <c r="J37">
        <v>224322</v>
      </c>
      <c r="K37">
        <v>225803</v>
      </c>
      <c r="L37">
        <v>229518</v>
      </c>
      <c r="M37">
        <v>232359</v>
      </c>
      <c r="N37">
        <v>233902</v>
      </c>
      <c r="O37">
        <v>236255</v>
      </c>
      <c r="P37">
        <v>238916</v>
      </c>
      <c r="Q37">
        <v>242136</v>
      </c>
      <c r="R37">
        <v>245197</v>
      </c>
      <c r="S37">
        <v>246766</v>
      </c>
      <c r="T37">
        <v>248736</v>
      </c>
      <c r="U37">
        <v>251361</v>
      </c>
      <c r="V37">
        <v>254180</v>
      </c>
      <c r="W37">
        <v>256777</v>
      </c>
      <c r="X37">
        <v>259772</v>
      </c>
      <c r="Y37">
        <v>262492</v>
      </c>
      <c r="Z37">
        <v>264087</v>
      </c>
      <c r="AA37">
        <v>266427</v>
      </c>
      <c r="AB37">
        <v>268240</v>
      </c>
      <c r="AC37">
        <v>270780</v>
      </c>
      <c r="AD37">
        <v>273605</v>
      </c>
      <c r="AE37">
        <v>276559</v>
      </c>
      <c r="AF37">
        <v>279160</v>
      </c>
      <c r="AG37">
        <v>281249</v>
      </c>
      <c r="AH37">
        <v>283904</v>
      </c>
      <c r="AI37">
        <v>286583</v>
      </c>
      <c r="AJ37">
        <v>290095</v>
      </c>
      <c r="AK37">
        <v>292525</v>
      </c>
      <c r="AL37">
        <v>295579</v>
      </c>
      <c r="AM37">
        <v>299200</v>
      </c>
      <c r="AN37">
        <v>302334</v>
      </c>
      <c r="AO37">
        <v>304815</v>
      </c>
      <c r="AP37">
        <v>307253</v>
      </c>
      <c r="AQ37">
        <v>310963</v>
      </c>
      <c r="AR37">
        <v>314820</v>
      </c>
      <c r="AS37">
        <v>317516</v>
      </c>
      <c r="AT37">
        <v>320589</v>
      </c>
      <c r="AU37">
        <v>323930</v>
      </c>
      <c r="AV37">
        <v>325144</v>
      </c>
      <c r="AW37">
        <v>327794</v>
      </c>
      <c r="AX37">
        <v>330875</v>
      </c>
      <c r="AY37">
        <v>334146</v>
      </c>
      <c r="AZ37">
        <v>337189</v>
      </c>
      <c r="BA37">
        <v>340124</v>
      </c>
      <c r="BB37">
        <v>344350</v>
      </c>
      <c r="BC37">
        <v>347344</v>
      </c>
      <c r="BD37">
        <v>350629</v>
      </c>
      <c r="BE37">
        <v>354970</v>
      </c>
      <c r="BF37">
        <v>358772</v>
      </c>
      <c r="BG37">
        <v>361955</v>
      </c>
      <c r="BH37">
        <v>366559</v>
      </c>
      <c r="BI37">
        <v>370424</v>
      </c>
      <c r="BJ37">
        <v>373231</v>
      </c>
      <c r="BK37">
        <v>377359</v>
      </c>
      <c r="BL37">
        <v>378410</v>
      </c>
      <c r="BM37">
        <v>385965</v>
      </c>
      <c r="BN37">
        <v>390704</v>
      </c>
      <c r="BO37">
        <v>394631</v>
      </c>
      <c r="BP37">
        <v>399366</v>
      </c>
      <c r="BQ37">
        <v>401497</v>
      </c>
      <c r="BR37">
        <v>406500</v>
      </c>
      <c r="BS37">
        <v>412263</v>
      </c>
      <c r="BT37">
        <v>416093</v>
      </c>
      <c r="BU37">
        <v>420422</v>
      </c>
      <c r="BV37">
        <v>424334</v>
      </c>
      <c r="BW37">
        <v>430201</v>
      </c>
      <c r="BX37">
        <v>433899</v>
      </c>
      <c r="BY37">
        <v>437520</v>
      </c>
      <c r="BZ37">
        <v>442787</v>
      </c>
      <c r="CA37">
        <v>448386</v>
      </c>
      <c r="CB37">
        <v>455859</v>
      </c>
      <c r="CC37">
        <v>460820</v>
      </c>
      <c r="CD37">
        <v>468182</v>
      </c>
      <c r="CE37">
        <v>472299</v>
      </c>
      <c r="CF37">
        <v>477921</v>
      </c>
      <c r="CG37">
        <v>484274</v>
      </c>
      <c r="CH37">
        <v>490659</v>
      </c>
      <c r="CI37">
        <v>496704</v>
      </c>
      <c r="CJ37">
        <v>503373</v>
      </c>
      <c r="CK37">
        <v>510031</v>
      </c>
      <c r="CL37">
        <v>514906</v>
      </c>
      <c r="CM37">
        <v>521173</v>
      </c>
      <c r="CN37">
        <v>528583</v>
      </c>
      <c r="CO37">
        <v>537278</v>
      </c>
      <c r="CP37">
        <v>544455</v>
      </c>
      <c r="CQ37">
        <v>552704</v>
      </c>
      <c r="CR37">
        <v>559257</v>
      </c>
      <c r="CS37">
        <v>565207</v>
      </c>
      <c r="CT37">
        <v>572581</v>
      </c>
      <c r="CU37">
        <v>583473</v>
      </c>
      <c r="CV37">
        <v>596819</v>
      </c>
      <c r="CW37">
        <v>603034</v>
      </c>
      <c r="CX37">
        <v>606387</v>
      </c>
      <c r="CY37">
        <v>613379</v>
      </c>
      <c r="CZ37">
        <v>618802</v>
      </c>
      <c r="DA37">
        <v>625939</v>
      </c>
      <c r="DB37">
        <v>633349</v>
      </c>
      <c r="DC37">
        <v>640128</v>
      </c>
      <c r="DD37">
        <v>644768</v>
      </c>
      <c r="DE37">
        <v>648741</v>
      </c>
      <c r="DF37">
        <v>654191</v>
      </c>
      <c r="DG37">
        <v>659229</v>
      </c>
      <c r="DH37">
        <v>667116</v>
      </c>
      <c r="DI37">
        <v>673650</v>
      </c>
      <c r="DJ37">
        <v>679681</v>
      </c>
      <c r="DK37">
        <v>686896</v>
      </c>
      <c r="DL37">
        <v>693232</v>
      </c>
      <c r="DM37">
        <v>701734</v>
      </c>
      <c r="DN37">
        <v>706667</v>
      </c>
      <c r="DO37">
        <v>714493</v>
      </c>
      <c r="DP37">
        <v>721878</v>
      </c>
      <c r="DQ37">
        <v>729518</v>
      </c>
      <c r="DR37">
        <v>738310</v>
      </c>
      <c r="DS37">
        <v>746837</v>
      </c>
      <c r="DT37">
        <v>753084</v>
      </c>
      <c r="DU37">
        <v>757554</v>
      </c>
      <c r="DV37">
        <v>763950</v>
      </c>
      <c r="DW37">
        <v>771797</v>
      </c>
      <c r="DX37">
        <v>779127</v>
      </c>
      <c r="DY37">
        <v>788660</v>
      </c>
      <c r="DZ37">
        <v>795172</v>
      </c>
      <c r="EA37">
        <v>801486</v>
      </c>
      <c r="EB37">
        <v>805953</v>
      </c>
      <c r="EC37">
        <v>813261</v>
      </c>
      <c r="ED37">
        <v>820889</v>
      </c>
      <c r="EE37">
        <v>828179</v>
      </c>
      <c r="EF37">
        <v>836647</v>
      </c>
      <c r="EG37">
        <v>842724</v>
      </c>
      <c r="EH37">
        <v>848026</v>
      </c>
      <c r="EI37">
        <v>852123</v>
      </c>
      <c r="EJ37">
        <v>859227</v>
      </c>
      <c r="EK37">
        <v>867056</v>
      </c>
      <c r="EL37">
        <v>873870</v>
      </c>
      <c r="EM37">
        <v>879662</v>
      </c>
      <c r="EN37">
        <v>884324</v>
      </c>
      <c r="EO37">
        <v>889159</v>
      </c>
      <c r="EP37">
        <v>894791</v>
      </c>
      <c r="EQ37">
        <v>901354</v>
      </c>
      <c r="ER37">
        <v>908287</v>
      </c>
      <c r="ES37">
        <v>914413</v>
      </c>
      <c r="ET37">
        <v>920230</v>
      </c>
      <c r="EU37">
        <v>925989</v>
      </c>
      <c r="EV37">
        <v>931603</v>
      </c>
      <c r="EW37">
        <v>935005</v>
      </c>
      <c r="EX37">
        <v>940015</v>
      </c>
      <c r="EY37">
        <v>946047</v>
      </c>
      <c r="EZ37">
        <v>952609</v>
      </c>
      <c r="FA37">
        <v>959220</v>
      </c>
      <c r="FB37">
        <v>965579</v>
      </c>
      <c r="FC37">
        <v>970883</v>
      </c>
      <c r="FD37">
        <v>975750</v>
      </c>
      <c r="FE37">
        <v>975750</v>
      </c>
      <c r="FF37">
        <v>990505</v>
      </c>
      <c r="FG37">
        <v>997539</v>
      </c>
      <c r="FH37">
        <v>1005801</v>
      </c>
      <c r="FI37">
        <v>1012294</v>
      </c>
      <c r="FJ37">
        <v>1017834</v>
      </c>
      <c r="FK37">
        <v>1023312</v>
      </c>
      <c r="FL37">
        <v>1029860</v>
      </c>
      <c r="FM37">
        <v>1036978</v>
      </c>
      <c r="FN37">
        <v>1043679</v>
      </c>
      <c r="FO37">
        <v>1050877</v>
      </c>
      <c r="FP37">
        <v>1060195</v>
      </c>
      <c r="FQ37">
        <v>1065598</v>
      </c>
      <c r="FR37">
        <v>1072137</v>
      </c>
      <c r="FS37">
        <v>1079088</v>
      </c>
      <c r="FT37">
        <v>1086087</v>
      </c>
      <c r="FU37">
        <v>1101948</v>
      </c>
      <c r="FV37">
        <v>1114405</v>
      </c>
      <c r="FW37">
        <v>1130729</v>
      </c>
      <c r="FX37">
        <v>1140858</v>
      </c>
      <c r="FY37">
        <v>1151115</v>
      </c>
      <c r="FZ37">
        <v>1160950</v>
      </c>
      <c r="GA37">
        <v>1174028</v>
      </c>
      <c r="GB37">
        <v>1185490</v>
      </c>
      <c r="GC37">
        <v>1200492</v>
      </c>
      <c r="GD37">
        <v>1212499</v>
      </c>
      <c r="GE37">
        <v>1228807</v>
      </c>
      <c r="GF37">
        <v>1243759</v>
      </c>
      <c r="GG37">
        <v>1254856</v>
      </c>
      <c r="GH37">
        <v>1264894</v>
      </c>
      <c r="GI37">
        <v>1276551</v>
      </c>
      <c r="GJ37">
        <v>1295454</v>
      </c>
      <c r="GK37">
        <v>1308552</v>
      </c>
      <c r="GL37">
        <v>1319969</v>
      </c>
      <c r="GM37">
        <v>1335070</v>
      </c>
      <c r="GN37">
        <v>1352934</v>
      </c>
      <c r="GO37">
        <v>1372348</v>
      </c>
      <c r="GP37">
        <v>1387452</v>
      </c>
      <c r="GQ37">
        <v>1401904</v>
      </c>
      <c r="GR37">
        <v>1417805</v>
      </c>
      <c r="GS37">
        <v>1431891</v>
      </c>
      <c r="GT37">
        <v>1442803</v>
      </c>
      <c r="GU37">
        <v>1456758</v>
      </c>
      <c r="GV37">
        <v>1470153</v>
      </c>
      <c r="GW37">
        <v>1488362</v>
      </c>
      <c r="GX37">
        <v>1504177</v>
      </c>
      <c r="GY37">
        <v>1519522</v>
      </c>
      <c r="GZ37">
        <v>1532512</v>
      </c>
      <c r="HA37" s="3">
        <v>1546845</v>
      </c>
      <c r="HB37">
        <v>1561178</v>
      </c>
      <c r="HC37">
        <v>1575378</v>
      </c>
      <c r="HD37">
        <v>1594213</v>
      </c>
      <c r="HE37">
        <v>1607709</v>
      </c>
      <c r="HF37">
        <v>1620817</v>
      </c>
      <c r="HG37">
        <v>1630582</v>
      </c>
      <c r="HH37">
        <v>1641855</v>
      </c>
      <c r="HI37">
        <v>1657931</v>
      </c>
      <c r="HJ37">
        <v>1675577</v>
      </c>
      <c r="HK37">
        <v>1693215</v>
      </c>
      <c r="HL37">
        <v>1707496</v>
      </c>
      <c r="HM37">
        <v>1720603</v>
      </c>
      <c r="HN37">
        <v>1734515</v>
      </c>
      <c r="HO37">
        <v>1745442</v>
      </c>
      <c r="HP37">
        <v>1759810</v>
      </c>
      <c r="HQ37">
        <v>1774981</v>
      </c>
      <c r="HR37">
        <v>1789328</v>
      </c>
      <c r="HS37">
        <v>1802140</v>
      </c>
      <c r="HT37">
        <v>1814302</v>
      </c>
      <c r="HU37">
        <v>1820840</v>
      </c>
      <c r="HV37">
        <v>1828957</v>
      </c>
      <c r="HW37">
        <v>1842851</v>
      </c>
      <c r="HX37">
        <v>1857081</v>
      </c>
      <c r="HY37">
        <v>1873060</v>
      </c>
      <c r="HZ37">
        <v>1885930</v>
      </c>
      <c r="IA37">
        <v>1897369</v>
      </c>
      <c r="IB37">
        <v>1909479</v>
      </c>
      <c r="IC37">
        <v>1919711</v>
      </c>
      <c r="ID37">
        <v>1934871</v>
      </c>
      <c r="IE37">
        <v>1949677</v>
      </c>
      <c r="IF37">
        <v>1965821</v>
      </c>
      <c r="IG37">
        <v>1980797</v>
      </c>
      <c r="IH37">
        <v>1993646</v>
      </c>
      <c r="II37">
        <v>2005217</v>
      </c>
      <c r="IJ37">
        <v>2016365</v>
      </c>
      <c r="IK37">
        <v>2030566</v>
      </c>
      <c r="IL37">
        <v>2044626</v>
      </c>
      <c r="IM37">
        <v>2065863</v>
      </c>
      <c r="IN37">
        <v>2083471</v>
      </c>
      <c r="IO37">
        <v>2099892</v>
      </c>
      <c r="IP37">
        <v>2113069</v>
      </c>
      <c r="IQ37">
        <v>2124792</v>
      </c>
      <c r="IR37">
        <v>2143971</v>
      </c>
      <c r="IS37">
        <v>2165339</v>
      </c>
      <c r="IT37">
        <v>2185936</v>
      </c>
      <c r="IU37">
        <v>2196594</v>
      </c>
      <c r="IV37">
        <v>2232389</v>
      </c>
      <c r="IW37">
        <v>2248766</v>
      </c>
      <c r="IX37">
        <v>2265655</v>
      </c>
      <c r="IY37">
        <v>2287354</v>
      </c>
      <c r="IZ37">
        <v>2310860</v>
      </c>
      <c r="JA37">
        <v>2329470</v>
      </c>
      <c r="JB37">
        <v>2350862</v>
      </c>
      <c r="JC37">
        <v>2383181</v>
      </c>
      <c r="JD37">
        <v>2399396</v>
      </c>
      <c r="JE37">
        <v>2415625</v>
      </c>
      <c r="JF37">
        <v>2439191</v>
      </c>
      <c r="JG37">
        <v>2461711</v>
      </c>
      <c r="JH37">
        <v>2485681</v>
      </c>
      <c r="JI37">
        <v>2507090</v>
      </c>
      <c r="JJ37">
        <v>2527472</v>
      </c>
      <c r="JK37">
        <v>2541452</v>
      </c>
      <c r="JL37">
        <v>2556998</v>
      </c>
      <c r="JM37">
        <v>2576667</v>
      </c>
      <c r="JN37">
        <v>2596916</v>
      </c>
      <c r="JO37">
        <v>2615831</v>
      </c>
      <c r="JP37">
        <v>2635307</v>
      </c>
      <c r="JQ37">
        <v>2652635</v>
      </c>
      <c r="JR37">
        <v>2664363</v>
      </c>
      <c r="JS37">
        <v>2676296</v>
      </c>
      <c r="JT37">
        <v>2693798</v>
      </c>
      <c r="JU37">
        <v>2710714</v>
      </c>
      <c r="JV37">
        <v>2727665</v>
      </c>
      <c r="JW37">
        <v>2742723</v>
      </c>
      <c r="JX37">
        <v>2756703</v>
      </c>
      <c r="JY37">
        <v>2766700</v>
      </c>
      <c r="JZ37">
        <v>2777583</v>
      </c>
      <c r="KA37">
        <v>2790767</v>
      </c>
      <c r="KB37">
        <v>2802883</v>
      </c>
      <c r="KC37">
        <v>2815347</v>
      </c>
      <c r="KD37">
        <v>2825984</v>
      </c>
      <c r="KE37">
        <v>2835398</v>
      </c>
      <c r="KF37">
        <v>2843000</v>
      </c>
      <c r="KG37">
        <v>2851034</v>
      </c>
      <c r="KH37">
        <v>2862163</v>
      </c>
      <c r="KI37">
        <v>2871606</v>
      </c>
      <c r="KJ37">
        <v>2881633</v>
      </c>
      <c r="KK37">
        <v>2890817</v>
      </c>
      <c r="KL37">
        <v>2899003</v>
      </c>
      <c r="KM37">
        <v>2904984</v>
      </c>
      <c r="KN37">
        <v>2911447</v>
      </c>
      <c r="KO37">
        <v>2920667</v>
      </c>
      <c r="KP37">
        <v>2930123</v>
      </c>
      <c r="KQ37">
        <v>2937379</v>
      </c>
      <c r="KR37">
        <v>2946304</v>
      </c>
      <c r="KS37">
        <v>2953943</v>
      </c>
      <c r="KT37">
        <v>2958892</v>
      </c>
      <c r="KU37">
        <v>2964785</v>
      </c>
      <c r="KV37">
        <v>2973898</v>
      </c>
      <c r="KW37">
        <v>2982010</v>
      </c>
      <c r="KX37">
        <v>2990908</v>
      </c>
      <c r="KY37">
        <v>2999509</v>
      </c>
      <c r="KZ37">
        <v>3007693</v>
      </c>
      <c r="LA37">
        <v>3013237</v>
      </c>
      <c r="LB37">
        <v>3020925</v>
      </c>
      <c r="LC37">
        <v>3030595</v>
      </c>
      <c r="LD37">
        <v>3039586</v>
      </c>
      <c r="LE37">
        <v>3048612</v>
      </c>
      <c r="LF37">
        <v>3056723</v>
      </c>
      <c r="LG37">
        <v>3064026</v>
      </c>
      <c r="LH37">
        <v>3067145</v>
      </c>
      <c r="LI37">
        <v>3075103</v>
      </c>
      <c r="LJ37">
        <v>3080052</v>
      </c>
      <c r="LK37">
        <v>3093592</v>
      </c>
      <c r="LL37">
        <v>3106917</v>
      </c>
      <c r="LM37">
        <v>3120695</v>
      </c>
      <c r="LN37">
        <v>3132152</v>
      </c>
      <c r="LO37">
        <v>3142261</v>
      </c>
      <c r="LP37">
        <v>3149970</v>
      </c>
      <c r="LQ37">
        <v>3159883</v>
      </c>
      <c r="LR37">
        <v>3170831</v>
      </c>
      <c r="LS37">
        <v>3181390</v>
      </c>
      <c r="LT37">
        <v>3191620</v>
      </c>
      <c r="LU37">
        <v>3200368</v>
      </c>
      <c r="LV37">
        <v>3207026</v>
      </c>
      <c r="LW37">
        <v>3213746</v>
      </c>
      <c r="LX37">
        <v>3224199</v>
      </c>
      <c r="LY37">
        <v>3234738</v>
      </c>
      <c r="LZ37">
        <v>3245116</v>
      </c>
      <c r="MA37">
        <v>3255324</v>
      </c>
      <c r="MB37">
        <v>3263771</v>
      </c>
      <c r="MC37">
        <v>3270618</v>
      </c>
      <c r="MD37">
        <v>3277102</v>
      </c>
      <c r="ME37">
        <v>3286236</v>
      </c>
      <c r="MF37">
        <v>3293439</v>
      </c>
      <c r="MG37">
        <v>3298839</v>
      </c>
      <c r="MH37">
        <v>3305423</v>
      </c>
      <c r="MI37">
        <v>3311769</v>
      </c>
      <c r="MJ37">
        <v>3315862</v>
      </c>
      <c r="MK37">
        <v>3325594</v>
      </c>
      <c r="ML37">
        <v>3342294</v>
      </c>
      <c r="MM37">
        <v>3353058</v>
      </c>
      <c r="MN37">
        <v>3363136</v>
      </c>
      <c r="MO37">
        <v>3373163</v>
      </c>
      <c r="MP37">
        <v>3380101</v>
      </c>
      <c r="MQ37">
        <v>3386425</v>
      </c>
      <c r="MR37">
        <v>3393869</v>
      </c>
      <c r="MS37">
        <v>3404196</v>
      </c>
      <c r="MT37">
        <v>3414522</v>
      </c>
      <c r="MU37">
        <v>3424238</v>
      </c>
      <c r="MV37">
        <v>3432618</v>
      </c>
      <c r="MW37">
        <v>3440903</v>
      </c>
      <c r="MX37">
        <v>3446031</v>
      </c>
      <c r="MY37">
        <v>3452954</v>
      </c>
      <c r="MZ37">
        <v>3462285</v>
      </c>
      <c r="NA37">
        <v>3472637</v>
      </c>
      <c r="NB37">
        <v>3480276</v>
      </c>
      <c r="NC37">
        <v>3488934</v>
      </c>
      <c r="ND37">
        <v>3497016</v>
      </c>
      <c r="NE37">
        <v>3502519</v>
      </c>
      <c r="NF37">
        <v>3502519</v>
      </c>
      <c r="NG37">
        <v>3518631</v>
      </c>
      <c r="NH37">
        <v>3527048</v>
      </c>
      <c r="NI37">
        <v>3534252</v>
      </c>
      <c r="NJ37">
        <v>3542006</v>
      </c>
      <c r="NK37">
        <v>3548420</v>
      </c>
      <c r="NL37">
        <v>3553462</v>
      </c>
      <c r="NM37">
        <v>3559817</v>
      </c>
      <c r="NN37">
        <v>3567748</v>
      </c>
      <c r="NO37">
        <v>3575666</v>
      </c>
      <c r="NP37">
        <v>3583811</v>
      </c>
      <c r="NQ37">
        <v>3592793</v>
      </c>
      <c r="NR37">
        <v>3599655</v>
      </c>
      <c r="NS37">
        <v>3604859</v>
      </c>
      <c r="NT37">
        <v>3611020</v>
      </c>
      <c r="NU37">
        <v>3619188</v>
      </c>
      <c r="NV37">
        <v>3628184</v>
      </c>
      <c r="NW37">
        <v>3635691</v>
      </c>
      <c r="NX37">
        <v>3643650</v>
      </c>
      <c r="NY37">
        <v>3650312</v>
      </c>
      <c r="NZ37">
        <v>3654552</v>
      </c>
      <c r="OA37">
        <v>3659251</v>
      </c>
      <c r="OB37">
        <v>3666188</v>
      </c>
      <c r="OC37">
        <v>3677125</v>
      </c>
      <c r="OD37">
        <v>3687223</v>
      </c>
      <c r="OE37">
        <v>3695773</v>
      </c>
      <c r="OF37">
        <v>3703501</v>
      </c>
      <c r="OG37">
        <v>3708965</v>
      </c>
      <c r="OH37">
        <v>3715703</v>
      </c>
      <c r="OI37">
        <v>3725372</v>
      </c>
      <c r="OJ37">
        <v>3735481</v>
      </c>
      <c r="OK37">
        <v>3745627</v>
      </c>
      <c r="OL37">
        <v>3754929</v>
      </c>
      <c r="OM37">
        <v>3763034</v>
      </c>
      <c r="ON37">
        <v>3768680</v>
      </c>
      <c r="OO37">
        <v>3775255</v>
      </c>
      <c r="OP37">
        <v>3785389</v>
      </c>
      <c r="OQ37">
        <v>3796253</v>
      </c>
      <c r="OR37">
        <v>3806902</v>
      </c>
      <c r="OS37">
        <v>3817513</v>
      </c>
      <c r="OT37">
        <v>3827609</v>
      </c>
      <c r="OU37">
        <v>3834493</v>
      </c>
      <c r="OV37">
        <v>3841507</v>
      </c>
      <c r="OW37">
        <v>3851003</v>
      </c>
      <c r="OX37">
        <v>3860042</v>
      </c>
      <c r="OY37">
        <v>3872562</v>
      </c>
      <c r="OZ37">
        <v>3882793</v>
      </c>
      <c r="PA37">
        <v>3892411</v>
      </c>
      <c r="PB37">
        <v>3899449</v>
      </c>
      <c r="PC37">
        <v>3906401</v>
      </c>
      <c r="PD37">
        <v>3917095</v>
      </c>
      <c r="PE37">
        <v>3926912</v>
      </c>
      <c r="PF37">
        <v>3936990</v>
      </c>
      <c r="PG37">
        <v>3946774</v>
      </c>
      <c r="PH37">
        <v>3956638</v>
      </c>
      <c r="PI37">
        <v>3962817</v>
      </c>
      <c r="PJ37">
        <v>3970031</v>
      </c>
      <c r="PK37">
        <v>3979337</v>
      </c>
      <c r="PL37">
        <v>3990510</v>
      </c>
      <c r="PM37">
        <v>4000634</v>
      </c>
      <c r="PN37">
        <v>4010762</v>
      </c>
      <c r="PO37">
        <v>4019341</v>
      </c>
      <c r="PP37">
        <v>4025285</v>
      </c>
      <c r="PQ37">
        <v>4033096</v>
      </c>
      <c r="PR37">
        <v>4043364</v>
      </c>
      <c r="PS37">
        <v>4053660</v>
      </c>
      <c r="PT37">
        <v>4064402</v>
      </c>
      <c r="PU37">
        <v>4074340</v>
      </c>
      <c r="PV37">
        <v>4083835</v>
      </c>
      <c r="PW37">
        <v>4090729</v>
      </c>
      <c r="PX37">
        <v>4098744</v>
      </c>
      <c r="PY37">
        <v>4109262</v>
      </c>
      <c r="PZ37">
        <v>4119025</v>
      </c>
      <c r="QA37">
        <v>4129007</v>
      </c>
      <c r="QB37">
        <v>4138710</v>
      </c>
      <c r="QC37">
        <v>4146021</v>
      </c>
      <c r="QD37">
        <v>4152518</v>
      </c>
      <c r="QE37">
        <v>4159079</v>
      </c>
      <c r="QF37">
        <v>4167966</v>
      </c>
      <c r="QG37">
        <v>4176956</v>
      </c>
      <c r="QH37">
        <v>4185457</v>
      </c>
      <c r="QI37">
        <v>4195353</v>
      </c>
      <c r="QJ37">
        <v>4202320</v>
      </c>
      <c r="QK37">
        <v>4212437</v>
      </c>
      <c r="QL37">
        <v>4219579</v>
      </c>
      <c r="QM37">
        <v>4230444</v>
      </c>
      <c r="QN37">
        <v>4240428</v>
      </c>
      <c r="QO37">
        <v>4249621</v>
      </c>
      <c r="QP37">
        <v>4259718</v>
      </c>
      <c r="QQ37">
        <v>4269543</v>
      </c>
      <c r="QR37">
        <v>4276655</v>
      </c>
      <c r="QS37">
        <v>4286277</v>
      </c>
      <c r="QT37">
        <v>4296909</v>
      </c>
      <c r="QU37">
        <v>4308305</v>
      </c>
      <c r="QV37">
        <v>4317741</v>
      </c>
      <c r="QW37">
        <v>4329145</v>
      </c>
      <c r="QX37">
        <v>4334499</v>
      </c>
      <c r="QY37">
        <v>4338004</v>
      </c>
      <c r="QZ37">
        <v>4347842</v>
      </c>
      <c r="RA37">
        <v>4360889</v>
      </c>
      <c r="RB37">
        <v>4379860</v>
      </c>
      <c r="RC37">
        <v>4393751</v>
      </c>
      <c r="RD37">
        <v>4415072</v>
      </c>
      <c r="RE37">
        <v>4425017</v>
      </c>
      <c r="RF37">
        <v>4432563</v>
      </c>
      <c r="RG37">
        <v>4446124</v>
      </c>
      <c r="RH37">
        <v>4465421</v>
      </c>
      <c r="RI37">
        <v>4488971</v>
      </c>
      <c r="RJ37">
        <v>4513780</v>
      </c>
      <c r="RK37">
        <v>4537647</v>
      </c>
      <c r="RL37">
        <v>4565146</v>
      </c>
      <c r="RM37">
        <v>4589347</v>
      </c>
      <c r="RN37">
        <v>4614024</v>
      </c>
      <c r="RO37">
        <v>4638043</v>
      </c>
      <c r="RP37">
        <v>4671267</v>
      </c>
      <c r="RQ37">
        <v>4707569</v>
      </c>
      <c r="RR37">
        <v>4742740</v>
      </c>
      <c r="RS37">
        <v>4779227</v>
      </c>
      <c r="RT37">
        <v>4805736</v>
      </c>
      <c r="RU37">
        <v>4830341</v>
      </c>
      <c r="RV37">
        <v>4867693</v>
      </c>
      <c r="RW37">
        <v>4899736</v>
      </c>
      <c r="RX37">
        <v>4935019</v>
      </c>
      <c r="RY37">
        <v>4967501</v>
      </c>
      <c r="RZ37">
        <v>4997416</v>
      </c>
      <c r="SA37">
        <v>5022647</v>
      </c>
      <c r="SB37">
        <v>5045885</v>
      </c>
      <c r="SC37">
        <v>5076547</v>
      </c>
      <c r="SD37">
        <v>5100204</v>
      </c>
      <c r="SE37">
        <v>5124148</v>
      </c>
      <c r="SF37">
        <v>5157664</v>
      </c>
      <c r="SG37">
        <v>5183439</v>
      </c>
      <c r="SH37">
        <v>5202680</v>
      </c>
      <c r="SI37">
        <v>5222452</v>
      </c>
      <c r="SJ37">
        <v>5247496</v>
      </c>
      <c r="SK37">
        <v>5275611</v>
      </c>
      <c r="SL37">
        <v>5303071</v>
      </c>
      <c r="SM37">
        <v>5329521</v>
      </c>
      <c r="SN37">
        <v>5353887</v>
      </c>
      <c r="SO37">
        <v>5369698</v>
      </c>
      <c r="SP37">
        <v>5387446</v>
      </c>
      <c r="SQ37">
        <v>5411645</v>
      </c>
      <c r="SR37">
        <v>5432191</v>
      </c>
      <c r="SS37">
        <v>5455018</v>
      </c>
      <c r="ST37">
        <v>5474956</v>
      </c>
      <c r="SU37">
        <v>5493061</v>
      </c>
      <c r="SV37">
        <v>5505825</v>
      </c>
      <c r="SW37">
        <v>5519236</v>
      </c>
      <c r="SX37">
        <v>5537584</v>
      </c>
      <c r="SY37">
        <v>5554666</v>
      </c>
      <c r="SZ37">
        <v>5570632</v>
      </c>
      <c r="TA37">
        <v>5591056</v>
      </c>
      <c r="TB37">
        <v>5605192</v>
      </c>
      <c r="TC37">
        <v>5615056</v>
      </c>
      <c r="TD37">
        <v>5626554</v>
      </c>
      <c r="TE37">
        <v>5641299</v>
      </c>
      <c r="TF37">
        <v>5655421</v>
      </c>
      <c r="TG37">
        <v>5669122</v>
      </c>
      <c r="TH37">
        <v>5680572</v>
      </c>
      <c r="TI37">
        <v>5690941</v>
      </c>
      <c r="TJ37">
        <v>5698831</v>
      </c>
      <c r="TK37">
        <v>5705619</v>
      </c>
      <c r="TL37">
        <v>5713251</v>
      </c>
      <c r="TM37">
        <v>5723287</v>
      </c>
      <c r="TN37">
        <v>5733295</v>
      </c>
      <c r="TO37">
        <v>5743270</v>
      </c>
      <c r="TP37">
        <v>5753399</v>
      </c>
      <c r="TQ37">
        <v>5759420</v>
      </c>
      <c r="TR37">
        <v>5766662</v>
      </c>
      <c r="TS37">
        <v>5775849</v>
      </c>
      <c r="TT37">
        <v>5783704</v>
      </c>
      <c r="TU37">
        <v>5792508</v>
      </c>
      <c r="TV37">
        <v>5801596</v>
      </c>
      <c r="TW37">
        <v>5809301</v>
      </c>
      <c r="TX37">
        <v>5815934</v>
      </c>
      <c r="TY37">
        <v>5823501</v>
      </c>
      <c r="TZ37">
        <v>5834665</v>
      </c>
      <c r="UA37">
        <v>5845597</v>
      </c>
      <c r="UB37">
        <v>5858748</v>
      </c>
      <c r="UC37">
        <v>5881275</v>
      </c>
      <c r="UD37">
        <v>5881275</v>
      </c>
      <c r="UE37">
        <v>5888873</v>
      </c>
      <c r="UF37">
        <v>5897097</v>
      </c>
      <c r="UG37">
        <v>5908523</v>
      </c>
      <c r="UH37">
        <v>5924427</v>
      </c>
      <c r="UI37">
        <v>5938278</v>
      </c>
      <c r="UJ37">
        <v>5949686</v>
      </c>
      <c r="UK37">
        <v>5959510</v>
      </c>
      <c r="UL37">
        <v>5966754</v>
      </c>
      <c r="UM37">
        <v>5972902</v>
      </c>
      <c r="UN37">
        <v>5985160</v>
      </c>
      <c r="UO37">
        <v>5995538</v>
      </c>
      <c r="UP37">
        <v>6004145</v>
      </c>
      <c r="UQ37">
        <v>6018261</v>
      </c>
      <c r="UR37">
        <v>6022372</v>
      </c>
      <c r="US37">
        <v>6022372</v>
      </c>
      <c r="UT37">
        <v>6028410</v>
      </c>
      <c r="UU37">
        <v>6037194</v>
      </c>
      <c r="UV37">
        <v>6045645</v>
      </c>
      <c r="UW37">
        <v>6052993</v>
      </c>
      <c r="UX37">
        <v>6059168</v>
      </c>
      <c r="UY37">
        <v>6065403</v>
      </c>
      <c r="UZ37">
        <v>6068869</v>
      </c>
      <c r="VA37">
        <v>6072612</v>
      </c>
      <c r="VB37">
        <v>6077462</v>
      </c>
      <c r="VC37">
        <v>6084644</v>
      </c>
      <c r="VD37">
        <v>6084644</v>
      </c>
      <c r="VE37">
        <v>6089116</v>
      </c>
      <c r="VF37">
        <v>6091188</v>
      </c>
      <c r="VG37">
        <v>6091188</v>
      </c>
      <c r="VH37">
        <v>6091188</v>
      </c>
      <c r="VI37">
        <v>6091188</v>
      </c>
      <c r="VJ37">
        <v>6091188</v>
      </c>
      <c r="VK37">
        <v>6091188</v>
      </c>
      <c r="VL37">
        <v>6091188</v>
      </c>
      <c r="VM37">
        <v>6091188</v>
      </c>
      <c r="VN37">
        <v>6091188</v>
      </c>
      <c r="VO37">
        <v>6091188</v>
      </c>
      <c r="VP37">
        <v>6091188</v>
      </c>
      <c r="VQ37">
        <v>6091188</v>
      </c>
      <c r="VR37">
        <v>6091188</v>
      </c>
      <c r="VS37">
        <v>6091188</v>
      </c>
      <c r="VT37">
        <v>6091188</v>
      </c>
      <c r="VU37">
        <v>6091188</v>
      </c>
      <c r="VV37">
        <v>6091188</v>
      </c>
      <c r="VW37">
        <v>6091188</v>
      </c>
      <c r="VX37">
        <v>6091188</v>
      </c>
      <c r="VY37">
        <v>6091188</v>
      </c>
      <c r="VZ37">
        <v>6091188</v>
      </c>
      <c r="WA37">
        <v>6091188</v>
      </c>
      <c r="WB37">
        <v>6091188</v>
      </c>
      <c r="WC37">
        <v>6091188</v>
      </c>
      <c r="WD37">
        <v>6091188</v>
      </c>
      <c r="WE37">
        <v>6114822</v>
      </c>
      <c r="WF37">
        <v>6114822</v>
      </c>
      <c r="WG37">
        <v>6114822</v>
      </c>
      <c r="WH37">
        <v>6114822</v>
      </c>
      <c r="WI37">
        <v>6114822</v>
      </c>
      <c r="WJ37">
        <v>6114822</v>
      </c>
      <c r="WK37">
        <v>6114822</v>
      </c>
      <c r="WL37">
        <v>6114822</v>
      </c>
      <c r="WM37">
        <v>6114822</v>
      </c>
      <c r="WN37">
        <v>6114822</v>
      </c>
      <c r="WO37">
        <v>6114822</v>
      </c>
      <c r="WP37">
        <v>6114822</v>
      </c>
      <c r="WQ37">
        <v>6114822</v>
      </c>
      <c r="WR37">
        <v>6114822</v>
      </c>
      <c r="WS37">
        <v>6114822</v>
      </c>
      <c r="WT37">
        <v>6114822</v>
      </c>
      <c r="WU37">
        <v>6114822</v>
      </c>
      <c r="WV37">
        <v>6114822</v>
      </c>
      <c r="WW37">
        <v>6114822</v>
      </c>
      <c r="WX37">
        <v>6114822</v>
      </c>
      <c r="WY37">
        <v>6114822</v>
      </c>
      <c r="WZ37">
        <v>6114822</v>
      </c>
      <c r="XA37">
        <v>6114822</v>
      </c>
      <c r="XB37">
        <v>6114822</v>
      </c>
      <c r="XC37">
        <v>6114822</v>
      </c>
      <c r="XD37">
        <v>6114822</v>
      </c>
      <c r="XE37">
        <v>6114822</v>
      </c>
      <c r="XF37">
        <v>6114822</v>
      </c>
      <c r="XG37">
        <v>6114822</v>
      </c>
      <c r="XH37">
        <v>6114822</v>
      </c>
      <c r="XI37">
        <v>6114822</v>
      </c>
      <c r="XJ37">
        <v>6114822</v>
      </c>
      <c r="XK37">
        <v>6114822</v>
      </c>
      <c r="XL37">
        <v>6114822</v>
      </c>
      <c r="XM37">
        <v>6114822</v>
      </c>
      <c r="XN37">
        <v>6114822</v>
      </c>
      <c r="XO37">
        <v>6114822</v>
      </c>
      <c r="XP37">
        <v>6114822</v>
      </c>
      <c r="XQ37">
        <v>6114822</v>
      </c>
      <c r="XR37">
        <v>6114822</v>
      </c>
      <c r="XS37">
        <v>6114822</v>
      </c>
      <c r="XT37">
        <v>6114822</v>
      </c>
      <c r="XU37">
        <v>6114822</v>
      </c>
      <c r="XV37">
        <v>6114822</v>
      </c>
      <c r="XW37">
        <v>6114822</v>
      </c>
      <c r="XX37">
        <v>6114822</v>
      </c>
      <c r="XY37">
        <v>6114822</v>
      </c>
      <c r="XZ37">
        <v>6114822</v>
      </c>
      <c r="YA37">
        <v>6114822</v>
      </c>
      <c r="YB37">
        <v>6114822</v>
      </c>
      <c r="YC37">
        <v>6114822</v>
      </c>
      <c r="YD37">
        <v>6114822</v>
      </c>
      <c r="YE37">
        <v>6114822</v>
      </c>
      <c r="YF37" s="1">
        <v>6114822</v>
      </c>
      <c r="YG37" s="1">
        <v>6114822</v>
      </c>
      <c r="YH37" s="1">
        <v>6114822</v>
      </c>
      <c r="YI37" s="1">
        <v>6114822</v>
      </c>
      <c r="YJ37">
        <v>6114822</v>
      </c>
      <c r="YK37">
        <v>6114822</v>
      </c>
      <c r="YL37">
        <v>6114822</v>
      </c>
      <c r="YM37">
        <v>6114822</v>
      </c>
      <c r="YN37">
        <v>6114822</v>
      </c>
      <c r="YO37">
        <v>6114822</v>
      </c>
      <c r="YP37">
        <v>6114822</v>
      </c>
      <c r="YQ37">
        <v>6114822</v>
      </c>
      <c r="YR37">
        <v>6114822</v>
      </c>
      <c r="YS37">
        <v>6114822</v>
      </c>
      <c r="YT37">
        <v>6114822</v>
      </c>
      <c r="YU37">
        <v>6114822</v>
      </c>
      <c r="YV37">
        <v>6114822</v>
      </c>
      <c r="YW37">
        <v>6114822</v>
      </c>
      <c r="YX37">
        <v>6114822</v>
      </c>
      <c r="YY37">
        <v>6114822</v>
      </c>
      <c r="YZ37">
        <v>6114822</v>
      </c>
      <c r="ZA37">
        <v>6114822</v>
      </c>
      <c r="ZB37">
        <v>6114822</v>
      </c>
      <c r="ZC37">
        <v>6114822</v>
      </c>
      <c r="ZD37">
        <v>6114822</v>
      </c>
      <c r="ZE37">
        <v>6114822</v>
      </c>
      <c r="ZF37">
        <v>6114822</v>
      </c>
      <c r="ZG37">
        <v>6114822</v>
      </c>
      <c r="ZH37">
        <v>6114822</v>
      </c>
      <c r="ZI37">
        <v>6114822</v>
      </c>
      <c r="ZJ37">
        <v>6114822</v>
      </c>
      <c r="ZK37">
        <v>6114822</v>
      </c>
      <c r="ZL37">
        <v>6114822</v>
      </c>
      <c r="ZM37">
        <v>6114822</v>
      </c>
      <c r="ZN37">
        <v>6114822</v>
      </c>
      <c r="ZO37">
        <v>6114822</v>
      </c>
      <c r="ZP37">
        <v>6114822</v>
      </c>
      <c r="ZQ37">
        <v>6114822</v>
      </c>
      <c r="ZR37">
        <v>6114822</v>
      </c>
      <c r="ZS37">
        <v>6114822</v>
      </c>
      <c r="ZT37">
        <v>6114822</v>
      </c>
      <c r="ZU37">
        <v>6114822</v>
      </c>
      <c r="ZV37">
        <v>6114822</v>
      </c>
      <c r="ZW37">
        <v>6114822</v>
      </c>
      <c r="ZX37">
        <v>6114822</v>
      </c>
      <c r="ZY37">
        <v>6114822</v>
      </c>
      <c r="ZZ37">
        <v>6114822</v>
      </c>
      <c r="AAA37">
        <v>6114822</v>
      </c>
      <c r="AAB37">
        <v>6114822</v>
      </c>
      <c r="AAC37">
        <v>6114822</v>
      </c>
      <c r="AAD37">
        <v>6114822</v>
      </c>
      <c r="AAE37">
        <v>6114822</v>
      </c>
      <c r="AAF37">
        <v>6114822</v>
      </c>
      <c r="AAG37">
        <v>6114822</v>
      </c>
      <c r="AAH37">
        <v>6114822</v>
      </c>
      <c r="AAI37">
        <v>6114822</v>
      </c>
      <c r="AAJ37">
        <v>6114822</v>
      </c>
      <c r="AAK37">
        <v>6114822</v>
      </c>
      <c r="AAL37">
        <v>6114822</v>
      </c>
      <c r="AAM37">
        <v>6114822</v>
      </c>
      <c r="AAN37">
        <v>6114822</v>
      </c>
      <c r="AAO37">
        <v>6114822</v>
      </c>
      <c r="AAP37">
        <v>6114822</v>
      </c>
      <c r="AAQ37">
        <v>6114822</v>
      </c>
      <c r="AAR37">
        <v>6114822</v>
      </c>
      <c r="AAS37">
        <v>6114822</v>
      </c>
      <c r="AAT37">
        <v>6114822</v>
      </c>
      <c r="AAU37">
        <v>6114822</v>
      </c>
      <c r="AAV37">
        <v>6114822</v>
      </c>
      <c r="AAW37">
        <v>6114822</v>
      </c>
      <c r="AAX37">
        <v>6114822</v>
      </c>
      <c r="AAY37">
        <v>6114822</v>
      </c>
      <c r="AAZ37">
        <v>6114822</v>
      </c>
      <c r="ABA37">
        <v>6114822</v>
      </c>
      <c r="ABB37">
        <v>6114822</v>
      </c>
      <c r="ABC37">
        <v>6114822</v>
      </c>
      <c r="ABD37">
        <v>6114822</v>
      </c>
      <c r="ABE37">
        <v>6114822</v>
      </c>
      <c r="ABF37">
        <v>6114822</v>
      </c>
      <c r="ABG37">
        <v>6114822</v>
      </c>
      <c r="ABH37">
        <v>6114822</v>
      </c>
      <c r="ABI37">
        <v>6114822</v>
      </c>
      <c r="ABJ37">
        <v>6114822</v>
      </c>
      <c r="ABK37">
        <v>6114822</v>
      </c>
      <c r="ABL37">
        <v>6114822</v>
      </c>
      <c r="ABM37">
        <v>6114822</v>
      </c>
      <c r="ABN37">
        <v>6114822</v>
      </c>
      <c r="ABO37">
        <v>6114822</v>
      </c>
      <c r="ABP37">
        <v>6114822</v>
      </c>
      <c r="ABQ37">
        <v>6114822</v>
      </c>
      <c r="ABR37">
        <v>6114822</v>
      </c>
      <c r="ABS37">
        <v>6114822</v>
      </c>
      <c r="ABT37">
        <v>6114822</v>
      </c>
      <c r="ABU37">
        <v>6114822</v>
      </c>
      <c r="ABV37">
        <v>6114822</v>
      </c>
      <c r="ABW37">
        <v>6114822</v>
      </c>
      <c r="ABX37">
        <v>6114822</v>
      </c>
      <c r="ABY37">
        <v>6114822</v>
      </c>
      <c r="ABZ37">
        <v>6114822</v>
      </c>
      <c r="ACA37">
        <v>6114822</v>
      </c>
      <c r="ACB37">
        <v>6114822</v>
      </c>
      <c r="ACC37">
        <v>6114822</v>
      </c>
      <c r="ACD37">
        <v>6114822</v>
      </c>
      <c r="ACE37">
        <v>6114822</v>
      </c>
      <c r="ACF37">
        <v>6114822</v>
      </c>
      <c r="ACG37">
        <v>6114822</v>
      </c>
      <c r="ACH37">
        <v>6114822</v>
      </c>
      <c r="ACI37">
        <v>6114822</v>
      </c>
      <c r="ACJ37">
        <v>6114822</v>
      </c>
      <c r="ACK37">
        <v>6114822</v>
      </c>
      <c r="ACL37">
        <v>6114822</v>
      </c>
      <c r="ACM37">
        <v>6114822</v>
      </c>
      <c r="ACN37">
        <v>6114822</v>
      </c>
      <c r="ACO37">
        <v>6114822</v>
      </c>
      <c r="ACP37">
        <v>6114822</v>
      </c>
      <c r="ACQ37">
        <v>6114822</v>
      </c>
      <c r="ACR37">
        <v>6114822</v>
      </c>
      <c r="ACS37">
        <v>6114822</v>
      </c>
      <c r="ACT37">
        <v>6114822</v>
      </c>
      <c r="ACU37">
        <v>6114822</v>
      </c>
      <c r="ACV37">
        <v>6114822</v>
      </c>
      <c r="ACW37">
        <v>6114822</v>
      </c>
      <c r="ACX37">
        <v>6114822</v>
      </c>
      <c r="ACY37">
        <v>6114822</v>
      </c>
      <c r="ACZ37">
        <v>6114822</v>
      </c>
      <c r="ADA37">
        <v>6114822</v>
      </c>
      <c r="ADB37">
        <v>6114822</v>
      </c>
      <c r="ADC37">
        <v>6114822</v>
      </c>
      <c r="ADD37">
        <v>6114822</v>
      </c>
      <c r="ADE37">
        <v>6114822</v>
      </c>
      <c r="ADF37">
        <v>6114822</v>
      </c>
      <c r="ADG37">
        <v>6114822</v>
      </c>
      <c r="ADH37">
        <v>6114822</v>
      </c>
      <c r="ADI37">
        <v>6114822</v>
      </c>
      <c r="ADJ37">
        <v>6114822</v>
      </c>
      <c r="ADK37">
        <v>6114822</v>
      </c>
      <c r="ADL37">
        <v>6114822</v>
      </c>
      <c r="ADM37">
        <v>6114822</v>
      </c>
      <c r="ADN37">
        <v>6114822</v>
      </c>
      <c r="ADO37">
        <v>6114822</v>
      </c>
      <c r="ADP37">
        <v>6114822</v>
      </c>
      <c r="ADQ37">
        <v>6114822</v>
      </c>
      <c r="ADR37">
        <v>6114822</v>
      </c>
      <c r="ADS37">
        <v>6114822</v>
      </c>
      <c r="ADT37">
        <v>6114822</v>
      </c>
      <c r="ADU37">
        <v>6114822</v>
      </c>
      <c r="ADV37">
        <v>6114822</v>
      </c>
      <c r="ADW37">
        <v>6114822</v>
      </c>
      <c r="ADX37">
        <v>6114822</v>
      </c>
      <c r="ADY37">
        <v>6114822</v>
      </c>
      <c r="ADZ37">
        <v>6114822</v>
      </c>
      <c r="AEA37">
        <v>6114822</v>
      </c>
      <c r="AEB37">
        <v>6114822</v>
      </c>
      <c r="AEC37">
        <v>6114822</v>
      </c>
      <c r="AED37">
        <v>6114822</v>
      </c>
      <c r="AEE37">
        <v>6114822</v>
      </c>
      <c r="AEF37">
        <v>6114822</v>
      </c>
      <c r="AEG37">
        <v>6114822</v>
      </c>
      <c r="AEH37">
        <v>6114822</v>
      </c>
      <c r="AEI37">
        <v>6114822</v>
      </c>
      <c r="AEJ37">
        <v>6114822</v>
      </c>
      <c r="AEK37">
        <v>6114822</v>
      </c>
      <c r="AEL37">
        <v>6114822</v>
      </c>
      <c r="AEM37">
        <v>6114822</v>
      </c>
      <c r="AEN37">
        <v>6114822</v>
      </c>
      <c r="AEO37">
        <v>6114822</v>
      </c>
      <c r="AEP37">
        <v>6114822</v>
      </c>
      <c r="AEQ37">
        <v>6114822</v>
      </c>
      <c r="AER37">
        <v>6114822</v>
      </c>
      <c r="AES37">
        <v>6114822</v>
      </c>
      <c r="AET37">
        <v>6114822</v>
      </c>
      <c r="AEU37">
        <v>6114822</v>
      </c>
      <c r="AEV37">
        <v>6114822</v>
      </c>
      <c r="AEW37">
        <v>6114822</v>
      </c>
      <c r="AEX37">
        <v>6114822</v>
      </c>
      <c r="AEY37">
        <v>6114822</v>
      </c>
      <c r="AEZ37">
        <v>6114822</v>
      </c>
      <c r="AFA37">
        <v>6114822</v>
      </c>
      <c r="AFB37">
        <v>6114822</v>
      </c>
      <c r="AFC37">
        <v>6114822</v>
      </c>
      <c r="AFD37">
        <v>6114822</v>
      </c>
      <c r="AFE37">
        <v>6114822</v>
      </c>
      <c r="AFF37">
        <v>6114822</v>
      </c>
      <c r="AFG37">
        <v>6114822</v>
      </c>
      <c r="AFH37">
        <v>6114822</v>
      </c>
      <c r="AFI37">
        <v>6114822</v>
      </c>
      <c r="AFJ37">
        <v>6114822</v>
      </c>
      <c r="AFK37">
        <v>6114822</v>
      </c>
      <c r="AFL37">
        <v>6114822</v>
      </c>
      <c r="AFM37">
        <v>6114822</v>
      </c>
      <c r="AFN37">
        <v>6114822</v>
      </c>
      <c r="AFO37">
        <v>6114822</v>
      </c>
      <c r="AFP37">
        <v>6114822</v>
      </c>
      <c r="AFQ37">
        <v>6114822</v>
      </c>
      <c r="AFR37">
        <v>6114822</v>
      </c>
      <c r="AFS37">
        <v>6114822</v>
      </c>
      <c r="AFT37">
        <v>6114822</v>
      </c>
      <c r="AFU37">
        <v>6114822</v>
      </c>
      <c r="AFV37">
        <v>6114822</v>
      </c>
      <c r="AFW37">
        <v>6114822</v>
      </c>
      <c r="AFX37">
        <v>6114822</v>
      </c>
      <c r="AFY37">
        <v>6114822</v>
      </c>
      <c r="AFZ37">
        <v>6114822</v>
      </c>
      <c r="AGA37">
        <v>6114822</v>
      </c>
      <c r="AGB37">
        <v>6114822</v>
      </c>
      <c r="AGC37">
        <v>6114822</v>
      </c>
      <c r="AGD37">
        <v>6114822</v>
      </c>
      <c r="AGE37">
        <v>6114822</v>
      </c>
      <c r="AGF37">
        <v>6114822</v>
      </c>
      <c r="AGG37">
        <v>6114822</v>
      </c>
      <c r="AGH37">
        <v>6114822</v>
      </c>
      <c r="AGI37">
        <v>6114822</v>
      </c>
      <c r="AGJ37">
        <v>6114822</v>
      </c>
      <c r="AGK37">
        <v>6114822</v>
      </c>
      <c r="AGL37">
        <v>6114822</v>
      </c>
      <c r="AGM37">
        <v>6114822</v>
      </c>
      <c r="AGN37">
        <v>6114822</v>
      </c>
      <c r="AGO37">
        <v>6114822</v>
      </c>
      <c r="AGP37">
        <v>6114822</v>
      </c>
      <c r="AGQ37">
        <v>6114822</v>
      </c>
      <c r="AGR37">
        <v>6114822</v>
      </c>
      <c r="AGS37">
        <v>6114822</v>
      </c>
      <c r="AGT37">
        <v>6114822</v>
      </c>
      <c r="AGU37">
        <v>6114822</v>
      </c>
      <c r="AGV37">
        <v>6114822</v>
      </c>
      <c r="AGW37">
        <v>6114822</v>
      </c>
      <c r="AGX37">
        <v>6114822</v>
      </c>
      <c r="AGY37">
        <v>6114822</v>
      </c>
      <c r="AGZ37">
        <v>6114822</v>
      </c>
      <c r="AHA37">
        <v>6114822</v>
      </c>
      <c r="AHB37">
        <v>6114822</v>
      </c>
      <c r="AHC37">
        <v>6114822</v>
      </c>
      <c r="AHD37">
        <v>6114822</v>
      </c>
      <c r="AHE37">
        <v>6114822</v>
      </c>
      <c r="AHF37">
        <v>6114822</v>
      </c>
      <c r="AHG37">
        <v>6114822</v>
      </c>
      <c r="AHH37">
        <v>6114822</v>
      </c>
      <c r="AHI37">
        <v>6114822</v>
      </c>
      <c r="AHJ37">
        <v>6114822</v>
      </c>
      <c r="AHK37">
        <v>6114822</v>
      </c>
      <c r="AHL37">
        <v>6114822</v>
      </c>
      <c r="AHM37">
        <v>6114822</v>
      </c>
      <c r="AHN37">
        <v>6114822</v>
      </c>
      <c r="AHO37">
        <v>6114822</v>
      </c>
      <c r="AHP37">
        <v>6114822</v>
      </c>
      <c r="AHQ37">
        <v>6114822</v>
      </c>
    </row>
    <row r="38" spans="1:901">
      <c r="A38" s="1" t="s">
        <v>95</v>
      </c>
      <c r="B38">
        <v>1864663</v>
      </c>
      <c r="C38">
        <v>1864663</v>
      </c>
      <c r="D38">
        <v>1897741</v>
      </c>
      <c r="E38">
        <v>1897741</v>
      </c>
      <c r="F38">
        <v>1897741</v>
      </c>
      <c r="G38">
        <v>1909796</v>
      </c>
      <c r="H38">
        <v>1909796</v>
      </c>
      <c r="I38">
        <v>1920335</v>
      </c>
      <c r="J38">
        <v>1920335</v>
      </c>
      <c r="K38">
        <v>1927870</v>
      </c>
      <c r="L38">
        <v>1936520</v>
      </c>
      <c r="M38">
        <v>1939282</v>
      </c>
      <c r="N38">
        <v>1939282</v>
      </c>
      <c r="O38">
        <v>1948148</v>
      </c>
      <c r="P38">
        <v>1948148</v>
      </c>
      <c r="Q38">
        <v>1957439</v>
      </c>
      <c r="R38">
        <v>1957439</v>
      </c>
      <c r="S38">
        <v>1965367</v>
      </c>
      <c r="T38">
        <v>1965367</v>
      </c>
      <c r="U38">
        <v>1969847</v>
      </c>
      <c r="V38">
        <v>1969847</v>
      </c>
      <c r="W38">
        <v>1979251</v>
      </c>
      <c r="X38">
        <v>1979251</v>
      </c>
      <c r="Y38">
        <v>1988486</v>
      </c>
      <c r="Z38">
        <v>1988486</v>
      </c>
      <c r="AA38">
        <v>1996103</v>
      </c>
      <c r="AB38">
        <v>1996103</v>
      </c>
      <c r="AC38">
        <v>1996103</v>
      </c>
      <c r="AD38">
        <v>1996103</v>
      </c>
      <c r="AE38">
        <v>2013074</v>
      </c>
      <c r="AF38">
        <v>2013074</v>
      </c>
      <c r="AG38">
        <v>2013074</v>
      </c>
      <c r="AH38">
        <v>2022949</v>
      </c>
      <c r="AI38">
        <v>2022949</v>
      </c>
      <c r="AJ38">
        <v>2022949</v>
      </c>
      <c r="AK38">
        <v>2022949</v>
      </c>
      <c r="AL38">
        <v>2022949</v>
      </c>
      <c r="AM38">
        <v>2022949</v>
      </c>
      <c r="AN38">
        <v>2022949</v>
      </c>
      <c r="AO38">
        <v>2078803</v>
      </c>
      <c r="AP38">
        <v>2078803</v>
      </c>
      <c r="AQ38">
        <v>2103473</v>
      </c>
      <c r="AR38">
        <v>2103473</v>
      </c>
      <c r="AS38">
        <v>2127032</v>
      </c>
      <c r="AT38">
        <v>2127032</v>
      </c>
      <c r="AU38">
        <v>2127032</v>
      </c>
      <c r="AV38">
        <v>2127032</v>
      </c>
      <c r="AW38">
        <v>2127032</v>
      </c>
      <c r="AX38">
        <v>2168642</v>
      </c>
      <c r="AY38">
        <v>2168642</v>
      </c>
      <c r="AZ38">
        <v>2186865</v>
      </c>
      <c r="BA38">
        <v>2186865</v>
      </c>
      <c r="BB38">
        <v>2186865</v>
      </c>
      <c r="BC38">
        <v>2207363</v>
      </c>
      <c r="BD38">
        <v>2216750</v>
      </c>
      <c r="BE38">
        <v>2225608</v>
      </c>
      <c r="BF38">
        <v>2234394</v>
      </c>
      <c r="BG38">
        <v>2241906</v>
      </c>
      <c r="BH38">
        <v>2246239</v>
      </c>
      <c r="BI38">
        <v>2250662</v>
      </c>
      <c r="BJ38">
        <v>2250662</v>
      </c>
      <c r="BK38">
        <v>2258273</v>
      </c>
      <c r="BL38">
        <v>2258273</v>
      </c>
      <c r="BM38">
        <v>2267375</v>
      </c>
      <c r="BN38">
        <v>2267375</v>
      </c>
      <c r="BO38">
        <v>2276409</v>
      </c>
      <c r="BP38">
        <v>2276409</v>
      </c>
      <c r="BQ38">
        <v>2281564</v>
      </c>
      <c r="BR38">
        <v>2281564</v>
      </c>
      <c r="BS38">
        <v>2289071</v>
      </c>
      <c r="BT38">
        <v>2289071</v>
      </c>
      <c r="BU38">
        <v>2297557</v>
      </c>
      <c r="BV38">
        <v>2297557</v>
      </c>
      <c r="BW38">
        <v>2297557</v>
      </c>
      <c r="BX38">
        <v>2297557</v>
      </c>
      <c r="BY38">
        <v>2297557</v>
      </c>
      <c r="BZ38">
        <v>2297557</v>
      </c>
      <c r="CA38">
        <v>2317442</v>
      </c>
      <c r="CB38">
        <v>2317442</v>
      </c>
      <c r="CC38">
        <v>2317442</v>
      </c>
      <c r="CD38">
        <v>2325906</v>
      </c>
      <c r="CE38">
        <v>2325906</v>
      </c>
      <c r="CF38">
        <v>2331439</v>
      </c>
      <c r="CG38">
        <v>2331439</v>
      </c>
      <c r="CH38">
        <v>2337527</v>
      </c>
      <c r="CI38">
        <v>2337527</v>
      </c>
      <c r="CJ38">
        <v>2347543</v>
      </c>
      <c r="CK38">
        <v>2347543</v>
      </c>
      <c r="CL38">
        <v>2347543</v>
      </c>
      <c r="CM38">
        <v>2347543</v>
      </c>
      <c r="CN38">
        <v>2367116</v>
      </c>
      <c r="CO38">
        <v>2367116</v>
      </c>
      <c r="CP38">
        <v>2380317</v>
      </c>
      <c r="CQ38">
        <v>2380317</v>
      </c>
      <c r="CR38">
        <v>2380317</v>
      </c>
      <c r="CS38">
        <v>2391908</v>
      </c>
      <c r="CT38">
        <v>2391908</v>
      </c>
      <c r="CU38">
        <v>2398580</v>
      </c>
      <c r="CV38">
        <v>2398580</v>
      </c>
      <c r="CW38">
        <v>2402756</v>
      </c>
      <c r="CX38">
        <v>2402756</v>
      </c>
      <c r="CY38">
        <v>2404049</v>
      </c>
      <c r="CZ38">
        <v>2404049</v>
      </c>
      <c r="DA38">
        <v>2406607</v>
      </c>
      <c r="DB38">
        <v>2406607</v>
      </c>
      <c r="DC38">
        <v>2414531</v>
      </c>
      <c r="DD38">
        <v>2414531</v>
      </c>
      <c r="DE38">
        <v>2417898</v>
      </c>
      <c r="DF38">
        <v>2417898</v>
      </c>
      <c r="DG38">
        <v>2419991</v>
      </c>
      <c r="DH38">
        <v>2419991</v>
      </c>
      <c r="DI38">
        <v>2430062</v>
      </c>
      <c r="DJ38">
        <v>2430062</v>
      </c>
      <c r="DK38">
        <v>2441024</v>
      </c>
      <c r="DL38">
        <v>2441024</v>
      </c>
      <c r="DM38">
        <v>2441024</v>
      </c>
      <c r="DN38">
        <v>2450838</v>
      </c>
      <c r="DO38">
        <v>2450838</v>
      </c>
      <c r="DP38">
        <v>2463702</v>
      </c>
      <c r="DQ38">
        <v>2463702</v>
      </c>
      <c r="DR38">
        <v>2463702</v>
      </c>
      <c r="DS38">
        <v>2492661</v>
      </c>
      <c r="DT38">
        <v>2492661</v>
      </c>
      <c r="DU38">
        <v>2492661</v>
      </c>
      <c r="DV38">
        <v>2514620</v>
      </c>
      <c r="DW38">
        <v>2514620</v>
      </c>
      <c r="DX38">
        <v>2532669</v>
      </c>
      <c r="DY38">
        <v>2532669</v>
      </c>
      <c r="DZ38">
        <v>2558488</v>
      </c>
      <c r="EA38">
        <v>2558488</v>
      </c>
      <c r="EB38">
        <v>2572537</v>
      </c>
      <c r="EC38">
        <v>2586347</v>
      </c>
      <c r="ED38">
        <v>2586347</v>
      </c>
      <c r="EE38">
        <v>2614275</v>
      </c>
      <c r="EF38">
        <v>2614275</v>
      </c>
      <c r="EG38">
        <v>2614275</v>
      </c>
      <c r="EH38">
        <v>2614275</v>
      </c>
      <c r="EI38">
        <v>2657211</v>
      </c>
      <c r="EJ38">
        <v>2657211</v>
      </c>
      <c r="EK38">
        <v>2683167</v>
      </c>
      <c r="EL38">
        <v>2683167</v>
      </c>
      <c r="EM38">
        <v>2707584</v>
      </c>
      <c r="EN38">
        <v>2707584</v>
      </c>
      <c r="EO38">
        <v>2729914</v>
      </c>
      <c r="EP38">
        <v>2729914</v>
      </c>
      <c r="EQ38">
        <v>2745122</v>
      </c>
      <c r="ER38">
        <v>2745122</v>
      </c>
      <c r="ES38">
        <v>2764178</v>
      </c>
      <c r="ET38">
        <v>2764178</v>
      </c>
      <c r="EU38">
        <v>2781130</v>
      </c>
      <c r="EV38">
        <v>2781130</v>
      </c>
      <c r="EW38">
        <v>2781130</v>
      </c>
      <c r="EX38">
        <v>2781130</v>
      </c>
      <c r="EY38">
        <v>2781130</v>
      </c>
      <c r="EZ38">
        <v>2781130</v>
      </c>
      <c r="FA38">
        <v>2831008</v>
      </c>
      <c r="FB38">
        <v>2831008</v>
      </c>
      <c r="FC38">
        <v>2844236</v>
      </c>
      <c r="FD38">
        <v>2844236</v>
      </c>
      <c r="FE38">
        <v>2844236</v>
      </c>
      <c r="FF38">
        <v>2844236</v>
      </c>
      <c r="FG38">
        <v>2844236</v>
      </c>
      <c r="FH38">
        <v>2844236</v>
      </c>
      <c r="FI38">
        <v>2844236</v>
      </c>
      <c r="FJ38">
        <v>2844236</v>
      </c>
      <c r="FK38">
        <v>2898004</v>
      </c>
      <c r="FL38">
        <v>2898004</v>
      </c>
      <c r="FM38">
        <v>2920112</v>
      </c>
      <c r="FN38">
        <v>2920112</v>
      </c>
      <c r="FO38">
        <v>2941218</v>
      </c>
      <c r="FP38">
        <v>2941218</v>
      </c>
      <c r="FQ38">
        <v>2941218</v>
      </c>
      <c r="FR38">
        <v>2962352</v>
      </c>
      <c r="FS38">
        <v>2962352</v>
      </c>
      <c r="FT38">
        <v>2962352</v>
      </c>
      <c r="FU38">
        <v>2987875</v>
      </c>
      <c r="FV38">
        <v>2987875</v>
      </c>
      <c r="FW38">
        <v>3006349</v>
      </c>
      <c r="FX38">
        <v>3006349</v>
      </c>
      <c r="FY38">
        <v>3006349</v>
      </c>
      <c r="FZ38">
        <v>3006349</v>
      </c>
      <c r="GA38">
        <v>3006349</v>
      </c>
      <c r="GB38">
        <v>3044649</v>
      </c>
      <c r="GC38">
        <v>3044649</v>
      </c>
      <c r="GD38">
        <v>3044649</v>
      </c>
      <c r="GE38">
        <v>3044649</v>
      </c>
      <c r="GF38">
        <v>3044649</v>
      </c>
      <c r="GG38">
        <v>3044649</v>
      </c>
      <c r="GH38">
        <v>3102996</v>
      </c>
      <c r="GI38">
        <v>3102996</v>
      </c>
      <c r="GJ38">
        <v>3102996</v>
      </c>
      <c r="GK38">
        <v>3102996</v>
      </c>
      <c r="GL38">
        <v>3157788</v>
      </c>
      <c r="GM38">
        <v>3157788</v>
      </c>
      <c r="GN38">
        <v>3179074</v>
      </c>
      <c r="GO38">
        <v>3179074</v>
      </c>
      <c r="GP38">
        <v>3359014</v>
      </c>
      <c r="GQ38">
        <v>3359014</v>
      </c>
      <c r="GR38">
        <v>3359014</v>
      </c>
      <c r="GS38">
        <v>3359014</v>
      </c>
      <c r="GT38">
        <v>3359014</v>
      </c>
      <c r="GU38">
        <v>3359014</v>
      </c>
      <c r="GV38">
        <v>3359014</v>
      </c>
      <c r="GW38">
        <v>3359014</v>
      </c>
      <c r="GX38">
        <v>3359014</v>
      </c>
      <c r="GY38">
        <v>3359014</v>
      </c>
      <c r="GZ38">
        <v>3359014</v>
      </c>
      <c r="HA38" s="3">
        <v>3359014</v>
      </c>
      <c r="HB38">
        <v>3359014</v>
      </c>
      <c r="HC38">
        <v>3359014</v>
      </c>
      <c r="HD38">
        <v>3359014</v>
      </c>
      <c r="HE38">
        <v>3359014</v>
      </c>
      <c r="HF38">
        <v>3359014</v>
      </c>
      <c r="HG38">
        <v>3359014</v>
      </c>
      <c r="HH38">
        <v>3359014</v>
      </c>
      <c r="HI38">
        <v>3359014</v>
      </c>
      <c r="HJ38">
        <v>3359014</v>
      </c>
      <c r="HK38">
        <v>3359014</v>
      </c>
      <c r="HL38">
        <v>3359014</v>
      </c>
      <c r="HM38">
        <v>3359014</v>
      </c>
      <c r="HN38">
        <v>3359014</v>
      </c>
      <c r="HO38">
        <v>3359014</v>
      </c>
      <c r="HP38">
        <v>3359014</v>
      </c>
      <c r="HQ38">
        <v>3359014</v>
      </c>
      <c r="HR38">
        <v>3359014</v>
      </c>
      <c r="HS38">
        <v>3359014</v>
      </c>
      <c r="HT38">
        <v>3359014</v>
      </c>
      <c r="HU38">
        <v>3359014</v>
      </c>
      <c r="HV38">
        <v>3359014</v>
      </c>
      <c r="HW38">
        <v>3359014</v>
      </c>
      <c r="HX38">
        <v>3359014</v>
      </c>
      <c r="HY38">
        <v>3359014</v>
      </c>
      <c r="HZ38">
        <v>3359014</v>
      </c>
      <c r="IA38">
        <v>3359014</v>
      </c>
      <c r="IB38">
        <v>3359014</v>
      </c>
      <c r="IC38">
        <v>3359014</v>
      </c>
      <c r="ID38">
        <v>3359014</v>
      </c>
      <c r="IE38">
        <v>3359014</v>
      </c>
      <c r="IF38">
        <v>3359014</v>
      </c>
      <c r="IG38">
        <v>3359014</v>
      </c>
      <c r="IH38">
        <v>3359014</v>
      </c>
      <c r="II38">
        <v>3359014</v>
      </c>
      <c r="IJ38">
        <v>3359014</v>
      </c>
      <c r="IK38">
        <v>3359014</v>
      </c>
      <c r="IL38">
        <v>3359014</v>
      </c>
      <c r="IM38">
        <v>3359014</v>
      </c>
      <c r="IN38">
        <v>3359014</v>
      </c>
      <c r="IO38">
        <v>3359014</v>
      </c>
      <c r="IP38">
        <v>3359014</v>
      </c>
      <c r="IQ38">
        <v>3359014</v>
      </c>
      <c r="IR38">
        <v>3359014</v>
      </c>
      <c r="IS38">
        <v>3359014</v>
      </c>
      <c r="IT38">
        <v>3359014</v>
      </c>
      <c r="IU38">
        <v>3359014</v>
      </c>
      <c r="IV38">
        <v>3359014</v>
      </c>
      <c r="IW38">
        <v>3359014</v>
      </c>
      <c r="IX38">
        <v>3359014</v>
      </c>
      <c r="IY38">
        <v>3359014</v>
      </c>
      <c r="IZ38">
        <v>3359014</v>
      </c>
      <c r="JA38">
        <v>3359014</v>
      </c>
      <c r="JB38">
        <v>3359014</v>
      </c>
      <c r="JC38">
        <v>3359014</v>
      </c>
      <c r="JD38">
        <v>3359014</v>
      </c>
      <c r="JE38">
        <v>3359014</v>
      </c>
      <c r="JF38">
        <v>3359014</v>
      </c>
      <c r="JG38">
        <v>3359014</v>
      </c>
      <c r="JH38">
        <v>3359014</v>
      </c>
      <c r="JI38">
        <v>3359014</v>
      </c>
      <c r="JJ38">
        <v>3359014</v>
      </c>
      <c r="JK38">
        <v>3359014</v>
      </c>
      <c r="JL38">
        <v>3359014</v>
      </c>
      <c r="JM38">
        <v>3359014</v>
      </c>
      <c r="JN38">
        <v>3359014</v>
      </c>
      <c r="JO38">
        <v>3359014</v>
      </c>
      <c r="JP38">
        <v>3359014</v>
      </c>
      <c r="JQ38">
        <v>3359014</v>
      </c>
      <c r="JR38">
        <v>3359014</v>
      </c>
      <c r="JS38">
        <v>3359014</v>
      </c>
      <c r="JT38">
        <v>3359014</v>
      </c>
      <c r="JU38">
        <v>3359014</v>
      </c>
      <c r="JV38">
        <v>3359014</v>
      </c>
      <c r="JW38">
        <v>3359014</v>
      </c>
      <c r="JX38">
        <v>3359014</v>
      </c>
      <c r="JY38">
        <v>3359014</v>
      </c>
      <c r="JZ38">
        <v>3359014</v>
      </c>
      <c r="KA38">
        <v>3359014</v>
      </c>
      <c r="KB38">
        <v>3359014</v>
      </c>
      <c r="KC38">
        <v>3359014</v>
      </c>
      <c r="KD38">
        <v>3359014</v>
      </c>
      <c r="KE38">
        <v>3359014</v>
      </c>
      <c r="KF38">
        <v>3359014</v>
      </c>
      <c r="KG38">
        <v>3359014</v>
      </c>
      <c r="KH38">
        <v>3359014</v>
      </c>
      <c r="KI38">
        <v>3359014</v>
      </c>
      <c r="KJ38">
        <v>3359014</v>
      </c>
      <c r="KK38">
        <v>3359014</v>
      </c>
      <c r="KL38">
        <v>3359014</v>
      </c>
      <c r="KM38">
        <v>3359014</v>
      </c>
      <c r="KN38">
        <v>3359014</v>
      </c>
      <c r="KO38">
        <v>3359014</v>
      </c>
      <c r="KP38">
        <v>3359014</v>
      </c>
      <c r="KQ38">
        <v>3359014</v>
      </c>
      <c r="KR38">
        <v>3359014</v>
      </c>
      <c r="KS38">
        <v>3359014</v>
      </c>
      <c r="KT38">
        <v>3359014</v>
      </c>
      <c r="KU38">
        <v>3359014</v>
      </c>
      <c r="KV38">
        <v>3359014</v>
      </c>
      <c r="KW38">
        <v>3359014</v>
      </c>
      <c r="KX38">
        <v>3359014</v>
      </c>
      <c r="KY38">
        <v>3359014</v>
      </c>
      <c r="KZ38">
        <v>3359014</v>
      </c>
      <c r="LA38">
        <v>3359014</v>
      </c>
      <c r="LB38">
        <v>3359014</v>
      </c>
      <c r="LC38">
        <v>3359014</v>
      </c>
      <c r="LD38">
        <v>3359014</v>
      </c>
      <c r="LE38">
        <v>3359014</v>
      </c>
      <c r="LF38">
        <v>3359014</v>
      </c>
      <c r="LG38">
        <v>3359014</v>
      </c>
      <c r="LH38">
        <v>3359014</v>
      </c>
      <c r="LI38">
        <v>3359014</v>
      </c>
      <c r="LJ38">
        <v>3359014</v>
      </c>
      <c r="LK38">
        <v>3359014</v>
      </c>
      <c r="LL38">
        <v>3359014</v>
      </c>
      <c r="LM38">
        <v>3359014</v>
      </c>
      <c r="LN38">
        <v>3359014</v>
      </c>
      <c r="LO38">
        <v>3359014</v>
      </c>
      <c r="LP38">
        <v>3359014</v>
      </c>
      <c r="LQ38">
        <v>3359014</v>
      </c>
      <c r="LR38">
        <v>3359014</v>
      </c>
      <c r="LS38">
        <v>3359014</v>
      </c>
      <c r="LT38">
        <v>3359014</v>
      </c>
      <c r="LU38">
        <v>3359014</v>
      </c>
      <c r="LV38">
        <v>3359014</v>
      </c>
      <c r="LW38">
        <v>3359014</v>
      </c>
      <c r="LX38">
        <v>3359014</v>
      </c>
      <c r="LY38">
        <v>3359014</v>
      </c>
      <c r="LZ38">
        <v>3359014</v>
      </c>
      <c r="MA38">
        <v>3359014</v>
      </c>
      <c r="MB38">
        <v>3359014</v>
      </c>
      <c r="MC38">
        <v>3359014</v>
      </c>
      <c r="MD38">
        <v>3359014</v>
      </c>
      <c r="ME38">
        <v>3359014</v>
      </c>
      <c r="MF38">
        <v>3359014</v>
      </c>
      <c r="MG38">
        <v>3359014</v>
      </c>
      <c r="MH38">
        <v>3359014</v>
      </c>
      <c r="MI38">
        <v>3359014</v>
      </c>
      <c r="MJ38">
        <v>3359014</v>
      </c>
      <c r="MK38">
        <v>3359014</v>
      </c>
      <c r="ML38">
        <v>3359014</v>
      </c>
      <c r="MM38">
        <v>3359014</v>
      </c>
      <c r="MN38">
        <v>3359014</v>
      </c>
      <c r="MO38">
        <v>3359014</v>
      </c>
      <c r="MP38">
        <v>3359014</v>
      </c>
      <c r="MQ38">
        <v>3359014</v>
      </c>
      <c r="MR38">
        <v>3359014</v>
      </c>
      <c r="MS38">
        <v>3359014</v>
      </c>
      <c r="MT38">
        <v>3359014</v>
      </c>
      <c r="MU38">
        <v>3359014</v>
      </c>
      <c r="MV38">
        <v>3359014</v>
      </c>
      <c r="MW38">
        <v>3359014</v>
      </c>
      <c r="MX38">
        <v>3359014</v>
      </c>
      <c r="MY38">
        <v>3359014</v>
      </c>
      <c r="MZ38">
        <v>3359014</v>
      </c>
      <c r="NA38">
        <v>3359014</v>
      </c>
      <c r="NB38">
        <v>3359014</v>
      </c>
      <c r="NC38">
        <v>3359014</v>
      </c>
      <c r="ND38">
        <v>3359014</v>
      </c>
      <c r="NE38">
        <v>3359014</v>
      </c>
      <c r="NF38">
        <v>3359014</v>
      </c>
      <c r="NG38">
        <v>3359014</v>
      </c>
      <c r="NH38">
        <v>3359014</v>
      </c>
      <c r="NI38">
        <v>3359014</v>
      </c>
      <c r="NJ38">
        <v>3359014</v>
      </c>
      <c r="NK38">
        <v>3359014</v>
      </c>
      <c r="NL38">
        <v>3359014</v>
      </c>
      <c r="NM38">
        <v>3359014</v>
      </c>
      <c r="NN38">
        <v>3359014</v>
      </c>
      <c r="NO38">
        <v>3359014</v>
      </c>
      <c r="NP38">
        <v>3359014</v>
      </c>
      <c r="NQ38">
        <v>3359014</v>
      </c>
      <c r="NR38">
        <v>3359014</v>
      </c>
      <c r="NS38">
        <v>3359014</v>
      </c>
      <c r="NT38">
        <v>3359014</v>
      </c>
      <c r="NU38">
        <v>3359014</v>
      </c>
      <c r="NV38">
        <v>3359014</v>
      </c>
      <c r="NW38">
        <v>3359014</v>
      </c>
      <c r="NX38">
        <v>3359014</v>
      </c>
      <c r="NY38">
        <v>3359014</v>
      </c>
      <c r="NZ38">
        <v>3359014</v>
      </c>
      <c r="OA38">
        <v>3359014</v>
      </c>
      <c r="OB38">
        <v>3359014</v>
      </c>
      <c r="OC38">
        <v>3359014</v>
      </c>
      <c r="OD38">
        <v>3359014</v>
      </c>
      <c r="OE38">
        <v>3359014</v>
      </c>
      <c r="OF38">
        <v>3359014</v>
      </c>
      <c r="OG38">
        <v>3359014</v>
      </c>
      <c r="OH38">
        <v>3359014</v>
      </c>
      <c r="OI38">
        <v>3359014</v>
      </c>
      <c r="OJ38">
        <v>3359014</v>
      </c>
      <c r="OK38">
        <v>3359014</v>
      </c>
      <c r="OL38">
        <v>3359014</v>
      </c>
      <c r="OM38">
        <v>3359014</v>
      </c>
      <c r="ON38">
        <v>3359014</v>
      </c>
      <c r="OO38">
        <v>3359014</v>
      </c>
      <c r="OP38">
        <v>3359014</v>
      </c>
      <c r="OQ38">
        <v>3359014</v>
      </c>
      <c r="OR38">
        <v>3359014</v>
      </c>
      <c r="OS38">
        <v>3359014</v>
      </c>
      <c r="OT38">
        <v>3359014</v>
      </c>
      <c r="OU38">
        <v>3359014</v>
      </c>
      <c r="OV38">
        <v>3359014</v>
      </c>
      <c r="OW38">
        <v>3359014</v>
      </c>
      <c r="OX38">
        <v>3359014</v>
      </c>
      <c r="OY38">
        <v>3359014</v>
      </c>
      <c r="OZ38">
        <v>3359014</v>
      </c>
      <c r="PA38">
        <v>3359014</v>
      </c>
      <c r="PB38">
        <v>3359014</v>
      </c>
      <c r="PC38">
        <v>3359014</v>
      </c>
      <c r="PD38">
        <v>3359014</v>
      </c>
      <c r="PE38">
        <v>3359014</v>
      </c>
      <c r="PF38">
        <v>3359014</v>
      </c>
      <c r="PG38">
        <v>3359014</v>
      </c>
      <c r="PH38">
        <v>3359014</v>
      </c>
      <c r="PI38">
        <v>3359014</v>
      </c>
      <c r="PJ38">
        <v>3359014</v>
      </c>
      <c r="PK38">
        <v>3359014</v>
      </c>
      <c r="PL38">
        <v>3359014</v>
      </c>
      <c r="PM38">
        <v>3359014</v>
      </c>
      <c r="PN38">
        <v>3359014</v>
      </c>
      <c r="PO38">
        <v>3359014</v>
      </c>
      <c r="PP38">
        <v>3359014</v>
      </c>
      <c r="PQ38">
        <v>3359014</v>
      </c>
      <c r="PR38">
        <v>3359014</v>
      </c>
      <c r="PS38">
        <v>3359014</v>
      </c>
      <c r="PT38">
        <v>3359014</v>
      </c>
      <c r="PU38">
        <v>3359014</v>
      </c>
      <c r="PV38">
        <v>3359014</v>
      </c>
      <c r="PW38">
        <v>3359014</v>
      </c>
      <c r="PX38">
        <v>3359014</v>
      </c>
      <c r="PY38">
        <v>3359014</v>
      </c>
      <c r="PZ38">
        <v>3359014</v>
      </c>
      <c r="QA38">
        <v>3359014</v>
      </c>
      <c r="QB38">
        <v>3359014</v>
      </c>
      <c r="QC38">
        <v>3359014</v>
      </c>
      <c r="QD38">
        <v>3359014</v>
      </c>
      <c r="QE38">
        <v>3359014</v>
      </c>
      <c r="QF38">
        <v>3359014</v>
      </c>
      <c r="QG38">
        <v>3359014</v>
      </c>
      <c r="QH38">
        <v>3359014</v>
      </c>
      <c r="QI38">
        <v>3359014</v>
      </c>
      <c r="QJ38">
        <v>3359014</v>
      </c>
      <c r="QK38">
        <v>3359014</v>
      </c>
      <c r="QL38">
        <v>3359014</v>
      </c>
      <c r="QM38">
        <v>3359014</v>
      </c>
      <c r="QN38">
        <v>3359014</v>
      </c>
      <c r="QO38">
        <v>3359014</v>
      </c>
      <c r="QP38">
        <v>3359014</v>
      </c>
      <c r="QQ38">
        <v>3359014</v>
      </c>
      <c r="QR38">
        <v>3359014</v>
      </c>
      <c r="QS38">
        <v>3359014</v>
      </c>
      <c r="QT38">
        <v>3359014</v>
      </c>
      <c r="QU38">
        <v>3359014</v>
      </c>
      <c r="QV38">
        <v>3359014</v>
      </c>
      <c r="QW38">
        <v>3359014</v>
      </c>
      <c r="QX38">
        <v>3359014</v>
      </c>
      <c r="QY38">
        <v>3359014</v>
      </c>
      <c r="QZ38">
        <v>3359014</v>
      </c>
      <c r="RA38">
        <v>3359014</v>
      </c>
      <c r="RB38">
        <v>3359014</v>
      </c>
      <c r="RC38">
        <v>3359014</v>
      </c>
      <c r="RD38">
        <v>3359014</v>
      </c>
      <c r="RE38">
        <v>3359014</v>
      </c>
      <c r="RF38">
        <v>3359014</v>
      </c>
      <c r="RG38">
        <v>3359014</v>
      </c>
      <c r="RH38">
        <v>3359014</v>
      </c>
      <c r="RI38">
        <v>3359014</v>
      </c>
      <c r="RJ38">
        <v>3359014</v>
      </c>
      <c r="RK38">
        <v>3359014</v>
      </c>
      <c r="RL38">
        <v>3359014</v>
      </c>
      <c r="RM38">
        <v>3359014</v>
      </c>
      <c r="RN38">
        <v>3359014</v>
      </c>
      <c r="RO38">
        <v>3359014</v>
      </c>
      <c r="RP38">
        <v>3359014</v>
      </c>
      <c r="RQ38">
        <v>3359014</v>
      </c>
      <c r="RR38">
        <v>3359014</v>
      </c>
      <c r="RS38">
        <v>3359014</v>
      </c>
      <c r="RT38">
        <v>3359014</v>
      </c>
      <c r="RU38">
        <v>3359014</v>
      </c>
      <c r="RV38">
        <v>3359014</v>
      </c>
      <c r="RW38">
        <v>3359014</v>
      </c>
      <c r="RX38">
        <v>3359014</v>
      </c>
      <c r="RY38">
        <v>3359014</v>
      </c>
      <c r="RZ38">
        <v>3359014</v>
      </c>
      <c r="SA38">
        <v>3359014</v>
      </c>
      <c r="SB38">
        <v>3359014</v>
      </c>
      <c r="SC38">
        <v>3359014</v>
      </c>
      <c r="SD38">
        <v>3359014</v>
      </c>
      <c r="SE38">
        <v>3359014</v>
      </c>
      <c r="SF38">
        <v>3359014</v>
      </c>
      <c r="SG38">
        <v>3359014</v>
      </c>
      <c r="SH38">
        <v>3359014</v>
      </c>
      <c r="SI38">
        <v>3359014</v>
      </c>
      <c r="SJ38">
        <v>3359014</v>
      </c>
      <c r="SK38">
        <v>3359014</v>
      </c>
      <c r="SL38">
        <v>3359014</v>
      </c>
      <c r="SM38">
        <v>3359014</v>
      </c>
      <c r="SN38">
        <v>3359014</v>
      </c>
      <c r="SO38">
        <v>3359014</v>
      </c>
      <c r="SP38">
        <v>3359014</v>
      </c>
      <c r="SQ38">
        <v>3359014</v>
      </c>
      <c r="SR38">
        <v>3359014</v>
      </c>
      <c r="SS38">
        <v>3359014</v>
      </c>
      <c r="ST38">
        <v>3359014</v>
      </c>
      <c r="SU38">
        <v>3359014</v>
      </c>
      <c r="SV38">
        <v>3359014</v>
      </c>
      <c r="SW38">
        <v>3359014</v>
      </c>
      <c r="SX38">
        <v>3359014</v>
      </c>
      <c r="SY38">
        <v>3359014</v>
      </c>
      <c r="SZ38">
        <v>3359014</v>
      </c>
      <c r="TA38">
        <v>3359014</v>
      </c>
      <c r="TB38">
        <v>3359014</v>
      </c>
      <c r="TC38">
        <v>3359014</v>
      </c>
      <c r="TD38">
        <v>3359014</v>
      </c>
      <c r="TE38">
        <v>3359014</v>
      </c>
      <c r="TF38">
        <v>3359014</v>
      </c>
      <c r="TG38">
        <v>3359014</v>
      </c>
      <c r="TH38">
        <v>3359014</v>
      </c>
      <c r="TI38">
        <v>3359014</v>
      </c>
      <c r="TJ38">
        <v>3359014</v>
      </c>
      <c r="TK38">
        <v>3359014</v>
      </c>
      <c r="TL38">
        <v>3359014</v>
      </c>
      <c r="TM38">
        <v>3359014</v>
      </c>
      <c r="TN38">
        <v>3359014</v>
      </c>
      <c r="TO38">
        <v>3359014</v>
      </c>
      <c r="TP38">
        <v>3359014</v>
      </c>
      <c r="TQ38">
        <v>3359014</v>
      </c>
      <c r="TR38">
        <v>3359014</v>
      </c>
      <c r="TS38">
        <v>3359014</v>
      </c>
      <c r="TT38">
        <v>3359014</v>
      </c>
      <c r="TU38">
        <v>3359014</v>
      </c>
      <c r="TV38">
        <v>3359014</v>
      </c>
      <c r="TW38">
        <v>3359014</v>
      </c>
      <c r="TX38">
        <v>3359014</v>
      </c>
      <c r="TY38">
        <v>3359014</v>
      </c>
      <c r="TZ38">
        <v>3359014</v>
      </c>
      <c r="UA38">
        <v>3359014</v>
      </c>
      <c r="UB38">
        <v>3359014</v>
      </c>
      <c r="UC38">
        <v>3359014</v>
      </c>
      <c r="UD38">
        <v>3359014</v>
      </c>
      <c r="UE38">
        <v>3359014</v>
      </c>
      <c r="UF38">
        <v>3359014</v>
      </c>
      <c r="UG38">
        <v>3359014</v>
      </c>
      <c r="UH38">
        <v>3359014</v>
      </c>
      <c r="UI38">
        <v>3359014</v>
      </c>
      <c r="UJ38">
        <v>3359014</v>
      </c>
      <c r="UK38">
        <v>3359014</v>
      </c>
      <c r="UL38">
        <v>3359014</v>
      </c>
      <c r="UM38">
        <v>3359014</v>
      </c>
      <c r="UN38">
        <v>3359014</v>
      </c>
      <c r="UO38">
        <v>3359014</v>
      </c>
      <c r="UP38">
        <v>3359014</v>
      </c>
      <c r="UQ38">
        <v>3359014</v>
      </c>
      <c r="UR38">
        <v>3359014</v>
      </c>
      <c r="US38">
        <v>3359014</v>
      </c>
      <c r="UT38">
        <v>3359014</v>
      </c>
      <c r="UU38">
        <v>3359014</v>
      </c>
      <c r="UV38">
        <v>3359014</v>
      </c>
      <c r="UW38">
        <v>3359014</v>
      </c>
      <c r="UX38">
        <v>3359014</v>
      </c>
      <c r="UY38">
        <v>3359014</v>
      </c>
      <c r="UZ38">
        <v>3359014</v>
      </c>
      <c r="VA38">
        <v>3359014</v>
      </c>
      <c r="VB38">
        <v>3359014</v>
      </c>
      <c r="VC38">
        <v>3359014</v>
      </c>
      <c r="VD38">
        <v>3359014</v>
      </c>
      <c r="VE38">
        <v>3359014</v>
      </c>
      <c r="VF38">
        <v>3359014</v>
      </c>
      <c r="VG38">
        <v>3359014</v>
      </c>
      <c r="VH38">
        <v>3359014</v>
      </c>
      <c r="VI38">
        <v>3359014</v>
      </c>
      <c r="VJ38">
        <v>3359014</v>
      </c>
      <c r="VK38">
        <v>3359014</v>
      </c>
      <c r="VL38">
        <v>3359014</v>
      </c>
      <c r="VM38">
        <v>3359014</v>
      </c>
      <c r="VN38">
        <v>3359014</v>
      </c>
      <c r="VO38">
        <v>3359014</v>
      </c>
      <c r="VP38">
        <v>3359014</v>
      </c>
      <c r="VQ38">
        <v>3359014</v>
      </c>
      <c r="VR38">
        <v>3359014</v>
      </c>
      <c r="VS38">
        <v>3359014</v>
      </c>
      <c r="VT38">
        <v>3359014</v>
      </c>
      <c r="VU38">
        <v>3359014</v>
      </c>
      <c r="VV38">
        <v>3359014</v>
      </c>
      <c r="VW38">
        <v>3359014</v>
      </c>
      <c r="VX38">
        <v>3359014</v>
      </c>
      <c r="VY38">
        <v>3359014</v>
      </c>
      <c r="VZ38">
        <v>3359014</v>
      </c>
      <c r="WA38">
        <v>3359014</v>
      </c>
      <c r="WB38">
        <v>3359014</v>
      </c>
      <c r="WC38">
        <v>3359014</v>
      </c>
      <c r="WD38">
        <v>3359014</v>
      </c>
      <c r="WE38">
        <v>3359014</v>
      </c>
      <c r="WF38">
        <v>3359014</v>
      </c>
      <c r="WG38">
        <v>3359014</v>
      </c>
      <c r="WH38">
        <v>3359014</v>
      </c>
      <c r="WI38">
        <v>3359014</v>
      </c>
      <c r="WJ38">
        <v>3359014</v>
      </c>
      <c r="WK38">
        <v>3359014</v>
      </c>
      <c r="WL38">
        <v>3359014</v>
      </c>
      <c r="WM38">
        <v>3359014</v>
      </c>
      <c r="WN38">
        <v>3359014</v>
      </c>
      <c r="WO38">
        <v>3359014</v>
      </c>
      <c r="WP38">
        <v>3359014</v>
      </c>
      <c r="WQ38">
        <v>3359014</v>
      </c>
      <c r="WR38">
        <v>3359014</v>
      </c>
      <c r="WS38">
        <v>3359014</v>
      </c>
      <c r="WT38">
        <v>3359014</v>
      </c>
      <c r="WU38">
        <v>3359014</v>
      </c>
      <c r="WV38">
        <v>3359014</v>
      </c>
      <c r="WW38">
        <v>3359014</v>
      </c>
      <c r="WX38">
        <v>3359014</v>
      </c>
      <c r="WY38">
        <v>3359014</v>
      </c>
      <c r="WZ38">
        <v>3359014</v>
      </c>
      <c r="XA38">
        <v>3359014</v>
      </c>
      <c r="XB38">
        <v>3359014</v>
      </c>
      <c r="XC38">
        <v>3359014</v>
      </c>
      <c r="XD38">
        <v>3359014</v>
      </c>
      <c r="XE38">
        <v>3359014</v>
      </c>
      <c r="XF38">
        <v>3359014</v>
      </c>
      <c r="XG38">
        <v>3359014</v>
      </c>
      <c r="XH38">
        <v>3359014</v>
      </c>
      <c r="XI38">
        <v>3359014</v>
      </c>
      <c r="XJ38">
        <v>3359014</v>
      </c>
      <c r="XK38">
        <v>3359014</v>
      </c>
      <c r="XL38">
        <v>3359014</v>
      </c>
      <c r="XM38">
        <v>3359014</v>
      </c>
      <c r="XN38">
        <v>3359014</v>
      </c>
      <c r="XO38">
        <v>3359014</v>
      </c>
      <c r="XP38">
        <v>3359014</v>
      </c>
      <c r="XQ38">
        <v>3359014</v>
      </c>
      <c r="XR38">
        <v>3359014</v>
      </c>
      <c r="XS38">
        <v>3359014</v>
      </c>
      <c r="XT38">
        <v>3359014</v>
      </c>
      <c r="XU38">
        <v>3359014</v>
      </c>
      <c r="XV38">
        <v>3359014</v>
      </c>
      <c r="XW38">
        <v>3359014</v>
      </c>
      <c r="XX38">
        <v>3359014</v>
      </c>
      <c r="XY38">
        <v>3359014</v>
      </c>
      <c r="XZ38">
        <v>3359014</v>
      </c>
      <c r="YA38">
        <v>3359014</v>
      </c>
      <c r="YB38">
        <v>3359014</v>
      </c>
      <c r="YC38">
        <v>3359014</v>
      </c>
      <c r="YD38">
        <v>3359014</v>
      </c>
      <c r="YE38">
        <v>3359014</v>
      </c>
      <c r="YF38" s="1">
        <v>3359014</v>
      </c>
      <c r="YG38" s="1">
        <v>3359014</v>
      </c>
      <c r="YH38" s="1">
        <v>3359014</v>
      </c>
      <c r="YI38" s="1">
        <v>3359014</v>
      </c>
      <c r="YJ38">
        <v>3359014</v>
      </c>
      <c r="YK38">
        <v>3359014</v>
      </c>
      <c r="YL38">
        <v>3359014</v>
      </c>
      <c r="YM38">
        <v>3359014</v>
      </c>
      <c r="YN38">
        <v>3359014</v>
      </c>
      <c r="YO38">
        <v>3359014</v>
      </c>
      <c r="YP38">
        <v>3359014</v>
      </c>
      <c r="YQ38">
        <v>3359014</v>
      </c>
      <c r="YR38">
        <v>3359014</v>
      </c>
      <c r="YS38">
        <v>3359014</v>
      </c>
      <c r="YT38">
        <v>3359014</v>
      </c>
      <c r="YU38">
        <v>3359014</v>
      </c>
      <c r="YV38">
        <v>3359014</v>
      </c>
      <c r="YW38">
        <v>3359014</v>
      </c>
      <c r="YX38">
        <v>3359014</v>
      </c>
      <c r="YY38">
        <v>3359014</v>
      </c>
      <c r="YZ38">
        <v>3359014</v>
      </c>
      <c r="ZA38">
        <v>3359014</v>
      </c>
      <c r="ZB38">
        <v>3359014</v>
      </c>
      <c r="ZC38">
        <v>3359014</v>
      </c>
      <c r="ZD38">
        <v>3359014</v>
      </c>
      <c r="ZE38">
        <v>3359014</v>
      </c>
      <c r="ZF38">
        <v>3359014</v>
      </c>
      <c r="ZG38">
        <v>3359014</v>
      </c>
      <c r="ZH38">
        <v>3359014</v>
      </c>
      <c r="ZI38">
        <v>3359014</v>
      </c>
      <c r="ZJ38">
        <v>3359014</v>
      </c>
      <c r="ZK38">
        <v>3359014</v>
      </c>
      <c r="ZL38">
        <v>3359014</v>
      </c>
      <c r="ZM38">
        <v>3359014</v>
      </c>
      <c r="ZN38">
        <v>3359014</v>
      </c>
      <c r="ZO38">
        <v>3359014</v>
      </c>
      <c r="ZP38">
        <v>3359014</v>
      </c>
      <c r="ZQ38">
        <v>3359014</v>
      </c>
      <c r="ZR38">
        <v>3359014</v>
      </c>
      <c r="ZS38">
        <v>3359014</v>
      </c>
      <c r="ZT38">
        <v>3359014</v>
      </c>
      <c r="ZU38">
        <v>3359014</v>
      </c>
      <c r="ZV38">
        <v>3359014</v>
      </c>
      <c r="ZW38">
        <v>3359014</v>
      </c>
      <c r="ZX38">
        <v>3359014</v>
      </c>
      <c r="ZY38">
        <v>3359014</v>
      </c>
      <c r="ZZ38">
        <v>3359014</v>
      </c>
      <c r="AAA38">
        <v>3359014</v>
      </c>
      <c r="AAB38">
        <v>3359014</v>
      </c>
      <c r="AAC38">
        <v>3359014</v>
      </c>
      <c r="AAD38">
        <v>3359014</v>
      </c>
      <c r="AAE38">
        <v>3359014</v>
      </c>
      <c r="AAF38">
        <v>3359014</v>
      </c>
      <c r="AAG38">
        <v>3359014</v>
      </c>
      <c r="AAH38">
        <v>3359014</v>
      </c>
      <c r="AAI38">
        <v>3359014</v>
      </c>
      <c r="AAJ38">
        <v>3359014</v>
      </c>
      <c r="AAK38">
        <v>3359014</v>
      </c>
      <c r="AAL38">
        <v>3359014</v>
      </c>
      <c r="AAM38">
        <v>3359014</v>
      </c>
      <c r="AAN38">
        <v>3359014</v>
      </c>
      <c r="AAO38">
        <v>3359014</v>
      </c>
      <c r="AAP38">
        <v>3359014</v>
      </c>
      <c r="AAQ38">
        <v>3359014</v>
      </c>
      <c r="AAR38">
        <v>3359014</v>
      </c>
      <c r="AAS38">
        <v>3359014</v>
      </c>
      <c r="AAT38">
        <v>3359014</v>
      </c>
      <c r="AAU38">
        <v>3359014</v>
      </c>
      <c r="AAV38">
        <v>3359014</v>
      </c>
      <c r="AAW38">
        <v>3359014</v>
      </c>
      <c r="AAX38">
        <v>3359014</v>
      </c>
      <c r="AAY38">
        <v>3359014</v>
      </c>
      <c r="AAZ38">
        <v>3359014</v>
      </c>
      <c r="ABA38">
        <v>3359014</v>
      </c>
      <c r="ABB38">
        <v>3359014</v>
      </c>
      <c r="ABC38">
        <v>3359014</v>
      </c>
      <c r="ABD38">
        <v>3359014</v>
      </c>
      <c r="ABE38">
        <v>3359014</v>
      </c>
      <c r="ABF38">
        <v>3359014</v>
      </c>
      <c r="ABG38">
        <v>3359014</v>
      </c>
      <c r="ABH38">
        <v>3359014</v>
      </c>
      <c r="ABI38">
        <v>3359014</v>
      </c>
      <c r="ABJ38">
        <v>3359014</v>
      </c>
      <c r="ABK38">
        <v>3359014</v>
      </c>
      <c r="ABL38">
        <v>3359014</v>
      </c>
      <c r="ABM38">
        <v>3359014</v>
      </c>
      <c r="ABN38">
        <v>3359014</v>
      </c>
      <c r="ABO38">
        <v>3359014</v>
      </c>
      <c r="ABP38">
        <v>3359014</v>
      </c>
      <c r="ABQ38">
        <v>3359014</v>
      </c>
      <c r="ABR38">
        <v>3359014</v>
      </c>
      <c r="ABS38">
        <v>3359014</v>
      </c>
      <c r="ABT38">
        <v>3359014</v>
      </c>
      <c r="ABU38">
        <v>3359014</v>
      </c>
      <c r="ABV38">
        <v>3359014</v>
      </c>
      <c r="ABW38">
        <v>3359014</v>
      </c>
      <c r="ABX38">
        <v>3359014</v>
      </c>
      <c r="ABY38">
        <v>3359014</v>
      </c>
      <c r="ABZ38">
        <v>3359014</v>
      </c>
      <c r="ACA38">
        <v>3359014</v>
      </c>
      <c r="ACB38">
        <v>3359014</v>
      </c>
      <c r="ACC38">
        <v>3359014</v>
      </c>
      <c r="ACD38">
        <v>3359014</v>
      </c>
      <c r="ACE38">
        <v>3359014</v>
      </c>
      <c r="ACF38">
        <v>3359014</v>
      </c>
      <c r="ACG38">
        <v>3359014</v>
      </c>
      <c r="ACH38">
        <v>3359014</v>
      </c>
      <c r="ACI38">
        <v>3359014</v>
      </c>
      <c r="ACJ38">
        <v>3359014</v>
      </c>
      <c r="ACK38">
        <v>3359014</v>
      </c>
      <c r="ACL38">
        <v>3359014</v>
      </c>
      <c r="ACM38">
        <v>3359014</v>
      </c>
      <c r="ACN38">
        <v>3359014</v>
      </c>
      <c r="ACO38">
        <v>3359014</v>
      </c>
      <c r="ACP38">
        <v>3359014</v>
      </c>
      <c r="ACQ38">
        <v>3359014</v>
      </c>
      <c r="ACR38">
        <v>3359014</v>
      </c>
      <c r="ACS38">
        <v>3359014</v>
      </c>
      <c r="ACT38">
        <v>3359014</v>
      </c>
      <c r="ACU38">
        <v>3359014</v>
      </c>
      <c r="ACV38">
        <v>3359014</v>
      </c>
      <c r="ACW38">
        <v>3359014</v>
      </c>
      <c r="ACX38">
        <v>3359014</v>
      </c>
      <c r="ACY38">
        <v>3359014</v>
      </c>
      <c r="ACZ38">
        <v>3359014</v>
      </c>
      <c r="ADA38">
        <v>3359014</v>
      </c>
      <c r="ADB38">
        <v>3359014</v>
      </c>
      <c r="ADC38">
        <v>3359014</v>
      </c>
      <c r="ADD38">
        <v>3359014</v>
      </c>
      <c r="ADE38">
        <v>3359014</v>
      </c>
      <c r="ADF38">
        <v>3359014</v>
      </c>
      <c r="ADG38">
        <v>3359014</v>
      </c>
      <c r="ADH38">
        <v>3359014</v>
      </c>
      <c r="ADI38">
        <v>3359014</v>
      </c>
      <c r="ADJ38">
        <v>3359014</v>
      </c>
      <c r="ADK38">
        <v>3359014</v>
      </c>
      <c r="ADL38">
        <v>3359014</v>
      </c>
      <c r="ADM38">
        <v>3359014</v>
      </c>
      <c r="ADN38">
        <v>3359014</v>
      </c>
      <c r="ADO38">
        <v>3359014</v>
      </c>
      <c r="ADP38">
        <v>3359014</v>
      </c>
      <c r="ADQ38">
        <v>3359014</v>
      </c>
      <c r="ADR38">
        <v>3359014</v>
      </c>
      <c r="ADS38">
        <v>3359014</v>
      </c>
      <c r="ADT38">
        <v>3359014</v>
      </c>
      <c r="ADU38">
        <v>3359014</v>
      </c>
      <c r="ADV38">
        <v>3359014</v>
      </c>
      <c r="ADW38">
        <v>3359014</v>
      </c>
      <c r="ADX38">
        <v>3359014</v>
      </c>
      <c r="ADY38">
        <v>3359014</v>
      </c>
      <c r="ADZ38">
        <v>3359014</v>
      </c>
      <c r="AEA38">
        <v>3359014</v>
      </c>
      <c r="AEB38">
        <v>3359014</v>
      </c>
      <c r="AEC38">
        <v>3359014</v>
      </c>
      <c r="AED38">
        <v>3359014</v>
      </c>
      <c r="AEE38">
        <v>3359014</v>
      </c>
      <c r="AEF38">
        <v>3359014</v>
      </c>
      <c r="AEG38">
        <v>3359014</v>
      </c>
      <c r="AEH38">
        <v>3359014</v>
      </c>
      <c r="AEI38">
        <v>3359014</v>
      </c>
      <c r="AEJ38">
        <v>3359014</v>
      </c>
      <c r="AEK38">
        <v>3359014</v>
      </c>
      <c r="AEL38">
        <v>3359014</v>
      </c>
      <c r="AEM38">
        <v>3359014</v>
      </c>
      <c r="AEN38">
        <v>3359014</v>
      </c>
      <c r="AEO38">
        <v>3359014</v>
      </c>
      <c r="AEP38">
        <v>3359014</v>
      </c>
      <c r="AEQ38">
        <v>3359014</v>
      </c>
      <c r="AER38">
        <v>3359014</v>
      </c>
      <c r="AES38">
        <v>3359014</v>
      </c>
      <c r="AET38">
        <v>3359014</v>
      </c>
      <c r="AEU38">
        <v>3359014</v>
      </c>
      <c r="AEV38">
        <v>3359014</v>
      </c>
      <c r="AEW38">
        <v>3359014</v>
      </c>
      <c r="AEX38">
        <v>3359014</v>
      </c>
      <c r="AEY38">
        <v>3359014</v>
      </c>
      <c r="AEZ38">
        <v>3359014</v>
      </c>
      <c r="AFA38">
        <v>3359014</v>
      </c>
      <c r="AFB38">
        <v>3359014</v>
      </c>
      <c r="AFC38">
        <v>3359014</v>
      </c>
      <c r="AFD38">
        <v>3359014</v>
      </c>
      <c r="AFE38">
        <v>3359014</v>
      </c>
      <c r="AFF38">
        <v>3359014</v>
      </c>
      <c r="AFG38">
        <v>3359014</v>
      </c>
      <c r="AFH38">
        <v>3359014</v>
      </c>
      <c r="AFI38">
        <v>3359014</v>
      </c>
      <c r="AFJ38">
        <v>3359014</v>
      </c>
      <c r="AFK38">
        <v>3359014</v>
      </c>
      <c r="AFL38">
        <v>3359014</v>
      </c>
      <c r="AFM38">
        <v>3359014</v>
      </c>
      <c r="AFN38">
        <v>3359014</v>
      </c>
      <c r="AFO38">
        <v>3359014</v>
      </c>
      <c r="AFP38">
        <v>3359014</v>
      </c>
      <c r="AFQ38">
        <v>3359014</v>
      </c>
      <c r="AFR38">
        <v>3359014</v>
      </c>
      <c r="AFS38">
        <v>3359014</v>
      </c>
      <c r="AFT38">
        <v>3359014</v>
      </c>
      <c r="AFU38">
        <v>3359014</v>
      </c>
      <c r="AFV38">
        <v>3359014</v>
      </c>
      <c r="AFW38">
        <v>3359014</v>
      </c>
      <c r="AFX38">
        <v>3359014</v>
      </c>
      <c r="AFY38">
        <v>3359014</v>
      </c>
      <c r="AFZ38">
        <v>3359014</v>
      </c>
      <c r="AGA38">
        <v>3359014</v>
      </c>
      <c r="AGB38">
        <v>3359014</v>
      </c>
      <c r="AGC38">
        <v>3359014</v>
      </c>
      <c r="AGD38">
        <v>3359014</v>
      </c>
      <c r="AGE38">
        <v>3359014</v>
      </c>
      <c r="AGF38">
        <v>3359014</v>
      </c>
      <c r="AGG38">
        <v>3359014</v>
      </c>
      <c r="AGH38">
        <v>3359014</v>
      </c>
      <c r="AGI38">
        <v>3359014</v>
      </c>
      <c r="AGJ38">
        <v>3359014</v>
      </c>
      <c r="AGK38">
        <v>3359014</v>
      </c>
      <c r="AGL38">
        <v>3359014</v>
      </c>
      <c r="AGM38">
        <v>3359014</v>
      </c>
      <c r="AGN38">
        <v>3359014</v>
      </c>
      <c r="AGO38">
        <v>3359014</v>
      </c>
      <c r="AGP38">
        <v>3359014</v>
      </c>
      <c r="AGQ38">
        <v>3359014</v>
      </c>
      <c r="AGR38">
        <v>3359014</v>
      </c>
      <c r="AGS38">
        <v>3359014</v>
      </c>
      <c r="AGT38">
        <v>3359014</v>
      </c>
      <c r="AGU38">
        <v>3359014</v>
      </c>
      <c r="AGV38">
        <v>3359014</v>
      </c>
      <c r="AGW38">
        <v>3359014</v>
      </c>
      <c r="AGX38">
        <v>3359014</v>
      </c>
      <c r="AGY38">
        <v>3359014</v>
      </c>
      <c r="AGZ38">
        <v>3359014</v>
      </c>
      <c r="AHA38">
        <v>3359014</v>
      </c>
      <c r="AHB38">
        <v>3359014</v>
      </c>
      <c r="AHC38">
        <v>3359014</v>
      </c>
      <c r="AHD38">
        <v>3359014</v>
      </c>
      <c r="AHE38">
        <v>3359014</v>
      </c>
      <c r="AHF38">
        <v>3359014</v>
      </c>
      <c r="AHG38">
        <v>3359014</v>
      </c>
      <c r="AHH38">
        <v>3359014</v>
      </c>
      <c r="AHI38">
        <v>3359014</v>
      </c>
      <c r="AHJ38">
        <v>3359014</v>
      </c>
      <c r="AHK38">
        <v>3359014</v>
      </c>
      <c r="AHL38">
        <v>3359014</v>
      </c>
      <c r="AHM38">
        <v>3359014</v>
      </c>
      <c r="AHN38">
        <v>3359014</v>
      </c>
      <c r="AHO38">
        <v>3359014</v>
      </c>
      <c r="AHP38">
        <v>3359014</v>
      </c>
      <c r="AHQ38">
        <v>3359014</v>
      </c>
    </row>
    <row r="39" spans="1:901">
      <c r="A39" s="1" t="s">
        <v>140</v>
      </c>
      <c r="B39">
        <v>508224</v>
      </c>
      <c r="C39">
        <v>515969</v>
      </c>
      <c r="D39">
        <v>524374</v>
      </c>
      <c r="E39">
        <v>531928</v>
      </c>
      <c r="F39">
        <v>531928</v>
      </c>
      <c r="G39">
        <v>546250</v>
      </c>
      <c r="H39">
        <v>554425</v>
      </c>
      <c r="I39">
        <v>561746</v>
      </c>
      <c r="J39">
        <v>569371</v>
      </c>
      <c r="K39">
        <v>577150</v>
      </c>
      <c r="L39">
        <v>591921</v>
      </c>
      <c r="M39">
        <v>599020</v>
      </c>
      <c r="N39">
        <v>606444</v>
      </c>
      <c r="O39">
        <v>613994</v>
      </c>
      <c r="P39">
        <v>621180</v>
      </c>
      <c r="Q39">
        <v>628725</v>
      </c>
      <c r="R39">
        <v>636163</v>
      </c>
      <c r="S39">
        <v>643701</v>
      </c>
      <c r="T39">
        <v>651035</v>
      </c>
      <c r="U39">
        <v>656805</v>
      </c>
      <c r="V39">
        <v>663612</v>
      </c>
      <c r="W39">
        <v>670744</v>
      </c>
      <c r="X39">
        <v>677952</v>
      </c>
      <c r="Y39">
        <v>685018</v>
      </c>
      <c r="Z39">
        <v>691743</v>
      </c>
      <c r="AA39">
        <v>699646</v>
      </c>
      <c r="AB39">
        <v>706301</v>
      </c>
      <c r="AC39">
        <v>713059</v>
      </c>
      <c r="AD39">
        <v>720834</v>
      </c>
      <c r="AE39">
        <v>728426</v>
      </c>
      <c r="AF39">
        <v>735511</v>
      </c>
      <c r="AG39">
        <v>743416</v>
      </c>
      <c r="AH39">
        <v>749924</v>
      </c>
      <c r="AI39">
        <v>756623</v>
      </c>
      <c r="AJ39">
        <v>763342</v>
      </c>
      <c r="AK39">
        <v>763342</v>
      </c>
      <c r="AL39">
        <v>777247</v>
      </c>
      <c r="AM39">
        <v>784346</v>
      </c>
      <c r="AN39">
        <v>792218</v>
      </c>
      <c r="AO39">
        <v>800197</v>
      </c>
      <c r="AP39">
        <v>808077</v>
      </c>
      <c r="AQ39">
        <v>808077</v>
      </c>
      <c r="AR39">
        <v>824042</v>
      </c>
      <c r="AS39">
        <v>832287</v>
      </c>
      <c r="AT39">
        <v>841281</v>
      </c>
      <c r="AU39">
        <v>849939</v>
      </c>
      <c r="AV39">
        <v>858131</v>
      </c>
      <c r="AW39">
        <v>866228</v>
      </c>
      <c r="AX39">
        <v>866228</v>
      </c>
      <c r="AY39">
        <v>883701</v>
      </c>
      <c r="AZ39">
        <v>891877</v>
      </c>
      <c r="BA39">
        <v>901541</v>
      </c>
      <c r="BB39">
        <v>909632</v>
      </c>
      <c r="BC39">
        <v>918559</v>
      </c>
      <c r="BD39">
        <v>926778</v>
      </c>
      <c r="BE39">
        <v>926778</v>
      </c>
      <c r="BF39">
        <v>943784</v>
      </c>
      <c r="BG39">
        <v>952505</v>
      </c>
      <c r="BH39">
        <v>960579</v>
      </c>
      <c r="BI39">
        <v>969339</v>
      </c>
      <c r="BJ39">
        <v>977916</v>
      </c>
      <c r="BK39">
        <v>985701</v>
      </c>
      <c r="BL39">
        <v>993686</v>
      </c>
      <c r="BM39">
        <v>1002370</v>
      </c>
      <c r="BN39">
        <v>1012786</v>
      </c>
      <c r="BO39">
        <v>1022379</v>
      </c>
      <c r="BP39">
        <v>1032492</v>
      </c>
      <c r="BQ39">
        <v>1042459</v>
      </c>
      <c r="BR39">
        <v>1051530</v>
      </c>
      <c r="BS39">
        <v>1061511</v>
      </c>
      <c r="BT39">
        <v>1072107</v>
      </c>
      <c r="BU39">
        <v>1083028</v>
      </c>
      <c r="BV39">
        <v>1093175</v>
      </c>
      <c r="BW39">
        <v>1103641</v>
      </c>
      <c r="BX39">
        <v>1115144</v>
      </c>
      <c r="BY39">
        <v>1115144</v>
      </c>
      <c r="BZ39">
        <v>1115144</v>
      </c>
      <c r="CA39">
        <v>1146603</v>
      </c>
      <c r="CB39">
        <v>1157127</v>
      </c>
      <c r="CC39">
        <v>1166513</v>
      </c>
      <c r="CD39">
        <v>1176522</v>
      </c>
      <c r="CE39">
        <v>1186621</v>
      </c>
      <c r="CF39">
        <v>1197963</v>
      </c>
      <c r="CG39">
        <v>1197963</v>
      </c>
      <c r="CH39">
        <v>1218718</v>
      </c>
      <c r="CI39">
        <v>1229513</v>
      </c>
      <c r="CJ39">
        <v>1229513</v>
      </c>
      <c r="CK39">
        <v>1251767</v>
      </c>
      <c r="CL39">
        <v>1261754</v>
      </c>
      <c r="CM39">
        <v>1272319</v>
      </c>
      <c r="CN39">
        <v>1283188</v>
      </c>
      <c r="CO39">
        <v>1294052</v>
      </c>
      <c r="CP39">
        <v>1294052</v>
      </c>
      <c r="CQ39">
        <v>1316973</v>
      </c>
      <c r="CR39">
        <v>1329615</v>
      </c>
      <c r="CS39">
        <v>1329615</v>
      </c>
      <c r="CT39">
        <v>1329615</v>
      </c>
      <c r="CU39">
        <v>1329615</v>
      </c>
      <c r="CV39">
        <v>1329615</v>
      </c>
      <c r="CW39">
        <v>1329615</v>
      </c>
      <c r="CX39">
        <v>1406602</v>
      </c>
      <c r="CY39">
        <v>1420514</v>
      </c>
      <c r="CZ39">
        <v>1420514</v>
      </c>
      <c r="DA39">
        <v>1448906</v>
      </c>
      <c r="DB39">
        <v>1448906</v>
      </c>
      <c r="DC39">
        <v>1476673</v>
      </c>
      <c r="DD39">
        <v>1490767</v>
      </c>
      <c r="DE39">
        <v>1502010</v>
      </c>
      <c r="DF39">
        <v>1513264</v>
      </c>
      <c r="DG39">
        <v>1523288</v>
      </c>
      <c r="DH39">
        <v>1532042</v>
      </c>
      <c r="DI39">
        <v>1542178</v>
      </c>
      <c r="DJ39">
        <v>1553574</v>
      </c>
      <c r="DK39">
        <v>1565666</v>
      </c>
      <c r="DL39">
        <v>1579258</v>
      </c>
      <c r="DM39">
        <v>1592607</v>
      </c>
      <c r="DN39">
        <v>1605819</v>
      </c>
      <c r="DO39">
        <v>1620169</v>
      </c>
      <c r="DP39">
        <v>1634430</v>
      </c>
      <c r="DQ39">
        <v>1649009</v>
      </c>
      <c r="DR39">
        <v>1663559</v>
      </c>
      <c r="DS39">
        <v>1676882</v>
      </c>
      <c r="DT39">
        <v>1689747</v>
      </c>
      <c r="DU39">
        <v>1701134</v>
      </c>
      <c r="DV39">
        <v>1713810</v>
      </c>
      <c r="DW39">
        <v>1724741</v>
      </c>
      <c r="DX39">
        <v>1736174</v>
      </c>
      <c r="DY39">
        <v>1738190</v>
      </c>
      <c r="DZ39">
        <v>1763994</v>
      </c>
      <c r="EA39">
        <v>1763994</v>
      </c>
      <c r="EB39">
        <v>1793383</v>
      </c>
      <c r="EC39">
        <v>1808927</v>
      </c>
      <c r="ED39">
        <v>1823454</v>
      </c>
      <c r="EE39">
        <v>1838047</v>
      </c>
      <c r="EF39">
        <v>1851950</v>
      </c>
      <c r="EG39">
        <v>1868479</v>
      </c>
      <c r="EH39">
        <v>1868479</v>
      </c>
      <c r="EI39">
        <v>1904926</v>
      </c>
      <c r="EJ39">
        <v>1922930</v>
      </c>
      <c r="EK39">
        <v>1940006</v>
      </c>
      <c r="EL39">
        <v>1958101</v>
      </c>
      <c r="EM39">
        <v>1976118</v>
      </c>
      <c r="EN39">
        <v>1993618</v>
      </c>
      <c r="EO39">
        <v>2011405</v>
      </c>
      <c r="EP39">
        <v>2030386</v>
      </c>
      <c r="EQ39">
        <v>2049708</v>
      </c>
      <c r="ER39">
        <v>2069418</v>
      </c>
      <c r="ES39">
        <v>2088032</v>
      </c>
      <c r="ET39">
        <v>2106593</v>
      </c>
      <c r="EU39">
        <v>2124774</v>
      </c>
      <c r="EV39">
        <v>2143136</v>
      </c>
      <c r="EW39">
        <v>2160943</v>
      </c>
      <c r="EX39">
        <v>2177217</v>
      </c>
      <c r="EY39">
        <v>2193351</v>
      </c>
      <c r="EZ39">
        <v>2210402</v>
      </c>
      <c r="FA39">
        <v>2228351</v>
      </c>
      <c r="FB39">
        <v>2245496</v>
      </c>
      <c r="FC39">
        <v>2263652</v>
      </c>
      <c r="FD39">
        <v>2281712</v>
      </c>
      <c r="FE39">
        <v>2300430</v>
      </c>
      <c r="FF39">
        <v>2319222</v>
      </c>
      <c r="FG39">
        <v>2337559</v>
      </c>
      <c r="FH39">
        <v>2356127</v>
      </c>
      <c r="FI39">
        <v>2374019</v>
      </c>
      <c r="FJ39">
        <v>2392132</v>
      </c>
      <c r="FK39">
        <v>2411287</v>
      </c>
      <c r="FL39">
        <v>2428864</v>
      </c>
      <c r="FM39">
        <v>2446444</v>
      </c>
      <c r="FN39">
        <v>2464521</v>
      </c>
      <c r="FO39">
        <v>2482557</v>
      </c>
      <c r="FP39">
        <v>2500874</v>
      </c>
      <c r="FQ39">
        <v>2519444</v>
      </c>
      <c r="FR39">
        <v>2540022</v>
      </c>
      <c r="FS39">
        <v>2558296</v>
      </c>
      <c r="FT39">
        <v>2576974</v>
      </c>
      <c r="FU39">
        <v>2594515</v>
      </c>
      <c r="FV39">
        <v>2612274</v>
      </c>
      <c r="FW39">
        <v>2630636</v>
      </c>
      <c r="FX39">
        <v>2649946</v>
      </c>
      <c r="FY39">
        <v>2670824</v>
      </c>
      <c r="FZ39">
        <v>2690636</v>
      </c>
      <c r="GA39">
        <v>2710768</v>
      </c>
      <c r="GB39">
        <v>2730305</v>
      </c>
      <c r="GC39">
        <v>2749686</v>
      </c>
      <c r="GD39">
        <v>2769474</v>
      </c>
      <c r="GE39">
        <v>2788164</v>
      </c>
      <c r="GF39">
        <v>2807130</v>
      </c>
      <c r="GG39">
        <v>2825292</v>
      </c>
      <c r="GH39">
        <v>2843469</v>
      </c>
      <c r="GI39">
        <v>2863281</v>
      </c>
      <c r="GJ39">
        <v>2883123</v>
      </c>
      <c r="GK39">
        <v>2904058</v>
      </c>
      <c r="GL39">
        <v>2924071</v>
      </c>
      <c r="GM39">
        <v>2943431</v>
      </c>
      <c r="GN39">
        <v>2963852</v>
      </c>
      <c r="GO39">
        <v>2984264</v>
      </c>
      <c r="GP39">
        <v>2984264</v>
      </c>
      <c r="GQ39">
        <v>3025927</v>
      </c>
      <c r="GR39">
        <v>3046901</v>
      </c>
      <c r="GS39">
        <v>3068389</v>
      </c>
      <c r="GT39">
        <v>3089589</v>
      </c>
      <c r="GU39">
        <v>3108917</v>
      </c>
      <c r="GV39">
        <v>3129044</v>
      </c>
      <c r="GW39">
        <v>3149346</v>
      </c>
      <c r="GX39">
        <v>3170526</v>
      </c>
      <c r="GY39">
        <v>3191858</v>
      </c>
      <c r="GZ39">
        <v>3213345</v>
      </c>
      <c r="HA39" s="3">
        <v>3234944</v>
      </c>
      <c r="HB39">
        <v>3256543</v>
      </c>
      <c r="HC39">
        <v>3277536</v>
      </c>
      <c r="HD39">
        <v>3298208</v>
      </c>
      <c r="HE39">
        <v>3320626</v>
      </c>
      <c r="HF39">
        <v>3341813</v>
      </c>
      <c r="HG39">
        <v>3363901</v>
      </c>
      <c r="HH39">
        <v>3385469</v>
      </c>
      <c r="HI39">
        <v>3407708</v>
      </c>
      <c r="HJ39">
        <v>3429088</v>
      </c>
      <c r="HK39">
        <v>3450918</v>
      </c>
      <c r="HL39">
        <v>3473135</v>
      </c>
      <c r="HM39">
        <v>3495722</v>
      </c>
      <c r="HN39">
        <v>3517959</v>
      </c>
      <c r="HO39">
        <v>3541978</v>
      </c>
      <c r="HP39">
        <v>3564773</v>
      </c>
      <c r="HQ39">
        <v>3586214</v>
      </c>
      <c r="HR39">
        <v>3586214</v>
      </c>
      <c r="HS39">
        <v>3631470</v>
      </c>
      <c r="HT39">
        <v>3654854</v>
      </c>
      <c r="HU39">
        <v>3677091</v>
      </c>
      <c r="HV39">
        <v>3700029</v>
      </c>
      <c r="HW39">
        <v>3720729</v>
      </c>
      <c r="HX39">
        <v>3741796</v>
      </c>
      <c r="HY39">
        <v>3764614</v>
      </c>
      <c r="HZ39">
        <v>3787896</v>
      </c>
      <c r="IA39">
        <v>3812673</v>
      </c>
      <c r="IB39">
        <v>3837345</v>
      </c>
      <c r="IC39">
        <v>3861456</v>
      </c>
      <c r="ID39">
        <v>3879873</v>
      </c>
      <c r="IE39">
        <v>3900479</v>
      </c>
      <c r="IF39">
        <v>3923413</v>
      </c>
      <c r="IG39">
        <v>3946550</v>
      </c>
      <c r="IH39">
        <v>3970083</v>
      </c>
      <c r="II39">
        <v>3993104</v>
      </c>
      <c r="IJ39">
        <v>4015883</v>
      </c>
      <c r="IK39">
        <v>4037878</v>
      </c>
      <c r="IL39">
        <v>4060526</v>
      </c>
      <c r="IM39">
        <v>4082100</v>
      </c>
      <c r="IN39">
        <v>4104996</v>
      </c>
      <c r="IO39">
        <v>4104996</v>
      </c>
      <c r="IP39">
        <v>4150241</v>
      </c>
      <c r="IQ39">
        <v>4171500</v>
      </c>
      <c r="IR39">
        <v>4193872</v>
      </c>
      <c r="IS39">
        <v>4215100</v>
      </c>
      <c r="IT39">
        <v>4238178</v>
      </c>
      <c r="IU39">
        <v>4260156</v>
      </c>
      <c r="IV39">
        <v>4283455</v>
      </c>
      <c r="IW39">
        <v>4306457</v>
      </c>
      <c r="IX39">
        <v>4328864</v>
      </c>
      <c r="IY39">
        <v>4349338</v>
      </c>
      <c r="IZ39">
        <v>4370750</v>
      </c>
      <c r="JA39">
        <v>4393370</v>
      </c>
      <c r="JB39">
        <v>4417769</v>
      </c>
      <c r="JC39">
        <v>4441732</v>
      </c>
      <c r="JD39">
        <v>4463462</v>
      </c>
      <c r="JE39">
        <v>4484454</v>
      </c>
      <c r="JF39">
        <v>4506965</v>
      </c>
      <c r="JG39">
        <v>4529297</v>
      </c>
      <c r="JH39">
        <v>4552905</v>
      </c>
      <c r="JI39">
        <v>4575595</v>
      </c>
      <c r="JJ39">
        <v>4596325</v>
      </c>
      <c r="JK39">
        <v>4615925</v>
      </c>
      <c r="JL39">
        <v>4638018</v>
      </c>
      <c r="JM39">
        <v>4657880</v>
      </c>
      <c r="JN39">
        <v>4677671</v>
      </c>
      <c r="JO39">
        <v>4706428</v>
      </c>
      <c r="JP39">
        <v>4734063</v>
      </c>
      <c r="JQ39">
        <v>4764638</v>
      </c>
      <c r="JR39">
        <v>4795796</v>
      </c>
      <c r="JS39">
        <v>4825077</v>
      </c>
      <c r="JT39">
        <v>4852203</v>
      </c>
      <c r="JU39">
        <v>4882665</v>
      </c>
      <c r="JV39">
        <v>4916136</v>
      </c>
      <c r="JW39">
        <v>4948516</v>
      </c>
      <c r="JX39">
        <v>4983124</v>
      </c>
      <c r="JY39">
        <v>4983124</v>
      </c>
      <c r="JZ39">
        <v>5047554</v>
      </c>
      <c r="KA39">
        <v>5078499</v>
      </c>
      <c r="KB39">
        <v>5113084</v>
      </c>
      <c r="KC39">
        <v>5149286</v>
      </c>
      <c r="KD39">
        <v>5185286</v>
      </c>
      <c r="KE39">
        <v>5220135</v>
      </c>
      <c r="KF39">
        <v>5257936</v>
      </c>
      <c r="KG39">
        <v>5296762</v>
      </c>
      <c r="KH39">
        <v>5332005</v>
      </c>
      <c r="KI39">
        <v>5368910</v>
      </c>
      <c r="KJ39">
        <v>5408011</v>
      </c>
      <c r="KK39">
        <v>5452664</v>
      </c>
      <c r="KL39">
        <v>5501862</v>
      </c>
      <c r="KM39">
        <v>5548510</v>
      </c>
      <c r="KN39">
        <v>5590215</v>
      </c>
      <c r="KO39">
        <v>5628936</v>
      </c>
      <c r="KP39">
        <v>5672182</v>
      </c>
      <c r="KQ39">
        <v>5717903</v>
      </c>
      <c r="KR39">
        <v>5717903</v>
      </c>
      <c r="KS39">
        <v>5812725</v>
      </c>
      <c r="KT39">
        <v>5862690</v>
      </c>
      <c r="KU39">
        <v>5907000</v>
      </c>
      <c r="KV39">
        <v>5950808</v>
      </c>
      <c r="KW39">
        <v>5997158</v>
      </c>
      <c r="KX39">
        <v>6048002</v>
      </c>
      <c r="KY39">
        <v>6099427</v>
      </c>
      <c r="KZ39">
        <v>6152433</v>
      </c>
      <c r="LA39">
        <v>6208857</v>
      </c>
      <c r="LB39">
        <v>6262167</v>
      </c>
      <c r="LC39">
        <v>6309783</v>
      </c>
      <c r="LD39">
        <v>6360992</v>
      </c>
      <c r="LE39">
        <v>6414461</v>
      </c>
      <c r="LF39">
        <v>6465603</v>
      </c>
      <c r="LG39">
        <v>6516361</v>
      </c>
      <c r="LH39">
        <v>6564114</v>
      </c>
      <c r="LI39">
        <v>6609428</v>
      </c>
      <c r="LJ39">
        <v>6648722</v>
      </c>
      <c r="LK39">
        <v>6688393</v>
      </c>
      <c r="LL39">
        <v>6734699</v>
      </c>
      <c r="LM39">
        <v>6778097</v>
      </c>
      <c r="LN39">
        <v>6818335</v>
      </c>
      <c r="LO39">
        <v>6860065</v>
      </c>
      <c r="LP39">
        <v>6899423</v>
      </c>
      <c r="LQ39">
        <v>6936796</v>
      </c>
      <c r="LR39">
        <v>6974201</v>
      </c>
      <c r="LS39">
        <v>7018227</v>
      </c>
      <c r="LT39">
        <v>7063808</v>
      </c>
      <c r="LU39">
        <v>7112610</v>
      </c>
      <c r="LV39">
        <v>7158719</v>
      </c>
      <c r="LW39">
        <v>7203079</v>
      </c>
      <c r="LX39">
        <v>7244102</v>
      </c>
      <c r="LY39">
        <v>7290041</v>
      </c>
      <c r="LZ39">
        <v>7338692</v>
      </c>
      <c r="MA39">
        <v>7388327</v>
      </c>
      <c r="MB39">
        <v>7437032</v>
      </c>
      <c r="MC39">
        <v>7490885</v>
      </c>
      <c r="MD39">
        <v>7538108</v>
      </c>
      <c r="ME39">
        <v>7583637</v>
      </c>
      <c r="MF39">
        <v>7634180</v>
      </c>
      <c r="MG39">
        <v>7688668</v>
      </c>
      <c r="MH39">
        <v>7743806</v>
      </c>
      <c r="MI39">
        <v>7797481</v>
      </c>
      <c r="MJ39">
        <v>7845245</v>
      </c>
      <c r="MK39">
        <v>7891609</v>
      </c>
      <c r="ML39">
        <v>7935443</v>
      </c>
      <c r="MM39">
        <v>7985117</v>
      </c>
      <c r="MN39">
        <v>8042254</v>
      </c>
      <c r="MO39">
        <v>8100659</v>
      </c>
      <c r="MP39">
        <v>8161597</v>
      </c>
      <c r="MQ39">
        <v>8221186</v>
      </c>
      <c r="MR39">
        <v>8277994</v>
      </c>
      <c r="MS39">
        <v>8332630</v>
      </c>
      <c r="MT39">
        <v>8389906</v>
      </c>
      <c r="MU39">
        <v>8452475</v>
      </c>
      <c r="MV39">
        <v>8512380</v>
      </c>
      <c r="MW39">
        <v>8568423</v>
      </c>
      <c r="MX39">
        <v>8624937</v>
      </c>
      <c r="MY39">
        <v>8678523</v>
      </c>
      <c r="MZ39">
        <v>8728301</v>
      </c>
      <c r="NA39">
        <v>8779431</v>
      </c>
      <c r="NB39">
        <v>8835501</v>
      </c>
      <c r="NC39">
        <v>8889419</v>
      </c>
      <c r="ND39">
        <v>8948334</v>
      </c>
      <c r="NE39">
        <v>9005465</v>
      </c>
      <c r="NF39">
        <v>9060867</v>
      </c>
      <c r="NG39">
        <v>9112128</v>
      </c>
      <c r="NH39">
        <v>9165377</v>
      </c>
      <c r="NI39">
        <v>9220116</v>
      </c>
      <c r="NJ39">
        <v>9271041</v>
      </c>
      <c r="NK39">
        <v>9324290</v>
      </c>
      <c r="NL39">
        <v>9375290</v>
      </c>
      <c r="NM39">
        <v>9423660</v>
      </c>
      <c r="NN39">
        <v>9466241</v>
      </c>
      <c r="NO39">
        <v>9509303</v>
      </c>
      <c r="NP39">
        <v>9556124</v>
      </c>
      <c r="NQ39">
        <v>9556124</v>
      </c>
      <c r="NR39">
        <v>9648807</v>
      </c>
      <c r="NS39">
        <v>9691339</v>
      </c>
      <c r="NT39">
        <v>9731983</v>
      </c>
      <c r="NU39">
        <v>9765273</v>
      </c>
      <c r="NV39">
        <v>9803339</v>
      </c>
      <c r="NW39">
        <v>9845683</v>
      </c>
      <c r="NX39">
        <v>9886114</v>
      </c>
      <c r="NY39">
        <v>9925461</v>
      </c>
      <c r="NZ39">
        <v>9962695</v>
      </c>
      <c r="OA39">
        <v>9994744</v>
      </c>
      <c r="OB39">
        <v>10021878</v>
      </c>
      <c r="OC39">
        <v>10049157</v>
      </c>
      <c r="OD39">
        <v>10078932</v>
      </c>
      <c r="OE39">
        <v>10111292</v>
      </c>
      <c r="OF39">
        <v>10142313</v>
      </c>
      <c r="OG39">
        <v>10172672</v>
      </c>
      <c r="OH39">
        <v>10200001</v>
      </c>
      <c r="OI39">
        <v>10222153</v>
      </c>
      <c r="OJ39">
        <v>10247868</v>
      </c>
      <c r="OK39">
        <v>10274903</v>
      </c>
      <c r="OL39">
        <v>10303786</v>
      </c>
      <c r="OM39">
        <v>10332305</v>
      </c>
      <c r="ON39">
        <v>10360433</v>
      </c>
      <c r="OO39">
        <v>10385213</v>
      </c>
      <c r="OP39">
        <v>10404761</v>
      </c>
      <c r="OQ39">
        <v>10425790</v>
      </c>
      <c r="OR39">
        <v>10449263</v>
      </c>
      <c r="OS39">
        <v>10473689</v>
      </c>
      <c r="OT39">
        <v>10498021</v>
      </c>
      <c r="OU39">
        <v>10521065</v>
      </c>
      <c r="OV39">
        <v>10541921</v>
      </c>
      <c r="OW39">
        <v>10558968</v>
      </c>
      <c r="OX39">
        <v>10579169</v>
      </c>
      <c r="OY39">
        <v>10601104</v>
      </c>
      <c r="OZ39">
        <v>10623961</v>
      </c>
      <c r="PA39">
        <v>10646528</v>
      </c>
      <c r="PB39">
        <v>10668223</v>
      </c>
      <c r="PC39">
        <v>10687109</v>
      </c>
      <c r="PD39">
        <v>10703234</v>
      </c>
      <c r="PE39">
        <v>10720227</v>
      </c>
      <c r="PF39">
        <v>10738462</v>
      </c>
      <c r="PG39">
        <v>10757182</v>
      </c>
      <c r="PH39">
        <v>10777398</v>
      </c>
      <c r="PI39">
        <v>10797376</v>
      </c>
      <c r="PJ39">
        <v>10816441</v>
      </c>
      <c r="PK39">
        <v>10831678</v>
      </c>
      <c r="PL39">
        <v>10849865</v>
      </c>
      <c r="PM39">
        <v>10849865</v>
      </c>
      <c r="PN39">
        <v>10849865</v>
      </c>
      <c r="PO39">
        <v>10909313</v>
      </c>
      <c r="PP39">
        <v>10929480</v>
      </c>
      <c r="PQ39">
        <v>10947424</v>
      </c>
      <c r="PR39">
        <v>10961558</v>
      </c>
      <c r="PS39">
        <v>10979501</v>
      </c>
      <c r="PT39">
        <v>10979501</v>
      </c>
      <c r="PU39">
        <v>11024091</v>
      </c>
      <c r="PV39">
        <v>11045585</v>
      </c>
      <c r="PW39">
        <v>11066303</v>
      </c>
      <c r="PX39">
        <v>11083208</v>
      </c>
      <c r="PY39">
        <v>11097946</v>
      </c>
      <c r="PZ39">
        <v>11116221</v>
      </c>
      <c r="QA39">
        <v>11138793</v>
      </c>
      <c r="QB39">
        <v>11160862</v>
      </c>
      <c r="QC39">
        <v>11160862</v>
      </c>
      <c r="QD39">
        <v>11202077</v>
      </c>
      <c r="QE39">
        <v>11219671</v>
      </c>
      <c r="QF39">
        <v>11232726</v>
      </c>
      <c r="QG39">
        <v>11250174</v>
      </c>
      <c r="QH39">
        <v>11269893</v>
      </c>
      <c r="QI39">
        <v>11289974</v>
      </c>
      <c r="QJ39">
        <v>11309677</v>
      </c>
      <c r="QK39">
        <v>11328647</v>
      </c>
      <c r="QL39">
        <v>11346153</v>
      </c>
      <c r="QM39">
        <v>11359618</v>
      </c>
      <c r="QN39">
        <v>11359618</v>
      </c>
      <c r="QO39">
        <v>11396018</v>
      </c>
      <c r="QP39">
        <v>11414517</v>
      </c>
      <c r="QQ39">
        <v>11433976</v>
      </c>
      <c r="QR39">
        <v>11433976</v>
      </c>
      <c r="QS39">
        <v>11467928</v>
      </c>
      <c r="QT39">
        <v>11481602</v>
      </c>
      <c r="QU39">
        <v>11497863</v>
      </c>
      <c r="QV39">
        <v>11517561</v>
      </c>
      <c r="QW39">
        <v>11536661</v>
      </c>
      <c r="QX39">
        <v>11536661</v>
      </c>
      <c r="QY39">
        <v>11536661</v>
      </c>
      <c r="QZ39">
        <v>11592802</v>
      </c>
      <c r="RA39">
        <v>11608349</v>
      </c>
      <c r="RB39">
        <v>11626920</v>
      </c>
      <c r="RC39">
        <v>11626920</v>
      </c>
      <c r="RD39">
        <v>11626920</v>
      </c>
      <c r="RE39">
        <v>11693813</v>
      </c>
      <c r="RF39">
        <v>11693813</v>
      </c>
      <c r="RG39">
        <v>11731194</v>
      </c>
      <c r="RH39">
        <v>11731194</v>
      </c>
      <c r="RI39">
        <v>11769922</v>
      </c>
      <c r="RJ39">
        <v>11769922</v>
      </c>
      <c r="RK39">
        <v>11769922</v>
      </c>
      <c r="RL39">
        <v>11769922</v>
      </c>
      <c r="RM39">
        <v>11924631</v>
      </c>
      <c r="RN39">
        <v>11924631</v>
      </c>
      <c r="RO39">
        <v>12002043</v>
      </c>
      <c r="RP39">
        <v>12042779</v>
      </c>
      <c r="RQ39">
        <v>12090041</v>
      </c>
      <c r="RR39">
        <v>12134551</v>
      </c>
      <c r="RS39">
        <v>12134551</v>
      </c>
      <c r="RT39">
        <v>12217274</v>
      </c>
      <c r="RU39">
        <v>12217274</v>
      </c>
      <c r="RV39">
        <v>12282364</v>
      </c>
      <c r="RW39">
        <v>12314773</v>
      </c>
      <c r="RX39">
        <v>12353343</v>
      </c>
      <c r="RY39">
        <v>12353343</v>
      </c>
      <c r="RZ39">
        <v>12426539</v>
      </c>
      <c r="SA39">
        <v>12463573</v>
      </c>
      <c r="SB39">
        <v>12495089</v>
      </c>
      <c r="SC39">
        <v>12520458</v>
      </c>
      <c r="SD39">
        <v>12547768</v>
      </c>
      <c r="SE39">
        <v>12577992</v>
      </c>
      <c r="SF39">
        <v>12608066</v>
      </c>
      <c r="SG39">
        <v>12636180</v>
      </c>
      <c r="SH39">
        <v>12662184</v>
      </c>
      <c r="SI39">
        <v>12684808</v>
      </c>
      <c r="SJ39">
        <v>12699186</v>
      </c>
      <c r="SK39">
        <v>12715747</v>
      </c>
      <c r="SL39">
        <v>12733864</v>
      </c>
      <c r="SM39">
        <v>12751995</v>
      </c>
      <c r="SN39">
        <v>12769621</v>
      </c>
      <c r="SO39">
        <v>12786630</v>
      </c>
      <c r="SP39">
        <v>12801333</v>
      </c>
      <c r="SQ39">
        <v>12813909</v>
      </c>
      <c r="SR39">
        <v>12828848</v>
      </c>
      <c r="SS39">
        <v>12845148</v>
      </c>
      <c r="ST39">
        <v>12845148</v>
      </c>
      <c r="SU39">
        <v>12879315</v>
      </c>
      <c r="SV39">
        <v>12879315</v>
      </c>
      <c r="SW39">
        <v>12908470</v>
      </c>
      <c r="SX39">
        <v>12920253</v>
      </c>
      <c r="SY39">
        <v>12920253</v>
      </c>
      <c r="SZ39">
        <v>12920253</v>
      </c>
      <c r="TA39">
        <v>12920253</v>
      </c>
      <c r="TB39">
        <v>12920253</v>
      </c>
      <c r="TC39">
        <v>12920253</v>
      </c>
      <c r="TD39">
        <v>12920253</v>
      </c>
      <c r="TE39">
        <v>12920253</v>
      </c>
      <c r="TF39">
        <v>12920253</v>
      </c>
      <c r="TG39">
        <v>12920253</v>
      </c>
      <c r="TH39">
        <v>12920253</v>
      </c>
      <c r="TI39">
        <v>12920253</v>
      </c>
      <c r="TJ39">
        <v>12920253</v>
      </c>
      <c r="TK39">
        <v>12920253</v>
      </c>
      <c r="TL39">
        <v>12920253</v>
      </c>
      <c r="TM39">
        <v>12920253</v>
      </c>
      <c r="TN39">
        <v>12920253</v>
      </c>
      <c r="TO39">
        <v>12920253</v>
      </c>
      <c r="TP39">
        <v>12920253</v>
      </c>
      <c r="TQ39">
        <v>12920253</v>
      </c>
      <c r="TR39">
        <v>12920253</v>
      </c>
      <c r="TS39">
        <v>12920253</v>
      </c>
      <c r="TT39">
        <v>12920253</v>
      </c>
      <c r="TU39">
        <v>12920253</v>
      </c>
      <c r="TV39">
        <v>12920253</v>
      </c>
      <c r="TW39">
        <v>12920253</v>
      </c>
      <c r="TX39">
        <v>12920253</v>
      </c>
      <c r="TY39">
        <v>12920253</v>
      </c>
      <c r="TZ39">
        <v>12920253</v>
      </c>
      <c r="UA39">
        <v>12920253</v>
      </c>
      <c r="UB39">
        <v>12920253</v>
      </c>
      <c r="UC39">
        <v>12920253</v>
      </c>
      <c r="UD39">
        <v>12920253</v>
      </c>
      <c r="UE39">
        <v>12920253</v>
      </c>
      <c r="UF39">
        <v>12920253</v>
      </c>
      <c r="UG39">
        <v>12920253</v>
      </c>
      <c r="UH39">
        <v>12920253</v>
      </c>
      <c r="UI39">
        <v>12920253</v>
      </c>
      <c r="UJ39">
        <v>12920253</v>
      </c>
      <c r="UK39">
        <v>12920253</v>
      </c>
      <c r="UL39">
        <v>12920253</v>
      </c>
      <c r="UM39">
        <v>12920253</v>
      </c>
      <c r="UN39">
        <v>12920253</v>
      </c>
      <c r="UO39">
        <v>12920253</v>
      </c>
      <c r="UP39">
        <v>12920253</v>
      </c>
      <c r="UQ39">
        <v>12920253</v>
      </c>
      <c r="UR39">
        <v>12920253</v>
      </c>
      <c r="US39">
        <v>12920253</v>
      </c>
      <c r="UT39">
        <v>12920253</v>
      </c>
      <c r="UU39">
        <v>12920253</v>
      </c>
      <c r="UV39">
        <v>12920253</v>
      </c>
      <c r="UW39">
        <v>12920253</v>
      </c>
      <c r="UX39">
        <v>12920253</v>
      </c>
      <c r="UY39">
        <v>12920253</v>
      </c>
      <c r="UZ39">
        <v>12920253</v>
      </c>
      <c r="VA39">
        <v>12920253</v>
      </c>
      <c r="VB39">
        <v>12920253</v>
      </c>
      <c r="VC39">
        <v>12920253</v>
      </c>
      <c r="VD39">
        <v>12920253</v>
      </c>
      <c r="VE39">
        <v>12920253</v>
      </c>
      <c r="VF39">
        <v>12920253</v>
      </c>
      <c r="VG39">
        <v>12920253</v>
      </c>
      <c r="VH39">
        <v>12920253</v>
      </c>
      <c r="VI39">
        <v>12920253</v>
      </c>
      <c r="VJ39">
        <v>12920253</v>
      </c>
      <c r="VK39">
        <v>12920253</v>
      </c>
      <c r="VL39">
        <v>12920253</v>
      </c>
      <c r="VM39">
        <v>12920253</v>
      </c>
      <c r="VN39">
        <v>12920253</v>
      </c>
      <c r="VO39">
        <v>12920253</v>
      </c>
      <c r="VP39">
        <v>12920253</v>
      </c>
      <c r="VQ39">
        <v>12920253</v>
      </c>
      <c r="VR39">
        <v>12920253</v>
      </c>
      <c r="VS39">
        <v>12920253</v>
      </c>
      <c r="VT39">
        <v>12920253</v>
      </c>
      <c r="VU39">
        <v>12920253</v>
      </c>
      <c r="VV39">
        <v>12920253</v>
      </c>
      <c r="VW39">
        <v>12920253</v>
      </c>
      <c r="VX39">
        <v>12920253</v>
      </c>
      <c r="VY39">
        <v>12920253</v>
      </c>
      <c r="VZ39">
        <v>12920253</v>
      </c>
      <c r="WA39">
        <v>12920253</v>
      </c>
      <c r="WB39">
        <v>12920253</v>
      </c>
      <c r="WC39">
        <v>12920253</v>
      </c>
      <c r="WD39">
        <v>12920253</v>
      </c>
      <c r="WE39">
        <v>12920253</v>
      </c>
      <c r="WF39">
        <v>12920253</v>
      </c>
      <c r="WG39">
        <v>12920253</v>
      </c>
      <c r="WH39">
        <v>12920253</v>
      </c>
      <c r="WI39">
        <v>12920253</v>
      </c>
      <c r="WJ39">
        <v>12920253</v>
      </c>
      <c r="WK39">
        <v>12920253</v>
      </c>
      <c r="WL39">
        <v>12920253</v>
      </c>
      <c r="WM39">
        <v>12920253</v>
      </c>
      <c r="WN39">
        <v>12920253</v>
      </c>
      <c r="WO39">
        <v>12920253</v>
      </c>
      <c r="WP39">
        <v>12920253</v>
      </c>
      <c r="WQ39">
        <v>12920253</v>
      </c>
      <c r="WR39">
        <v>12920253</v>
      </c>
      <c r="WS39">
        <v>12920253</v>
      </c>
      <c r="WT39">
        <v>12920253</v>
      </c>
      <c r="WU39">
        <v>13852049</v>
      </c>
      <c r="WV39">
        <v>13852049</v>
      </c>
      <c r="WW39">
        <v>13852049</v>
      </c>
      <c r="WX39">
        <v>13852049</v>
      </c>
      <c r="WY39">
        <v>13852049</v>
      </c>
      <c r="WZ39">
        <v>13852049</v>
      </c>
      <c r="XA39">
        <v>13852049</v>
      </c>
      <c r="XB39">
        <v>13852049</v>
      </c>
      <c r="XC39">
        <v>13852049</v>
      </c>
      <c r="XD39">
        <v>13852049</v>
      </c>
      <c r="XE39">
        <v>13852049</v>
      </c>
      <c r="XF39">
        <v>13852049</v>
      </c>
      <c r="XG39">
        <v>13852049</v>
      </c>
      <c r="XH39">
        <v>13852049</v>
      </c>
      <c r="XI39">
        <v>13852049</v>
      </c>
      <c r="XJ39">
        <v>13852049</v>
      </c>
      <c r="XK39">
        <v>13852049</v>
      </c>
      <c r="XL39">
        <v>13852049</v>
      </c>
      <c r="XM39">
        <v>13852049</v>
      </c>
      <c r="XN39">
        <v>13852049</v>
      </c>
      <c r="XO39">
        <v>13852049</v>
      </c>
      <c r="XP39">
        <v>13852049</v>
      </c>
      <c r="XQ39">
        <v>13852049</v>
      </c>
      <c r="XR39">
        <v>13852049</v>
      </c>
      <c r="XS39">
        <v>13852049</v>
      </c>
      <c r="XT39">
        <v>13852049</v>
      </c>
      <c r="XU39">
        <v>13852049</v>
      </c>
      <c r="XV39">
        <v>13852049</v>
      </c>
      <c r="XW39">
        <v>13852049</v>
      </c>
      <c r="XX39">
        <v>13852049</v>
      </c>
      <c r="XY39">
        <v>13852049</v>
      </c>
      <c r="XZ39">
        <v>13852049</v>
      </c>
      <c r="YA39">
        <v>13852049</v>
      </c>
      <c r="YB39">
        <v>13852049</v>
      </c>
      <c r="YC39">
        <v>13852049</v>
      </c>
      <c r="YD39">
        <v>13852049</v>
      </c>
      <c r="YE39">
        <v>13852049</v>
      </c>
      <c r="YF39" s="1">
        <v>13852049</v>
      </c>
      <c r="YG39" s="1">
        <v>13852049</v>
      </c>
      <c r="YH39" s="1">
        <v>13852049</v>
      </c>
      <c r="YI39" s="1">
        <v>13852049</v>
      </c>
      <c r="YJ39">
        <v>13852049</v>
      </c>
      <c r="YK39">
        <v>13852049</v>
      </c>
      <c r="YL39">
        <v>13852049</v>
      </c>
      <c r="YM39">
        <v>13852049</v>
      </c>
      <c r="YN39">
        <v>13852049</v>
      </c>
      <c r="YO39">
        <v>13852049</v>
      </c>
      <c r="YP39">
        <v>13852049</v>
      </c>
      <c r="YQ39">
        <v>13852049</v>
      </c>
      <c r="YR39">
        <v>13997964</v>
      </c>
      <c r="YS39">
        <v>13997964</v>
      </c>
      <c r="YT39">
        <v>13997964</v>
      </c>
      <c r="YU39">
        <v>13997964</v>
      </c>
      <c r="YV39">
        <v>13997964</v>
      </c>
      <c r="YW39">
        <v>13997964</v>
      </c>
      <c r="YX39">
        <v>13997964</v>
      </c>
      <c r="YY39">
        <v>13997964</v>
      </c>
      <c r="YZ39">
        <v>13997964</v>
      </c>
      <c r="ZA39">
        <v>13997964</v>
      </c>
      <c r="ZB39">
        <v>13997964</v>
      </c>
      <c r="ZC39">
        <v>13997964</v>
      </c>
      <c r="ZD39">
        <v>13997964</v>
      </c>
      <c r="ZE39">
        <v>13997964</v>
      </c>
      <c r="ZF39">
        <v>13997964</v>
      </c>
      <c r="ZG39">
        <v>13997964</v>
      </c>
      <c r="ZH39">
        <v>13997964</v>
      </c>
      <c r="ZI39">
        <v>13997964</v>
      </c>
      <c r="ZJ39">
        <v>13997964</v>
      </c>
      <c r="ZK39">
        <v>13997964</v>
      </c>
      <c r="ZL39">
        <v>13997964</v>
      </c>
      <c r="ZM39">
        <v>13997964</v>
      </c>
      <c r="ZN39">
        <v>13997964</v>
      </c>
      <c r="ZO39">
        <v>13997964</v>
      </c>
      <c r="ZP39">
        <v>13997964</v>
      </c>
      <c r="ZQ39">
        <v>13997964</v>
      </c>
      <c r="ZR39">
        <v>13997964</v>
      </c>
      <c r="ZS39">
        <v>13997964</v>
      </c>
      <c r="ZT39">
        <v>13997964</v>
      </c>
      <c r="ZU39">
        <v>14064773</v>
      </c>
      <c r="ZV39">
        <v>14064773</v>
      </c>
      <c r="ZW39">
        <v>14064773</v>
      </c>
      <c r="ZX39">
        <v>14064773</v>
      </c>
      <c r="ZY39">
        <v>14064773</v>
      </c>
      <c r="ZZ39">
        <v>14064773</v>
      </c>
      <c r="AAA39">
        <v>14064773</v>
      </c>
      <c r="AAB39">
        <v>14064773</v>
      </c>
      <c r="AAC39">
        <v>14064773</v>
      </c>
      <c r="AAD39">
        <v>14064773</v>
      </c>
      <c r="AAE39">
        <v>14064773</v>
      </c>
      <c r="AAF39">
        <v>14064773</v>
      </c>
      <c r="AAG39">
        <v>14064773</v>
      </c>
      <c r="AAH39">
        <v>14064773</v>
      </c>
      <c r="AAI39">
        <v>14064773</v>
      </c>
      <c r="AAJ39">
        <v>14064773</v>
      </c>
      <c r="AAK39">
        <v>14064773</v>
      </c>
      <c r="AAL39">
        <v>14064773</v>
      </c>
      <c r="AAM39">
        <v>14064773</v>
      </c>
      <c r="AAN39">
        <v>14064773</v>
      </c>
      <c r="AAO39">
        <v>14064773</v>
      </c>
      <c r="AAP39">
        <v>14064773</v>
      </c>
      <c r="AAQ39">
        <v>14064773</v>
      </c>
      <c r="AAR39">
        <v>14064773</v>
      </c>
      <c r="AAS39">
        <v>14064773</v>
      </c>
      <c r="AAT39">
        <v>14064773</v>
      </c>
      <c r="AAU39">
        <v>14064773</v>
      </c>
      <c r="AAV39">
        <v>14064773</v>
      </c>
      <c r="AAW39">
        <v>14064773</v>
      </c>
      <c r="AAX39">
        <v>14064773</v>
      </c>
      <c r="AAY39">
        <v>14064773</v>
      </c>
      <c r="AAZ39">
        <v>14123328</v>
      </c>
      <c r="ABA39">
        <v>14125494</v>
      </c>
      <c r="ABB39">
        <v>14129269</v>
      </c>
      <c r="ABC39">
        <v>14129269</v>
      </c>
      <c r="ABD39">
        <v>14129269</v>
      </c>
      <c r="ABE39">
        <v>14133929</v>
      </c>
      <c r="ABF39">
        <v>14134336</v>
      </c>
      <c r="ABG39">
        <v>14136205</v>
      </c>
      <c r="ABH39">
        <v>14138207</v>
      </c>
      <c r="ABI39">
        <v>14141795</v>
      </c>
      <c r="ABJ39">
        <v>14141795</v>
      </c>
      <c r="ABK39">
        <v>14143613</v>
      </c>
      <c r="ABL39">
        <v>14145243</v>
      </c>
      <c r="ABM39">
        <v>14146398</v>
      </c>
      <c r="ABN39">
        <v>14147963</v>
      </c>
      <c r="ABO39">
        <v>14149157</v>
      </c>
      <c r="ABP39">
        <v>14150243</v>
      </c>
      <c r="ABQ39">
        <v>14152964</v>
      </c>
      <c r="ABR39">
        <v>14152964</v>
      </c>
      <c r="ABS39">
        <v>14154186</v>
      </c>
      <c r="ABT39">
        <v>14155107</v>
      </c>
      <c r="ABU39">
        <v>14156620</v>
      </c>
      <c r="ABV39">
        <v>14158388</v>
      </c>
      <c r="ABW39">
        <v>14160061</v>
      </c>
      <c r="ABX39">
        <v>14160061</v>
      </c>
      <c r="ABY39">
        <v>14160061</v>
      </c>
      <c r="ABZ39">
        <v>14160061</v>
      </c>
      <c r="ACA39">
        <v>14164629</v>
      </c>
      <c r="ACB39">
        <v>14166734</v>
      </c>
      <c r="ACC39">
        <v>14166734</v>
      </c>
      <c r="ACD39">
        <v>14166734</v>
      </c>
      <c r="ACE39">
        <v>14166734</v>
      </c>
      <c r="ACF39">
        <v>14166734</v>
      </c>
      <c r="ACG39">
        <v>14166734</v>
      </c>
      <c r="ACH39">
        <v>14166734</v>
      </c>
      <c r="ACI39">
        <v>14166734</v>
      </c>
      <c r="ACJ39">
        <v>14166734</v>
      </c>
      <c r="ACK39">
        <v>14183115</v>
      </c>
      <c r="ACL39">
        <v>14183115</v>
      </c>
      <c r="ACM39">
        <v>14183115</v>
      </c>
      <c r="ACN39">
        <v>14184566</v>
      </c>
      <c r="ACO39">
        <v>14184566</v>
      </c>
      <c r="ACP39">
        <v>14184566</v>
      </c>
      <c r="ACQ39">
        <v>14184566</v>
      </c>
      <c r="ACR39">
        <v>14184566</v>
      </c>
      <c r="ACS39">
        <v>14184566</v>
      </c>
      <c r="ACT39">
        <v>14184566</v>
      </c>
      <c r="ACU39">
        <v>14184566</v>
      </c>
      <c r="ACV39">
        <v>14184566</v>
      </c>
      <c r="ACW39">
        <v>14184566</v>
      </c>
      <c r="ACX39">
        <v>14184566</v>
      </c>
      <c r="ACY39">
        <v>14184566</v>
      </c>
      <c r="ACZ39">
        <v>14184566</v>
      </c>
      <c r="ADA39">
        <v>14184566</v>
      </c>
      <c r="ADB39">
        <v>14184566</v>
      </c>
      <c r="ADC39">
        <v>14184566</v>
      </c>
      <c r="ADD39">
        <v>14184566</v>
      </c>
      <c r="ADE39">
        <v>14184566</v>
      </c>
      <c r="ADF39">
        <v>14184566</v>
      </c>
      <c r="ADG39">
        <v>14184566</v>
      </c>
      <c r="ADH39">
        <v>14184566</v>
      </c>
      <c r="ADI39">
        <v>14184566</v>
      </c>
      <c r="ADJ39">
        <v>14184566</v>
      </c>
      <c r="ADK39">
        <v>14184566</v>
      </c>
      <c r="ADL39">
        <v>14184566</v>
      </c>
      <c r="ADM39">
        <v>14184566</v>
      </c>
      <c r="ADN39">
        <v>14184566</v>
      </c>
      <c r="ADO39">
        <v>14184566</v>
      </c>
      <c r="ADP39">
        <v>14184566</v>
      </c>
      <c r="ADQ39">
        <v>14184566</v>
      </c>
      <c r="ADR39">
        <v>14232514</v>
      </c>
      <c r="ADS39">
        <v>14232514</v>
      </c>
      <c r="ADT39">
        <v>14232514</v>
      </c>
      <c r="ADU39">
        <v>14232514</v>
      </c>
      <c r="ADV39">
        <v>14232514</v>
      </c>
      <c r="ADW39">
        <v>14233813</v>
      </c>
      <c r="ADX39">
        <v>14233813</v>
      </c>
      <c r="ADY39">
        <v>14233813</v>
      </c>
      <c r="ADZ39">
        <v>14233813</v>
      </c>
      <c r="AEA39">
        <v>14233813</v>
      </c>
      <c r="AEB39">
        <v>14233813</v>
      </c>
      <c r="AEC39">
        <v>14233813</v>
      </c>
      <c r="AED39">
        <v>14233813</v>
      </c>
      <c r="AEE39">
        <v>14233813</v>
      </c>
      <c r="AEF39">
        <v>14233813</v>
      </c>
      <c r="AEG39">
        <v>14233813</v>
      </c>
      <c r="AEH39">
        <v>14233813</v>
      </c>
      <c r="AEI39">
        <v>14233813</v>
      </c>
      <c r="AEJ39">
        <v>14233813</v>
      </c>
      <c r="AEK39">
        <v>14233813</v>
      </c>
      <c r="AEL39">
        <v>14233813</v>
      </c>
      <c r="AEM39">
        <v>14233813</v>
      </c>
      <c r="AEN39">
        <v>14233813</v>
      </c>
      <c r="AEO39">
        <v>14233813</v>
      </c>
      <c r="AEP39">
        <v>14233813</v>
      </c>
      <c r="AEQ39">
        <v>14233813</v>
      </c>
      <c r="AER39">
        <v>14273759</v>
      </c>
      <c r="AES39">
        <v>14273759</v>
      </c>
      <c r="AET39">
        <v>14273759</v>
      </c>
      <c r="AEU39">
        <v>14273759</v>
      </c>
      <c r="AEV39">
        <v>14273759</v>
      </c>
      <c r="AEW39">
        <v>14273759</v>
      </c>
      <c r="AEX39">
        <v>14273759</v>
      </c>
      <c r="AEY39">
        <v>14273759</v>
      </c>
      <c r="AEZ39">
        <v>14273759</v>
      </c>
      <c r="AFA39">
        <v>14273759</v>
      </c>
      <c r="AFB39">
        <v>14273759</v>
      </c>
      <c r="AFC39">
        <v>14273759</v>
      </c>
      <c r="AFD39">
        <v>14273759</v>
      </c>
      <c r="AFE39">
        <v>14276770</v>
      </c>
      <c r="AFF39">
        <v>14276770</v>
      </c>
      <c r="AFG39">
        <v>14276770</v>
      </c>
      <c r="AFH39">
        <v>14276770</v>
      </c>
      <c r="AFI39">
        <v>14276770</v>
      </c>
      <c r="AFJ39">
        <v>14276770</v>
      </c>
      <c r="AFK39">
        <v>14276770</v>
      </c>
      <c r="AFL39">
        <v>14276770</v>
      </c>
      <c r="AFM39">
        <v>14276770</v>
      </c>
      <c r="AFN39">
        <v>14276770</v>
      </c>
      <c r="AFO39">
        <v>14276770</v>
      </c>
      <c r="AFP39">
        <v>14276770</v>
      </c>
      <c r="AFQ39">
        <v>14276770</v>
      </c>
      <c r="AFR39">
        <v>14276770</v>
      </c>
      <c r="AFS39">
        <v>14276770</v>
      </c>
      <c r="AFT39">
        <v>14276770</v>
      </c>
      <c r="AFU39">
        <v>14276770</v>
      </c>
      <c r="AFV39">
        <v>14276770</v>
      </c>
      <c r="AFW39">
        <v>14276770</v>
      </c>
      <c r="AFX39">
        <v>14276770</v>
      </c>
      <c r="AFY39">
        <v>14276770</v>
      </c>
      <c r="AFZ39">
        <v>14276770</v>
      </c>
      <c r="AGA39">
        <v>14298479</v>
      </c>
      <c r="AGB39">
        <v>14298479</v>
      </c>
      <c r="AGC39">
        <v>14298479</v>
      </c>
      <c r="AGD39">
        <v>14298479</v>
      </c>
      <c r="AGE39">
        <v>14298479</v>
      </c>
      <c r="AGF39">
        <v>14298479</v>
      </c>
      <c r="AGG39">
        <v>14298479</v>
      </c>
      <c r="AGH39">
        <v>14298479</v>
      </c>
      <c r="AGI39">
        <v>14298479</v>
      </c>
      <c r="AGJ39">
        <v>14298479</v>
      </c>
      <c r="AGK39">
        <v>14298479</v>
      </c>
      <c r="AGL39">
        <v>14298479</v>
      </c>
      <c r="AGM39">
        <v>14298479</v>
      </c>
      <c r="AGN39">
        <v>14298479</v>
      </c>
      <c r="AGO39">
        <v>14312350</v>
      </c>
      <c r="AGP39">
        <v>14312350</v>
      </c>
      <c r="AGQ39">
        <v>14312350</v>
      </c>
      <c r="AGR39">
        <v>14312350</v>
      </c>
      <c r="AGS39">
        <v>14312350</v>
      </c>
      <c r="AGT39">
        <v>14312350</v>
      </c>
      <c r="AGU39">
        <v>14312350</v>
      </c>
      <c r="AGV39">
        <v>14312350</v>
      </c>
      <c r="AGW39">
        <v>14312350</v>
      </c>
      <c r="AGX39">
        <v>14312350</v>
      </c>
      <c r="AGY39">
        <v>14312350</v>
      </c>
      <c r="AGZ39">
        <v>14312350</v>
      </c>
      <c r="AHA39">
        <v>14312350</v>
      </c>
      <c r="AHB39">
        <v>14312350</v>
      </c>
      <c r="AHC39">
        <v>14317196</v>
      </c>
      <c r="AHD39">
        <v>14317196</v>
      </c>
      <c r="AHE39">
        <v>14317196</v>
      </c>
      <c r="AHF39">
        <v>14317196</v>
      </c>
      <c r="AHG39">
        <v>14317196</v>
      </c>
      <c r="AHH39">
        <v>14317196</v>
      </c>
      <c r="AHI39">
        <v>14317196</v>
      </c>
      <c r="AHJ39">
        <v>14317196</v>
      </c>
      <c r="AHK39">
        <v>14319601</v>
      </c>
      <c r="AHL39">
        <v>14319601</v>
      </c>
      <c r="AHM39">
        <v>14319601</v>
      </c>
      <c r="AHN39">
        <v>14319601</v>
      </c>
      <c r="AHO39">
        <v>14319601</v>
      </c>
      <c r="AHP39">
        <v>14319601</v>
      </c>
      <c r="AHQ39">
        <v>14319601</v>
      </c>
    </row>
    <row r="40" spans="1:901">
      <c r="A40" s="1" t="s">
        <v>114</v>
      </c>
      <c r="B40">
        <v>25752</v>
      </c>
      <c r="C40">
        <v>25752</v>
      </c>
      <c r="D40">
        <v>25752</v>
      </c>
      <c r="E40">
        <v>25752</v>
      </c>
      <c r="F40">
        <v>25752</v>
      </c>
      <c r="G40">
        <v>26732</v>
      </c>
      <c r="H40">
        <v>26975</v>
      </c>
      <c r="I40">
        <v>26975</v>
      </c>
      <c r="J40">
        <v>27117</v>
      </c>
      <c r="K40">
        <v>27444</v>
      </c>
      <c r="L40">
        <v>27965</v>
      </c>
      <c r="M40">
        <v>27986</v>
      </c>
      <c r="N40">
        <v>27986</v>
      </c>
      <c r="O40">
        <v>27986</v>
      </c>
      <c r="P40">
        <v>28290</v>
      </c>
      <c r="Q40">
        <v>28290</v>
      </c>
      <c r="R40">
        <v>28702</v>
      </c>
      <c r="S40">
        <v>28702</v>
      </c>
      <c r="T40">
        <v>28916</v>
      </c>
      <c r="U40">
        <v>29115</v>
      </c>
      <c r="V40">
        <v>29115</v>
      </c>
      <c r="W40">
        <v>29115</v>
      </c>
      <c r="X40">
        <v>29115</v>
      </c>
      <c r="Y40">
        <v>29115</v>
      </c>
      <c r="Z40">
        <v>29115</v>
      </c>
      <c r="AA40">
        <v>29115</v>
      </c>
      <c r="AB40">
        <v>29115</v>
      </c>
      <c r="AC40">
        <v>29115</v>
      </c>
      <c r="AD40">
        <v>29115</v>
      </c>
      <c r="AE40">
        <v>29115</v>
      </c>
      <c r="AF40">
        <v>30184</v>
      </c>
      <c r="AG40">
        <v>30938</v>
      </c>
      <c r="AH40">
        <v>30938</v>
      </c>
      <c r="AI40">
        <v>30938</v>
      </c>
      <c r="AJ40">
        <v>30938</v>
      </c>
      <c r="AK40">
        <v>31387</v>
      </c>
      <c r="AL40">
        <v>31783</v>
      </c>
      <c r="AM40">
        <v>31783</v>
      </c>
      <c r="AN40">
        <v>31783</v>
      </c>
      <c r="AO40">
        <v>31783</v>
      </c>
      <c r="AP40">
        <v>31869</v>
      </c>
      <c r="AQ40">
        <v>32056</v>
      </c>
      <c r="AR40">
        <v>32176</v>
      </c>
      <c r="AS40">
        <v>32176</v>
      </c>
      <c r="AT40">
        <v>32176</v>
      </c>
      <c r="AU40">
        <v>32176</v>
      </c>
      <c r="AV40">
        <v>32176</v>
      </c>
      <c r="AW40">
        <v>32176</v>
      </c>
      <c r="AX40">
        <v>33019</v>
      </c>
      <c r="AY40">
        <v>33073</v>
      </c>
      <c r="AZ40">
        <v>33073</v>
      </c>
      <c r="BA40">
        <v>33073</v>
      </c>
      <c r="BB40">
        <v>33073</v>
      </c>
      <c r="BC40">
        <v>33073</v>
      </c>
      <c r="BD40">
        <v>33073</v>
      </c>
      <c r="BE40">
        <v>33073</v>
      </c>
      <c r="BF40">
        <v>33073</v>
      </c>
      <c r="BG40">
        <v>33073</v>
      </c>
      <c r="BH40">
        <v>33073</v>
      </c>
      <c r="BI40">
        <v>33073</v>
      </c>
      <c r="BJ40">
        <v>33073</v>
      </c>
      <c r="BK40">
        <v>33073</v>
      </c>
      <c r="BL40">
        <v>33073</v>
      </c>
      <c r="BM40">
        <v>34734</v>
      </c>
      <c r="BN40">
        <v>34734</v>
      </c>
      <c r="BO40">
        <v>34734</v>
      </c>
      <c r="BP40">
        <v>34734</v>
      </c>
      <c r="BQ40">
        <v>34734</v>
      </c>
      <c r="BR40">
        <v>34734</v>
      </c>
      <c r="BS40">
        <v>34734</v>
      </c>
      <c r="BT40">
        <v>34734</v>
      </c>
      <c r="BU40">
        <v>34734</v>
      </c>
      <c r="BV40">
        <v>34734</v>
      </c>
      <c r="BW40">
        <v>34734</v>
      </c>
      <c r="BX40">
        <v>34734</v>
      </c>
      <c r="BY40">
        <v>34734</v>
      </c>
      <c r="BZ40">
        <v>34734</v>
      </c>
      <c r="CA40">
        <v>34734</v>
      </c>
      <c r="CB40">
        <v>34734</v>
      </c>
      <c r="CC40">
        <v>34734</v>
      </c>
      <c r="CD40">
        <v>34734</v>
      </c>
      <c r="CE40">
        <v>34734</v>
      </c>
      <c r="CF40">
        <v>34734</v>
      </c>
      <c r="CG40">
        <v>34734</v>
      </c>
      <c r="CH40">
        <v>34734</v>
      </c>
      <c r="CI40">
        <v>34734</v>
      </c>
      <c r="CJ40">
        <v>34734</v>
      </c>
      <c r="CK40">
        <v>34734</v>
      </c>
      <c r="CL40">
        <v>34734</v>
      </c>
      <c r="CM40">
        <v>34734</v>
      </c>
      <c r="CN40">
        <v>34734</v>
      </c>
      <c r="CO40">
        <v>34734</v>
      </c>
      <c r="CP40">
        <v>34734</v>
      </c>
      <c r="CQ40">
        <v>39265</v>
      </c>
      <c r="CR40">
        <v>39265</v>
      </c>
      <c r="CS40">
        <v>39265</v>
      </c>
      <c r="CT40">
        <v>39265</v>
      </c>
      <c r="CU40">
        <v>39265</v>
      </c>
      <c r="CV40">
        <v>39265</v>
      </c>
      <c r="CW40">
        <v>39265</v>
      </c>
      <c r="CX40">
        <v>39265</v>
      </c>
      <c r="CY40">
        <v>39265</v>
      </c>
      <c r="CZ40">
        <v>39265</v>
      </c>
      <c r="DA40">
        <v>39265</v>
      </c>
      <c r="DB40">
        <v>42080</v>
      </c>
      <c r="DC40">
        <v>42080</v>
      </c>
      <c r="DD40">
        <v>42080</v>
      </c>
      <c r="DE40">
        <v>42080</v>
      </c>
      <c r="DF40">
        <v>42080</v>
      </c>
      <c r="DG40">
        <v>42080</v>
      </c>
      <c r="DH40">
        <v>42080</v>
      </c>
      <c r="DI40">
        <v>42080</v>
      </c>
      <c r="DJ40">
        <v>42080</v>
      </c>
      <c r="DK40">
        <v>42080</v>
      </c>
      <c r="DL40">
        <v>43211</v>
      </c>
      <c r="DM40">
        <v>43211</v>
      </c>
      <c r="DN40">
        <v>43211</v>
      </c>
      <c r="DO40">
        <v>43211</v>
      </c>
      <c r="DP40">
        <v>44968</v>
      </c>
      <c r="DQ40">
        <v>44968</v>
      </c>
      <c r="DR40">
        <v>44968</v>
      </c>
      <c r="DS40">
        <v>44968</v>
      </c>
      <c r="DT40">
        <v>45894</v>
      </c>
      <c r="DU40">
        <v>45894</v>
      </c>
      <c r="DV40">
        <v>45894</v>
      </c>
      <c r="DW40">
        <v>45894</v>
      </c>
      <c r="DX40">
        <v>45894</v>
      </c>
      <c r="DY40">
        <v>45894</v>
      </c>
      <c r="DZ40">
        <v>45894</v>
      </c>
      <c r="EA40">
        <v>45894</v>
      </c>
      <c r="EB40">
        <v>45894</v>
      </c>
      <c r="EC40">
        <v>48028</v>
      </c>
      <c r="ED40">
        <v>48028</v>
      </c>
      <c r="EE40">
        <v>48260</v>
      </c>
      <c r="EF40">
        <v>48672</v>
      </c>
      <c r="EG40">
        <v>48672</v>
      </c>
      <c r="EH40">
        <v>49333</v>
      </c>
      <c r="EI40">
        <v>49333</v>
      </c>
      <c r="EJ40">
        <v>49333</v>
      </c>
      <c r="EK40">
        <v>49333</v>
      </c>
      <c r="EL40">
        <v>49333</v>
      </c>
      <c r="EM40">
        <v>49333</v>
      </c>
      <c r="EN40">
        <v>49333</v>
      </c>
      <c r="EO40">
        <v>49333</v>
      </c>
      <c r="EP40">
        <v>49333</v>
      </c>
      <c r="EQ40">
        <v>49333</v>
      </c>
      <c r="ER40">
        <v>49333</v>
      </c>
      <c r="ES40">
        <v>49333</v>
      </c>
      <c r="ET40">
        <v>49333</v>
      </c>
      <c r="EU40">
        <v>49333</v>
      </c>
      <c r="EV40">
        <v>49333</v>
      </c>
      <c r="EW40">
        <v>49333</v>
      </c>
      <c r="EX40">
        <v>49333</v>
      </c>
      <c r="EY40">
        <v>49333</v>
      </c>
      <c r="EZ40">
        <v>49333</v>
      </c>
      <c r="FA40">
        <v>49333</v>
      </c>
      <c r="FB40">
        <v>49333</v>
      </c>
      <c r="FC40">
        <v>49333</v>
      </c>
      <c r="FD40">
        <v>49333</v>
      </c>
      <c r="FE40">
        <v>53905</v>
      </c>
      <c r="FF40">
        <v>53905</v>
      </c>
      <c r="FG40">
        <v>54379</v>
      </c>
      <c r="FH40">
        <v>54379</v>
      </c>
      <c r="FI40">
        <v>54379</v>
      </c>
      <c r="FJ40">
        <v>54379</v>
      </c>
      <c r="FK40">
        <v>54379</v>
      </c>
      <c r="FL40">
        <v>54379</v>
      </c>
      <c r="FM40">
        <v>54379</v>
      </c>
      <c r="FN40">
        <v>54379</v>
      </c>
      <c r="FO40">
        <v>54379</v>
      </c>
      <c r="FP40">
        <v>54379</v>
      </c>
      <c r="FQ40">
        <v>54379</v>
      </c>
      <c r="FR40">
        <v>54379</v>
      </c>
      <c r="FS40">
        <v>54379</v>
      </c>
      <c r="FT40">
        <v>54379</v>
      </c>
      <c r="FU40">
        <v>54379</v>
      </c>
      <c r="FV40">
        <v>54379</v>
      </c>
      <c r="FW40">
        <v>54379</v>
      </c>
      <c r="FX40">
        <v>54379</v>
      </c>
      <c r="FY40">
        <v>54379</v>
      </c>
      <c r="FZ40">
        <v>54379</v>
      </c>
      <c r="GA40">
        <v>54379</v>
      </c>
      <c r="GB40">
        <v>54379</v>
      </c>
      <c r="GC40">
        <v>54379</v>
      </c>
      <c r="GD40">
        <v>54379</v>
      </c>
      <c r="GE40">
        <v>54379</v>
      </c>
      <c r="GF40">
        <v>54379</v>
      </c>
      <c r="GG40">
        <v>54379</v>
      </c>
      <c r="GH40">
        <v>54379</v>
      </c>
      <c r="GI40">
        <v>54379</v>
      </c>
      <c r="GJ40">
        <v>54379</v>
      </c>
      <c r="GK40">
        <v>54379</v>
      </c>
      <c r="GL40">
        <v>54379</v>
      </c>
      <c r="GM40">
        <v>54379</v>
      </c>
      <c r="GN40">
        <v>54379</v>
      </c>
      <c r="GO40">
        <v>54379</v>
      </c>
      <c r="GP40">
        <v>54379</v>
      </c>
      <c r="GQ40">
        <v>54379</v>
      </c>
      <c r="GR40">
        <v>54379</v>
      </c>
      <c r="GS40">
        <v>54379</v>
      </c>
      <c r="GT40">
        <v>54379</v>
      </c>
      <c r="GU40">
        <v>54379</v>
      </c>
      <c r="GV40">
        <v>54379</v>
      </c>
      <c r="GW40">
        <v>54379</v>
      </c>
      <c r="GX40">
        <v>54379</v>
      </c>
      <c r="GY40">
        <v>54379</v>
      </c>
      <c r="GZ40">
        <v>54379</v>
      </c>
      <c r="HA40" s="3">
        <v>57232</v>
      </c>
      <c r="HB40">
        <v>60085</v>
      </c>
      <c r="HC40">
        <v>60085</v>
      </c>
      <c r="HD40">
        <v>60085</v>
      </c>
      <c r="HE40">
        <v>60085</v>
      </c>
      <c r="HF40">
        <v>60085</v>
      </c>
      <c r="HG40">
        <v>60085</v>
      </c>
      <c r="HH40">
        <v>60085</v>
      </c>
      <c r="HI40">
        <v>60085</v>
      </c>
      <c r="HJ40">
        <v>60085</v>
      </c>
      <c r="HK40">
        <v>60085</v>
      </c>
      <c r="HL40">
        <v>60085</v>
      </c>
      <c r="HM40">
        <v>60085</v>
      </c>
      <c r="HN40">
        <v>60085</v>
      </c>
      <c r="HO40">
        <v>60085</v>
      </c>
      <c r="HP40">
        <v>60085</v>
      </c>
      <c r="HQ40">
        <v>60085</v>
      </c>
      <c r="HR40">
        <v>60085</v>
      </c>
      <c r="HS40">
        <v>60085</v>
      </c>
      <c r="HT40">
        <v>60085</v>
      </c>
      <c r="HU40">
        <v>60085</v>
      </c>
      <c r="HV40">
        <v>60085</v>
      </c>
      <c r="HW40">
        <v>60085</v>
      </c>
      <c r="HX40">
        <v>60085</v>
      </c>
      <c r="HY40">
        <v>60085</v>
      </c>
      <c r="HZ40">
        <v>60085</v>
      </c>
      <c r="IA40">
        <v>60085</v>
      </c>
      <c r="IB40">
        <v>60085</v>
      </c>
      <c r="IC40">
        <v>60085</v>
      </c>
      <c r="ID40">
        <v>60085</v>
      </c>
      <c r="IE40">
        <v>60085</v>
      </c>
      <c r="IF40">
        <v>60085</v>
      </c>
      <c r="IG40">
        <v>60085</v>
      </c>
      <c r="IH40">
        <v>60085</v>
      </c>
      <c r="II40">
        <v>60085</v>
      </c>
      <c r="IJ40">
        <v>60085</v>
      </c>
      <c r="IK40">
        <v>60085</v>
      </c>
      <c r="IL40">
        <v>60085</v>
      </c>
      <c r="IM40">
        <v>60085</v>
      </c>
      <c r="IN40">
        <v>60085</v>
      </c>
      <c r="IO40">
        <v>60085</v>
      </c>
      <c r="IP40">
        <v>68900</v>
      </c>
      <c r="IQ40">
        <v>68900</v>
      </c>
      <c r="IR40">
        <v>68900</v>
      </c>
      <c r="IS40">
        <v>68900</v>
      </c>
      <c r="IT40">
        <v>68900</v>
      </c>
      <c r="IU40">
        <v>68900</v>
      </c>
      <c r="IV40">
        <v>68900</v>
      </c>
      <c r="IW40">
        <v>68900</v>
      </c>
      <c r="IX40">
        <v>68900</v>
      </c>
      <c r="IY40">
        <v>71047</v>
      </c>
      <c r="IZ40">
        <v>71047</v>
      </c>
      <c r="JA40">
        <v>71047</v>
      </c>
      <c r="JB40">
        <v>71047</v>
      </c>
      <c r="JC40">
        <v>71047</v>
      </c>
      <c r="JD40">
        <v>71047</v>
      </c>
      <c r="JE40">
        <v>71047</v>
      </c>
      <c r="JF40">
        <v>77047</v>
      </c>
      <c r="JG40">
        <v>77047</v>
      </c>
      <c r="JH40">
        <v>78029</v>
      </c>
      <c r="JI40">
        <v>78419</v>
      </c>
      <c r="JJ40">
        <v>78419</v>
      </c>
      <c r="JK40">
        <v>79217</v>
      </c>
      <c r="JL40">
        <v>80567</v>
      </c>
      <c r="JM40">
        <v>81026</v>
      </c>
      <c r="JN40">
        <v>81436</v>
      </c>
      <c r="JO40">
        <v>81822</v>
      </c>
      <c r="JP40">
        <v>82056</v>
      </c>
      <c r="JQ40">
        <v>82797</v>
      </c>
      <c r="JR40">
        <v>82797</v>
      </c>
      <c r="JS40">
        <v>83287</v>
      </c>
      <c r="JT40">
        <v>85122</v>
      </c>
      <c r="JU40">
        <v>85798</v>
      </c>
      <c r="JV40">
        <v>85798</v>
      </c>
      <c r="JW40">
        <v>86536</v>
      </c>
      <c r="JX40">
        <v>87360</v>
      </c>
      <c r="JY40">
        <v>87360</v>
      </c>
      <c r="JZ40">
        <v>88657</v>
      </c>
      <c r="KA40">
        <v>89188</v>
      </c>
      <c r="KB40">
        <v>89785</v>
      </c>
      <c r="KC40">
        <v>89917</v>
      </c>
      <c r="KD40">
        <v>90664</v>
      </c>
      <c r="KE40">
        <v>90664</v>
      </c>
      <c r="KF40">
        <v>91867</v>
      </c>
      <c r="KG40">
        <v>91867</v>
      </c>
      <c r="KH40">
        <v>92396</v>
      </c>
      <c r="KI40">
        <v>92396</v>
      </c>
      <c r="KJ40">
        <v>93027</v>
      </c>
      <c r="KK40">
        <v>93027</v>
      </c>
      <c r="KL40">
        <v>93027</v>
      </c>
      <c r="KM40">
        <v>93027</v>
      </c>
      <c r="KN40">
        <v>93734</v>
      </c>
      <c r="KO40">
        <v>94340</v>
      </c>
      <c r="KP40">
        <v>94340</v>
      </c>
      <c r="KQ40">
        <v>94340</v>
      </c>
      <c r="KR40">
        <v>95209</v>
      </c>
      <c r="KS40">
        <v>95209</v>
      </c>
      <c r="KT40">
        <v>95209</v>
      </c>
      <c r="KU40">
        <v>95209</v>
      </c>
      <c r="KV40">
        <v>95209</v>
      </c>
      <c r="KW40">
        <v>95209</v>
      </c>
      <c r="KX40">
        <v>95209</v>
      </c>
      <c r="KY40">
        <v>95209</v>
      </c>
      <c r="KZ40">
        <v>95209</v>
      </c>
      <c r="LA40">
        <v>97594</v>
      </c>
      <c r="LB40">
        <v>98106</v>
      </c>
      <c r="LC40">
        <v>99119</v>
      </c>
      <c r="LD40">
        <v>99119</v>
      </c>
      <c r="LE40">
        <v>99119</v>
      </c>
      <c r="LF40">
        <v>99119</v>
      </c>
      <c r="LG40">
        <v>99119</v>
      </c>
      <c r="LH40">
        <v>99119</v>
      </c>
      <c r="LI40">
        <v>99119</v>
      </c>
      <c r="LJ40">
        <v>99119</v>
      </c>
      <c r="LK40">
        <v>101640</v>
      </c>
      <c r="LL40">
        <v>101640</v>
      </c>
      <c r="LM40">
        <v>101640</v>
      </c>
      <c r="LN40">
        <v>101640</v>
      </c>
      <c r="LO40">
        <v>102270</v>
      </c>
      <c r="LP40">
        <v>102731</v>
      </c>
      <c r="LQ40">
        <v>102731</v>
      </c>
      <c r="LR40">
        <v>103443</v>
      </c>
      <c r="LS40">
        <v>103443</v>
      </c>
      <c r="LT40">
        <v>103443</v>
      </c>
      <c r="LU40">
        <v>103443</v>
      </c>
      <c r="LV40">
        <v>103443</v>
      </c>
      <c r="LW40">
        <v>104689</v>
      </c>
      <c r="LX40">
        <v>104689</v>
      </c>
      <c r="LY40">
        <v>105799</v>
      </c>
      <c r="LZ40">
        <v>105799</v>
      </c>
      <c r="MA40">
        <v>105799</v>
      </c>
      <c r="MB40">
        <v>105799</v>
      </c>
      <c r="MC40">
        <v>105799</v>
      </c>
      <c r="MD40">
        <v>105799</v>
      </c>
      <c r="ME40">
        <v>107275</v>
      </c>
      <c r="MF40">
        <v>107702</v>
      </c>
      <c r="MG40">
        <v>107702</v>
      </c>
      <c r="MH40">
        <v>107702</v>
      </c>
      <c r="MI40">
        <v>107702</v>
      </c>
      <c r="MJ40">
        <v>107702</v>
      </c>
      <c r="MK40">
        <v>107702</v>
      </c>
      <c r="ML40">
        <v>107702</v>
      </c>
      <c r="MM40">
        <v>107702</v>
      </c>
      <c r="MN40">
        <v>107702</v>
      </c>
      <c r="MO40">
        <v>110525</v>
      </c>
      <c r="MP40">
        <v>110525</v>
      </c>
      <c r="MQ40">
        <v>110525</v>
      </c>
      <c r="MR40">
        <v>110525</v>
      </c>
      <c r="MS40">
        <v>110525</v>
      </c>
      <c r="MT40">
        <v>110525</v>
      </c>
      <c r="MU40">
        <v>110525</v>
      </c>
      <c r="MV40">
        <v>110525</v>
      </c>
      <c r="MW40">
        <v>110525</v>
      </c>
      <c r="MX40">
        <v>114661</v>
      </c>
      <c r="MY40">
        <v>114661</v>
      </c>
      <c r="MZ40">
        <v>114661</v>
      </c>
      <c r="NA40">
        <v>114661</v>
      </c>
      <c r="NB40">
        <v>114661</v>
      </c>
      <c r="NC40">
        <v>115741</v>
      </c>
      <c r="ND40">
        <v>115741</v>
      </c>
      <c r="NE40">
        <v>115741</v>
      </c>
      <c r="NF40">
        <v>115741</v>
      </c>
      <c r="NG40">
        <v>115741</v>
      </c>
      <c r="NH40">
        <v>115741</v>
      </c>
      <c r="NI40">
        <v>115741</v>
      </c>
      <c r="NJ40">
        <v>115741</v>
      </c>
      <c r="NK40">
        <v>115741</v>
      </c>
      <c r="NL40">
        <v>115741</v>
      </c>
      <c r="NM40">
        <v>115741</v>
      </c>
      <c r="NN40">
        <v>115741</v>
      </c>
      <c r="NO40">
        <v>115741</v>
      </c>
      <c r="NP40">
        <v>120282</v>
      </c>
      <c r="NQ40">
        <v>120507</v>
      </c>
      <c r="NR40">
        <v>120507</v>
      </c>
      <c r="NS40">
        <v>120507</v>
      </c>
      <c r="NT40">
        <v>120507</v>
      </c>
      <c r="NU40">
        <v>120507</v>
      </c>
      <c r="NV40">
        <v>120507</v>
      </c>
      <c r="NW40">
        <v>120507</v>
      </c>
      <c r="NX40">
        <v>120507</v>
      </c>
      <c r="NY40">
        <v>120507</v>
      </c>
      <c r="NZ40">
        <v>120507</v>
      </c>
      <c r="OA40">
        <v>120507</v>
      </c>
      <c r="OB40">
        <v>120507</v>
      </c>
      <c r="OC40">
        <v>120507</v>
      </c>
      <c r="OD40">
        <v>120507</v>
      </c>
      <c r="OE40">
        <v>120507</v>
      </c>
      <c r="OF40">
        <v>120507</v>
      </c>
      <c r="OG40">
        <v>120507</v>
      </c>
      <c r="OH40">
        <v>120507</v>
      </c>
      <c r="OI40">
        <v>120507</v>
      </c>
      <c r="OJ40">
        <v>120507</v>
      </c>
      <c r="OK40">
        <v>120507</v>
      </c>
      <c r="OL40">
        <v>120507</v>
      </c>
      <c r="OM40">
        <v>120507</v>
      </c>
      <c r="ON40">
        <v>120507</v>
      </c>
      <c r="OO40">
        <v>120507</v>
      </c>
      <c r="OP40">
        <v>120507</v>
      </c>
      <c r="OQ40">
        <v>120507</v>
      </c>
      <c r="OR40">
        <v>120507</v>
      </c>
      <c r="OS40">
        <v>120507</v>
      </c>
      <c r="OT40">
        <v>131683</v>
      </c>
      <c r="OU40">
        <v>131683</v>
      </c>
      <c r="OV40">
        <v>131683</v>
      </c>
      <c r="OW40">
        <v>131683</v>
      </c>
      <c r="OX40">
        <v>131997</v>
      </c>
      <c r="OY40">
        <v>132422</v>
      </c>
      <c r="OZ40">
        <v>132422</v>
      </c>
      <c r="PA40">
        <v>132422</v>
      </c>
      <c r="PB40">
        <v>132422</v>
      </c>
      <c r="PC40">
        <v>132422</v>
      </c>
      <c r="PD40">
        <v>132422</v>
      </c>
      <c r="PE40">
        <v>132422</v>
      </c>
      <c r="PF40">
        <v>132422</v>
      </c>
      <c r="PG40">
        <v>132422</v>
      </c>
      <c r="PH40">
        <v>132422</v>
      </c>
      <c r="PI40">
        <v>132422</v>
      </c>
      <c r="PJ40">
        <v>132422</v>
      </c>
      <c r="PK40">
        <v>132422</v>
      </c>
      <c r="PL40">
        <v>132422</v>
      </c>
      <c r="PM40">
        <v>132422</v>
      </c>
      <c r="PN40">
        <v>132422</v>
      </c>
      <c r="PO40">
        <v>132422</v>
      </c>
      <c r="PP40">
        <v>132422</v>
      </c>
      <c r="PQ40">
        <v>132422</v>
      </c>
      <c r="PR40">
        <v>132422</v>
      </c>
      <c r="PS40">
        <v>132422</v>
      </c>
      <c r="PT40">
        <v>132422</v>
      </c>
      <c r="PU40">
        <v>132422</v>
      </c>
      <c r="PV40">
        <v>132422</v>
      </c>
      <c r="PW40">
        <v>132422</v>
      </c>
      <c r="PX40">
        <v>132422</v>
      </c>
      <c r="PY40">
        <v>132422</v>
      </c>
      <c r="PZ40">
        <v>132422</v>
      </c>
      <c r="QA40">
        <v>132422</v>
      </c>
      <c r="QB40">
        <v>132422</v>
      </c>
      <c r="QC40">
        <v>132422</v>
      </c>
      <c r="QD40">
        <v>132422</v>
      </c>
      <c r="QE40">
        <v>132422</v>
      </c>
      <c r="QF40">
        <v>132422</v>
      </c>
      <c r="QG40">
        <v>132422</v>
      </c>
      <c r="QH40">
        <v>132422</v>
      </c>
      <c r="QI40">
        <v>132422</v>
      </c>
      <c r="QJ40">
        <v>132422</v>
      </c>
      <c r="QK40">
        <v>132422</v>
      </c>
      <c r="QL40">
        <v>132422</v>
      </c>
      <c r="QM40">
        <v>132422</v>
      </c>
      <c r="QN40">
        <v>132422</v>
      </c>
      <c r="QO40">
        <v>132422</v>
      </c>
      <c r="QP40">
        <v>132422</v>
      </c>
      <c r="QQ40">
        <v>132422</v>
      </c>
      <c r="QR40">
        <v>132422</v>
      </c>
      <c r="QS40">
        <v>132422</v>
      </c>
      <c r="QT40">
        <v>132422</v>
      </c>
      <c r="QU40">
        <v>132422</v>
      </c>
      <c r="QV40">
        <v>132422</v>
      </c>
      <c r="QW40">
        <v>132422</v>
      </c>
      <c r="QX40">
        <v>132422</v>
      </c>
      <c r="QY40">
        <v>132422</v>
      </c>
      <c r="QZ40">
        <v>132422</v>
      </c>
      <c r="RA40">
        <v>132422</v>
      </c>
      <c r="RB40">
        <v>132422</v>
      </c>
      <c r="RC40">
        <v>132422</v>
      </c>
      <c r="RD40">
        <v>132422</v>
      </c>
      <c r="RE40">
        <v>132422</v>
      </c>
      <c r="RF40">
        <v>132422</v>
      </c>
      <c r="RG40">
        <v>132422</v>
      </c>
      <c r="RH40">
        <v>132422</v>
      </c>
      <c r="RI40">
        <v>132422</v>
      </c>
      <c r="RJ40">
        <v>132422</v>
      </c>
      <c r="RK40">
        <v>132422</v>
      </c>
      <c r="RL40">
        <v>132422</v>
      </c>
      <c r="RM40">
        <v>132422</v>
      </c>
      <c r="RN40">
        <v>132422</v>
      </c>
      <c r="RO40">
        <v>132422</v>
      </c>
      <c r="RP40">
        <v>132422</v>
      </c>
      <c r="RQ40">
        <v>132422</v>
      </c>
      <c r="RR40">
        <v>132422</v>
      </c>
      <c r="RS40">
        <v>132422</v>
      </c>
      <c r="RT40">
        <v>132422</v>
      </c>
      <c r="RU40">
        <v>132422</v>
      </c>
      <c r="RV40">
        <v>132422</v>
      </c>
      <c r="RW40">
        <v>132422</v>
      </c>
      <c r="RX40">
        <v>132422</v>
      </c>
      <c r="RY40">
        <v>132422</v>
      </c>
      <c r="RZ40">
        <v>132422</v>
      </c>
      <c r="SA40">
        <v>132422</v>
      </c>
      <c r="SB40">
        <v>132422</v>
      </c>
      <c r="SC40">
        <v>132422</v>
      </c>
      <c r="SD40">
        <v>132422</v>
      </c>
      <c r="SE40">
        <v>132422</v>
      </c>
      <c r="SF40">
        <v>132422</v>
      </c>
      <c r="SG40">
        <v>132422</v>
      </c>
      <c r="SH40">
        <v>132422</v>
      </c>
      <c r="SI40">
        <v>132422</v>
      </c>
      <c r="SJ40">
        <v>132422</v>
      </c>
      <c r="SK40">
        <v>132422</v>
      </c>
      <c r="SL40">
        <v>132422</v>
      </c>
      <c r="SM40">
        <v>132422</v>
      </c>
      <c r="SN40">
        <v>132422</v>
      </c>
      <c r="SO40">
        <v>132422</v>
      </c>
      <c r="SP40">
        <v>132422</v>
      </c>
      <c r="SQ40">
        <v>132422</v>
      </c>
      <c r="SR40">
        <v>132422</v>
      </c>
      <c r="SS40">
        <v>132422</v>
      </c>
      <c r="ST40">
        <v>132422</v>
      </c>
      <c r="SU40">
        <v>132422</v>
      </c>
      <c r="SV40">
        <v>132422</v>
      </c>
      <c r="SW40">
        <v>132422</v>
      </c>
      <c r="SX40">
        <v>132422</v>
      </c>
      <c r="SY40">
        <v>132422</v>
      </c>
      <c r="SZ40">
        <v>132422</v>
      </c>
      <c r="TA40">
        <v>132422</v>
      </c>
      <c r="TB40">
        <v>132422</v>
      </c>
      <c r="TC40">
        <v>132422</v>
      </c>
      <c r="TD40">
        <v>132422</v>
      </c>
      <c r="TE40">
        <v>132422</v>
      </c>
      <c r="TF40">
        <v>132422</v>
      </c>
      <c r="TG40">
        <v>132422</v>
      </c>
      <c r="TH40">
        <v>132422</v>
      </c>
      <c r="TI40">
        <v>132422</v>
      </c>
      <c r="TJ40">
        <v>132422</v>
      </c>
      <c r="TK40">
        <v>132422</v>
      </c>
      <c r="TL40">
        <v>132422</v>
      </c>
      <c r="TM40">
        <v>132422</v>
      </c>
      <c r="TN40">
        <v>132422</v>
      </c>
      <c r="TO40">
        <v>132422</v>
      </c>
      <c r="TP40">
        <v>132422</v>
      </c>
      <c r="TQ40">
        <v>132422</v>
      </c>
      <c r="TR40">
        <v>132422</v>
      </c>
      <c r="TS40">
        <v>132422</v>
      </c>
      <c r="TT40">
        <v>132422</v>
      </c>
      <c r="TU40">
        <v>132422</v>
      </c>
      <c r="TV40">
        <v>132422</v>
      </c>
      <c r="TW40">
        <v>132422</v>
      </c>
      <c r="TX40">
        <v>132422</v>
      </c>
      <c r="TY40">
        <v>132422</v>
      </c>
      <c r="TZ40">
        <v>132422</v>
      </c>
      <c r="UA40">
        <v>132422</v>
      </c>
      <c r="UB40">
        <v>132422</v>
      </c>
      <c r="UC40">
        <v>132422</v>
      </c>
      <c r="UD40">
        <v>132422</v>
      </c>
      <c r="UE40">
        <v>132422</v>
      </c>
      <c r="UF40">
        <v>132422</v>
      </c>
      <c r="UG40">
        <v>132422</v>
      </c>
      <c r="UH40">
        <v>132422</v>
      </c>
      <c r="UI40">
        <v>132422</v>
      </c>
      <c r="UJ40">
        <v>132422</v>
      </c>
      <c r="UK40">
        <v>132422</v>
      </c>
      <c r="UL40">
        <v>132422</v>
      </c>
      <c r="UM40">
        <v>132422</v>
      </c>
      <c r="UN40">
        <v>132422</v>
      </c>
      <c r="UO40">
        <v>132422</v>
      </c>
      <c r="UP40">
        <v>132422</v>
      </c>
      <c r="UQ40">
        <v>132422</v>
      </c>
      <c r="UR40">
        <v>132422</v>
      </c>
      <c r="US40">
        <v>132422</v>
      </c>
      <c r="UT40">
        <v>132422</v>
      </c>
      <c r="UU40">
        <v>132422</v>
      </c>
      <c r="UV40">
        <v>132422</v>
      </c>
      <c r="UW40">
        <v>132422</v>
      </c>
      <c r="UX40">
        <v>132422</v>
      </c>
      <c r="UY40">
        <v>132422</v>
      </c>
      <c r="UZ40">
        <v>132422</v>
      </c>
      <c r="VA40">
        <v>132422</v>
      </c>
      <c r="VB40">
        <v>132422</v>
      </c>
      <c r="VC40">
        <v>132422</v>
      </c>
      <c r="VD40">
        <v>132422</v>
      </c>
      <c r="VE40">
        <v>132422</v>
      </c>
      <c r="VF40">
        <v>132422</v>
      </c>
      <c r="VG40">
        <v>132422</v>
      </c>
      <c r="VH40">
        <v>132422</v>
      </c>
      <c r="VI40">
        <v>132422</v>
      </c>
      <c r="VJ40">
        <v>132422</v>
      </c>
      <c r="VK40">
        <v>132422</v>
      </c>
      <c r="VL40">
        <v>132422</v>
      </c>
      <c r="VM40">
        <v>132422</v>
      </c>
      <c r="VN40">
        <v>132422</v>
      </c>
      <c r="VO40">
        <v>132422</v>
      </c>
      <c r="VP40">
        <v>132422</v>
      </c>
      <c r="VQ40">
        <v>132422</v>
      </c>
      <c r="VR40">
        <v>132422</v>
      </c>
      <c r="VS40">
        <v>132422</v>
      </c>
      <c r="VT40">
        <v>132422</v>
      </c>
      <c r="VU40">
        <v>132422</v>
      </c>
      <c r="VV40">
        <v>132422</v>
      </c>
      <c r="VW40">
        <v>132422</v>
      </c>
      <c r="VX40">
        <v>132422</v>
      </c>
      <c r="VY40">
        <v>132422</v>
      </c>
      <c r="VZ40">
        <v>132422</v>
      </c>
      <c r="WA40">
        <v>132422</v>
      </c>
      <c r="WB40">
        <v>132422</v>
      </c>
      <c r="WC40">
        <v>132422</v>
      </c>
      <c r="WD40">
        <v>132422</v>
      </c>
      <c r="WE40">
        <v>132422</v>
      </c>
      <c r="WF40">
        <v>132422</v>
      </c>
      <c r="WG40">
        <v>132422</v>
      </c>
      <c r="WH40">
        <v>132422</v>
      </c>
      <c r="WI40">
        <v>132422</v>
      </c>
      <c r="WJ40">
        <v>132422</v>
      </c>
      <c r="WK40">
        <v>132422</v>
      </c>
      <c r="WL40">
        <v>132422</v>
      </c>
      <c r="WM40">
        <v>132422</v>
      </c>
      <c r="WN40">
        <v>132422</v>
      </c>
      <c r="WO40">
        <v>132422</v>
      </c>
      <c r="WP40">
        <v>132422</v>
      </c>
      <c r="WQ40">
        <v>132422</v>
      </c>
      <c r="WR40">
        <v>132422</v>
      </c>
      <c r="WS40">
        <v>132422</v>
      </c>
      <c r="WT40">
        <v>132422</v>
      </c>
      <c r="WU40">
        <v>132422</v>
      </c>
      <c r="WV40">
        <v>132422</v>
      </c>
      <c r="WW40">
        <v>132422</v>
      </c>
      <c r="WX40">
        <v>132422</v>
      </c>
      <c r="WY40">
        <v>132422</v>
      </c>
      <c r="WZ40">
        <v>132422</v>
      </c>
      <c r="XA40">
        <v>132422</v>
      </c>
      <c r="XB40">
        <v>132422</v>
      </c>
      <c r="XC40">
        <v>132422</v>
      </c>
      <c r="XD40">
        <v>132422</v>
      </c>
      <c r="XE40">
        <v>132422</v>
      </c>
      <c r="XF40">
        <v>132422</v>
      </c>
      <c r="XG40">
        <v>132422</v>
      </c>
      <c r="XH40">
        <v>132422</v>
      </c>
      <c r="XI40">
        <v>132422</v>
      </c>
      <c r="XJ40">
        <v>132422</v>
      </c>
      <c r="XK40">
        <v>132422</v>
      </c>
      <c r="XL40">
        <v>132422</v>
      </c>
      <c r="XM40">
        <v>132422</v>
      </c>
      <c r="XN40">
        <v>132422</v>
      </c>
      <c r="XO40">
        <v>132422</v>
      </c>
      <c r="XP40">
        <v>132422</v>
      </c>
      <c r="XQ40">
        <v>132422</v>
      </c>
      <c r="XR40">
        <v>132422</v>
      </c>
      <c r="XS40">
        <v>132422</v>
      </c>
      <c r="XT40">
        <v>132422</v>
      </c>
      <c r="XU40">
        <v>132422</v>
      </c>
      <c r="XV40">
        <v>132422</v>
      </c>
      <c r="XW40">
        <v>132422</v>
      </c>
      <c r="XX40">
        <v>132422</v>
      </c>
      <c r="XY40">
        <v>132422</v>
      </c>
      <c r="XZ40">
        <v>132422</v>
      </c>
      <c r="YA40">
        <v>132422</v>
      </c>
      <c r="YB40">
        <v>132422</v>
      </c>
      <c r="YC40">
        <v>132422</v>
      </c>
      <c r="YD40">
        <v>132422</v>
      </c>
      <c r="YE40">
        <v>132422</v>
      </c>
      <c r="YF40" s="1">
        <v>132422</v>
      </c>
      <c r="YG40" s="1">
        <v>132422</v>
      </c>
      <c r="YH40" s="1">
        <v>132422</v>
      </c>
      <c r="YI40" s="1">
        <v>132422</v>
      </c>
      <c r="YJ40">
        <v>132422</v>
      </c>
      <c r="YK40">
        <v>132422</v>
      </c>
      <c r="YL40">
        <v>132422</v>
      </c>
      <c r="YM40">
        <v>132422</v>
      </c>
      <c r="YN40">
        <v>132422</v>
      </c>
      <c r="YO40">
        <v>132422</v>
      </c>
      <c r="YP40">
        <v>132422</v>
      </c>
      <c r="YQ40">
        <v>132422</v>
      </c>
      <c r="YR40">
        <v>132422</v>
      </c>
      <c r="YS40">
        <v>132422</v>
      </c>
      <c r="YT40">
        <v>132422</v>
      </c>
      <c r="YU40">
        <v>132422</v>
      </c>
      <c r="YV40">
        <v>132422</v>
      </c>
      <c r="YW40">
        <v>132422</v>
      </c>
      <c r="YX40">
        <v>132422</v>
      </c>
      <c r="YY40">
        <v>132422</v>
      </c>
      <c r="YZ40">
        <v>132422</v>
      </c>
      <c r="ZA40">
        <v>132422</v>
      </c>
      <c r="ZB40">
        <v>132422</v>
      </c>
      <c r="ZC40">
        <v>132422</v>
      </c>
      <c r="ZD40">
        <v>132422</v>
      </c>
      <c r="ZE40">
        <v>132422</v>
      </c>
      <c r="ZF40">
        <v>132422</v>
      </c>
      <c r="ZG40">
        <v>132422</v>
      </c>
      <c r="ZH40">
        <v>132422</v>
      </c>
      <c r="ZI40">
        <v>132422</v>
      </c>
      <c r="ZJ40">
        <v>132422</v>
      </c>
      <c r="ZK40">
        <v>132422</v>
      </c>
      <c r="ZL40">
        <v>132422</v>
      </c>
      <c r="ZM40">
        <v>132422</v>
      </c>
      <c r="ZN40">
        <v>132422</v>
      </c>
      <c r="ZO40">
        <v>132422</v>
      </c>
      <c r="ZP40">
        <v>132422</v>
      </c>
      <c r="ZQ40">
        <v>132422</v>
      </c>
      <c r="ZR40">
        <v>132422</v>
      </c>
      <c r="ZS40">
        <v>132422</v>
      </c>
      <c r="ZT40">
        <v>132422</v>
      </c>
      <c r="ZU40">
        <v>132422</v>
      </c>
      <c r="ZV40">
        <v>132422</v>
      </c>
      <c r="ZW40">
        <v>132422</v>
      </c>
      <c r="ZX40">
        <v>132422</v>
      </c>
      <c r="ZY40">
        <v>132422</v>
      </c>
      <c r="ZZ40">
        <v>132422</v>
      </c>
      <c r="AAA40">
        <v>132422</v>
      </c>
      <c r="AAB40">
        <v>132422</v>
      </c>
      <c r="AAC40">
        <v>132422</v>
      </c>
      <c r="AAD40">
        <v>132422</v>
      </c>
      <c r="AAE40">
        <v>132422</v>
      </c>
      <c r="AAF40">
        <v>132422</v>
      </c>
      <c r="AAG40">
        <v>132422</v>
      </c>
      <c r="AAH40">
        <v>132422</v>
      </c>
      <c r="AAI40">
        <v>132422</v>
      </c>
      <c r="AAJ40">
        <v>132422</v>
      </c>
      <c r="AAK40">
        <v>132422</v>
      </c>
      <c r="AAL40">
        <v>132422</v>
      </c>
      <c r="AAM40">
        <v>132422</v>
      </c>
      <c r="AAN40">
        <v>132422</v>
      </c>
      <c r="AAO40">
        <v>132422</v>
      </c>
      <c r="AAP40">
        <v>132422</v>
      </c>
      <c r="AAQ40">
        <v>132422</v>
      </c>
      <c r="AAR40">
        <v>132422</v>
      </c>
      <c r="AAS40">
        <v>132422</v>
      </c>
      <c r="AAT40">
        <v>132422</v>
      </c>
      <c r="AAU40">
        <v>132422</v>
      </c>
      <c r="AAV40">
        <v>132422</v>
      </c>
      <c r="AAW40">
        <v>132422</v>
      </c>
      <c r="AAX40">
        <v>132422</v>
      </c>
      <c r="AAY40">
        <v>132422</v>
      </c>
      <c r="AAZ40">
        <v>132422</v>
      </c>
      <c r="ABA40">
        <v>132422</v>
      </c>
      <c r="ABB40">
        <v>132422</v>
      </c>
      <c r="ABC40">
        <v>132422</v>
      </c>
      <c r="ABD40">
        <v>132422</v>
      </c>
      <c r="ABE40">
        <v>132422</v>
      </c>
      <c r="ABF40">
        <v>132422</v>
      </c>
      <c r="ABG40">
        <v>132422</v>
      </c>
      <c r="ABH40">
        <v>132422</v>
      </c>
      <c r="ABI40">
        <v>132422</v>
      </c>
      <c r="ABJ40">
        <v>132422</v>
      </c>
      <c r="ABK40">
        <v>132422</v>
      </c>
      <c r="ABL40">
        <v>132422</v>
      </c>
      <c r="ABM40">
        <v>132422</v>
      </c>
      <c r="ABN40">
        <v>132422</v>
      </c>
      <c r="ABO40">
        <v>132422</v>
      </c>
      <c r="ABP40">
        <v>132422</v>
      </c>
      <c r="ABQ40">
        <v>132422</v>
      </c>
      <c r="ABR40">
        <v>132422</v>
      </c>
      <c r="ABS40">
        <v>132422</v>
      </c>
      <c r="ABT40">
        <v>132422</v>
      </c>
      <c r="ABU40">
        <v>132422</v>
      </c>
      <c r="ABV40">
        <v>132422</v>
      </c>
      <c r="ABW40">
        <v>132422</v>
      </c>
      <c r="ABX40">
        <v>132422</v>
      </c>
      <c r="ABY40">
        <v>132422</v>
      </c>
      <c r="ABZ40">
        <v>132422</v>
      </c>
      <c r="ACA40">
        <v>132422</v>
      </c>
      <c r="ACB40">
        <v>132422</v>
      </c>
      <c r="ACC40">
        <v>132422</v>
      </c>
      <c r="ACD40">
        <v>132422</v>
      </c>
      <c r="ACE40">
        <v>132422</v>
      </c>
      <c r="ACF40">
        <v>132422</v>
      </c>
      <c r="ACG40">
        <v>132422</v>
      </c>
      <c r="ACH40">
        <v>132422</v>
      </c>
      <c r="ACI40">
        <v>132422</v>
      </c>
      <c r="ACJ40">
        <v>132422</v>
      </c>
      <c r="ACK40">
        <v>132422</v>
      </c>
      <c r="ACL40">
        <v>132422</v>
      </c>
      <c r="ACM40">
        <v>132422</v>
      </c>
      <c r="ACN40">
        <v>132422</v>
      </c>
      <c r="ACO40">
        <v>132422</v>
      </c>
      <c r="ACP40">
        <v>132422</v>
      </c>
      <c r="ACQ40">
        <v>132422</v>
      </c>
      <c r="ACR40">
        <v>132422</v>
      </c>
      <c r="ACS40">
        <v>132422</v>
      </c>
      <c r="ACT40">
        <v>132422</v>
      </c>
      <c r="ACU40">
        <v>132422</v>
      </c>
      <c r="ACV40">
        <v>132422</v>
      </c>
      <c r="ACW40">
        <v>132422</v>
      </c>
      <c r="ACX40">
        <v>132422</v>
      </c>
      <c r="ACY40">
        <v>132422</v>
      </c>
      <c r="ACZ40">
        <v>132422</v>
      </c>
      <c r="ADA40">
        <v>132422</v>
      </c>
      <c r="ADB40">
        <v>132422</v>
      </c>
      <c r="ADC40">
        <v>132422</v>
      </c>
      <c r="ADD40">
        <v>132422</v>
      </c>
      <c r="ADE40">
        <v>132422</v>
      </c>
      <c r="ADF40">
        <v>132422</v>
      </c>
      <c r="ADG40">
        <v>132422</v>
      </c>
      <c r="ADH40">
        <v>132422</v>
      </c>
      <c r="ADI40">
        <v>132422</v>
      </c>
      <c r="ADJ40">
        <v>132422</v>
      </c>
      <c r="ADK40">
        <v>132422</v>
      </c>
      <c r="ADL40">
        <v>132422</v>
      </c>
      <c r="ADM40">
        <v>132422</v>
      </c>
      <c r="ADN40">
        <v>132422</v>
      </c>
      <c r="ADO40">
        <v>132422</v>
      </c>
      <c r="ADP40">
        <v>132422</v>
      </c>
      <c r="ADQ40">
        <v>132422</v>
      </c>
      <c r="ADR40">
        <v>132422</v>
      </c>
      <c r="ADS40">
        <v>132422</v>
      </c>
      <c r="ADT40">
        <v>132422</v>
      </c>
      <c r="ADU40">
        <v>132422</v>
      </c>
      <c r="ADV40">
        <v>132422</v>
      </c>
      <c r="ADW40">
        <v>132422</v>
      </c>
      <c r="ADX40">
        <v>132422</v>
      </c>
      <c r="ADY40">
        <v>132422</v>
      </c>
      <c r="ADZ40">
        <v>132422</v>
      </c>
      <c r="AEA40">
        <v>132422</v>
      </c>
      <c r="AEB40">
        <v>132422</v>
      </c>
      <c r="AEC40">
        <v>132422</v>
      </c>
      <c r="AED40">
        <v>132422</v>
      </c>
      <c r="AEE40">
        <v>132422</v>
      </c>
      <c r="AEF40">
        <v>132422</v>
      </c>
      <c r="AEG40">
        <v>132422</v>
      </c>
      <c r="AEH40">
        <v>132422</v>
      </c>
      <c r="AEI40">
        <v>132422</v>
      </c>
      <c r="AEJ40">
        <v>132422</v>
      </c>
      <c r="AEK40">
        <v>132422</v>
      </c>
      <c r="AEL40">
        <v>132422</v>
      </c>
      <c r="AEM40">
        <v>132422</v>
      </c>
      <c r="AEN40">
        <v>132422</v>
      </c>
      <c r="AEO40">
        <v>132422</v>
      </c>
      <c r="AEP40">
        <v>132422</v>
      </c>
      <c r="AEQ40">
        <v>132422</v>
      </c>
      <c r="AER40">
        <v>132422</v>
      </c>
      <c r="AES40">
        <v>132422</v>
      </c>
      <c r="AET40">
        <v>132422</v>
      </c>
      <c r="AEU40">
        <v>132422</v>
      </c>
      <c r="AEV40">
        <v>132422</v>
      </c>
      <c r="AEW40">
        <v>132422</v>
      </c>
      <c r="AEX40">
        <v>132422</v>
      </c>
      <c r="AEY40">
        <v>132422</v>
      </c>
      <c r="AEZ40">
        <v>132422</v>
      </c>
      <c r="AFA40">
        <v>132422</v>
      </c>
      <c r="AFB40">
        <v>132422</v>
      </c>
      <c r="AFC40">
        <v>132422</v>
      </c>
      <c r="AFD40">
        <v>132422</v>
      </c>
      <c r="AFE40">
        <v>132422</v>
      </c>
      <c r="AFF40">
        <v>132422</v>
      </c>
      <c r="AFG40">
        <v>132422</v>
      </c>
      <c r="AFH40">
        <v>132422</v>
      </c>
      <c r="AFI40">
        <v>132422</v>
      </c>
      <c r="AFJ40">
        <v>132422</v>
      </c>
      <c r="AFK40">
        <v>132422</v>
      </c>
      <c r="AFL40">
        <v>132422</v>
      </c>
      <c r="AFM40">
        <v>132422</v>
      </c>
      <c r="AFN40">
        <v>132422</v>
      </c>
      <c r="AFO40">
        <v>132422</v>
      </c>
      <c r="AFP40">
        <v>132422</v>
      </c>
      <c r="AFQ40">
        <v>132422</v>
      </c>
      <c r="AFR40">
        <v>132422</v>
      </c>
      <c r="AFS40">
        <v>132422</v>
      </c>
      <c r="AFT40">
        <v>132422</v>
      </c>
      <c r="AFU40">
        <v>132422</v>
      </c>
      <c r="AFV40">
        <v>132422</v>
      </c>
      <c r="AFW40">
        <v>132422</v>
      </c>
      <c r="AFX40">
        <v>132422</v>
      </c>
      <c r="AFY40">
        <v>132422</v>
      </c>
      <c r="AFZ40">
        <v>132422</v>
      </c>
      <c r="AGA40">
        <v>132422</v>
      </c>
      <c r="AGB40">
        <v>132422</v>
      </c>
      <c r="AGC40">
        <v>132422</v>
      </c>
      <c r="AGD40">
        <v>132422</v>
      </c>
      <c r="AGE40">
        <v>132422</v>
      </c>
      <c r="AGF40">
        <v>132422</v>
      </c>
      <c r="AGG40">
        <v>132422</v>
      </c>
      <c r="AGH40">
        <v>132422</v>
      </c>
      <c r="AGI40">
        <v>132422</v>
      </c>
      <c r="AGJ40">
        <v>132422</v>
      </c>
      <c r="AGK40">
        <v>132422</v>
      </c>
      <c r="AGL40">
        <v>132422</v>
      </c>
      <c r="AGM40">
        <v>132422</v>
      </c>
      <c r="AGN40">
        <v>132422</v>
      </c>
      <c r="AGO40">
        <v>132422</v>
      </c>
      <c r="AGP40">
        <v>132422</v>
      </c>
      <c r="AGQ40">
        <v>132422</v>
      </c>
      <c r="AGR40">
        <v>132422</v>
      </c>
      <c r="AGS40">
        <v>132422</v>
      </c>
      <c r="AGT40">
        <v>132422</v>
      </c>
      <c r="AGU40">
        <v>132422</v>
      </c>
      <c r="AGV40">
        <v>132422</v>
      </c>
      <c r="AGW40">
        <v>132422</v>
      </c>
      <c r="AGX40">
        <v>132422</v>
      </c>
      <c r="AGY40">
        <v>132422</v>
      </c>
      <c r="AGZ40">
        <v>132422</v>
      </c>
      <c r="AHA40">
        <v>132422</v>
      </c>
      <c r="AHB40">
        <v>132422</v>
      </c>
      <c r="AHC40">
        <v>132422</v>
      </c>
      <c r="AHD40">
        <v>132422</v>
      </c>
      <c r="AHE40">
        <v>132422</v>
      </c>
      <c r="AHF40">
        <v>132422</v>
      </c>
      <c r="AHG40">
        <v>132422</v>
      </c>
      <c r="AHH40">
        <v>132422</v>
      </c>
      <c r="AHI40">
        <v>132422</v>
      </c>
      <c r="AHJ40">
        <v>132422</v>
      </c>
      <c r="AHK40">
        <v>132422</v>
      </c>
      <c r="AHL40">
        <v>132422</v>
      </c>
      <c r="AHM40">
        <v>132422</v>
      </c>
      <c r="AHN40">
        <v>132422</v>
      </c>
      <c r="AHO40">
        <v>132422</v>
      </c>
      <c r="AHP40">
        <v>132422</v>
      </c>
      <c r="AHQ40">
        <v>132422</v>
      </c>
    </row>
    <row r="41" spans="1:901">
      <c r="A41" s="1" t="s">
        <v>120</v>
      </c>
      <c r="B41">
        <v>239172</v>
      </c>
      <c r="C41">
        <v>241837</v>
      </c>
      <c r="D41">
        <v>245271</v>
      </c>
      <c r="E41">
        <v>248376</v>
      </c>
      <c r="F41">
        <v>250882</v>
      </c>
      <c r="G41">
        <v>252943</v>
      </c>
      <c r="H41">
        <v>255851</v>
      </c>
      <c r="I41">
        <v>258828</v>
      </c>
      <c r="J41">
        <v>261563</v>
      </c>
      <c r="K41">
        <v>264031</v>
      </c>
      <c r="L41">
        <v>269710</v>
      </c>
      <c r="M41">
        <v>272494</v>
      </c>
      <c r="N41">
        <v>274555</v>
      </c>
      <c r="O41">
        <v>277492</v>
      </c>
      <c r="P41">
        <v>280909</v>
      </c>
      <c r="Q41">
        <v>283537</v>
      </c>
      <c r="R41">
        <v>286262</v>
      </c>
      <c r="S41">
        <v>288502</v>
      </c>
      <c r="T41">
        <v>290507</v>
      </c>
      <c r="U41">
        <v>293374</v>
      </c>
      <c r="V41">
        <v>296536</v>
      </c>
      <c r="W41">
        <v>299557</v>
      </c>
      <c r="X41">
        <v>302657</v>
      </c>
      <c r="Y41">
        <v>305552</v>
      </c>
      <c r="Z41">
        <v>308443</v>
      </c>
      <c r="AA41">
        <v>311326</v>
      </c>
      <c r="AB41">
        <v>314053</v>
      </c>
      <c r="AC41">
        <v>317084</v>
      </c>
      <c r="AD41">
        <v>320006</v>
      </c>
      <c r="AE41">
        <v>322978</v>
      </c>
      <c r="AF41">
        <v>325909</v>
      </c>
      <c r="AG41">
        <v>328600</v>
      </c>
      <c r="AH41">
        <v>330854</v>
      </c>
      <c r="AI41">
        <v>333885</v>
      </c>
      <c r="AJ41">
        <v>336639</v>
      </c>
      <c r="AK41">
        <v>339477</v>
      </c>
      <c r="AL41">
        <v>342331</v>
      </c>
      <c r="AM41">
        <v>345336</v>
      </c>
      <c r="AN41">
        <v>347863</v>
      </c>
      <c r="AO41">
        <v>350289</v>
      </c>
      <c r="AP41">
        <v>352711</v>
      </c>
      <c r="AQ41">
        <v>355553</v>
      </c>
      <c r="AR41">
        <v>358694</v>
      </c>
      <c r="AS41">
        <v>361696</v>
      </c>
      <c r="AT41">
        <v>364557</v>
      </c>
      <c r="AU41">
        <v>367224</v>
      </c>
      <c r="AV41">
        <v>368759</v>
      </c>
      <c r="AW41">
        <v>371762</v>
      </c>
      <c r="AX41">
        <v>374486</v>
      </c>
      <c r="AY41">
        <v>377309</v>
      </c>
      <c r="AZ41">
        <v>380237</v>
      </c>
      <c r="BA41">
        <v>382872</v>
      </c>
      <c r="BB41">
        <v>385453</v>
      </c>
      <c r="BC41">
        <v>387941</v>
      </c>
      <c r="BD41">
        <v>390180</v>
      </c>
      <c r="BE41">
        <v>392876</v>
      </c>
      <c r="BF41">
        <v>395518</v>
      </c>
      <c r="BG41">
        <v>398428</v>
      </c>
      <c r="BH41">
        <v>401017</v>
      </c>
      <c r="BI41">
        <v>402564</v>
      </c>
      <c r="BJ41">
        <v>405816</v>
      </c>
      <c r="BK41">
        <v>408717</v>
      </c>
      <c r="BL41">
        <v>411727</v>
      </c>
      <c r="BM41">
        <v>414988</v>
      </c>
      <c r="BN41">
        <v>417510</v>
      </c>
      <c r="BO41">
        <v>420258</v>
      </c>
      <c r="BP41">
        <v>423142</v>
      </c>
      <c r="BQ41">
        <v>425902</v>
      </c>
      <c r="BR41">
        <v>428912</v>
      </c>
      <c r="BS41">
        <v>432048</v>
      </c>
      <c r="BT41">
        <v>435667</v>
      </c>
      <c r="BU41">
        <v>439175</v>
      </c>
      <c r="BV41">
        <v>442832</v>
      </c>
      <c r="BW41">
        <v>445986</v>
      </c>
      <c r="BX41">
        <v>449057</v>
      </c>
      <c r="BY41">
        <v>452851</v>
      </c>
      <c r="BZ41">
        <v>456916</v>
      </c>
      <c r="CA41">
        <v>461111</v>
      </c>
      <c r="CB41">
        <v>465266</v>
      </c>
      <c r="CC41">
        <v>469346</v>
      </c>
      <c r="CD41">
        <v>473438</v>
      </c>
      <c r="CE41">
        <v>477350</v>
      </c>
      <c r="CF41">
        <v>481180</v>
      </c>
      <c r="CG41">
        <v>485100</v>
      </c>
      <c r="CH41">
        <v>489070</v>
      </c>
      <c r="CI41">
        <v>493080</v>
      </c>
      <c r="CJ41">
        <v>496890</v>
      </c>
      <c r="CK41">
        <v>500744</v>
      </c>
      <c r="CL41">
        <v>504284</v>
      </c>
      <c r="CM41">
        <v>507794</v>
      </c>
      <c r="CN41">
        <v>511518</v>
      </c>
      <c r="CO41">
        <v>515145</v>
      </c>
      <c r="CP41">
        <v>519025</v>
      </c>
      <c r="CQ41">
        <v>522786</v>
      </c>
      <c r="CR41">
        <v>526030</v>
      </c>
      <c r="CS41">
        <v>529713</v>
      </c>
      <c r="CT41">
        <v>533281</v>
      </c>
      <c r="CU41">
        <v>536830</v>
      </c>
      <c r="CV41">
        <v>540457</v>
      </c>
      <c r="CW41">
        <v>544368</v>
      </c>
      <c r="CX41">
        <v>546113</v>
      </c>
      <c r="CY41">
        <v>548263</v>
      </c>
      <c r="CZ41">
        <v>551190</v>
      </c>
      <c r="DA41">
        <v>554487</v>
      </c>
      <c r="DB41">
        <v>557115</v>
      </c>
      <c r="DC41">
        <v>560389</v>
      </c>
      <c r="DD41">
        <v>563496</v>
      </c>
      <c r="DE41">
        <v>564536</v>
      </c>
      <c r="DF41">
        <v>565803</v>
      </c>
      <c r="DG41">
        <v>568371</v>
      </c>
      <c r="DH41">
        <v>571215</v>
      </c>
      <c r="DI41">
        <v>574226</v>
      </c>
      <c r="DJ41">
        <v>577229</v>
      </c>
      <c r="DK41">
        <v>580486</v>
      </c>
      <c r="DL41">
        <v>583633</v>
      </c>
      <c r="DM41">
        <v>586641</v>
      </c>
      <c r="DN41">
        <v>589122</v>
      </c>
      <c r="DO41">
        <v>592028</v>
      </c>
      <c r="DP41">
        <v>595147</v>
      </c>
      <c r="DQ41">
        <v>598304</v>
      </c>
      <c r="DR41">
        <v>601411</v>
      </c>
      <c r="DS41">
        <v>604813</v>
      </c>
      <c r="DT41">
        <v>607933</v>
      </c>
      <c r="DU41">
        <v>611068</v>
      </c>
      <c r="DV41">
        <v>614307</v>
      </c>
      <c r="DW41">
        <v>617756</v>
      </c>
      <c r="DX41">
        <v>620988</v>
      </c>
      <c r="DY41">
        <v>624400</v>
      </c>
      <c r="DZ41">
        <v>627544</v>
      </c>
      <c r="EA41">
        <v>630431</v>
      </c>
      <c r="EB41">
        <v>633148</v>
      </c>
      <c r="EC41">
        <v>636309</v>
      </c>
      <c r="ED41">
        <v>639724</v>
      </c>
      <c r="EE41">
        <v>642837</v>
      </c>
      <c r="EF41">
        <v>646112</v>
      </c>
      <c r="EG41">
        <v>649353</v>
      </c>
      <c r="EH41">
        <v>652585</v>
      </c>
      <c r="EI41">
        <v>655988</v>
      </c>
      <c r="EJ41">
        <v>659416</v>
      </c>
      <c r="EK41">
        <v>662774</v>
      </c>
      <c r="EL41">
        <v>666265</v>
      </c>
      <c r="EM41">
        <v>669834</v>
      </c>
      <c r="EN41">
        <v>673381</v>
      </c>
      <c r="EO41">
        <v>676388</v>
      </c>
      <c r="EP41">
        <v>679391</v>
      </c>
      <c r="EQ41">
        <v>682930</v>
      </c>
      <c r="ER41">
        <v>686479</v>
      </c>
      <c r="ES41">
        <v>690273</v>
      </c>
      <c r="ET41">
        <v>693803</v>
      </c>
      <c r="EU41">
        <v>697289</v>
      </c>
      <c r="EV41">
        <v>700763</v>
      </c>
      <c r="EW41">
        <v>704206</v>
      </c>
      <c r="EX41">
        <v>707825</v>
      </c>
      <c r="EY41">
        <v>711598</v>
      </c>
      <c r="EZ41">
        <v>715394</v>
      </c>
      <c r="FA41">
        <v>719097</v>
      </c>
      <c r="FB41">
        <v>722710</v>
      </c>
      <c r="FC41">
        <v>726464</v>
      </c>
      <c r="FD41">
        <v>730141</v>
      </c>
      <c r="FE41">
        <v>733880</v>
      </c>
      <c r="FF41">
        <v>737189</v>
      </c>
      <c r="FG41">
        <v>740683</v>
      </c>
      <c r="FH41">
        <v>744258</v>
      </c>
      <c r="FI41">
        <v>747790</v>
      </c>
      <c r="FJ41">
        <v>751582</v>
      </c>
      <c r="FK41">
        <v>755317</v>
      </c>
      <c r="FL41">
        <v>758780</v>
      </c>
      <c r="FM41">
        <v>762331</v>
      </c>
      <c r="FN41">
        <v>765862</v>
      </c>
      <c r="FO41">
        <v>769676</v>
      </c>
      <c r="FP41">
        <v>773501</v>
      </c>
      <c r="FQ41">
        <v>777614</v>
      </c>
      <c r="FR41">
        <v>781916</v>
      </c>
      <c r="FS41">
        <v>786625</v>
      </c>
      <c r="FT41">
        <v>791262</v>
      </c>
      <c r="FU41">
        <v>796345</v>
      </c>
      <c r="FV41">
        <v>801374</v>
      </c>
      <c r="FW41">
        <v>806335</v>
      </c>
      <c r="FX41">
        <v>811177</v>
      </c>
      <c r="FY41">
        <v>816274</v>
      </c>
      <c r="FZ41">
        <v>821392</v>
      </c>
      <c r="GA41">
        <v>826579</v>
      </c>
      <c r="GB41">
        <v>832389</v>
      </c>
      <c r="GC41">
        <v>838424</v>
      </c>
      <c r="GD41">
        <v>844445</v>
      </c>
      <c r="GE41">
        <v>850450</v>
      </c>
      <c r="GF41">
        <v>856520</v>
      </c>
      <c r="GG41">
        <v>862540</v>
      </c>
      <c r="GH41">
        <v>868914</v>
      </c>
      <c r="GI41">
        <v>875018</v>
      </c>
      <c r="GJ41">
        <v>881127</v>
      </c>
      <c r="GK41">
        <v>887534</v>
      </c>
      <c r="GL41">
        <v>894011</v>
      </c>
      <c r="GM41">
        <v>900102</v>
      </c>
      <c r="GN41">
        <v>906563</v>
      </c>
      <c r="GO41">
        <v>912732</v>
      </c>
      <c r="GP41">
        <v>918743</v>
      </c>
      <c r="GQ41">
        <v>924554</v>
      </c>
      <c r="GR41">
        <v>930333</v>
      </c>
      <c r="GS41">
        <v>935341</v>
      </c>
      <c r="GT41">
        <v>940480</v>
      </c>
      <c r="GU41">
        <v>945502</v>
      </c>
      <c r="GV41">
        <v>951218</v>
      </c>
      <c r="GW41">
        <v>957029</v>
      </c>
      <c r="GX41">
        <v>962987</v>
      </c>
      <c r="GY41">
        <v>969044</v>
      </c>
      <c r="GZ41">
        <v>975187</v>
      </c>
      <c r="HA41" s="3">
        <v>981615.5</v>
      </c>
      <c r="HB41">
        <v>988044</v>
      </c>
      <c r="HC41">
        <v>994708</v>
      </c>
      <c r="HD41">
        <v>1001158</v>
      </c>
      <c r="HE41">
        <v>1001158</v>
      </c>
      <c r="HF41">
        <v>1013989</v>
      </c>
      <c r="HG41">
        <v>1020113</v>
      </c>
      <c r="HH41">
        <v>1026625</v>
      </c>
      <c r="HI41">
        <v>1033135</v>
      </c>
      <c r="HJ41">
        <v>1039557</v>
      </c>
      <c r="HK41">
        <v>1045978</v>
      </c>
      <c r="HL41">
        <v>1052387</v>
      </c>
      <c r="HM41">
        <v>1058946</v>
      </c>
      <c r="HN41">
        <v>1065362</v>
      </c>
      <c r="HO41">
        <v>1071642</v>
      </c>
      <c r="HP41">
        <v>1078036</v>
      </c>
      <c r="HQ41">
        <v>1084496</v>
      </c>
      <c r="HR41">
        <v>1090897</v>
      </c>
      <c r="HS41">
        <v>1096913</v>
      </c>
      <c r="HT41">
        <v>1102980</v>
      </c>
      <c r="HU41">
        <v>1109043</v>
      </c>
      <c r="HV41">
        <v>1115054</v>
      </c>
      <c r="HW41">
        <v>1121160</v>
      </c>
      <c r="HX41">
        <v>1127190</v>
      </c>
      <c r="HY41">
        <v>1133277</v>
      </c>
      <c r="HZ41">
        <v>1139296</v>
      </c>
      <c r="IA41">
        <v>1145471</v>
      </c>
      <c r="IB41">
        <v>1151608</v>
      </c>
      <c r="IC41">
        <v>1157652</v>
      </c>
      <c r="ID41">
        <v>1163740</v>
      </c>
      <c r="IE41">
        <v>1170023</v>
      </c>
      <c r="IF41">
        <v>1176104</v>
      </c>
      <c r="IG41">
        <v>1182111</v>
      </c>
      <c r="IH41">
        <v>1188141</v>
      </c>
      <c r="II41">
        <v>1194232</v>
      </c>
      <c r="IJ41">
        <v>1200299</v>
      </c>
      <c r="IK41">
        <v>1206320</v>
      </c>
      <c r="IL41">
        <v>1212383</v>
      </c>
      <c r="IM41">
        <v>1218494</v>
      </c>
      <c r="IN41">
        <v>1224550</v>
      </c>
      <c r="IO41">
        <v>1231005</v>
      </c>
      <c r="IP41">
        <v>1237620</v>
      </c>
      <c r="IQ41">
        <v>1244572</v>
      </c>
      <c r="IR41">
        <v>1251565</v>
      </c>
      <c r="IS41">
        <v>1258795</v>
      </c>
      <c r="IT41">
        <v>1266661</v>
      </c>
      <c r="IU41">
        <v>1274748</v>
      </c>
      <c r="IV41">
        <v>1282643</v>
      </c>
      <c r="IW41">
        <v>1291149</v>
      </c>
      <c r="IX41">
        <v>1299549</v>
      </c>
      <c r="IY41">
        <v>1307855</v>
      </c>
      <c r="IZ41">
        <v>1316506</v>
      </c>
      <c r="JA41">
        <v>1325161</v>
      </c>
      <c r="JB41">
        <v>1333804</v>
      </c>
      <c r="JC41">
        <v>1342575</v>
      </c>
      <c r="JD41">
        <v>1349919</v>
      </c>
      <c r="JE41">
        <v>1358072</v>
      </c>
      <c r="JF41">
        <v>1367636</v>
      </c>
      <c r="JG41">
        <v>1377217</v>
      </c>
      <c r="JH41">
        <v>1386573</v>
      </c>
      <c r="JI41">
        <v>1395831</v>
      </c>
      <c r="JJ41">
        <v>1402877</v>
      </c>
      <c r="JK41">
        <v>1409929</v>
      </c>
      <c r="JL41">
        <v>1416727</v>
      </c>
      <c r="JM41">
        <v>1424043</v>
      </c>
      <c r="JN41">
        <v>1432552</v>
      </c>
      <c r="JO41">
        <v>1441269</v>
      </c>
      <c r="JP41">
        <v>1449915</v>
      </c>
      <c r="JQ41">
        <v>1458106</v>
      </c>
      <c r="JR41">
        <v>1465348</v>
      </c>
      <c r="JS41">
        <v>1471869</v>
      </c>
      <c r="JT41">
        <v>1478918</v>
      </c>
      <c r="JU41">
        <v>1486135</v>
      </c>
      <c r="JV41">
        <v>1493474</v>
      </c>
      <c r="JW41">
        <v>1499522</v>
      </c>
      <c r="JX41">
        <v>1505947</v>
      </c>
      <c r="JY41">
        <v>1512412</v>
      </c>
      <c r="JZ41">
        <v>1518433</v>
      </c>
      <c r="KA41">
        <v>1524660</v>
      </c>
      <c r="KB41">
        <v>1531103</v>
      </c>
      <c r="KC41">
        <v>1537487</v>
      </c>
      <c r="KD41">
        <v>1543490</v>
      </c>
      <c r="KE41">
        <v>1548022</v>
      </c>
      <c r="KF41">
        <v>1552150</v>
      </c>
      <c r="KG41">
        <v>1556323</v>
      </c>
      <c r="KH41">
        <v>1561864</v>
      </c>
      <c r="KI41">
        <v>1567736</v>
      </c>
      <c r="KJ41">
        <v>1573555</v>
      </c>
      <c r="KK41">
        <v>1579462</v>
      </c>
      <c r="KL41">
        <v>1585308</v>
      </c>
      <c r="KM41">
        <v>1590980</v>
      </c>
      <c r="KN41">
        <v>1595354</v>
      </c>
      <c r="KO41">
        <v>1600863</v>
      </c>
      <c r="KP41">
        <v>1606885</v>
      </c>
      <c r="KQ41">
        <v>1612648</v>
      </c>
      <c r="KR41">
        <v>1618374</v>
      </c>
      <c r="KS41">
        <v>1623814</v>
      </c>
      <c r="KT41">
        <v>1627843</v>
      </c>
      <c r="KU41">
        <v>1631850</v>
      </c>
      <c r="KV41">
        <v>1636103</v>
      </c>
      <c r="KW41">
        <v>1640515</v>
      </c>
      <c r="KX41">
        <v>1644783</v>
      </c>
      <c r="KY41">
        <v>1649019</v>
      </c>
      <c r="KZ41">
        <v>1653249</v>
      </c>
      <c r="LA41">
        <v>1657267</v>
      </c>
      <c r="LB41">
        <v>1661740</v>
      </c>
      <c r="LC41">
        <v>1666099</v>
      </c>
      <c r="LD41">
        <v>1670537</v>
      </c>
      <c r="LE41">
        <v>1674855</v>
      </c>
      <c r="LF41">
        <v>1678142</v>
      </c>
      <c r="LG41">
        <v>1681449</v>
      </c>
      <c r="LH41">
        <v>1684958</v>
      </c>
      <c r="LI41">
        <v>1688384</v>
      </c>
      <c r="LJ41">
        <v>1691847</v>
      </c>
      <c r="LK41">
        <v>1695926</v>
      </c>
      <c r="LL41">
        <v>1699788</v>
      </c>
      <c r="LM41">
        <v>1703347</v>
      </c>
      <c r="LN41">
        <v>1706629</v>
      </c>
      <c r="LO41">
        <v>1709771</v>
      </c>
      <c r="LP41">
        <v>1712799</v>
      </c>
      <c r="LQ41">
        <v>1716067</v>
      </c>
      <c r="LR41">
        <v>1719337</v>
      </c>
      <c r="LS41">
        <v>1722890</v>
      </c>
      <c r="LT41">
        <v>1726353</v>
      </c>
      <c r="LU41">
        <v>1729636</v>
      </c>
      <c r="LV41">
        <v>1732679</v>
      </c>
      <c r="LW41">
        <v>1735585</v>
      </c>
      <c r="LX41">
        <v>1735585</v>
      </c>
      <c r="LY41">
        <v>1739066</v>
      </c>
      <c r="LZ41">
        <v>1742625</v>
      </c>
      <c r="MA41">
        <v>1745902</v>
      </c>
      <c r="MB41">
        <v>1749155</v>
      </c>
      <c r="MC41">
        <v>1751877</v>
      </c>
      <c r="MD41">
        <v>1755066</v>
      </c>
      <c r="ME41">
        <v>1758191</v>
      </c>
      <c r="MF41">
        <v>1761317</v>
      </c>
      <c r="MG41">
        <v>1764353</v>
      </c>
      <c r="MH41">
        <v>1767359</v>
      </c>
      <c r="MI41">
        <v>1770360</v>
      </c>
      <c r="MJ41">
        <v>1772223</v>
      </c>
      <c r="MK41">
        <v>1774261</v>
      </c>
      <c r="ML41">
        <v>1776451</v>
      </c>
      <c r="MM41">
        <v>1778698</v>
      </c>
      <c r="MN41">
        <v>1781035</v>
      </c>
      <c r="MO41">
        <v>1783357</v>
      </c>
      <c r="MP41">
        <v>1785642</v>
      </c>
      <c r="MQ41">
        <v>1787927</v>
      </c>
      <c r="MR41">
        <v>1790216</v>
      </c>
      <c r="MS41">
        <v>1790216</v>
      </c>
      <c r="MT41">
        <v>1792496</v>
      </c>
      <c r="MU41">
        <v>1794784</v>
      </c>
      <c r="MV41">
        <v>1797043</v>
      </c>
      <c r="MW41">
        <v>1799277</v>
      </c>
      <c r="MX41">
        <v>1801443</v>
      </c>
      <c r="MY41">
        <v>1803610</v>
      </c>
      <c r="MZ41">
        <v>1805872</v>
      </c>
      <c r="NA41">
        <v>1808089</v>
      </c>
      <c r="NB41">
        <v>1810321</v>
      </c>
      <c r="NC41">
        <v>1812496</v>
      </c>
      <c r="ND41">
        <v>1814736</v>
      </c>
      <c r="NE41">
        <v>1816860</v>
      </c>
      <c r="NF41">
        <v>1818937</v>
      </c>
      <c r="NG41">
        <v>1820990</v>
      </c>
      <c r="NH41">
        <v>1823119</v>
      </c>
      <c r="NI41">
        <v>1825283</v>
      </c>
      <c r="NJ41">
        <v>1827379</v>
      </c>
      <c r="NK41">
        <v>1829430</v>
      </c>
      <c r="NL41">
        <v>1831440</v>
      </c>
      <c r="NM41">
        <v>1833388</v>
      </c>
      <c r="NN41">
        <v>1835301</v>
      </c>
      <c r="NO41">
        <v>1837030</v>
      </c>
      <c r="NP41">
        <v>1838710</v>
      </c>
      <c r="NQ41">
        <v>1840493</v>
      </c>
      <c r="NR41">
        <v>1842289</v>
      </c>
      <c r="NS41">
        <v>1844112</v>
      </c>
      <c r="NT41">
        <v>1845918</v>
      </c>
      <c r="NU41">
        <v>1847788</v>
      </c>
      <c r="NV41">
        <v>1849716</v>
      </c>
      <c r="NW41">
        <v>1851603</v>
      </c>
      <c r="NX41">
        <v>1853602</v>
      </c>
      <c r="NY41">
        <v>1855431</v>
      </c>
      <c r="NZ41">
        <v>1857224</v>
      </c>
      <c r="OA41">
        <v>1858923</v>
      </c>
      <c r="OB41">
        <v>1860687</v>
      </c>
      <c r="OC41">
        <v>1862558</v>
      </c>
      <c r="OD41">
        <v>1864419</v>
      </c>
      <c r="OE41">
        <v>1866179</v>
      </c>
      <c r="OF41">
        <v>1868050</v>
      </c>
      <c r="OG41">
        <v>1869831</v>
      </c>
      <c r="OH41">
        <v>1871541</v>
      </c>
      <c r="OI41">
        <v>1873299</v>
      </c>
      <c r="OJ41">
        <v>1875211</v>
      </c>
      <c r="OK41">
        <v>1876965</v>
      </c>
      <c r="OL41">
        <v>1878849</v>
      </c>
      <c r="OM41">
        <v>1880638</v>
      </c>
      <c r="ON41">
        <v>1882451</v>
      </c>
      <c r="OO41">
        <v>1884234</v>
      </c>
      <c r="OP41">
        <v>1886023</v>
      </c>
      <c r="OQ41">
        <v>1887931</v>
      </c>
      <c r="OR41">
        <v>1889744</v>
      </c>
      <c r="OS41">
        <v>1891666</v>
      </c>
      <c r="OT41">
        <v>1893503</v>
      </c>
      <c r="OU41">
        <v>1895324</v>
      </c>
      <c r="OV41">
        <v>1897149</v>
      </c>
      <c r="OW41">
        <v>1898864</v>
      </c>
      <c r="OX41">
        <v>1900735</v>
      </c>
      <c r="OY41">
        <v>1902656</v>
      </c>
      <c r="OZ41">
        <v>1904545</v>
      </c>
      <c r="PA41">
        <v>1906468</v>
      </c>
      <c r="PB41">
        <v>1908313</v>
      </c>
      <c r="PC41">
        <v>1910104</v>
      </c>
      <c r="PD41">
        <v>1911952</v>
      </c>
      <c r="PE41">
        <v>1913831</v>
      </c>
      <c r="PF41">
        <v>1915725</v>
      </c>
      <c r="PG41">
        <v>1915725</v>
      </c>
      <c r="PH41">
        <v>1917650</v>
      </c>
      <c r="PI41">
        <v>1919584</v>
      </c>
      <c r="PJ41">
        <v>1921428</v>
      </c>
      <c r="PK41">
        <v>1923260</v>
      </c>
      <c r="PL41">
        <v>1923260</v>
      </c>
      <c r="PM41">
        <v>1925107</v>
      </c>
      <c r="PN41">
        <v>1926978</v>
      </c>
      <c r="PO41">
        <v>1928866</v>
      </c>
      <c r="PP41">
        <v>1930727</v>
      </c>
      <c r="PQ41">
        <v>1932561</v>
      </c>
      <c r="PR41">
        <v>1934490</v>
      </c>
      <c r="PS41">
        <v>1936687</v>
      </c>
      <c r="PT41">
        <v>1938929</v>
      </c>
      <c r="PU41">
        <v>1938929</v>
      </c>
      <c r="PV41">
        <v>1941408</v>
      </c>
      <c r="PW41">
        <v>1943738</v>
      </c>
      <c r="PX41">
        <v>1946045</v>
      </c>
      <c r="PY41">
        <v>1948511</v>
      </c>
      <c r="PZ41">
        <v>1951099</v>
      </c>
      <c r="QA41">
        <v>1953621</v>
      </c>
      <c r="QB41">
        <v>1956252</v>
      </c>
      <c r="QC41">
        <v>1958869</v>
      </c>
      <c r="QD41">
        <v>1961558</v>
      </c>
      <c r="QE41">
        <v>1964163</v>
      </c>
      <c r="QF41">
        <v>1967048</v>
      </c>
      <c r="QG41">
        <v>1969842</v>
      </c>
      <c r="QH41">
        <v>1972643</v>
      </c>
      <c r="QI41">
        <v>1975521</v>
      </c>
      <c r="QJ41">
        <v>1978333</v>
      </c>
      <c r="QK41">
        <v>1981198</v>
      </c>
      <c r="QL41">
        <v>1983877</v>
      </c>
      <c r="QM41">
        <v>1986750</v>
      </c>
      <c r="QN41">
        <v>1989313</v>
      </c>
      <c r="QO41">
        <v>1991855</v>
      </c>
      <c r="QP41">
        <v>1994441</v>
      </c>
      <c r="QQ41">
        <v>1997154</v>
      </c>
      <c r="QR41">
        <v>1999692</v>
      </c>
      <c r="QS41">
        <v>2002195</v>
      </c>
      <c r="QT41">
        <v>2004754</v>
      </c>
      <c r="QU41">
        <v>2007473</v>
      </c>
      <c r="QV41">
        <v>2010268</v>
      </c>
      <c r="QW41">
        <v>2013069</v>
      </c>
      <c r="QX41">
        <v>2015881</v>
      </c>
      <c r="QY41">
        <v>2018655</v>
      </c>
      <c r="QZ41">
        <v>2021516</v>
      </c>
      <c r="RA41">
        <v>2024525</v>
      </c>
      <c r="RB41">
        <v>2027738</v>
      </c>
      <c r="RC41">
        <v>2032200</v>
      </c>
      <c r="RD41">
        <v>2037175</v>
      </c>
      <c r="RE41">
        <v>2041357</v>
      </c>
      <c r="RF41">
        <v>2045625</v>
      </c>
      <c r="RG41">
        <v>2050098</v>
      </c>
      <c r="RH41">
        <v>2054677</v>
      </c>
      <c r="RI41">
        <v>2059543</v>
      </c>
      <c r="RJ41">
        <v>2064627</v>
      </c>
      <c r="RK41">
        <v>2069903</v>
      </c>
      <c r="RL41">
        <v>2075449</v>
      </c>
      <c r="RM41">
        <v>2083865</v>
      </c>
      <c r="RN41">
        <v>2093787</v>
      </c>
      <c r="RO41">
        <v>2105876</v>
      </c>
      <c r="RP41">
        <v>2119262</v>
      </c>
      <c r="RQ41">
        <v>2134176</v>
      </c>
      <c r="RR41">
        <v>2147177</v>
      </c>
      <c r="RS41">
        <v>2159632</v>
      </c>
      <c r="RT41">
        <v>2171399</v>
      </c>
      <c r="RU41">
        <v>2182377</v>
      </c>
      <c r="RV41">
        <v>2194445</v>
      </c>
      <c r="RW41">
        <v>2207475</v>
      </c>
      <c r="RX41">
        <v>2221204</v>
      </c>
      <c r="RY41">
        <v>2234427</v>
      </c>
      <c r="RZ41">
        <v>2247120</v>
      </c>
      <c r="SA41">
        <v>2258868</v>
      </c>
      <c r="SB41">
        <v>2270248</v>
      </c>
      <c r="SC41">
        <v>2282408</v>
      </c>
      <c r="SD41">
        <v>2295434</v>
      </c>
      <c r="SE41">
        <v>2308444</v>
      </c>
      <c r="SF41">
        <v>2321001</v>
      </c>
      <c r="SG41">
        <v>2332225</v>
      </c>
      <c r="SH41">
        <v>2343248</v>
      </c>
      <c r="SI41">
        <v>2354768</v>
      </c>
      <c r="SJ41">
        <v>2366888</v>
      </c>
      <c r="SK41">
        <v>2379869</v>
      </c>
      <c r="SL41">
        <v>2392350</v>
      </c>
      <c r="SM41">
        <v>2404509</v>
      </c>
      <c r="SN41">
        <v>2416585</v>
      </c>
      <c r="SO41">
        <v>2428300</v>
      </c>
      <c r="SP41">
        <v>2428300</v>
      </c>
      <c r="SQ41">
        <v>2437408</v>
      </c>
      <c r="SR41">
        <v>2445886</v>
      </c>
      <c r="SS41">
        <v>2454393</v>
      </c>
      <c r="ST41">
        <v>2462394</v>
      </c>
      <c r="SU41">
        <v>2470250</v>
      </c>
      <c r="SV41">
        <v>2476515</v>
      </c>
      <c r="SW41">
        <v>2482018</v>
      </c>
      <c r="SX41">
        <v>2487668</v>
      </c>
      <c r="SY41">
        <v>2493382</v>
      </c>
      <c r="SZ41">
        <v>2499165</v>
      </c>
      <c r="TA41">
        <v>2503166</v>
      </c>
      <c r="TB41">
        <v>2503166</v>
      </c>
      <c r="TC41">
        <v>2506725</v>
      </c>
      <c r="TD41">
        <v>2509860</v>
      </c>
      <c r="TE41">
        <v>2512861</v>
      </c>
      <c r="TF41">
        <v>2515977</v>
      </c>
      <c r="TG41">
        <v>2518766</v>
      </c>
      <c r="TH41">
        <v>2521454</v>
      </c>
      <c r="TI41">
        <v>2524075</v>
      </c>
      <c r="TJ41">
        <v>2526622</v>
      </c>
      <c r="TK41">
        <v>2529065</v>
      </c>
      <c r="TL41">
        <v>2531448</v>
      </c>
      <c r="TM41">
        <v>2534076</v>
      </c>
      <c r="TN41">
        <v>2536555</v>
      </c>
      <c r="TO41">
        <v>2538886</v>
      </c>
      <c r="TP41">
        <v>2541177</v>
      </c>
      <c r="TQ41">
        <v>2543377</v>
      </c>
      <c r="TR41">
        <v>2545356</v>
      </c>
      <c r="TS41">
        <v>2547477</v>
      </c>
      <c r="TT41">
        <v>2550030</v>
      </c>
      <c r="TU41">
        <v>2552331</v>
      </c>
      <c r="TV41">
        <v>2554263</v>
      </c>
      <c r="TW41">
        <v>2556189</v>
      </c>
      <c r="TX41">
        <v>2558111</v>
      </c>
      <c r="TY41">
        <v>2560033</v>
      </c>
      <c r="TZ41">
        <v>2561955</v>
      </c>
      <c r="UA41">
        <v>2563855</v>
      </c>
      <c r="UB41">
        <v>2565957</v>
      </c>
      <c r="UC41">
        <v>2570235</v>
      </c>
      <c r="UD41">
        <v>2570235</v>
      </c>
      <c r="UE41">
        <v>2571992</v>
      </c>
      <c r="UF41">
        <v>2573588</v>
      </c>
      <c r="UG41">
        <v>2575318</v>
      </c>
      <c r="UH41">
        <v>2577147</v>
      </c>
      <c r="UI41">
        <v>2579054</v>
      </c>
      <c r="UJ41">
        <v>2580904</v>
      </c>
      <c r="UK41">
        <v>2582692</v>
      </c>
      <c r="UL41">
        <v>2584332</v>
      </c>
      <c r="UM41">
        <v>2584332</v>
      </c>
      <c r="UN41">
        <v>2584332</v>
      </c>
      <c r="UO41">
        <v>2584332</v>
      </c>
      <c r="UP41">
        <v>2584332</v>
      </c>
      <c r="UQ41">
        <v>2601300</v>
      </c>
      <c r="UR41">
        <v>2601300</v>
      </c>
      <c r="US41">
        <v>2601300</v>
      </c>
      <c r="UT41">
        <v>2601300</v>
      </c>
      <c r="UU41">
        <v>2601300</v>
      </c>
      <c r="UV41">
        <v>2601300</v>
      </c>
      <c r="UW41">
        <v>2601300</v>
      </c>
      <c r="UX41">
        <v>2615453</v>
      </c>
      <c r="UY41">
        <v>2615453</v>
      </c>
      <c r="UZ41">
        <v>2615453</v>
      </c>
      <c r="VA41">
        <v>2615453</v>
      </c>
      <c r="VB41">
        <v>2615453</v>
      </c>
      <c r="VC41">
        <v>2615453</v>
      </c>
      <c r="VD41">
        <v>2615453</v>
      </c>
      <c r="VE41">
        <v>2615453</v>
      </c>
      <c r="VF41">
        <v>2615453</v>
      </c>
      <c r="VG41">
        <v>2615453</v>
      </c>
      <c r="VH41">
        <v>2615453</v>
      </c>
      <c r="VI41">
        <v>2615453</v>
      </c>
      <c r="VJ41">
        <v>2615453</v>
      </c>
      <c r="VK41">
        <v>2615453</v>
      </c>
      <c r="VL41">
        <v>2623300</v>
      </c>
      <c r="VM41">
        <v>2623300</v>
      </c>
      <c r="VN41">
        <v>2623300</v>
      </c>
      <c r="VO41">
        <v>2623300</v>
      </c>
      <c r="VP41">
        <v>2623300</v>
      </c>
      <c r="VQ41">
        <v>2623300</v>
      </c>
      <c r="VR41">
        <v>2623300</v>
      </c>
      <c r="VS41">
        <v>2623300</v>
      </c>
      <c r="VT41">
        <v>2623300</v>
      </c>
      <c r="VU41">
        <v>2623300</v>
      </c>
      <c r="VV41">
        <v>2623300</v>
      </c>
      <c r="VW41">
        <v>2623300</v>
      </c>
      <c r="VX41">
        <v>2623300</v>
      </c>
      <c r="VY41">
        <v>2633737</v>
      </c>
      <c r="VZ41">
        <v>2633737</v>
      </c>
      <c r="WA41">
        <v>2633737</v>
      </c>
      <c r="WB41">
        <v>2633737</v>
      </c>
      <c r="WC41">
        <v>2633737</v>
      </c>
      <c r="WD41">
        <v>2633737</v>
      </c>
      <c r="WE41">
        <v>2633737</v>
      </c>
      <c r="WF41">
        <v>2633737</v>
      </c>
      <c r="WG41">
        <v>2633737</v>
      </c>
      <c r="WH41">
        <v>2633737</v>
      </c>
      <c r="WI41">
        <v>2633737</v>
      </c>
      <c r="WJ41">
        <v>2633737</v>
      </c>
      <c r="WK41">
        <v>2633737</v>
      </c>
      <c r="WL41">
        <v>2633737</v>
      </c>
      <c r="WM41">
        <v>2633737</v>
      </c>
      <c r="WN41">
        <v>2633737</v>
      </c>
      <c r="WO41">
        <v>2633737</v>
      </c>
      <c r="WP41">
        <v>2633737</v>
      </c>
      <c r="WQ41">
        <v>2633737</v>
      </c>
      <c r="WR41">
        <v>2633737</v>
      </c>
      <c r="WS41">
        <v>2633737</v>
      </c>
      <c r="WT41">
        <v>2633737</v>
      </c>
      <c r="WU41">
        <v>2633737</v>
      </c>
      <c r="WV41">
        <v>2633737</v>
      </c>
      <c r="WW41">
        <v>2633737</v>
      </c>
      <c r="WX41">
        <v>2633737</v>
      </c>
      <c r="WY41">
        <v>2633737</v>
      </c>
      <c r="WZ41">
        <v>2633737</v>
      </c>
      <c r="XA41">
        <v>2646163</v>
      </c>
      <c r="XB41">
        <v>2646163</v>
      </c>
      <c r="XC41">
        <v>2646163</v>
      </c>
      <c r="XD41">
        <v>2646163</v>
      </c>
      <c r="XE41">
        <v>2646163</v>
      </c>
      <c r="XF41">
        <v>2646163</v>
      </c>
      <c r="XG41">
        <v>2646163</v>
      </c>
      <c r="XH41">
        <v>2646163</v>
      </c>
      <c r="XI41">
        <v>2646163</v>
      </c>
      <c r="XJ41">
        <v>2646163</v>
      </c>
      <c r="XK41">
        <v>2646163</v>
      </c>
      <c r="XL41">
        <v>2646163</v>
      </c>
      <c r="XM41">
        <v>2646163</v>
      </c>
      <c r="XN41">
        <v>2646163</v>
      </c>
      <c r="XO41">
        <v>2646163</v>
      </c>
      <c r="XP41">
        <v>2646163</v>
      </c>
      <c r="XQ41">
        <v>2646163</v>
      </c>
      <c r="XR41">
        <v>2646163</v>
      </c>
      <c r="XS41">
        <v>2646163</v>
      </c>
      <c r="XT41">
        <v>2646163</v>
      </c>
      <c r="XU41">
        <v>2646163</v>
      </c>
      <c r="XV41">
        <v>2646163</v>
      </c>
      <c r="XW41">
        <v>2646163</v>
      </c>
      <c r="XX41">
        <v>2646163</v>
      </c>
      <c r="XY41">
        <v>2646163</v>
      </c>
      <c r="XZ41">
        <v>2646163</v>
      </c>
      <c r="YA41">
        <v>2646163</v>
      </c>
      <c r="YB41">
        <v>2646163</v>
      </c>
      <c r="YC41">
        <v>2646163</v>
      </c>
      <c r="YD41">
        <v>2646163</v>
      </c>
      <c r="YE41">
        <v>2646163</v>
      </c>
      <c r="YF41" s="1">
        <v>2646163</v>
      </c>
      <c r="YG41" s="1">
        <v>2646163</v>
      </c>
      <c r="YH41" s="1">
        <v>2646163</v>
      </c>
      <c r="YI41" s="1">
        <v>2646163</v>
      </c>
      <c r="YJ41">
        <v>2646163</v>
      </c>
      <c r="YK41">
        <v>2646163</v>
      </c>
      <c r="YL41">
        <v>2646163</v>
      </c>
      <c r="YM41">
        <v>2646163</v>
      </c>
      <c r="YN41">
        <v>2646163</v>
      </c>
      <c r="YO41">
        <v>2646163</v>
      </c>
      <c r="YP41">
        <v>2646163</v>
      </c>
      <c r="YQ41">
        <v>2646163</v>
      </c>
      <c r="YR41">
        <v>2646163</v>
      </c>
      <c r="YS41">
        <v>2646163</v>
      </c>
      <c r="YT41">
        <v>2646163</v>
      </c>
      <c r="YU41">
        <v>2646163</v>
      </c>
      <c r="YV41">
        <v>2646163</v>
      </c>
      <c r="YW41">
        <v>2646163</v>
      </c>
      <c r="YX41">
        <v>2646163</v>
      </c>
      <c r="YY41">
        <v>2646163</v>
      </c>
      <c r="YZ41">
        <v>2646163</v>
      </c>
      <c r="ZA41">
        <v>2646163</v>
      </c>
      <c r="ZB41">
        <v>2646163</v>
      </c>
      <c r="ZC41">
        <v>2646163</v>
      </c>
      <c r="ZD41">
        <v>2646163</v>
      </c>
      <c r="ZE41">
        <v>2646163</v>
      </c>
      <c r="ZF41">
        <v>2646163</v>
      </c>
      <c r="ZG41">
        <v>2646163</v>
      </c>
      <c r="ZH41">
        <v>2646163</v>
      </c>
      <c r="ZI41">
        <v>2646163</v>
      </c>
      <c r="ZJ41">
        <v>2646163</v>
      </c>
      <c r="ZK41">
        <v>2646163</v>
      </c>
      <c r="ZL41">
        <v>2646163</v>
      </c>
      <c r="ZM41">
        <v>2646163</v>
      </c>
      <c r="ZN41">
        <v>2646163</v>
      </c>
      <c r="ZO41">
        <v>2646163</v>
      </c>
      <c r="ZP41">
        <v>2646163</v>
      </c>
      <c r="ZQ41">
        <v>2646163</v>
      </c>
      <c r="ZR41">
        <v>2646163</v>
      </c>
      <c r="ZS41">
        <v>2646163</v>
      </c>
      <c r="ZT41">
        <v>2646163</v>
      </c>
      <c r="ZU41">
        <v>2646163</v>
      </c>
      <c r="ZV41">
        <v>2646163</v>
      </c>
      <c r="ZW41">
        <v>2646163</v>
      </c>
      <c r="ZX41">
        <v>2646163</v>
      </c>
      <c r="ZY41">
        <v>2646163</v>
      </c>
      <c r="ZZ41">
        <v>2657506</v>
      </c>
      <c r="AAA41">
        <v>2657506</v>
      </c>
      <c r="AAB41">
        <v>2657506</v>
      </c>
      <c r="AAC41">
        <v>2657506</v>
      </c>
      <c r="AAD41">
        <v>2657506</v>
      </c>
      <c r="AAE41">
        <v>2657506</v>
      </c>
      <c r="AAF41">
        <v>2657506</v>
      </c>
      <c r="AAG41">
        <v>2657506</v>
      </c>
      <c r="AAH41">
        <v>2657506</v>
      </c>
      <c r="AAI41">
        <v>2657506</v>
      </c>
      <c r="AAJ41">
        <v>2657506</v>
      </c>
      <c r="AAK41">
        <v>2657506</v>
      </c>
      <c r="AAL41">
        <v>2657506</v>
      </c>
      <c r="AAM41">
        <v>2657506</v>
      </c>
      <c r="AAN41">
        <v>2657506</v>
      </c>
      <c r="AAO41">
        <v>2657506</v>
      </c>
      <c r="AAP41">
        <v>2657506</v>
      </c>
      <c r="AAQ41">
        <v>2657506</v>
      </c>
      <c r="AAR41">
        <v>2657506</v>
      </c>
      <c r="AAS41">
        <v>2657506</v>
      </c>
      <c r="AAT41">
        <v>2657506</v>
      </c>
      <c r="AAU41">
        <v>2657506</v>
      </c>
      <c r="AAV41">
        <v>2657506</v>
      </c>
      <c r="AAW41">
        <v>2657506</v>
      </c>
      <c r="AAX41">
        <v>2657506</v>
      </c>
      <c r="AAY41">
        <v>2657506</v>
      </c>
      <c r="AAZ41">
        <v>2657506</v>
      </c>
      <c r="ABA41">
        <v>2657506</v>
      </c>
      <c r="ABB41">
        <v>2657506</v>
      </c>
      <c r="ABC41">
        <v>2657506</v>
      </c>
      <c r="ABD41">
        <v>2657506</v>
      </c>
      <c r="ABE41">
        <v>2657506</v>
      </c>
      <c r="ABF41">
        <v>2657506</v>
      </c>
      <c r="ABG41">
        <v>2657506</v>
      </c>
      <c r="ABH41">
        <v>2657506</v>
      </c>
      <c r="ABI41">
        <v>2657506</v>
      </c>
      <c r="ABJ41">
        <v>2657506</v>
      </c>
      <c r="ABK41">
        <v>2657506</v>
      </c>
      <c r="ABL41">
        <v>2657506</v>
      </c>
      <c r="ABM41">
        <v>2657506</v>
      </c>
      <c r="ABN41">
        <v>2657506</v>
      </c>
      <c r="ABO41">
        <v>2657506</v>
      </c>
      <c r="ABP41">
        <v>2657506</v>
      </c>
      <c r="ABQ41">
        <v>2657506</v>
      </c>
      <c r="ABR41">
        <v>2657506</v>
      </c>
      <c r="ABS41">
        <v>2657506</v>
      </c>
      <c r="ABT41">
        <v>2657506</v>
      </c>
      <c r="ABU41">
        <v>2657506</v>
      </c>
      <c r="ABV41">
        <v>2657506</v>
      </c>
      <c r="ABW41">
        <v>2657506</v>
      </c>
      <c r="ABX41">
        <v>2657506</v>
      </c>
      <c r="ABY41">
        <v>2657506</v>
      </c>
      <c r="ABZ41">
        <v>2657506</v>
      </c>
      <c r="ACA41">
        <v>2657506</v>
      </c>
      <c r="ACB41">
        <v>2657506</v>
      </c>
      <c r="ACC41">
        <v>2657506</v>
      </c>
      <c r="ACD41">
        <v>2657506</v>
      </c>
      <c r="ACE41">
        <v>2657506</v>
      </c>
      <c r="ACF41">
        <v>2657506</v>
      </c>
      <c r="ACG41">
        <v>2657506</v>
      </c>
      <c r="ACH41">
        <v>2657506</v>
      </c>
      <c r="ACI41">
        <v>2657506</v>
      </c>
      <c r="ACJ41">
        <v>2657506</v>
      </c>
      <c r="ACK41">
        <v>2657506</v>
      </c>
      <c r="ACL41">
        <v>2657506</v>
      </c>
      <c r="ACM41">
        <v>2657506</v>
      </c>
      <c r="ACN41">
        <v>2657506</v>
      </c>
      <c r="ACO41">
        <v>2657506</v>
      </c>
      <c r="ACP41">
        <v>2657506</v>
      </c>
      <c r="ACQ41">
        <v>2657506</v>
      </c>
      <c r="ACR41">
        <v>2657506</v>
      </c>
      <c r="ACS41">
        <v>2657506</v>
      </c>
      <c r="ACT41">
        <v>2657506</v>
      </c>
      <c r="ACU41">
        <v>2657506</v>
      </c>
      <c r="ACV41">
        <v>2657506</v>
      </c>
      <c r="ACW41">
        <v>2657506</v>
      </c>
      <c r="ACX41">
        <v>2657506</v>
      </c>
      <c r="ACY41">
        <v>2657506</v>
      </c>
      <c r="ACZ41">
        <v>2657506</v>
      </c>
      <c r="ADA41">
        <v>2657506</v>
      </c>
      <c r="ADB41">
        <v>2657506</v>
      </c>
      <c r="ADC41">
        <v>2657506</v>
      </c>
      <c r="ADD41">
        <v>2657506</v>
      </c>
      <c r="ADE41">
        <v>2657506</v>
      </c>
      <c r="ADF41">
        <v>2657506</v>
      </c>
      <c r="ADG41">
        <v>2657506</v>
      </c>
      <c r="ADH41">
        <v>2657506</v>
      </c>
      <c r="ADI41">
        <v>2657506</v>
      </c>
      <c r="ADJ41">
        <v>2657506</v>
      </c>
      <c r="ADK41">
        <v>2657506</v>
      </c>
      <c r="ADL41">
        <v>2657506</v>
      </c>
      <c r="ADM41">
        <v>2657506</v>
      </c>
      <c r="ADN41">
        <v>2657506</v>
      </c>
      <c r="ADO41">
        <v>2657506</v>
      </c>
      <c r="ADP41">
        <v>2657506</v>
      </c>
      <c r="ADQ41">
        <v>2657506</v>
      </c>
      <c r="ADR41">
        <v>2657506</v>
      </c>
      <c r="ADS41">
        <v>2657506</v>
      </c>
      <c r="ADT41">
        <v>2657506</v>
      </c>
      <c r="ADU41">
        <v>2657506</v>
      </c>
      <c r="ADV41">
        <v>2657506</v>
      </c>
      <c r="ADW41">
        <v>2657506</v>
      </c>
      <c r="ADX41">
        <v>2657506</v>
      </c>
      <c r="ADY41">
        <v>2657506</v>
      </c>
      <c r="ADZ41">
        <v>2657506</v>
      </c>
      <c r="AEA41">
        <v>2657506</v>
      </c>
      <c r="AEB41">
        <v>2657506</v>
      </c>
      <c r="AEC41">
        <v>2657506</v>
      </c>
      <c r="AED41">
        <v>2657506</v>
      </c>
      <c r="AEE41">
        <v>2657506</v>
      </c>
      <c r="AEF41">
        <v>2657506</v>
      </c>
      <c r="AEG41">
        <v>2657506</v>
      </c>
      <c r="AEH41">
        <v>2657506</v>
      </c>
      <c r="AEI41">
        <v>2657506</v>
      </c>
      <c r="AEJ41">
        <v>2657506</v>
      </c>
      <c r="AEK41">
        <v>2657506</v>
      </c>
      <c r="AEL41">
        <v>2657506</v>
      </c>
      <c r="AEM41">
        <v>2657506</v>
      </c>
      <c r="AEN41">
        <v>2657506</v>
      </c>
      <c r="AEO41">
        <v>2657506</v>
      </c>
      <c r="AEP41">
        <v>2657506</v>
      </c>
      <c r="AEQ41">
        <v>2657506</v>
      </c>
      <c r="AER41">
        <v>2657506</v>
      </c>
      <c r="AES41">
        <v>2657506</v>
      </c>
      <c r="AET41">
        <v>2657506</v>
      </c>
      <c r="AEU41">
        <v>2657506</v>
      </c>
      <c r="AEV41">
        <v>2657506</v>
      </c>
      <c r="AEW41">
        <v>2657506</v>
      </c>
      <c r="AEX41">
        <v>2657506</v>
      </c>
      <c r="AEY41">
        <v>2657506</v>
      </c>
      <c r="AEZ41">
        <v>2657506</v>
      </c>
      <c r="AFA41">
        <v>2657506</v>
      </c>
      <c r="AFB41">
        <v>2657506</v>
      </c>
      <c r="AFC41">
        <v>2657506</v>
      </c>
      <c r="AFD41">
        <v>2657506</v>
      </c>
      <c r="AFE41">
        <v>2657506</v>
      </c>
      <c r="AFF41">
        <v>2657506</v>
      </c>
      <c r="AFG41">
        <v>2657506</v>
      </c>
      <c r="AFH41">
        <v>2657506</v>
      </c>
      <c r="AFI41">
        <v>2657506</v>
      </c>
      <c r="AFJ41">
        <v>2657506</v>
      </c>
      <c r="AFK41">
        <v>2657506</v>
      </c>
      <c r="AFL41">
        <v>2657506</v>
      </c>
      <c r="AFM41">
        <v>2657506</v>
      </c>
      <c r="AFN41">
        <v>2657506</v>
      </c>
      <c r="AFO41">
        <v>2657506</v>
      </c>
      <c r="AFP41">
        <v>2657506</v>
      </c>
      <c r="AFQ41">
        <v>2657506</v>
      </c>
      <c r="AFR41">
        <v>2657506</v>
      </c>
      <c r="AFS41">
        <v>2657506</v>
      </c>
      <c r="AFT41">
        <v>2657506</v>
      </c>
      <c r="AFU41">
        <v>2657506</v>
      </c>
      <c r="AFV41">
        <v>2657506</v>
      </c>
      <c r="AFW41">
        <v>2657506</v>
      </c>
      <c r="AFX41">
        <v>2657506</v>
      </c>
      <c r="AFY41">
        <v>2657506</v>
      </c>
      <c r="AFZ41">
        <v>2657506</v>
      </c>
      <c r="AGA41">
        <v>2657506</v>
      </c>
      <c r="AGB41">
        <v>2657506</v>
      </c>
      <c r="AGC41">
        <v>2657506</v>
      </c>
      <c r="AGD41">
        <v>2657506</v>
      </c>
      <c r="AGE41">
        <v>2657506</v>
      </c>
      <c r="AGF41">
        <v>2657506</v>
      </c>
      <c r="AGG41">
        <v>2657506</v>
      </c>
      <c r="AGH41">
        <v>2657506</v>
      </c>
      <c r="AGI41">
        <v>2657506</v>
      </c>
      <c r="AGJ41">
        <v>2657506</v>
      </c>
      <c r="AGK41">
        <v>2657506</v>
      </c>
      <c r="AGL41">
        <v>2657506</v>
      </c>
      <c r="AGM41">
        <v>2657506</v>
      </c>
      <c r="AGN41">
        <v>2657506</v>
      </c>
      <c r="AGO41">
        <v>2657506</v>
      </c>
      <c r="AGP41">
        <v>2657506</v>
      </c>
      <c r="AGQ41">
        <v>2657506</v>
      </c>
      <c r="AGR41">
        <v>2657506</v>
      </c>
      <c r="AGS41">
        <v>2657506</v>
      </c>
      <c r="AGT41">
        <v>2657506</v>
      </c>
      <c r="AGU41">
        <v>2657506</v>
      </c>
      <c r="AGV41">
        <v>2657506</v>
      </c>
      <c r="AGW41">
        <v>2657506</v>
      </c>
      <c r="AGX41">
        <v>2657506</v>
      </c>
      <c r="AGY41">
        <v>2657506</v>
      </c>
      <c r="AGZ41">
        <v>2657506</v>
      </c>
      <c r="AHA41">
        <v>2657506</v>
      </c>
      <c r="AHB41">
        <v>2657506</v>
      </c>
      <c r="AHC41">
        <v>2657506</v>
      </c>
      <c r="AHD41">
        <v>2657506</v>
      </c>
      <c r="AHE41">
        <v>2657506</v>
      </c>
      <c r="AHF41">
        <v>2657506</v>
      </c>
      <c r="AHG41">
        <v>2657506</v>
      </c>
      <c r="AHH41">
        <v>2657506</v>
      </c>
      <c r="AHI41">
        <v>2657506</v>
      </c>
      <c r="AHJ41">
        <v>2657506</v>
      </c>
      <c r="AHK41">
        <v>2657506</v>
      </c>
      <c r="AHL41">
        <v>2657506</v>
      </c>
      <c r="AHM41">
        <v>2657506</v>
      </c>
      <c r="AHN41">
        <v>2657506</v>
      </c>
      <c r="AHO41">
        <v>2657506</v>
      </c>
      <c r="AHP41">
        <v>2657506</v>
      </c>
      <c r="AHQ41">
        <v>2657506</v>
      </c>
    </row>
    <row r="43" spans="1:901">
      <c r="A43" s="43" t="s">
        <v>240</v>
      </c>
      <c r="B43" s="38"/>
      <c r="C43" s="38"/>
    </row>
    <row r="44" spans="1:901">
      <c r="A44" s="1" t="s">
        <v>33</v>
      </c>
      <c r="C44" s="34">
        <f>C23-B23</f>
        <v>25422</v>
      </c>
      <c r="D44" s="34">
        <f t="shared" ref="D44:Y59" si="0">D23-C23</f>
        <v>28633</v>
      </c>
      <c r="E44" s="34">
        <f t="shared" si="0"/>
        <v>25698</v>
      </c>
      <c r="F44" s="34">
        <f t="shared" si="0"/>
        <v>21093</v>
      </c>
      <c r="G44" s="34">
        <f t="shared" si="0"/>
        <v>36029</v>
      </c>
      <c r="H44" s="34">
        <f t="shared" si="0"/>
        <v>25766</v>
      </c>
      <c r="I44" s="34">
        <f t="shared" si="0"/>
        <v>24903</v>
      </c>
      <c r="J44" s="34">
        <f t="shared" si="0"/>
        <v>27253</v>
      </c>
      <c r="K44" s="34">
        <f t="shared" si="0"/>
        <v>25098</v>
      </c>
      <c r="L44" s="34">
        <f t="shared" si="0"/>
        <v>37272</v>
      </c>
      <c r="M44" s="34">
        <f t="shared" si="0"/>
        <v>21356</v>
      </c>
      <c r="N44" s="34">
        <f t="shared" si="0"/>
        <v>25072</v>
      </c>
      <c r="O44" s="34">
        <f t="shared" si="0"/>
        <v>0</v>
      </c>
      <c r="P44" s="34">
        <f t="shared" si="0"/>
        <v>51186</v>
      </c>
      <c r="Q44" s="34">
        <f t="shared" si="0"/>
        <v>27537</v>
      </c>
      <c r="R44" s="34">
        <f t="shared" si="0"/>
        <v>20525</v>
      </c>
      <c r="S44" s="34">
        <f t="shared" si="0"/>
        <v>13213</v>
      </c>
      <c r="T44" s="34">
        <f t="shared" si="0"/>
        <v>20263</v>
      </c>
      <c r="U44" s="34">
        <f t="shared" si="0"/>
        <v>26481</v>
      </c>
      <c r="V44" s="34">
        <f t="shared" si="0"/>
        <v>29441</v>
      </c>
      <c r="W44" s="34">
        <f t="shared" si="0"/>
        <v>25841</v>
      </c>
      <c r="X44" s="34">
        <f t="shared" si="0"/>
        <v>25174</v>
      </c>
      <c r="Y44" s="34">
        <f t="shared" si="0"/>
        <v>19871</v>
      </c>
      <c r="Z44" s="34">
        <f t="shared" ref="Z44:AM62" si="1">Z23-Y23</f>
        <v>14237</v>
      </c>
      <c r="AA44" s="34">
        <f t="shared" si="1"/>
        <v>13956</v>
      </c>
      <c r="AB44" s="34">
        <f t="shared" si="1"/>
        <v>20544</v>
      </c>
      <c r="AC44" s="34">
        <f t="shared" si="1"/>
        <v>23519</v>
      </c>
      <c r="AD44" s="34">
        <f t="shared" si="1"/>
        <v>27662</v>
      </c>
      <c r="AE44" s="34">
        <f t="shared" si="1"/>
        <v>27412</v>
      </c>
      <c r="AF44" s="34">
        <f t="shared" si="1"/>
        <v>20955</v>
      </c>
      <c r="AG44" s="34">
        <f t="shared" si="1"/>
        <v>13890</v>
      </c>
      <c r="AH44" s="34">
        <f t="shared" si="1"/>
        <v>252910</v>
      </c>
      <c r="AI44" s="34">
        <f t="shared" si="1"/>
        <v>37474</v>
      </c>
      <c r="AJ44" s="34">
        <f t="shared" si="1"/>
        <v>38340</v>
      </c>
      <c r="AK44" s="34">
        <f t="shared" si="1"/>
        <v>39196</v>
      </c>
      <c r="AL44" s="34">
        <f t="shared" si="1"/>
        <v>35671</v>
      </c>
      <c r="AM44" s="34">
        <f t="shared" si="1"/>
        <v>27027</v>
      </c>
      <c r="AN44" s="34">
        <f t="shared" ref="AN44:BA62" si="2">AN23-AM23</f>
        <v>19540</v>
      </c>
      <c r="AO44" s="34">
        <f t="shared" si="2"/>
        <v>26448</v>
      </c>
      <c r="AP44" s="34">
        <f t="shared" si="2"/>
        <v>32847</v>
      </c>
      <c r="AQ44" s="34">
        <f t="shared" si="2"/>
        <v>32827</v>
      </c>
      <c r="AR44" s="34">
        <f t="shared" si="2"/>
        <v>31568</v>
      </c>
      <c r="AS44" s="34">
        <f t="shared" si="2"/>
        <v>32761</v>
      </c>
      <c r="AT44" s="34">
        <f t="shared" si="2"/>
        <v>26699</v>
      </c>
      <c r="AU44" s="34">
        <f t="shared" si="2"/>
        <v>15645</v>
      </c>
      <c r="AV44" s="34">
        <f t="shared" si="2"/>
        <v>24864</v>
      </c>
      <c r="AW44" s="34">
        <f t="shared" si="2"/>
        <v>30999</v>
      </c>
      <c r="AX44" s="34">
        <f t="shared" si="2"/>
        <v>36435</v>
      </c>
      <c r="AY44" s="34">
        <f t="shared" si="2"/>
        <v>28090</v>
      </c>
      <c r="AZ44" s="34">
        <f t="shared" si="2"/>
        <v>34727</v>
      </c>
      <c r="BA44" s="34">
        <f t="shared" si="2"/>
        <v>37062</v>
      </c>
      <c r="BB44" s="34">
        <f t="shared" ref="BB44:BO62" si="3">BB23-BA23</f>
        <v>14025</v>
      </c>
      <c r="BC44" s="34">
        <f t="shared" si="3"/>
        <v>29570</v>
      </c>
      <c r="BD44" s="34">
        <f t="shared" si="3"/>
        <v>31535</v>
      </c>
      <c r="BE44" s="34">
        <f t="shared" si="3"/>
        <v>56473</v>
      </c>
      <c r="BF44" s="34">
        <f t="shared" si="3"/>
        <v>31520</v>
      </c>
      <c r="BG44" s="34">
        <f t="shared" si="3"/>
        <v>31738</v>
      </c>
      <c r="BH44" s="34">
        <f t="shared" si="3"/>
        <v>25314</v>
      </c>
      <c r="BI44" s="34">
        <f t="shared" si="3"/>
        <v>17718</v>
      </c>
      <c r="BJ44" s="34">
        <f t="shared" si="3"/>
        <v>21572</v>
      </c>
      <c r="BK44" s="34">
        <f t="shared" si="3"/>
        <v>34573</v>
      </c>
      <c r="BL44" s="34">
        <f t="shared" si="3"/>
        <v>0</v>
      </c>
      <c r="BM44" s="34">
        <f t="shared" si="3"/>
        <v>76413</v>
      </c>
      <c r="BN44" s="34">
        <f t="shared" si="3"/>
        <v>37816</v>
      </c>
      <c r="BO44" s="34">
        <f t="shared" si="3"/>
        <v>39055</v>
      </c>
      <c r="BP44" s="34">
        <f t="shared" ref="BP44:CV53" si="4">BP23-BO23</f>
        <v>15740</v>
      </c>
      <c r="BQ44" s="34">
        <f t="shared" si="4"/>
        <v>13149</v>
      </c>
      <c r="BR44" s="34">
        <f t="shared" si="4"/>
        <v>22043</v>
      </c>
      <c r="BS44" s="34">
        <f t="shared" si="4"/>
        <v>29437</v>
      </c>
      <c r="BT44" s="34">
        <f t="shared" si="4"/>
        <v>32781</v>
      </c>
      <c r="BU44" s="34">
        <f t="shared" si="4"/>
        <v>55323</v>
      </c>
      <c r="BV44" s="34">
        <f t="shared" si="4"/>
        <v>25472</v>
      </c>
      <c r="BW44" s="34">
        <f t="shared" si="4"/>
        <v>17338</v>
      </c>
      <c r="BX44" s="34">
        <f t="shared" si="4"/>
        <v>19291</v>
      </c>
      <c r="BY44" s="34">
        <f t="shared" si="4"/>
        <v>33764</v>
      </c>
      <c r="BZ44" s="34">
        <f t="shared" si="4"/>
        <v>49474</v>
      </c>
      <c r="CA44" s="34">
        <f t="shared" si="4"/>
        <v>47112</v>
      </c>
      <c r="CB44" s="34">
        <f t="shared" si="4"/>
        <v>32923</v>
      </c>
      <c r="CC44" s="34">
        <f t="shared" si="4"/>
        <v>28567</v>
      </c>
      <c r="CD44" s="34">
        <f t="shared" si="4"/>
        <v>16826</v>
      </c>
      <c r="CE44" s="34">
        <f t="shared" si="4"/>
        <v>9951</v>
      </c>
      <c r="CF44" s="34">
        <f t="shared" si="4"/>
        <v>13302</v>
      </c>
      <c r="CG44" s="34">
        <f t="shared" si="4"/>
        <v>20785</v>
      </c>
      <c r="CH44" s="34">
        <f t="shared" si="4"/>
        <v>28166</v>
      </c>
      <c r="CI44" s="34">
        <f t="shared" si="4"/>
        <v>36805</v>
      </c>
      <c r="CJ44" s="34">
        <f t="shared" si="4"/>
        <v>27204</v>
      </c>
      <c r="CK44" s="34">
        <f t="shared" si="4"/>
        <v>21793</v>
      </c>
      <c r="CL44" s="34">
        <f t="shared" si="4"/>
        <v>43000</v>
      </c>
      <c r="CM44" s="34">
        <f t="shared" si="4"/>
        <v>36591</v>
      </c>
      <c r="CN44" s="34">
        <f t="shared" si="4"/>
        <v>34599</v>
      </c>
      <c r="CO44" s="34">
        <f t="shared" si="4"/>
        <v>31936</v>
      </c>
      <c r="CP44" s="34">
        <f t="shared" si="4"/>
        <v>32002</v>
      </c>
      <c r="CQ44" s="34">
        <f t="shared" si="4"/>
        <v>27403</v>
      </c>
      <c r="CR44" s="34">
        <f t="shared" si="4"/>
        <v>32148</v>
      </c>
      <c r="CS44" s="34">
        <f t="shared" si="4"/>
        <v>24076</v>
      </c>
      <c r="CT44" s="34">
        <f t="shared" si="4"/>
        <v>37688</v>
      </c>
      <c r="CU44" s="34">
        <f t="shared" si="4"/>
        <v>39323</v>
      </c>
      <c r="CV44" s="34">
        <f t="shared" si="4"/>
        <v>0</v>
      </c>
      <c r="CW44" s="34">
        <f t="shared" ref="CW44:EQ56" si="5">CW23-CV23</f>
        <v>0</v>
      </c>
      <c r="CX44" s="34">
        <f t="shared" si="5"/>
        <v>63895</v>
      </c>
      <c r="CY44" s="34">
        <f t="shared" si="5"/>
        <v>21455</v>
      </c>
      <c r="CZ44" s="34">
        <f t="shared" si="5"/>
        <v>28978</v>
      </c>
      <c r="DA44" s="34">
        <f t="shared" si="5"/>
        <v>45084</v>
      </c>
      <c r="DB44" s="34">
        <f t="shared" si="5"/>
        <v>54126</v>
      </c>
      <c r="DC44" s="34">
        <f t="shared" si="5"/>
        <v>0</v>
      </c>
      <c r="DD44" s="34">
        <f t="shared" si="5"/>
        <v>0</v>
      </c>
      <c r="DE44" s="34">
        <f t="shared" si="5"/>
        <v>85669</v>
      </c>
      <c r="DF44" s="34">
        <f t="shared" si="5"/>
        <v>22180</v>
      </c>
      <c r="DG44" s="34">
        <f t="shared" si="5"/>
        <v>31819</v>
      </c>
      <c r="DH44" s="34">
        <f t="shared" si="5"/>
        <v>50068</v>
      </c>
      <c r="DI44" s="34">
        <f t="shared" si="5"/>
        <v>49116</v>
      </c>
      <c r="DJ44" s="34">
        <f t="shared" si="5"/>
        <v>49166</v>
      </c>
      <c r="DK44" s="34">
        <f t="shared" si="5"/>
        <v>58329</v>
      </c>
      <c r="DL44" s="34">
        <f t="shared" si="5"/>
        <v>31990</v>
      </c>
      <c r="DM44" s="34">
        <f t="shared" si="5"/>
        <v>38365</v>
      </c>
      <c r="DN44" s="34">
        <f t="shared" si="5"/>
        <v>32363</v>
      </c>
      <c r="DO44" s="34">
        <f t="shared" si="5"/>
        <v>54031</v>
      </c>
      <c r="DP44" s="34">
        <f t="shared" si="5"/>
        <v>50648</v>
      </c>
      <c r="DQ44" s="34">
        <f t="shared" si="5"/>
        <v>50729</v>
      </c>
      <c r="DR44" s="34">
        <f t="shared" si="5"/>
        <v>52120</v>
      </c>
      <c r="DS44" s="34">
        <f t="shared" si="5"/>
        <v>43513</v>
      </c>
      <c r="DT44" s="34">
        <f t="shared" si="5"/>
        <v>39591</v>
      </c>
      <c r="DU44" s="34">
        <f t="shared" si="5"/>
        <v>41451</v>
      </c>
      <c r="DV44" s="34">
        <f t="shared" si="5"/>
        <v>49566</v>
      </c>
      <c r="DW44" s="34">
        <f t="shared" si="5"/>
        <v>54998</v>
      </c>
      <c r="DX44" s="34">
        <f t="shared" si="5"/>
        <v>53963</v>
      </c>
      <c r="DY44" s="34">
        <f t="shared" si="5"/>
        <v>55439</v>
      </c>
      <c r="DZ44" s="34">
        <f t="shared" si="5"/>
        <v>46643</v>
      </c>
      <c r="EA44" s="34">
        <f t="shared" si="5"/>
        <v>29659</v>
      </c>
      <c r="EB44" s="34">
        <f t="shared" si="5"/>
        <v>36906</v>
      </c>
      <c r="EC44" s="34">
        <f t="shared" si="5"/>
        <v>55123</v>
      </c>
      <c r="ED44" s="34">
        <f t="shared" si="5"/>
        <v>49154</v>
      </c>
      <c r="EE44" s="34">
        <f t="shared" si="5"/>
        <v>46742</v>
      </c>
      <c r="EF44" s="34">
        <f t="shared" si="5"/>
        <v>45809</v>
      </c>
      <c r="EG44" s="34">
        <f t="shared" si="5"/>
        <v>40578</v>
      </c>
      <c r="EH44" s="34">
        <f t="shared" si="5"/>
        <v>34412</v>
      </c>
      <c r="EI44" s="34">
        <f t="shared" si="5"/>
        <v>34947</v>
      </c>
      <c r="EJ44" s="34">
        <f t="shared" si="5"/>
        <v>66202</v>
      </c>
      <c r="EK44" s="34">
        <f t="shared" si="5"/>
        <v>48160</v>
      </c>
      <c r="EL44" s="34">
        <f t="shared" si="5"/>
        <v>52557</v>
      </c>
      <c r="EM44" s="34">
        <f t="shared" si="5"/>
        <v>47745</v>
      </c>
      <c r="EN44" s="34">
        <f t="shared" si="5"/>
        <v>42244</v>
      </c>
      <c r="EO44" s="34">
        <f t="shared" si="5"/>
        <v>24721</v>
      </c>
      <c r="EP44" s="34">
        <f t="shared" si="5"/>
        <v>30651</v>
      </c>
      <c r="EQ44" s="34">
        <f t="shared" si="5"/>
        <v>49781</v>
      </c>
      <c r="ER44" s="34">
        <f t="shared" ref="ER44:FQ59" si="6">ER23-EQ23</f>
        <v>50352</v>
      </c>
      <c r="ES44" s="34">
        <f t="shared" si="6"/>
        <v>51007</v>
      </c>
      <c r="ET44" s="34">
        <f t="shared" si="6"/>
        <v>49074</v>
      </c>
      <c r="EU44" s="34">
        <f t="shared" si="6"/>
        <v>54718</v>
      </c>
      <c r="EV44" s="34">
        <f t="shared" si="6"/>
        <v>41673</v>
      </c>
      <c r="EW44" s="34">
        <f t="shared" si="6"/>
        <v>30040</v>
      </c>
      <c r="EX44" s="34">
        <f t="shared" si="6"/>
        <v>36282</v>
      </c>
      <c r="EY44" s="34">
        <f t="shared" si="6"/>
        <v>45882</v>
      </c>
      <c r="EZ44" s="34">
        <f t="shared" si="6"/>
        <v>54375</v>
      </c>
      <c r="FA44" s="34">
        <f t="shared" si="6"/>
        <v>59570</v>
      </c>
      <c r="FB44" s="34">
        <f t="shared" si="6"/>
        <v>45223</v>
      </c>
      <c r="FC44" s="34">
        <f t="shared" si="6"/>
        <v>25350</v>
      </c>
      <c r="FD44" s="34">
        <f t="shared" si="6"/>
        <v>42145</v>
      </c>
      <c r="FE44" s="34">
        <f t="shared" si="6"/>
        <v>50888</v>
      </c>
      <c r="FF44" s="34">
        <f t="shared" si="6"/>
        <v>46790</v>
      </c>
      <c r="FG44" s="34">
        <f t="shared" si="6"/>
        <v>50336</v>
      </c>
      <c r="FH44" s="34">
        <f t="shared" si="6"/>
        <v>43445</v>
      </c>
      <c r="FI44" s="34">
        <f t="shared" si="6"/>
        <v>40095</v>
      </c>
      <c r="FJ44" s="34">
        <f t="shared" si="6"/>
        <v>30915</v>
      </c>
      <c r="FK44" s="34">
        <f t="shared" si="6"/>
        <v>30136</v>
      </c>
      <c r="FL44" s="34">
        <f t="shared" si="6"/>
        <v>43912</v>
      </c>
      <c r="FM44" s="34">
        <f t="shared" si="6"/>
        <v>54559</v>
      </c>
      <c r="FN44" s="34">
        <f t="shared" si="6"/>
        <v>52553</v>
      </c>
      <c r="FO44" s="34">
        <f t="shared" si="6"/>
        <v>42063</v>
      </c>
      <c r="FP44" s="34">
        <f t="shared" si="6"/>
        <v>37730</v>
      </c>
      <c r="FQ44" s="34">
        <f t="shared" si="6"/>
        <v>22839</v>
      </c>
      <c r="FR44" s="34">
        <f t="shared" ref="FR44" si="7">FR23-FQ23</f>
        <v>28407</v>
      </c>
      <c r="FS44" s="34">
        <f t="shared" ref="FS44" si="8">FS23-FR23</f>
        <v>42565</v>
      </c>
      <c r="FT44" s="34">
        <f t="shared" ref="FT44:GG62" si="9">FT23-FS23</f>
        <v>45460</v>
      </c>
      <c r="FU44" s="34">
        <f t="shared" si="9"/>
        <v>50248</v>
      </c>
      <c r="FV44" s="34">
        <f t="shared" si="9"/>
        <v>42362</v>
      </c>
      <c r="FW44" s="34">
        <f t="shared" si="9"/>
        <v>42812</v>
      </c>
      <c r="FX44" s="34">
        <f t="shared" si="9"/>
        <v>26221</v>
      </c>
      <c r="FY44" s="34">
        <f t="shared" si="9"/>
        <v>34040</v>
      </c>
      <c r="FZ44" s="34">
        <f t="shared" si="9"/>
        <v>49875</v>
      </c>
      <c r="GA44" s="34">
        <f t="shared" si="9"/>
        <v>55017</v>
      </c>
      <c r="GB44" s="34">
        <f t="shared" si="9"/>
        <v>52192</v>
      </c>
      <c r="GC44" s="34">
        <f t="shared" si="9"/>
        <v>61579</v>
      </c>
      <c r="GD44" s="34">
        <f t="shared" si="9"/>
        <v>57789</v>
      </c>
      <c r="GE44" s="34">
        <f t="shared" si="9"/>
        <v>31233</v>
      </c>
      <c r="GF44" s="34">
        <f t="shared" si="9"/>
        <v>43438</v>
      </c>
      <c r="GG44" s="34">
        <f t="shared" si="9"/>
        <v>49703</v>
      </c>
      <c r="GH44" s="34">
        <f t="shared" ref="GH44:GU62" si="10">GH23-GG23</f>
        <v>44058</v>
      </c>
      <c r="GI44" s="34">
        <f t="shared" si="10"/>
        <v>40224</v>
      </c>
      <c r="GJ44" s="34">
        <f t="shared" si="10"/>
        <v>88074</v>
      </c>
      <c r="GK44" s="34">
        <f t="shared" si="10"/>
        <v>44828</v>
      </c>
      <c r="GL44" s="34">
        <f t="shared" si="10"/>
        <v>37193</v>
      </c>
      <c r="GM44" s="34">
        <f t="shared" si="10"/>
        <v>57830</v>
      </c>
      <c r="GN44" s="34">
        <f t="shared" si="10"/>
        <v>0</v>
      </c>
      <c r="GO44" s="34">
        <f t="shared" si="10"/>
        <v>134734</v>
      </c>
      <c r="GP44" s="34">
        <f t="shared" si="10"/>
        <v>52292</v>
      </c>
      <c r="GQ44" s="34">
        <f t="shared" si="10"/>
        <v>50043</v>
      </c>
      <c r="GR44" s="34">
        <f t="shared" si="10"/>
        <v>54024</v>
      </c>
      <c r="GS44" s="34">
        <f t="shared" si="10"/>
        <v>33159</v>
      </c>
      <c r="GT44" s="34">
        <f t="shared" si="10"/>
        <v>46037</v>
      </c>
      <c r="GU44" s="34">
        <f t="shared" si="10"/>
        <v>75392</v>
      </c>
      <c r="GV44" s="34">
        <f t="shared" ref="GV44:HA62" si="11">GV23-GU23</f>
        <v>74679</v>
      </c>
      <c r="GW44" s="34">
        <f t="shared" si="11"/>
        <v>94991</v>
      </c>
      <c r="GX44" s="34">
        <f t="shared" si="11"/>
        <v>90657</v>
      </c>
      <c r="GY44" s="34">
        <f t="shared" si="11"/>
        <v>75713</v>
      </c>
      <c r="GZ44" s="34">
        <f t="shared" si="11"/>
        <v>63270</v>
      </c>
      <c r="HA44" s="34">
        <f t="shared" si="11"/>
        <v>76304</v>
      </c>
      <c r="HB44" s="34">
        <f t="shared" ref="HB44:HB62" si="12">HB23-GZ23</f>
        <v>152608</v>
      </c>
      <c r="HC44" s="34">
        <f t="shared" ref="HC44:HQ62" si="13">HC23-HB23</f>
        <v>89761</v>
      </c>
      <c r="HD44" s="34">
        <f t="shared" si="13"/>
        <v>70299</v>
      </c>
      <c r="HE44" s="34">
        <f t="shared" si="13"/>
        <v>120904</v>
      </c>
      <c r="HF44" s="34">
        <f t="shared" si="13"/>
        <v>66458</v>
      </c>
      <c r="HG44" s="34">
        <f t="shared" si="13"/>
        <v>63763</v>
      </c>
      <c r="HH44" s="34">
        <f t="shared" si="13"/>
        <v>66703</v>
      </c>
      <c r="HI44" s="34">
        <f t="shared" si="13"/>
        <v>99389</v>
      </c>
      <c r="HJ44" s="34">
        <f t="shared" si="13"/>
        <v>101313</v>
      </c>
      <c r="HK44" s="34">
        <f t="shared" si="13"/>
        <v>99323</v>
      </c>
      <c r="HL44" s="34">
        <f t="shared" si="13"/>
        <v>86860</v>
      </c>
      <c r="HM44" s="34">
        <f t="shared" si="13"/>
        <v>81809</v>
      </c>
      <c r="HN44" s="34">
        <f t="shared" si="13"/>
        <v>43550</v>
      </c>
      <c r="HO44" s="34">
        <f t="shared" si="13"/>
        <v>67355</v>
      </c>
      <c r="HP44" s="34">
        <f t="shared" si="13"/>
        <v>87046</v>
      </c>
      <c r="HQ44" s="34">
        <f t="shared" si="13"/>
        <v>92172</v>
      </c>
      <c r="HR44" s="34">
        <f t="shared" ref="HR44:IE62" si="14">HR23-HQ23</f>
        <v>84085</v>
      </c>
      <c r="HS44" s="34">
        <f t="shared" si="14"/>
        <v>84215</v>
      </c>
      <c r="HT44" s="34">
        <f t="shared" si="14"/>
        <v>61497</v>
      </c>
      <c r="HU44" s="34">
        <f t="shared" si="14"/>
        <v>35607</v>
      </c>
      <c r="HV44" s="34">
        <f t="shared" si="14"/>
        <v>84298</v>
      </c>
      <c r="HW44" s="34">
        <f t="shared" si="14"/>
        <v>105546</v>
      </c>
      <c r="HX44" s="34">
        <f t="shared" si="14"/>
        <v>67648</v>
      </c>
      <c r="HY44" s="34">
        <f t="shared" si="14"/>
        <v>107412</v>
      </c>
      <c r="HZ44" s="34">
        <f t="shared" si="14"/>
        <v>73565</v>
      </c>
      <c r="IA44" s="34">
        <f t="shared" si="14"/>
        <v>95679</v>
      </c>
      <c r="IB44" s="34">
        <f t="shared" si="14"/>
        <v>41883</v>
      </c>
      <c r="IC44" s="34">
        <f t="shared" si="14"/>
        <v>69879</v>
      </c>
      <c r="ID44" s="34">
        <f t="shared" si="14"/>
        <v>92595</v>
      </c>
      <c r="IE44" s="34">
        <f t="shared" si="14"/>
        <v>82575</v>
      </c>
      <c r="IF44" s="34">
        <f t="shared" ref="IF44:IT62" si="15">IF23-IE23</f>
        <v>75714</v>
      </c>
      <c r="IG44" s="34">
        <f t="shared" si="15"/>
        <v>82695</v>
      </c>
      <c r="IH44" s="34">
        <f t="shared" si="15"/>
        <v>106916</v>
      </c>
      <c r="II44" s="34">
        <f t="shared" si="15"/>
        <v>67507</v>
      </c>
      <c r="IJ44" s="34">
        <f t="shared" si="15"/>
        <v>91456</v>
      </c>
      <c r="IK44" s="34">
        <f t="shared" si="15"/>
        <v>111757</v>
      </c>
      <c r="IL44" s="34">
        <f t="shared" si="15"/>
        <v>125578</v>
      </c>
      <c r="IM44" s="34">
        <f t="shared" si="15"/>
        <v>96691</v>
      </c>
      <c r="IN44" s="34">
        <f t="shared" si="15"/>
        <v>99693</v>
      </c>
      <c r="IO44" s="34">
        <f t="shared" si="15"/>
        <v>180387</v>
      </c>
      <c r="IP44" s="34">
        <f t="shared" si="15"/>
        <v>82107</v>
      </c>
      <c r="IQ44" s="34">
        <f t="shared" si="15"/>
        <v>69274</v>
      </c>
      <c r="IR44" s="34">
        <f t="shared" si="15"/>
        <v>86340</v>
      </c>
      <c r="IS44" s="34">
        <f t="shared" si="15"/>
        <v>107881</v>
      </c>
      <c r="IT44" s="34">
        <f t="shared" si="15"/>
        <v>121115</v>
      </c>
      <c r="IU44" s="34">
        <f t="shared" ref="IU44:JH62" si="16">IU23-IT23</f>
        <v>110987</v>
      </c>
      <c r="IV44" s="34">
        <f t="shared" si="16"/>
        <v>105569</v>
      </c>
      <c r="IW44" s="34">
        <f t="shared" si="16"/>
        <v>84421</v>
      </c>
      <c r="IX44" s="34">
        <f t="shared" si="16"/>
        <v>87048</v>
      </c>
      <c r="IY44" s="34">
        <f t="shared" si="16"/>
        <v>107697</v>
      </c>
      <c r="IZ44" s="34">
        <f t="shared" si="16"/>
        <v>110774</v>
      </c>
      <c r="JA44" s="34">
        <f t="shared" si="16"/>
        <v>116372</v>
      </c>
      <c r="JB44" s="34">
        <f t="shared" si="16"/>
        <v>105645</v>
      </c>
      <c r="JC44" s="34">
        <f t="shared" si="16"/>
        <v>96820</v>
      </c>
      <c r="JD44" s="34">
        <f t="shared" si="16"/>
        <v>66248</v>
      </c>
      <c r="JE44" s="34">
        <f t="shared" si="16"/>
        <v>76547</v>
      </c>
      <c r="JF44" s="34">
        <f t="shared" si="16"/>
        <v>112467</v>
      </c>
      <c r="JG44" s="34">
        <f t="shared" si="16"/>
        <v>109496</v>
      </c>
      <c r="JH44" s="34">
        <f t="shared" si="16"/>
        <v>101907</v>
      </c>
      <c r="JI44" s="34">
        <f t="shared" ref="JI44:JV62" si="17">JI23-JH23</f>
        <v>103875</v>
      </c>
      <c r="JJ44" s="34">
        <f t="shared" si="17"/>
        <v>85178</v>
      </c>
      <c r="JK44" s="34">
        <f t="shared" si="17"/>
        <v>62751</v>
      </c>
      <c r="JL44" s="34">
        <f t="shared" si="17"/>
        <v>73370</v>
      </c>
      <c r="JM44" s="34">
        <f t="shared" si="17"/>
        <v>107272</v>
      </c>
      <c r="JN44" s="34">
        <f t="shared" si="17"/>
        <v>118717</v>
      </c>
      <c r="JO44" s="34">
        <f t="shared" si="17"/>
        <v>98946</v>
      </c>
      <c r="JP44" s="34">
        <f t="shared" si="17"/>
        <v>100268</v>
      </c>
      <c r="JQ44" s="34">
        <f t="shared" si="17"/>
        <v>77104</v>
      </c>
      <c r="JR44" s="34">
        <f t="shared" si="17"/>
        <v>49306</v>
      </c>
      <c r="JS44" s="34">
        <f t="shared" si="17"/>
        <v>39764</v>
      </c>
      <c r="JT44" s="34">
        <f t="shared" si="17"/>
        <v>75162</v>
      </c>
      <c r="JU44" s="34">
        <f t="shared" si="17"/>
        <v>115714</v>
      </c>
      <c r="JV44" s="34">
        <f t="shared" si="17"/>
        <v>108349</v>
      </c>
      <c r="JW44" s="34">
        <f t="shared" ref="JW44:KJ62" si="18">JW23-JV23</f>
        <v>96037</v>
      </c>
      <c r="JX44" s="34">
        <f t="shared" si="18"/>
        <v>92529</v>
      </c>
      <c r="JY44" s="34">
        <f t="shared" si="18"/>
        <v>60331</v>
      </c>
      <c r="JZ44" s="34">
        <f t="shared" si="18"/>
        <v>74540</v>
      </c>
      <c r="KA44" s="34">
        <f t="shared" si="18"/>
        <v>91307</v>
      </c>
      <c r="KB44" s="34">
        <f t="shared" si="18"/>
        <v>101508</v>
      </c>
      <c r="KC44" s="34">
        <f t="shared" si="18"/>
        <v>103136</v>
      </c>
      <c r="KD44" s="34">
        <f t="shared" si="18"/>
        <v>98036</v>
      </c>
      <c r="KE44" s="34">
        <f t="shared" si="18"/>
        <v>86265</v>
      </c>
      <c r="KF44" s="34">
        <f t="shared" si="18"/>
        <v>46779</v>
      </c>
      <c r="KG44" s="34">
        <f t="shared" si="18"/>
        <v>73339</v>
      </c>
      <c r="KH44" s="34">
        <f t="shared" si="18"/>
        <v>88431</v>
      </c>
      <c r="KI44" s="34">
        <f t="shared" si="18"/>
        <v>117227</v>
      </c>
      <c r="KJ44" s="34">
        <f t="shared" si="18"/>
        <v>108240</v>
      </c>
      <c r="KK44" s="34">
        <f t="shared" ref="KK44:KX62" si="19">KK23-KJ23</f>
        <v>86132</v>
      </c>
      <c r="KL44" s="34">
        <f t="shared" si="19"/>
        <v>69862</v>
      </c>
      <c r="KM44" s="34">
        <f t="shared" si="19"/>
        <v>50134</v>
      </c>
      <c r="KN44" s="34">
        <f t="shared" si="19"/>
        <v>75927</v>
      </c>
      <c r="KO44" s="34">
        <f t="shared" si="19"/>
        <v>105693</v>
      </c>
      <c r="KP44" s="34">
        <f t="shared" si="19"/>
        <v>109446</v>
      </c>
      <c r="KQ44" s="34">
        <f t="shared" si="19"/>
        <v>96976</v>
      </c>
      <c r="KR44" s="34">
        <f t="shared" si="19"/>
        <v>112768</v>
      </c>
      <c r="KS44" s="34">
        <f t="shared" si="19"/>
        <v>79364</v>
      </c>
      <c r="KT44" s="34">
        <f t="shared" si="19"/>
        <v>52894</v>
      </c>
      <c r="KU44" s="34">
        <f t="shared" si="19"/>
        <v>71160</v>
      </c>
      <c r="KV44" s="34">
        <f t="shared" si="19"/>
        <v>93435</v>
      </c>
      <c r="KW44" s="34">
        <f t="shared" si="19"/>
        <v>88539</v>
      </c>
      <c r="KX44" s="34">
        <f t="shared" si="19"/>
        <v>98879</v>
      </c>
      <c r="KY44" s="34">
        <f t="shared" ref="KY44:KZ62" si="20">KY23-KX23</f>
        <v>104287</v>
      </c>
      <c r="KZ44" s="34">
        <f t="shared" si="20"/>
        <v>85239</v>
      </c>
      <c r="LA44" s="34">
        <f t="shared" ref="LA44:LV59" si="21">LA23-KZ23</f>
        <v>57623</v>
      </c>
      <c r="LB44" s="34">
        <f t="shared" si="21"/>
        <v>77622</v>
      </c>
      <c r="LC44" s="34">
        <f t="shared" si="21"/>
        <v>112772</v>
      </c>
      <c r="LD44" s="34">
        <f t="shared" si="21"/>
        <v>98390</v>
      </c>
      <c r="LE44" s="34">
        <f t="shared" si="21"/>
        <v>98149</v>
      </c>
      <c r="LF44" s="34">
        <f t="shared" si="21"/>
        <v>92047</v>
      </c>
      <c r="LG44" s="34">
        <f t="shared" si="21"/>
        <v>89091</v>
      </c>
      <c r="LH44" s="34">
        <f t="shared" si="21"/>
        <v>54673</v>
      </c>
      <c r="LI44" s="34">
        <f t="shared" si="21"/>
        <v>68502</v>
      </c>
      <c r="LJ44" s="34">
        <f t="shared" si="21"/>
        <v>106672</v>
      </c>
      <c r="LK44" s="34">
        <f t="shared" si="21"/>
        <v>112987</v>
      </c>
      <c r="LL44" s="34">
        <f t="shared" si="21"/>
        <v>102237</v>
      </c>
      <c r="LM44" s="34">
        <f t="shared" si="21"/>
        <v>122589</v>
      </c>
      <c r="LN44" s="34">
        <f t="shared" si="21"/>
        <v>84899</v>
      </c>
      <c r="LO44" s="34">
        <f t="shared" si="21"/>
        <v>50696</v>
      </c>
      <c r="LP44" s="34">
        <f t="shared" si="21"/>
        <v>72886</v>
      </c>
      <c r="LQ44" s="34">
        <f t="shared" si="21"/>
        <v>102072</v>
      </c>
      <c r="LR44" s="34">
        <f t="shared" si="21"/>
        <v>84924</v>
      </c>
      <c r="LS44" s="34">
        <f t="shared" si="21"/>
        <v>140564</v>
      </c>
      <c r="LT44" s="34">
        <f t="shared" si="21"/>
        <v>82644</v>
      </c>
      <c r="LU44" s="34">
        <f t="shared" si="21"/>
        <v>93171</v>
      </c>
      <c r="LV44" s="34">
        <f t="shared" si="21"/>
        <v>51570</v>
      </c>
      <c r="LW44" s="34">
        <f t="shared" ref="LW44:MJ62" si="22">LW23-LV23</f>
        <v>39608</v>
      </c>
      <c r="LX44" s="34">
        <f t="shared" si="22"/>
        <v>78611</v>
      </c>
      <c r="LY44" s="34">
        <f t="shared" si="22"/>
        <v>103636</v>
      </c>
      <c r="LZ44" s="34">
        <f t="shared" si="22"/>
        <v>118856</v>
      </c>
      <c r="MA44" s="34">
        <f t="shared" si="22"/>
        <v>97742</v>
      </c>
      <c r="MB44" s="34">
        <f t="shared" si="22"/>
        <v>85739</v>
      </c>
      <c r="MC44" s="34">
        <f t="shared" si="22"/>
        <v>46875</v>
      </c>
      <c r="MD44" s="34">
        <f t="shared" si="22"/>
        <v>73924</v>
      </c>
      <c r="ME44" s="34">
        <f t="shared" si="22"/>
        <v>105984</v>
      </c>
      <c r="MF44" s="34">
        <f t="shared" si="22"/>
        <v>108061</v>
      </c>
      <c r="MG44" s="34">
        <f t="shared" si="22"/>
        <v>104832</v>
      </c>
      <c r="MH44" s="34">
        <f t="shared" si="22"/>
        <v>97114</v>
      </c>
      <c r="MI44" s="34">
        <f t="shared" si="22"/>
        <v>86972</v>
      </c>
      <c r="MJ44" s="34">
        <f t="shared" si="22"/>
        <v>43481</v>
      </c>
      <c r="MK44" s="34">
        <f t="shared" ref="MK44:MX62" si="23">MK23-MJ23</f>
        <v>71452</v>
      </c>
      <c r="ML44" s="34">
        <f t="shared" si="23"/>
        <v>99561</v>
      </c>
      <c r="MM44" s="34">
        <f t="shared" si="23"/>
        <v>98950</v>
      </c>
      <c r="MN44" s="34">
        <f t="shared" si="23"/>
        <v>91246</v>
      </c>
      <c r="MO44" s="34">
        <f t="shared" si="23"/>
        <v>81304</v>
      </c>
      <c r="MP44" s="34">
        <f t="shared" si="23"/>
        <v>70350</v>
      </c>
      <c r="MQ44" s="34">
        <f t="shared" si="23"/>
        <v>36697</v>
      </c>
      <c r="MR44" s="34">
        <f t="shared" si="23"/>
        <v>63096</v>
      </c>
      <c r="MS44" s="34">
        <f t="shared" si="23"/>
        <v>90247</v>
      </c>
      <c r="MT44" s="34">
        <f t="shared" si="23"/>
        <v>86361</v>
      </c>
      <c r="MU44" s="34">
        <f t="shared" si="23"/>
        <v>1449531</v>
      </c>
      <c r="MV44" s="34">
        <f t="shared" si="23"/>
        <v>67949</v>
      </c>
      <c r="MW44" s="34">
        <f t="shared" si="23"/>
        <v>0</v>
      </c>
      <c r="MX44" s="34">
        <f t="shared" si="23"/>
        <v>0</v>
      </c>
      <c r="MY44" s="34">
        <f t="shared" ref="MY44:MY62" si="24">MY23-MX23</f>
        <v>0</v>
      </c>
      <c r="MZ44" s="34">
        <f t="shared" ref="MZ44:NM62" si="25">MZ23-MY23</f>
        <v>0</v>
      </c>
      <c r="NA44" s="34">
        <f t="shared" si="25"/>
        <v>0</v>
      </c>
      <c r="NB44" s="34">
        <f t="shared" si="25"/>
        <v>0</v>
      </c>
      <c r="NC44" s="34">
        <f t="shared" si="25"/>
        <v>0</v>
      </c>
      <c r="ND44" s="34">
        <f t="shared" si="25"/>
        <v>0</v>
      </c>
      <c r="NE44" s="34">
        <f t="shared" si="25"/>
        <v>0</v>
      </c>
      <c r="NF44" s="34">
        <f t="shared" si="25"/>
        <v>0</v>
      </c>
      <c r="NG44" s="34">
        <f t="shared" si="25"/>
        <v>0</v>
      </c>
      <c r="NH44" s="34">
        <f t="shared" si="25"/>
        <v>0</v>
      </c>
      <c r="NI44" s="34">
        <f t="shared" si="25"/>
        <v>0</v>
      </c>
      <c r="NJ44" s="34">
        <f t="shared" si="25"/>
        <v>0</v>
      </c>
      <c r="NK44" s="34">
        <f t="shared" si="25"/>
        <v>0</v>
      </c>
      <c r="NL44" s="34">
        <f t="shared" si="25"/>
        <v>0</v>
      </c>
      <c r="NM44" s="34">
        <f t="shared" si="25"/>
        <v>0</v>
      </c>
      <c r="NN44" s="34">
        <f t="shared" ref="NN44:NN62" si="26">NN23-NM23</f>
        <v>0</v>
      </c>
      <c r="NO44" s="34">
        <f t="shared" ref="NO44:NO62" si="27">NO23-NN23</f>
        <v>0</v>
      </c>
      <c r="NP44" s="34">
        <v>0</v>
      </c>
      <c r="NQ44" s="34">
        <v>0</v>
      </c>
      <c r="NR44" s="34">
        <v>0</v>
      </c>
      <c r="NS44" s="34">
        <v>0</v>
      </c>
      <c r="NT44" s="34">
        <v>0</v>
      </c>
      <c r="NU44" s="34">
        <v>0</v>
      </c>
      <c r="NV44" s="34">
        <v>0</v>
      </c>
      <c r="NW44" s="34">
        <v>0</v>
      </c>
      <c r="NX44">
        <v>0</v>
      </c>
      <c r="NY44" s="34">
        <v>0</v>
      </c>
      <c r="NZ44" s="34">
        <v>0</v>
      </c>
      <c r="OA44" s="34">
        <v>0</v>
      </c>
      <c r="OB44" s="34">
        <v>36913</v>
      </c>
      <c r="OC44" s="34">
        <v>55398</v>
      </c>
      <c r="OD44" s="34">
        <v>52705</v>
      </c>
      <c r="OE44" s="34">
        <v>44729</v>
      </c>
      <c r="OF44" s="34">
        <v>35869</v>
      </c>
      <c r="OG44" s="34">
        <v>18998</v>
      </c>
      <c r="OH44" s="34">
        <v>40069</v>
      </c>
      <c r="OI44" s="34">
        <v>50973</v>
      </c>
      <c r="OJ44" s="34">
        <v>50291</v>
      </c>
      <c r="OK44" s="34">
        <v>53251</v>
      </c>
      <c r="OL44" s="34">
        <v>51987</v>
      </c>
      <c r="OM44" s="34">
        <v>37145</v>
      </c>
      <c r="ON44" s="34">
        <v>23838</v>
      </c>
      <c r="OO44" s="34">
        <v>42189</v>
      </c>
      <c r="OP44" s="34">
        <v>49744</v>
      </c>
      <c r="OQ44" s="34">
        <v>56073</v>
      </c>
      <c r="OR44" s="34">
        <v>51065</v>
      </c>
      <c r="OS44" s="34">
        <f>OS23-OR23</f>
        <v>48650</v>
      </c>
      <c r="OT44" s="34">
        <f>OT23-OS23</f>
        <v>36248</v>
      </c>
      <c r="OU44" s="34">
        <v>21277</v>
      </c>
      <c r="OV44" s="34">
        <v>32049</v>
      </c>
      <c r="OW44" s="34">
        <v>42836</v>
      </c>
      <c r="OX44" s="34">
        <v>49064</v>
      </c>
      <c r="OY44" s="34">
        <v>49942</v>
      </c>
      <c r="OZ44" s="34">
        <v>41748</v>
      </c>
      <c r="PA44" s="34">
        <v>34194</v>
      </c>
      <c r="PB44" s="34">
        <v>20715</v>
      </c>
      <c r="PC44" s="34">
        <v>36415</v>
      </c>
      <c r="PD44" s="34">
        <v>40230</v>
      </c>
      <c r="PE44" s="34">
        <v>46631</v>
      </c>
      <c r="PF44" s="34">
        <v>45769</v>
      </c>
      <c r="PG44" s="34">
        <v>39536</v>
      </c>
      <c r="PH44" s="34">
        <v>33187</v>
      </c>
      <c r="PI44" s="34">
        <v>19734</v>
      </c>
      <c r="PJ44" s="34">
        <v>31358</v>
      </c>
      <c r="PK44" s="34">
        <v>43401</v>
      </c>
      <c r="PL44" s="34">
        <v>42809</v>
      </c>
      <c r="PM44" s="34">
        <v>49774</v>
      </c>
      <c r="PN44" s="34">
        <v>45017</v>
      </c>
      <c r="PO44" s="34">
        <v>31871</v>
      </c>
      <c r="PP44" s="34">
        <v>17387</v>
      </c>
      <c r="PQ44" s="34">
        <v>14494</v>
      </c>
      <c r="PR44" s="34">
        <v>29283</v>
      </c>
      <c r="PS44" s="34">
        <v>41234</v>
      </c>
      <c r="PT44" s="34">
        <v>40709</v>
      </c>
      <c r="PU44" s="34">
        <v>48436</v>
      </c>
      <c r="PV44" s="34">
        <v>33472</v>
      </c>
      <c r="PW44" s="34">
        <v>20523</v>
      </c>
      <c r="PX44" s="34">
        <v>41826</v>
      </c>
      <c r="PY44" s="34">
        <v>48969</v>
      </c>
      <c r="PZ44" s="34">
        <v>38018</v>
      </c>
      <c r="QA44" s="34">
        <v>44504</v>
      </c>
      <c r="QB44" s="34">
        <v>49673</v>
      </c>
      <c r="QC44" s="34">
        <v>32762</v>
      </c>
      <c r="QD44" s="34">
        <v>22753</v>
      </c>
      <c r="QE44" s="34">
        <v>42346</v>
      </c>
      <c r="QF44" s="34">
        <v>49100</v>
      </c>
      <c r="QG44" s="34">
        <v>34078</v>
      </c>
      <c r="QH44" s="34">
        <v>39112</v>
      </c>
      <c r="QI44" s="34">
        <v>44433</v>
      </c>
      <c r="QJ44" s="34">
        <v>43609</v>
      </c>
      <c r="QK44" s="34">
        <v>22783</v>
      </c>
      <c r="QL44" s="34">
        <v>37958</v>
      </c>
      <c r="QM44" s="34">
        <v>52869</v>
      </c>
      <c r="QN44" s="34">
        <v>59830</v>
      </c>
      <c r="QO44" s="34">
        <v>60675</v>
      </c>
      <c r="QP44" s="34">
        <v>64365</v>
      </c>
      <c r="QQ44" s="34">
        <v>44035</v>
      </c>
      <c r="QR44" s="34">
        <v>29995</v>
      </c>
      <c r="QS44" s="34">
        <v>46832</v>
      </c>
      <c r="QT44" s="34">
        <v>71044</v>
      </c>
      <c r="QU44" s="34">
        <v>67795</v>
      </c>
      <c r="QV44" s="34">
        <v>80924</v>
      </c>
      <c r="QW44" s="34">
        <v>95405</v>
      </c>
      <c r="QX44" s="34">
        <v>36151</v>
      </c>
      <c r="QY44" s="34">
        <v>33455</v>
      </c>
      <c r="QZ44" s="34">
        <v>70532</v>
      </c>
      <c r="RA44" s="34">
        <v>116618</v>
      </c>
      <c r="RB44" s="34">
        <v>135645</v>
      </c>
      <c r="RC44" s="34">
        <v>164180</v>
      </c>
      <c r="RD44" s="34">
        <v>158345</v>
      </c>
      <c r="RE44" s="34">
        <v>62744</v>
      </c>
      <c r="RF44" s="34">
        <v>52617</v>
      </c>
      <c r="RG44" s="34">
        <v>93121</v>
      </c>
      <c r="RH44" s="34">
        <v>154853</v>
      </c>
      <c r="RI44" s="34">
        <v>170639</v>
      </c>
      <c r="RJ44" s="34">
        <v>195008</v>
      </c>
      <c r="RK44" s="34">
        <v>191811</v>
      </c>
      <c r="RL44" s="34">
        <v>171073</v>
      </c>
      <c r="RM44" s="34">
        <v>114225</v>
      </c>
      <c r="RN44" s="34">
        <v>139741</v>
      </c>
      <c r="RO44" s="34">
        <v>201585</v>
      </c>
      <c r="RP44" s="34">
        <v>198160</v>
      </c>
      <c r="RQ44" s="34">
        <v>198532</v>
      </c>
      <c r="RR44" s="34">
        <v>200265</v>
      </c>
      <c r="RS44" s="34">
        <v>147630</v>
      </c>
      <c r="RT44" s="34">
        <v>106993</v>
      </c>
      <c r="RU44" s="34">
        <v>242247</v>
      </c>
      <c r="RV44" s="34">
        <v>165124</v>
      </c>
      <c r="RW44" s="34">
        <v>176850</v>
      </c>
      <c r="RX44" s="34">
        <v>183622</v>
      </c>
      <c r="RY44" s="34">
        <v>172952</v>
      </c>
      <c r="RZ44" s="34">
        <v>151569</v>
      </c>
      <c r="SA44" s="34">
        <v>100337</v>
      </c>
      <c r="SB44" s="34">
        <v>116841</v>
      </c>
      <c r="SC44" s="34">
        <v>158767</v>
      </c>
      <c r="SD44" s="34">
        <v>140157</v>
      </c>
      <c r="SE44" s="34">
        <v>131582</v>
      </c>
      <c r="SF44" s="34">
        <v>111387</v>
      </c>
      <c r="SG44" s="34">
        <v>77448</v>
      </c>
      <c r="SH44" s="34">
        <v>46067</v>
      </c>
      <c r="SI44" s="34">
        <v>83165</v>
      </c>
      <c r="SJ44" s="34">
        <v>177402</v>
      </c>
      <c r="SK44" s="34">
        <v>83319</v>
      </c>
      <c r="SL44" s="34">
        <v>85329</v>
      </c>
      <c r="SM44" s="34">
        <v>92895</v>
      </c>
      <c r="SN44" s="34">
        <v>60159</v>
      </c>
      <c r="SO44" s="34">
        <v>38494</v>
      </c>
      <c r="SP44" s="34">
        <v>61853</v>
      </c>
      <c r="SQ44" s="34">
        <v>85368</v>
      </c>
      <c r="SR44" s="34">
        <v>76251</v>
      </c>
      <c r="SS44" s="34">
        <v>75608</v>
      </c>
      <c r="ST44" s="34">
        <v>56349</v>
      </c>
      <c r="SU44" s="34">
        <v>56784</v>
      </c>
      <c r="SV44" s="34">
        <v>41328</v>
      </c>
      <c r="SW44" s="34">
        <v>54679</v>
      </c>
      <c r="SX44" s="34">
        <v>70461</v>
      </c>
      <c r="SY44" s="34">
        <v>68834</v>
      </c>
      <c r="SZ44" s="34">
        <v>65169</v>
      </c>
      <c r="TA44" s="34">
        <v>65937</v>
      </c>
      <c r="TB44" s="34">
        <v>41394</v>
      </c>
      <c r="TC44" s="34">
        <v>24670</v>
      </c>
      <c r="TD44" s="34">
        <v>45387</v>
      </c>
      <c r="TE44" s="34">
        <v>78311</v>
      </c>
      <c r="TF44" s="34">
        <v>63587</v>
      </c>
      <c r="TG44" s="34">
        <v>58604</v>
      </c>
      <c r="TH44" s="34">
        <v>55638</v>
      </c>
      <c r="TI44" s="34">
        <v>37586</v>
      </c>
      <c r="TJ44" s="34">
        <v>27194</v>
      </c>
      <c r="TK44" s="34">
        <v>22775</v>
      </c>
      <c r="TL44" s="34">
        <v>21695</v>
      </c>
      <c r="TM44" s="34">
        <v>43544</v>
      </c>
      <c r="TN44" s="34">
        <v>56423</v>
      </c>
      <c r="TO44" s="34">
        <v>54161</v>
      </c>
      <c r="TP44" s="34">
        <v>39907</v>
      </c>
      <c r="TQ44" s="34">
        <v>20659</v>
      </c>
      <c r="TR44" s="34">
        <v>42042</v>
      </c>
      <c r="TS44" s="34">
        <v>53780</v>
      </c>
      <c r="TT44" s="34">
        <v>50950</v>
      </c>
      <c r="TU44" s="34">
        <v>51573</v>
      </c>
      <c r="TV44" s="34">
        <v>46667</v>
      </c>
      <c r="TW44" s="34">
        <v>33020</v>
      </c>
      <c r="TX44" s="34">
        <v>17284</v>
      </c>
      <c r="TY44" s="34">
        <v>37522</v>
      </c>
      <c r="TZ44" s="34">
        <v>50201</v>
      </c>
      <c r="UA44" s="34">
        <v>47676</v>
      </c>
      <c r="UB44" s="34">
        <v>46556</v>
      </c>
      <c r="UC44" s="34">
        <v>82380</v>
      </c>
      <c r="UD44" s="34">
        <v>0</v>
      </c>
      <c r="UE44" s="34">
        <v>15328</v>
      </c>
      <c r="UF44" s="34">
        <v>30094</v>
      </c>
      <c r="UG44" s="34">
        <v>42702</v>
      </c>
      <c r="UH44" s="34">
        <v>40625</v>
      </c>
      <c r="UI44" s="34">
        <v>26996</v>
      </c>
      <c r="UJ44" s="34">
        <v>26811</v>
      </c>
      <c r="UK44" s="34">
        <v>22863</v>
      </c>
      <c r="UL44" s="34">
        <v>12364</v>
      </c>
      <c r="UM44" s="34">
        <v>27146</v>
      </c>
      <c r="UN44" s="34">
        <v>37192</v>
      </c>
      <c r="UO44" s="34">
        <v>35001</v>
      </c>
      <c r="UP44" s="34">
        <v>29841</v>
      </c>
      <c r="UQ44" s="34">
        <v>43937</v>
      </c>
      <c r="UR44" s="34">
        <v>10308</v>
      </c>
      <c r="US44" s="34">
        <v>0</v>
      </c>
      <c r="UT44" s="34">
        <v>22830</v>
      </c>
      <c r="UU44" s="34">
        <v>32420</v>
      </c>
      <c r="UV44" s="34">
        <v>25162</v>
      </c>
      <c r="UW44" s="34">
        <v>25775</v>
      </c>
      <c r="UX44" s="34">
        <v>24169</v>
      </c>
      <c r="UY44" s="34">
        <v>15849</v>
      </c>
      <c r="UZ44" s="34">
        <v>10210</v>
      </c>
      <c r="VA44" s="34">
        <v>20544</v>
      </c>
      <c r="VB44" s="34">
        <v>25286</v>
      </c>
      <c r="VC44" s="34">
        <v>38917</v>
      </c>
      <c r="VD44" s="34">
        <v>0</v>
      </c>
      <c r="VE44" s="34">
        <v>19680</v>
      </c>
      <c r="VF44" s="34">
        <v>0</v>
      </c>
      <c r="VG44" s="34">
        <v>0</v>
      </c>
      <c r="VH44" s="34">
        <v>0</v>
      </c>
      <c r="VI44" s="34">
        <v>0</v>
      </c>
      <c r="VJ44" s="34">
        <v>0</v>
      </c>
      <c r="VK44" s="34">
        <v>0</v>
      </c>
      <c r="VL44" s="34">
        <v>0</v>
      </c>
      <c r="VM44" s="34">
        <v>0</v>
      </c>
      <c r="VN44" s="34">
        <v>0</v>
      </c>
      <c r="VO44" s="34">
        <v>0</v>
      </c>
      <c r="VP44" s="34">
        <v>0</v>
      </c>
      <c r="VQ44" s="34">
        <v>0</v>
      </c>
      <c r="VR44" s="34">
        <v>0</v>
      </c>
      <c r="VS44" s="34">
        <v>0</v>
      </c>
      <c r="VT44" s="34">
        <v>0</v>
      </c>
      <c r="VU44" s="34">
        <v>0</v>
      </c>
      <c r="VV44" s="34">
        <v>0</v>
      </c>
      <c r="VW44" s="34">
        <v>0</v>
      </c>
      <c r="VX44" s="34">
        <v>0</v>
      </c>
      <c r="VY44" s="34">
        <v>0</v>
      </c>
      <c r="VZ44" s="34">
        <v>0</v>
      </c>
      <c r="WA44" s="34">
        <v>0</v>
      </c>
      <c r="WB44" s="34">
        <v>0</v>
      </c>
      <c r="WC44" s="34">
        <v>0</v>
      </c>
      <c r="WD44" s="34">
        <v>0</v>
      </c>
      <c r="WE44" s="34">
        <v>0</v>
      </c>
      <c r="WF44" s="34">
        <v>0</v>
      </c>
      <c r="WG44" s="34">
        <v>0</v>
      </c>
      <c r="WH44" s="34">
        <v>0</v>
      </c>
      <c r="WI44" s="34">
        <v>0</v>
      </c>
      <c r="WJ44" s="34">
        <v>0</v>
      </c>
      <c r="WK44" s="34">
        <v>0</v>
      </c>
      <c r="WL44" s="34">
        <v>0</v>
      </c>
      <c r="WM44">
        <v>0</v>
      </c>
      <c r="WN44">
        <v>0</v>
      </c>
      <c r="WO44">
        <v>0</v>
      </c>
      <c r="WP44">
        <v>0</v>
      </c>
      <c r="WQ44">
        <v>0</v>
      </c>
      <c r="WR44">
        <v>0</v>
      </c>
      <c r="WS44">
        <v>0</v>
      </c>
      <c r="WT44">
        <v>0</v>
      </c>
      <c r="WU44">
        <v>0</v>
      </c>
      <c r="WV44">
        <v>0</v>
      </c>
      <c r="WW44">
        <v>0</v>
      </c>
      <c r="WX44">
        <v>0</v>
      </c>
      <c r="WY44">
        <v>0</v>
      </c>
      <c r="WZ44">
        <v>0</v>
      </c>
      <c r="XA44">
        <v>0</v>
      </c>
      <c r="XB44">
        <v>0</v>
      </c>
      <c r="XC44">
        <v>0</v>
      </c>
      <c r="XD44">
        <v>0</v>
      </c>
      <c r="XE44">
        <v>0</v>
      </c>
      <c r="XF44">
        <v>0</v>
      </c>
      <c r="XG44">
        <v>0</v>
      </c>
      <c r="XH44">
        <v>0</v>
      </c>
      <c r="XI44">
        <v>0</v>
      </c>
      <c r="XJ44">
        <v>0</v>
      </c>
      <c r="XK44">
        <v>0</v>
      </c>
      <c r="XL44">
        <v>0</v>
      </c>
      <c r="XM44">
        <v>0</v>
      </c>
      <c r="XN44">
        <v>0</v>
      </c>
      <c r="XO44">
        <v>0</v>
      </c>
      <c r="XP44">
        <v>0</v>
      </c>
      <c r="XQ44">
        <v>0</v>
      </c>
      <c r="XR44">
        <v>0</v>
      </c>
      <c r="XS44">
        <v>0</v>
      </c>
      <c r="XT44">
        <v>0</v>
      </c>
      <c r="XU44">
        <v>0</v>
      </c>
      <c r="XV44">
        <v>0</v>
      </c>
      <c r="XW44">
        <v>0</v>
      </c>
      <c r="XX44">
        <v>0</v>
      </c>
      <c r="XY44">
        <v>0</v>
      </c>
      <c r="XZ44">
        <v>0</v>
      </c>
      <c r="YA44">
        <v>0</v>
      </c>
      <c r="YB44">
        <v>0</v>
      </c>
      <c r="YC44">
        <v>0</v>
      </c>
      <c r="YD44">
        <v>0</v>
      </c>
      <c r="YE44">
        <v>0</v>
      </c>
      <c r="YF44" s="1">
        <v>0</v>
      </c>
      <c r="YG44" s="1">
        <v>0</v>
      </c>
      <c r="YH44" s="1">
        <v>0</v>
      </c>
      <c r="YI44" s="1">
        <v>0</v>
      </c>
      <c r="YJ44">
        <v>0</v>
      </c>
      <c r="YK44">
        <v>0</v>
      </c>
      <c r="YL44">
        <v>0</v>
      </c>
      <c r="YM44">
        <v>0</v>
      </c>
      <c r="YN44">
        <v>0</v>
      </c>
      <c r="YO44">
        <v>0</v>
      </c>
      <c r="YP44">
        <v>0</v>
      </c>
      <c r="YQ44">
        <v>0</v>
      </c>
      <c r="YR44">
        <v>0</v>
      </c>
      <c r="YS44">
        <v>0</v>
      </c>
      <c r="YT44">
        <v>0</v>
      </c>
      <c r="YU44">
        <v>0</v>
      </c>
      <c r="YV44">
        <v>0</v>
      </c>
      <c r="YW44">
        <v>0</v>
      </c>
      <c r="YX44">
        <v>0</v>
      </c>
      <c r="YY44">
        <v>0</v>
      </c>
      <c r="YZ44">
        <v>0</v>
      </c>
      <c r="ZA44">
        <v>0</v>
      </c>
      <c r="ZB44">
        <v>0</v>
      </c>
      <c r="ZC44">
        <v>0</v>
      </c>
      <c r="ZD44">
        <v>0</v>
      </c>
      <c r="ZE44">
        <v>0</v>
      </c>
      <c r="ZF44">
        <v>0</v>
      </c>
      <c r="ZG44">
        <v>0</v>
      </c>
      <c r="ZH44">
        <v>0</v>
      </c>
      <c r="ZI44">
        <v>0</v>
      </c>
      <c r="ZJ44">
        <v>0</v>
      </c>
      <c r="ZK44">
        <v>0</v>
      </c>
      <c r="ZL44">
        <v>0</v>
      </c>
      <c r="ZM44">
        <v>0</v>
      </c>
      <c r="ZN44">
        <v>0</v>
      </c>
      <c r="ZO44">
        <v>0</v>
      </c>
      <c r="ZP44">
        <v>0</v>
      </c>
      <c r="ZQ44">
        <v>0</v>
      </c>
      <c r="ZR44">
        <v>0</v>
      </c>
      <c r="ZS44">
        <v>0</v>
      </c>
      <c r="ZT44">
        <v>0</v>
      </c>
      <c r="ZU44">
        <v>0</v>
      </c>
      <c r="ZV44">
        <v>0</v>
      </c>
      <c r="ZW44">
        <v>0</v>
      </c>
      <c r="ZX44">
        <v>0</v>
      </c>
      <c r="ZY44">
        <v>0</v>
      </c>
      <c r="ZZ44">
        <v>0</v>
      </c>
      <c r="AAA44">
        <v>0</v>
      </c>
      <c r="AAB44">
        <v>0</v>
      </c>
      <c r="AAC44">
        <v>0</v>
      </c>
      <c r="AAD44">
        <v>0</v>
      </c>
      <c r="AAE44">
        <v>0</v>
      </c>
      <c r="AAF44">
        <v>0</v>
      </c>
      <c r="AAG44">
        <v>0</v>
      </c>
      <c r="AAH44">
        <v>0</v>
      </c>
      <c r="AAI44">
        <v>0</v>
      </c>
      <c r="AAJ44">
        <v>0</v>
      </c>
      <c r="AAK44">
        <v>0</v>
      </c>
      <c r="AAL44">
        <v>0</v>
      </c>
      <c r="AAM44">
        <v>0</v>
      </c>
      <c r="AAN44">
        <v>0</v>
      </c>
      <c r="AAO44">
        <v>0</v>
      </c>
      <c r="AAP44">
        <v>0</v>
      </c>
      <c r="AAQ44">
        <v>0</v>
      </c>
      <c r="AAR44">
        <v>0</v>
      </c>
      <c r="AAS44">
        <v>0</v>
      </c>
      <c r="AAT44">
        <v>0</v>
      </c>
      <c r="AAU44">
        <v>0</v>
      </c>
      <c r="AAV44">
        <v>0</v>
      </c>
      <c r="AAW44">
        <v>0</v>
      </c>
      <c r="AAX44">
        <v>0</v>
      </c>
      <c r="AAY44">
        <v>0</v>
      </c>
      <c r="AAZ44">
        <v>0</v>
      </c>
      <c r="ABA44">
        <v>0</v>
      </c>
      <c r="ABB44">
        <v>0</v>
      </c>
      <c r="ABC44">
        <v>0</v>
      </c>
      <c r="ABD44">
        <v>0</v>
      </c>
      <c r="ABE44">
        <v>0</v>
      </c>
      <c r="ABF44">
        <v>0</v>
      </c>
      <c r="ABG44">
        <v>0</v>
      </c>
      <c r="ABH44">
        <v>0</v>
      </c>
      <c r="ABI44">
        <v>0</v>
      </c>
      <c r="ABJ44">
        <v>0</v>
      </c>
      <c r="ABK44">
        <v>0</v>
      </c>
      <c r="ABL44">
        <v>0</v>
      </c>
      <c r="ABM44">
        <v>0</v>
      </c>
      <c r="ABN44">
        <v>0</v>
      </c>
      <c r="ABO44">
        <v>0</v>
      </c>
      <c r="ABP44">
        <v>0</v>
      </c>
      <c r="ABQ44">
        <v>0</v>
      </c>
      <c r="ABR44">
        <v>0</v>
      </c>
      <c r="ABS44">
        <v>0</v>
      </c>
      <c r="ABT44">
        <v>0</v>
      </c>
      <c r="ABU44">
        <v>0</v>
      </c>
      <c r="ABV44">
        <v>0</v>
      </c>
      <c r="ABW44">
        <v>0</v>
      </c>
      <c r="ABX44">
        <v>0</v>
      </c>
      <c r="ABY44">
        <v>0</v>
      </c>
      <c r="ABZ44">
        <v>0</v>
      </c>
      <c r="ACA44">
        <v>0</v>
      </c>
      <c r="ACB44">
        <v>0</v>
      </c>
      <c r="ACC44">
        <v>0</v>
      </c>
      <c r="ACD44">
        <v>0</v>
      </c>
      <c r="ACE44">
        <v>0</v>
      </c>
      <c r="ACF44">
        <v>0</v>
      </c>
      <c r="ACG44">
        <v>0</v>
      </c>
      <c r="ACH44">
        <v>0</v>
      </c>
      <c r="ACI44">
        <v>0</v>
      </c>
      <c r="ACJ44">
        <v>0</v>
      </c>
      <c r="ACK44">
        <v>0</v>
      </c>
      <c r="ACL44">
        <v>0</v>
      </c>
      <c r="ACM44">
        <v>0</v>
      </c>
      <c r="ACN44">
        <v>0</v>
      </c>
      <c r="ACO44">
        <v>0</v>
      </c>
      <c r="ACP44">
        <v>0</v>
      </c>
      <c r="ACQ44">
        <v>0</v>
      </c>
      <c r="ACR44">
        <v>0</v>
      </c>
      <c r="ACS44">
        <v>0</v>
      </c>
      <c r="ACT44">
        <v>0</v>
      </c>
      <c r="ACU44">
        <v>0</v>
      </c>
      <c r="ACV44">
        <v>0</v>
      </c>
      <c r="ACW44">
        <v>0</v>
      </c>
      <c r="ACX44">
        <v>0</v>
      </c>
      <c r="ACY44">
        <v>0</v>
      </c>
      <c r="ACZ44">
        <v>0</v>
      </c>
      <c r="ADA44">
        <v>0</v>
      </c>
      <c r="ADB44">
        <v>0</v>
      </c>
      <c r="ADC44">
        <v>0</v>
      </c>
      <c r="ADD44">
        <v>0</v>
      </c>
      <c r="ADE44">
        <v>0</v>
      </c>
      <c r="ADF44">
        <v>0</v>
      </c>
      <c r="ADG44">
        <v>0</v>
      </c>
      <c r="ADH44">
        <v>0</v>
      </c>
      <c r="ADI44">
        <v>0</v>
      </c>
      <c r="ADJ44">
        <v>0</v>
      </c>
      <c r="ADK44">
        <v>0</v>
      </c>
      <c r="ADL44">
        <v>0</v>
      </c>
      <c r="ADM44">
        <v>0</v>
      </c>
      <c r="ADN44">
        <v>0</v>
      </c>
      <c r="ADO44">
        <v>0</v>
      </c>
      <c r="ADP44">
        <v>0</v>
      </c>
      <c r="ADQ44">
        <v>0</v>
      </c>
      <c r="ADR44">
        <v>0</v>
      </c>
      <c r="ADS44">
        <v>0</v>
      </c>
      <c r="ADT44">
        <v>0</v>
      </c>
      <c r="ADU44">
        <v>0</v>
      </c>
      <c r="ADV44">
        <v>0</v>
      </c>
      <c r="ADW44">
        <v>0</v>
      </c>
      <c r="ADX44">
        <v>0</v>
      </c>
      <c r="ADY44">
        <v>0</v>
      </c>
      <c r="ADZ44">
        <v>0</v>
      </c>
      <c r="AEA44">
        <v>0</v>
      </c>
      <c r="AEB44">
        <v>0</v>
      </c>
      <c r="AEC44">
        <v>0</v>
      </c>
      <c r="AED44">
        <v>0</v>
      </c>
      <c r="AEE44">
        <v>0</v>
      </c>
      <c r="AEF44">
        <v>0</v>
      </c>
      <c r="AEG44">
        <v>0</v>
      </c>
      <c r="AEH44">
        <v>0</v>
      </c>
      <c r="AEI44">
        <v>0</v>
      </c>
      <c r="AEJ44">
        <v>0</v>
      </c>
      <c r="AEK44">
        <v>0</v>
      </c>
      <c r="AEL44">
        <v>0</v>
      </c>
      <c r="AEM44">
        <v>0</v>
      </c>
      <c r="AEN44">
        <v>0</v>
      </c>
      <c r="AEO44">
        <v>0</v>
      </c>
      <c r="AEP44">
        <v>0</v>
      </c>
      <c r="AEQ44">
        <v>0</v>
      </c>
      <c r="AER44">
        <v>0</v>
      </c>
      <c r="AES44">
        <v>0</v>
      </c>
      <c r="AET44">
        <v>0</v>
      </c>
      <c r="AEU44">
        <v>0</v>
      </c>
      <c r="AEV44">
        <v>0</v>
      </c>
      <c r="AEW44">
        <v>0</v>
      </c>
      <c r="AEX44">
        <v>0</v>
      </c>
      <c r="AEY44">
        <v>0</v>
      </c>
      <c r="AEZ44">
        <v>0</v>
      </c>
      <c r="AFA44">
        <v>0</v>
      </c>
      <c r="AFB44">
        <v>0</v>
      </c>
      <c r="AFC44">
        <v>0</v>
      </c>
      <c r="AFD44">
        <v>0</v>
      </c>
      <c r="AFE44">
        <v>0</v>
      </c>
      <c r="AFF44">
        <v>0</v>
      </c>
      <c r="AFG44">
        <v>0</v>
      </c>
      <c r="AFH44">
        <v>0</v>
      </c>
      <c r="AFI44">
        <v>0</v>
      </c>
      <c r="AFJ44">
        <v>0</v>
      </c>
      <c r="AFK44">
        <v>0</v>
      </c>
      <c r="AFL44">
        <v>0</v>
      </c>
      <c r="AFM44">
        <v>0</v>
      </c>
      <c r="AFN44">
        <v>0</v>
      </c>
      <c r="AFO44">
        <v>0</v>
      </c>
      <c r="AFP44">
        <v>0</v>
      </c>
      <c r="AFQ44">
        <v>0</v>
      </c>
      <c r="AFR44">
        <v>0</v>
      </c>
      <c r="AFS44">
        <v>0</v>
      </c>
      <c r="AFT44">
        <v>0</v>
      </c>
      <c r="AFU44">
        <v>0</v>
      </c>
      <c r="AFV44">
        <v>0</v>
      </c>
      <c r="AFW44">
        <v>0</v>
      </c>
      <c r="AFX44">
        <v>0</v>
      </c>
      <c r="AFY44">
        <v>0</v>
      </c>
      <c r="AFZ44">
        <v>0</v>
      </c>
      <c r="AGA44">
        <v>0</v>
      </c>
      <c r="AGB44">
        <v>0</v>
      </c>
      <c r="AGC44">
        <v>0</v>
      </c>
      <c r="AGD44">
        <v>0</v>
      </c>
      <c r="AGE44">
        <v>0</v>
      </c>
      <c r="AGF44">
        <v>0</v>
      </c>
      <c r="AGG44">
        <v>0</v>
      </c>
      <c r="AGH44">
        <v>0</v>
      </c>
      <c r="AGI44">
        <v>0</v>
      </c>
      <c r="AGJ44">
        <v>0</v>
      </c>
      <c r="AGK44">
        <v>0</v>
      </c>
      <c r="AGL44">
        <v>0</v>
      </c>
      <c r="AGM44">
        <v>0</v>
      </c>
      <c r="AGN44">
        <v>0</v>
      </c>
      <c r="AGO44">
        <v>0</v>
      </c>
      <c r="AGP44">
        <v>0</v>
      </c>
      <c r="AGQ44">
        <v>0</v>
      </c>
      <c r="AGR44">
        <v>0</v>
      </c>
      <c r="AGS44">
        <v>0</v>
      </c>
      <c r="AGT44">
        <v>0</v>
      </c>
      <c r="AGU44">
        <v>0</v>
      </c>
      <c r="AGV44">
        <v>0</v>
      </c>
      <c r="AGW44">
        <v>0</v>
      </c>
      <c r="AGX44">
        <v>0</v>
      </c>
      <c r="AGY44">
        <v>0</v>
      </c>
      <c r="AGZ44">
        <v>0</v>
      </c>
      <c r="AHA44">
        <v>0</v>
      </c>
      <c r="AHB44">
        <v>0</v>
      </c>
      <c r="AHC44">
        <v>0</v>
      </c>
      <c r="AHD44">
        <v>0</v>
      </c>
      <c r="AHE44">
        <v>0</v>
      </c>
      <c r="AHF44">
        <v>0</v>
      </c>
      <c r="AHG44">
        <v>0</v>
      </c>
      <c r="AHH44">
        <v>0</v>
      </c>
      <c r="AHI44">
        <v>0</v>
      </c>
      <c r="AHJ44">
        <v>0</v>
      </c>
      <c r="AHK44">
        <v>0</v>
      </c>
      <c r="AHL44">
        <v>0</v>
      </c>
      <c r="AHM44">
        <v>0</v>
      </c>
      <c r="AHN44">
        <v>0</v>
      </c>
      <c r="AHO44">
        <v>0</v>
      </c>
      <c r="AHP44">
        <v>0</v>
      </c>
      <c r="AHQ44">
        <v>0</v>
      </c>
    </row>
    <row r="45" spans="1:901">
      <c r="A45" s="1" t="s">
        <v>32</v>
      </c>
      <c r="C45" s="34">
        <f t="shared" ref="C45:D62" si="28">C24-B24</f>
        <v>2127</v>
      </c>
      <c r="D45" s="34">
        <f t="shared" si="28"/>
        <v>2315</v>
      </c>
      <c r="E45" s="34">
        <f t="shared" ref="E45:E62" si="29">E24-D24</f>
        <v>2418</v>
      </c>
      <c r="F45" s="34">
        <f t="shared" ref="F45:F62" si="30">F24-E24</f>
        <v>1608</v>
      </c>
      <c r="G45" s="34">
        <f t="shared" ref="G45:G62" si="31">G24-F24</f>
        <v>589</v>
      </c>
      <c r="H45" s="34">
        <f t="shared" ref="H45:W62" si="32">H24-G24</f>
        <v>1353</v>
      </c>
      <c r="I45" s="34">
        <f t="shared" si="32"/>
        <v>1943</v>
      </c>
      <c r="J45" s="34">
        <f t="shared" si="0"/>
        <v>1267</v>
      </c>
      <c r="K45" s="34">
        <f t="shared" si="0"/>
        <v>1565</v>
      </c>
      <c r="L45" s="34">
        <f t="shared" si="0"/>
        <v>2790</v>
      </c>
      <c r="M45" s="34">
        <f>M24-L24</f>
        <v>805</v>
      </c>
      <c r="N45" s="34">
        <f t="shared" si="0"/>
        <v>1360</v>
      </c>
      <c r="O45" s="34">
        <f t="shared" si="0"/>
        <v>1392</v>
      </c>
      <c r="P45" s="34">
        <f t="shared" si="0"/>
        <v>1962</v>
      </c>
      <c r="Q45" s="34">
        <f t="shared" si="0"/>
        <v>1217</v>
      </c>
      <c r="R45" s="34">
        <f t="shared" si="0"/>
        <v>2005</v>
      </c>
      <c r="S45" s="34">
        <f t="shared" si="0"/>
        <v>1369</v>
      </c>
      <c r="T45" s="34">
        <f t="shared" si="0"/>
        <v>559</v>
      </c>
      <c r="U45" s="34">
        <f t="shared" si="0"/>
        <v>1089</v>
      </c>
      <c r="V45" s="34">
        <f t="shared" si="0"/>
        <v>1394</v>
      </c>
      <c r="W45" s="34">
        <f t="shared" si="0"/>
        <v>1382</v>
      </c>
      <c r="X45" s="34">
        <f t="shared" si="0"/>
        <v>1250</v>
      </c>
      <c r="Y45" s="34">
        <f t="shared" si="0"/>
        <v>1040</v>
      </c>
      <c r="Z45" s="34">
        <f t="shared" si="1"/>
        <v>852</v>
      </c>
      <c r="AA45" s="34">
        <f t="shared" si="1"/>
        <v>188</v>
      </c>
      <c r="AB45" s="34">
        <f t="shared" si="1"/>
        <v>1133</v>
      </c>
      <c r="AC45" s="34">
        <f t="shared" si="1"/>
        <v>1247</v>
      </c>
      <c r="AD45" s="34">
        <f t="shared" si="1"/>
        <v>1160</v>
      </c>
      <c r="AE45" s="34">
        <f t="shared" si="1"/>
        <v>903</v>
      </c>
      <c r="AF45" s="34">
        <f t="shared" si="1"/>
        <v>1315</v>
      </c>
      <c r="AG45" s="34">
        <f t="shared" si="1"/>
        <v>753</v>
      </c>
      <c r="AH45" s="34">
        <f t="shared" si="1"/>
        <v>315</v>
      </c>
      <c r="AI45" s="34">
        <f t="shared" si="1"/>
        <v>1067</v>
      </c>
      <c r="AJ45" s="34">
        <f t="shared" si="1"/>
        <v>547</v>
      </c>
      <c r="AK45" s="34">
        <f t="shared" si="1"/>
        <v>1109</v>
      </c>
      <c r="AL45" s="34">
        <f t="shared" si="1"/>
        <v>1556</v>
      </c>
      <c r="AM45" s="34">
        <f t="shared" si="1"/>
        <v>1215</v>
      </c>
      <c r="AN45" s="34">
        <f t="shared" si="2"/>
        <v>418</v>
      </c>
      <c r="AO45" s="34">
        <f t="shared" si="2"/>
        <v>376</v>
      </c>
      <c r="AP45" s="34">
        <f t="shared" si="2"/>
        <v>908</v>
      </c>
      <c r="AQ45" s="34">
        <f t="shared" si="2"/>
        <v>1706</v>
      </c>
      <c r="AR45" s="34">
        <f t="shared" si="2"/>
        <v>1012</v>
      </c>
      <c r="AS45" s="34">
        <f t="shared" si="2"/>
        <v>1368</v>
      </c>
      <c r="AT45" s="34">
        <f t="shared" si="2"/>
        <v>939</v>
      </c>
      <c r="AU45" s="34">
        <f t="shared" si="2"/>
        <v>0</v>
      </c>
      <c r="AV45" s="34">
        <f t="shared" si="2"/>
        <v>1170</v>
      </c>
      <c r="AW45" s="34">
        <f t="shared" si="2"/>
        <v>0</v>
      </c>
      <c r="AX45" s="34">
        <f t="shared" si="2"/>
        <v>811</v>
      </c>
      <c r="AY45" s="34">
        <f t="shared" si="2"/>
        <v>1438</v>
      </c>
      <c r="AZ45" s="34">
        <f t="shared" si="2"/>
        <v>133</v>
      </c>
      <c r="BA45" s="34">
        <f t="shared" si="2"/>
        <v>1172</v>
      </c>
      <c r="BB45" s="34">
        <f t="shared" si="3"/>
        <v>830</v>
      </c>
      <c r="BC45" s="34">
        <f t="shared" si="3"/>
        <v>524</v>
      </c>
      <c r="BD45" s="34">
        <f t="shared" si="3"/>
        <v>800</v>
      </c>
      <c r="BE45" s="34">
        <f t="shared" si="3"/>
        <v>1065</v>
      </c>
      <c r="BF45" s="34">
        <f t="shared" si="3"/>
        <v>915</v>
      </c>
      <c r="BG45" s="34">
        <f t="shared" si="3"/>
        <v>928</v>
      </c>
      <c r="BH45" s="34">
        <f t="shared" si="3"/>
        <v>1286</v>
      </c>
      <c r="BI45" s="34">
        <f t="shared" si="3"/>
        <v>989</v>
      </c>
      <c r="BJ45" s="34">
        <f t="shared" si="3"/>
        <v>555</v>
      </c>
      <c r="BK45" s="34">
        <f t="shared" si="3"/>
        <v>1085</v>
      </c>
      <c r="BL45" s="34">
        <f t="shared" si="3"/>
        <v>1056</v>
      </c>
      <c r="BM45" s="34">
        <f t="shared" si="3"/>
        <v>977</v>
      </c>
      <c r="BN45" s="34">
        <f t="shared" si="3"/>
        <v>1658</v>
      </c>
      <c r="BO45" s="34">
        <f t="shared" si="3"/>
        <v>1314</v>
      </c>
      <c r="BP45" s="34">
        <f t="shared" si="4"/>
        <v>534</v>
      </c>
      <c r="BQ45" s="34">
        <f t="shared" si="4"/>
        <v>818</v>
      </c>
      <c r="BR45" s="34">
        <f t="shared" si="4"/>
        <v>615</v>
      </c>
      <c r="BS45" s="34">
        <f t="shared" si="4"/>
        <v>1279</v>
      </c>
      <c r="BT45" s="34">
        <f t="shared" si="4"/>
        <v>1232</v>
      </c>
      <c r="BU45" s="34">
        <f t="shared" si="4"/>
        <v>1140</v>
      </c>
      <c r="BV45" s="34">
        <f t="shared" si="4"/>
        <v>1229</v>
      </c>
      <c r="BW45" s="34">
        <f t="shared" si="4"/>
        <v>920</v>
      </c>
      <c r="BX45" s="34">
        <f t="shared" si="4"/>
        <v>434</v>
      </c>
      <c r="BY45" s="34">
        <f t="shared" si="4"/>
        <v>1109</v>
      </c>
      <c r="BZ45" s="34">
        <f t="shared" si="4"/>
        <v>1364</v>
      </c>
      <c r="CA45" s="34">
        <f t="shared" si="4"/>
        <v>1537</v>
      </c>
      <c r="CB45" s="34">
        <f t="shared" si="4"/>
        <v>1559</v>
      </c>
      <c r="CC45" s="34">
        <f t="shared" si="4"/>
        <v>1392</v>
      </c>
      <c r="CD45" s="34">
        <f t="shared" si="4"/>
        <v>1101</v>
      </c>
      <c r="CE45" s="34">
        <f t="shared" si="4"/>
        <v>300</v>
      </c>
      <c r="CF45" s="34">
        <f t="shared" si="4"/>
        <v>885</v>
      </c>
      <c r="CG45" s="34">
        <f t="shared" si="4"/>
        <v>1410</v>
      </c>
      <c r="CH45" s="34">
        <f t="shared" si="4"/>
        <v>1226</v>
      </c>
      <c r="CI45" s="34">
        <f t="shared" si="4"/>
        <v>2163</v>
      </c>
      <c r="CJ45" s="34">
        <f t="shared" si="4"/>
        <v>1686</v>
      </c>
      <c r="CK45" s="34">
        <f t="shared" si="4"/>
        <v>1284</v>
      </c>
      <c r="CL45" s="34">
        <f t="shared" si="4"/>
        <v>357</v>
      </c>
      <c r="CM45" s="34">
        <f t="shared" si="4"/>
        <v>1208</v>
      </c>
      <c r="CN45" s="34">
        <f t="shared" si="4"/>
        <v>1708</v>
      </c>
      <c r="CO45" s="34">
        <f t="shared" si="4"/>
        <v>2296</v>
      </c>
      <c r="CP45" s="34">
        <f t="shared" si="4"/>
        <v>1637</v>
      </c>
      <c r="CQ45" s="34">
        <f t="shared" si="4"/>
        <v>1895</v>
      </c>
      <c r="CR45" s="34">
        <f t="shared" si="4"/>
        <v>2032</v>
      </c>
      <c r="CS45" s="34">
        <f t="shared" si="4"/>
        <v>786</v>
      </c>
      <c r="CT45" s="34">
        <f t="shared" si="4"/>
        <v>2020</v>
      </c>
      <c r="CU45" s="34">
        <f t="shared" si="4"/>
        <v>1651</v>
      </c>
      <c r="CV45" s="34">
        <f t="shared" si="4"/>
        <v>2666</v>
      </c>
      <c r="CW45" s="34">
        <f t="shared" si="5"/>
        <v>2937</v>
      </c>
      <c r="CX45" s="34">
        <f t="shared" si="5"/>
        <v>1026</v>
      </c>
      <c r="CY45" s="34">
        <f t="shared" si="5"/>
        <v>1881</v>
      </c>
      <c r="CZ45" s="34">
        <f t="shared" si="5"/>
        <v>1384</v>
      </c>
      <c r="DA45" s="34">
        <f t="shared" si="5"/>
        <v>1705</v>
      </c>
      <c r="DB45" s="34">
        <f t="shared" si="5"/>
        <v>3708</v>
      </c>
      <c r="DC45" s="34">
        <f t="shared" si="5"/>
        <v>3583</v>
      </c>
      <c r="DD45" s="34">
        <f t="shared" si="5"/>
        <v>4285</v>
      </c>
      <c r="DE45" s="34">
        <f t="shared" si="5"/>
        <v>1345</v>
      </c>
      <c r="DF45" s="34">
        <f t="shared" si="5"/>
        <v>3045</v>
      </c>
      <c r="DG45" s="34">
        <f t="shared" si="5"/>
        <v>1620</v>
      </c>
      <c r="DH45" s="34">
        <f t="shared" si="5"/>
        <v>2851</v>
      </c>
      <c r="DI45" s="34">
        <f t="shared" si="5"/>
        <v>4245</v>
      </c>
      <c r="DJ45" s="34">
        <f t="shared" si="5"/>
        <v>4751</v>
      </c>
      <c r="DK45" s="34">
        <f t="shared" si="5"/>
        <v>5231</v>
      </c>
      <c r="DL45" s="34">
        <f t="shared" si="5"/>
        <v>5547</v>
      </c>
      <c r="DM45" s="34">
        <f t="shared" si="5"/>
        <v>2719</v>
      </c>
      <c r="DN45" s="34">
        <f t="shared" si="5"/>
        <v>2948</v>
      </c>
      <c r="DO45" s="34">
        <f t="shared" si="5"/>
        <v>4019</v>
      </c>
      <c r="DP45" s="34">
        <f t="shared" si="5"/>
        <v>3714</v>
      </c>
      <c r="DQ45" s="34">
        <f t="shared" si="5"/>
        <v>5881</v>
      </c>
      <c r="DR45" s="34">
        <f t="shared" si="5"/>
        <v>5375</v>
      </c>
      <c r="DS45" s="34">
        <f t="shared" si="5"/>
        <v>5561</v>
      </c>
      <c r="DT45" s="34">
        <f t="shared" si="5"/>
        <v>4444</v>
      </c>
      <c r="DU45" s="34">
        <f t="shared" si="5"/>
        <v>3347</v>
      </c>
      <c r="DV45" s="34">
        <f t="shared" si="5"/>
        <v>3775</v>
      </c>
      <c r="DW45" s="34">
        <f t="shared" si="5"/>
        <v>6251</v>
      </c>
      <c r="DX45" s="34">
        <f t="shared" si="5"/>
        <v>5265</v>
      </c>
      <c r="DY45" s="34">
        <f t="shared" si="5"/>
        <v>6595</v>
      </c>
      <c r="DZ45" s="34">
        <f t="shared" si="5"/>
        <v>4607</v>
      </c>
      <c r="EA45" s="34">
        <f t="shared" si="5"/>
        <v>4724</v>
      </c>
      <c r="EB45" s="34">
        <f t="shared" si="5"/>
        <v>2951</v>
      </c>
      <c r="EC45" s="34">
        <f t="shared" si="5"/>
        <v>5714</v>
      </c>
      <c r="ED45" s="34">
        <f t="shared" si="5"/>
        <v>6759</v>
      </c>
      <c r="EE45" s="34">
        <f t="shared" si="5"/>
        <v>7585</v>
      </c>
      <c r="EF45" s="34">
        <f t="shared" si="5"/>
        <v>8129</v>
      </c>
      <c r="EG45" s="34">
        <f t="shared" si="5"/>
        <v>8357</v>
      </c>
      <c r="EH45" s="34">
        <f t="shared" si="5"/>
        <v>5809</v>
      </c>
      <c r="EI45" s="34">
        <f t="shared" si="5"/>
        <v>3719</v>
      </c>
      <c r="EJ45" s="34">
        <f t="shared" si="5"/>
        <v>5199</v>
      </c>
      <c r="EK45" s="34">
        <f t="shared" si="5"/>
        <v>7305</v>
      </c>
      <c r="EL45" s="34">
        <f t="shared" si="5"/>
        <v>7736</v>
      </c>
      <c r="EM45" s="34">
        <f t="shared" si="5"/>
        <v>6320</v>
      </c>
      <c r="EN45" s="34">
        <f t="shared" si="5"/>
        <v>6411</v>
      </c>
      <c r="EO45" s="34">
        <f t="shared" si="5"/>
        <v>4752</v>
      </c>
      <c r="EP45" s="34">
        <f t="shared" si="5"/>
        <v>3174</v>
      </c>
      <c r="EQ45" s="34">
        <f t="shared" si="5"/>
        <v>5224</v>
      </c>
      <c r="ER45" s="34">
        <f t="shared" si="6"/>
        <v>7102</v>
      </c>
      <c r="ES45" s="34">
        <f t="shared" si="6"/>
        <v>8126</v>
      </c>
      <c r="ET45" s="34">
        <f t="shared" si="6"/>
        <v>5824</v>
      </c>
      <c r="EU45" s="34">
        <f t="shared" si="6"/>
        <v>5843</v>
      </c>
      <c r="EV45" s="34">
        <f t="shared" si="6"/>
        <v>4379</v>
      </c>
      <c r="EW45" s="34">
        <f t="shared" si="6"/>
        <v>2663</v>
      </c>
      <c r="EX45" s="34">
        <f t="shared" si="6"/>
        <v>2656</v>
      </c>
      <c r="EY45" s="34">
        <f t="shared" si="6"/>
        <v>2316</v>
      </c>
      <c r="EZ45" s="34">
        <f t="shared" si="6"/>
        <v>4963</v>
      </c>
      <c r="FA45" s="34">
        <f t="shared" si="6"/>
        <v>6650</v>
      </c>
      <c r="FB45" s="34">
        <f t="shared" si="6"/>
        <v>6779</v>
      </c>
      <c r="FC45" s="34">
        <f t="shared" si="6"/>
        <v>4332</v>
      </c>
      <c r="FD45" s="34">
        <f t="shared" si="6"/>
        <v>3138</v>
      </c>
      <c r="FE45" s="34">
        <f t="shared" si="6"/>
        <v>6717</v>
      </c>
      <c r="FF45" s="34">
        <f t="shared" si="6"/>
        <v>6996</v>
      </c>
      <c r="FG45" s="34">
        <f t="shared" si="6"/>
        <v>10286</v>
      </c>
      <c r="FH45" s="34">
        <f t="shared" si="6"/>
        <v>7608</v>
      </c>
      <c r="FI45" s="34">
        <f t="shared" si="6"/>
        <v>7354</v>
      </c>
      <c r="FJ45" s="34">
        <f t="shared" si="6"/>
        <v>3997</v>
      </c>
      <c r="FK45" s="34">
        <f t="shared" si="6"/>
        <v>3975</v>
      </c>
      <c r="FL45" s="34">
        <f t="shared" si="6"/>
        <v>6722</v>
      </c>
      <c r="FM45" s="34">
        <f t="shared" si="6"/>
        <v>6588</v>
      </c>
      <c r="FN45" s="34">
        <v>7086</v>
      </c>
      <c r="FO45" s="34">
        <f t="shared" si="6"/>
        <v>5983</v>
      </c>
      <c r="FP45" s="34">
        <v>7448</v>
      </c>
      <c r="FQ45" s="34">
        <v>4044</v>
      </c>
      <c r="FR45" s="34">
        <v>2296</v>
      </c>
      <c r="FS45" s="34">
        <v>3650</v>
      </c>
      <c r="FT45" s="34">
        <f t="shared" si="9"/>
        <v>0</v>
      </c>
      <c r="FU45" s="34">
        <f t="shared" si="9"/>
        <v>12192</v>
      </c>
      <c r="FV45" s="34">
        <f t="shared" si="9"/>
        <v>7064</v>
      </c>
      <c r="FW45" s="34">
        <f t="shared" si="9"/>
        <v>9645</v>
      </c>
      <c r="FX45" s="34">
        <f t="shared" si="9"/>
        <v>5321</v>
      </c>
      <c r="FY45" s="34">
        <f t="shared" si="9"/>
        <v>3567</v>
      </c>
      <c r="FZ45" s="34">
        <f t="shared" si="9"/>
        <v>7352</v>
      </c>
      <c r="GA45" s="34">
        <f t="shared" si="9"/>
        <v>7459</v>
      </c>
      <c r="GB45" s="34">
        <f t="shared" si="9"/>
        <v>8085</v>
      </c>
      <c r="GC45" s="34">
        <f t="shared" si="9"/>
        <v>6547</v>
      </c>
      <c r="GD45" s="34">
        <f t="shared" si="9"/>
        <v>6432</v>
      </c>
      <c r="GE45" s="34">
        <f t="shared" si="9"/>
        <v>3645</v>
      </c>
      <c r="GF45" s="34">
        <f t="shared" si="9"/>
        <v>1893</v>
      </c>
      <c r="GG45" s="34">
        <f t="shared" si="9"/>
        <v>6053</v>
      </c>
      <c r="GH45" s="34">
        <f t="shared" si="10"/>
        <v>8586</v>
      </c>
      <c r="GI45" s="34">
        <f t="shared" si="10"/>
        <v>8024</v>
      </c>
      <c r="GJ45" s="34">
        <f t="shared" si="10"/>
        <v>6370</v>
      </c>
      <c r="GK45" s="34">
        <f t="shared" si="10"/>
        <v>5949</v>
      </c>
      <c r="GL45" s="34">
        <f t="shared" si="10"/>
        <v>4361</v>
      </c>
      <c r="GM45" s="34">
        <f t="shared" si="10"/>
        <v>2247</v>
      </c>
      <c r="GN45" s="34">
        <f t="shared" si="10"/>
        <v>6640</v>
      </c>
      <c r="GO45" s="34">
        <f t="shared" si="10"/>
        <v>7608</v>
      </c>
      <c r="GP45" s="34">
        <f t="shared" si="10"/>
        <v>8784</v>
      </c>
      <c r="GQ45" s="34">
        <f t="shared" si="10"/>
        <v>7190</v>
      </c>
      <c r="GR45" s="34">
        <f t="shared" si="10"/>
        <v>4217</v>
      </c>
      <c r="GS45" s="34">
        <f t="shared" si="10"/>
        <v>3873</v>
      </c>
      <c r="GT45" s="34">
        <f t="shared" si="10"/>
        <v>3618</v>
      </c>
      <c r="GU45" s="34">
        <f t="shared" si="10"/>
        <v>3654</v>
      </c>
      <c r="GV45" s="34">
        <f t="shared" si="11"/>
        <v>13804</v>
      </c>
      <c r="GW45" s="34">
        <f t="shared" si="11"/>
        <v>9706</v>
      </c>
      <c r="GX45" s="34">
        <f t="shared" si="11"/>
        <v>10665</v>
      </c>
      <c r="GY45" s="34">
        <f t="shared" si="11"/>
        <v>11493</v>
      </c>
      <c r="GZ45" s="34">
        <f t="shared" si="11"/>
        <v>6319</v>
      </c>
      <c r="HA45" s="34">
        <f t="shared" si="11"/>
        <v>8336.5</v>
      </c>
      <c r="HB45" s="34">
        <f t="shared" si="12"/>
        <v>16673</v>
      </c>
      <c r="HC45" s="34">
        <f t="shared" si="13"/>
        <v>10532</v>
      </c>
      <c r="HD45" s="34">
        <f t="shared" ref="HD45" si="33">HD24-HC24</f>
        <v>9530</v>
      </c>
      <c r="HE45" s="34">
        <f t="shared" si="13"/>
        <v>8188</v>
      </c>
      <c r="HF45" s="34">
        <f t="shared" si="13"/>
        <v>10118</v>
      </c>
      <c r="HG45" s="34">
        <f t="shared" si="13"/>
        <v>0</v>
      </c>
      <c r="HH45" s="34">
        <f t="shared" si="13"/>
        <v>9662</v>
      </c>
      <c r="HI45" s="34">
        <f t="shared" si="13"/>
        <v>11416</v>
      </c>
      <c r="HJ45" s="34">
        <f t="shared" si="13"/>
        <v>11855</v>
      </c>
      <c r="HK45" s="34">
        <f t="shared" si="13"/>
        <v>11356</v>
      </c>
      <c r="HL45" s="34">
        <f t="shared" si="13"/>
        <v>11105</v>
      </c>
      <c r="HM45" s="34">
        <f t="shared" si="13"/>
        <v>9487</v>
      </c>
      <c r="HN45" s="34">
        <f t="shared" si="13"/>
        <v>5366</v>
      </c>
      <c r="HO45" s="34">
        <f t="shared" si="13"/>
        <v>3338</v>
      </c>
      <c r="HP45" s="34">
        <f t="shared" si="13"/>
        <v>9970</v>
      </c>
      <c r="HQ45" s="34">
        <f t="shared" si="13"/>
        <v>11140</v>
      </c>
      <c r="HR45" s="34">
        <f t="shared" si="14"/>
        <v>11278</v>
      </c>
      <c r="HS45" s="34">
        <f t="shared" si="14"/>
        <v>14538</v>
      </c>
      <c r="HT45" s="34">
        <f t="shared" si="14"/>
        <v>14201</v>
      </c>
      <c r="HU45" s="34">
        <f t="shared" si="14"/>
        <v>5942</v>
      </c>
      <c r="HV45" s="34">
        <f t="shared" si="14"/>
        <v>6233</v>
      </c>
      <c r="HW45" s="34">
        <f t="shared" si="14"/>
        <v>10259</v>
      </c>
      <c r="HX45" s="34">
        <f t="shared" si="14"/>
        <v>10229</v>
      </c>
      <c r="HY45" s="34">
        <f t="shared" si="14"/>
        <v>11252</v>
      </c>
      <c r="HZ45" s="34">
        <f t="shared" si="14"/>
        <v>9626</v>
      </c>
      <c r="IA45" s="34">
        <f t="shared" si="14"/>
        <v>9699</v>
      </c>
      <c r="IB45" s="34">
        <f t="shared" si="14"/>
        <v>6190</v>
      </c>
      <c r="IC45" s="34">
        <f t="shared" si="14"/>
        <v>4306</v>
      </c>
      <c r="ID45" s="34">
        <f t="shared" si="14"/>
        <v>9289</v>
      </c>
      <c r="IE45" s="34">
        <f t="shared" si="14"/>
        <v>11277</v>
      </c>
      <c r="IF45" s="34">
        <f t="shared" si="15"/>
        <v>8997</v>
      </c>
      <c r="IG45" s="34">
        <f t="shared" si="15"/>
        <v>11852</v>
      </c>
      <c r="IH45" s="34">
        <f t="shared" si="15"/>
        <v>12209</v>
      </c>
      <c r="II45" s="34">
        <f t="shared" si="15"/>
        <v>5443</v>
      </c>
      <c r="IJ45" s="34">
        <f t="shared" si="15"/>
        <v>4357</v>
      </c>
      <c r="IK45" s="34">
        <f t="shared" si="15"/>
        <v>9512</v>
      </c>
      <c r="IL45" s="34">
        <f t="shared" si="15"/>
        <v>11123</v>
      </c>
      <c r="IM45" s="34">
        <f t="shared" si="15"/>
        <v>12366</v>
      </c>
      <c r="IN45" s="34">
        <f t="shared" si="15"/>
        <v>13015</v>
      </c>
      <c r="IO45" s="34">
        <f t="shared" si="15"/>
        <v>12503</v>
      </c>
      <c r="IP45" s="34">
        <f t="shared" si="15"/>
        <v>8986</v>
      </c>
      <c r="IQ45" s="34">
        <f t="shared" si="15"/>
        <v>6095</v>
      </c>
      <c r="IR45" s="34">
        <f t="shared" si="15"/>
        <v>11855</v>
      </c>
      <c r="IS45" s="34">
        <f t="shared" si="15"/>
        <v>14019</v>
      </c>
      <c r="IT45" s="34">
        <f t="shared" si="15"/>
        <v>14457</v>
      </c>
      <c r="IU45" s="34">
        <f t="shared" si="16"/>
        <v>14276</v>
      </c>
      <c r="IV45" s="34">
        <f t="shared" si="16"/>
        <v>14325</v>
      </c>
      <c r="IW45" s="34">
        <f t="shared" si="16"/>
        <v>9475</v>
      </c>
      <c r="IX45" s="34">
        <f t="shared" si="16"/>
        <v>7397</v>
      </c>
      <c r="IY45" s="34">
        <f t="shared" si="16"/>
        <v>12725</v>
      </c>
      <c r="IZ45" s="34">
        <f t="shared" si="16"/>
        <v>14778</v>
      </c>
      <c r="JA45" s="34">
        <f t="shared" si="16"/>
        <v>14574</v>
      </c>
      <c r="JB45" s="34">
        <f t="shared" si="16"/>
        <v>10539</v>
      </c>
      <c r="JC45" s="34">
        <f t="shared" si="16"/>
        <v>12955</v>
      </c>
      <c r="JD45" s="34">
        <f t="shared" si="16"/>
        <v>9608</v>
      </c>
      <c r="JE45" s="34">
        <f t="shared" si="16"/>
        <v>6157</v>
      </c>
      <c r="JF45" s="34">
        <f t="shared" si="16"/>
        <v>12505</v>
      </c>
      <c r="JG45" s="34">
        <f t="shared" si="16"/>
        <v>14424</v>
      </c>
      <c r="JH45" s="34">
        <f t="shared" si="16"/>
        <v>17889</v>
      </c>
      <c r="JI45" s="34">
        <f t="shared" si="17"/>
        <v>16286</v>
      </c>
      <c r="JJ45" s="34">
        <f t="shared" si="17"/>
        <v>15860</v>
      </c>
      <c r="JK45" s="34"/>
      <c r="JL45" s="34">
        <f t="shared" si="17"/>
        <v>7002</v>
      </c>
      <c r="JM45" s="34">
        <f t="shared" si="17"/>
        <v>10815</v>
      </c>
      <c r="JN45" s="34">
        <f t="shared" si="17"/>
        <v>14160</v>
      </c>
      <c r="JO45" s="34">
        <f t="shared" si="17"/>
        <v>16131</v>
      </c>
      <c r="JP45" s="34">
        <f t="shared" si="17"/>
        <v>15078</v>
      </c>
      <c r="JQ45" s="34">
        <f t="shared" si="17"/>
        <v>13422</v>
      </c>
      <c r="JR45" s="34">
        <f t="shared" si="17"/>
        <v>9388</v>
      </c>
      <c r="JS45" s="34">
        <f t="shared" si="17"/>
        <v>5738</v>
      </c>
      <c r="JT45" s="34">
        <f t="shared" si="17"/>
        <v>4141</v>
      </c>
      <c r="JU45" s="34">
        <f t="shared" si="17"/>
        <v>10827</v>
      </c>
      <c r="JV45" s="34">
        <f t="shared" si="17"/>
        <v>13653</v>
      </c>
      <c r="JW45" s="34">
        <f t="shared" si="18"/>
        <v>13275</v>
      </c>
      <c r="JX45" s="34">
        <f t="shared" si="18"/>
        <v>12841</v>
      </c>
      <c r="JY45" s="34">
        <f t="shared" si="18"/>
        <v>9406</v>
      </c>
      <c r="JZ45" s="34">
        <f t="shared" si="18"/>
        <v>6341</v>
      </c>
      <c r="KA45" s="34">
        <f t="shared" si="18"/>
        <v>10480</v>
      </c>
      <c r="KB45" s="34">
        <f t="shared" si="18"/>
        <v>12424</v>
      </c>
      <c r="KC45" s="34">
        <f t="shared" si="18"/>
        <v>12831</v>
      </c>
      <c r="KD45" s="34">
        <f t="shared" si="18"/>
        <v>11980</v>
      </c>
      <c r="KE45" s="34">
        <f t="shared" si="18"/>
        <v>11160</v>
      </c>
      <c r="KF45" s="34">
        <f t="shared" si="18"/>
        <v>7237</v>
      </c>
      <c r="KG45" s="34">
        <f t="shared" si="18"/>
        <v>5212</v>
      </c>
      <c r="KH45" s="34">
        <f t="shared" si="18"/>
        <v>8791</v>
      </c>
      <c r="KI45" s="34">
        <f t="shared" si="18"/>
        <v>10785</v>
      </c>
      <c r="KJ45" s="34">
        <f t="shared" si="18"/>
        <v>9786</v>
      </c>
      <c r="KK45" s="34">
        <f t="shared" si="19"/>
        <v>11197</v>
      </c>
      <c r="KL45" s="34">
        <f t="shared" si="19"/>
        <v>12677</v>
      </c>
      <c r="KM45" s="34">
        <f t="shared" si="19"/>
        <v>5942</v>
      </c>
      <c r="KN45" s="34">
        <f t="shared" si="19"/>
        <v>3712</v>
      </c>
      <c r="KO45" s="34">
        <f t="shared" si="19"/>
        <v>8776</v>
      </c>
      <c r="KP45" s="34">
        <f t="shared" si="19"/>
        <v>10112</v>
      </c>
      <c r="KQ45" s="34">
        <f t="shared" si="19"/>
        <v>10527</v>
      </c>
      <c r="KR45" s="34">
        <f t="shared" si="19"/>
        <v>10556</v>
      </c>
      <c r="KS45" s="34">
        <f t="shared" si="19"/>
        <v>10067</v>
      </c>
      <c r="KT45" s="34">
        <f t="shared" si="19"/>
        <v>5983</v>
      </c>
      <c r="KU45" s="34">
        <f t="shared" si="19"/>
        <v>3620</v>
      </c>
      <c r="KV45" s="34">
        <f t="shared" si="19"/>
        <v>7671</v>
      </c>
      <c r="KW45" s="34">
        <f t="shared" si="19"/>
        <v>0</v>
      </c>
      <c r="KX45" s="34">
        <f t="shared" si="19"/>
        <v>9759</v>
      </c>
      <c r="KY45" s="34">
        <f t="shared" si="20"/>
        <v>8501</v>
      </c>
      <c r="KZ45" s="34">
        <f t="shared" si="20"/>
        <v>8474</v>
      </c>
      <c r="LA45" s="34">
        <f t="shared" ref="LA45:LA62" si="34">LA24-KZ24</f>
        <v>5639</v>
      </c>
      <c r="LB45" s="34">
        <f t="shared" ref="LB45:LB62" si="35">LB24-LA24</f>
        <v>3222</v>
      </c>
      <c r="LC45" s="34">
        <f t="shared" ref="LC45:LC62" si="36">LC24-LB24</f>
        <v>6590</v>
      </c>
      <c r="LD45" s="34">
        <f t="shared" ref="LD45:LD62" si="37">LD24-LC24</f>
        <v>9111</v>
      </c>
      <c r="LE45" s="34">
        <f t="shared" ref="LE45:LE62" si="38">LE24-LD24</f>
        <v>8942</v>
      </c>
      <c r="LF45" s="34">
        <f t="shared" ref="LF45:LU62" si="39">LF24-LE24</f>
        <v>8832</v>
      </c>
      <c r="LG45" s="34">
        <f t="shared" si="21"/>
        <v>2074</v>
      </c>
      <c r="LH45" s="34">
        <f t="shared" si="21"/>
        <v>5831</v>
      </c>
      <c r="LI45" s="34">
        <f t="shared" si="21"/>
        <v>3173</v>
      </c>
      <c r="LJ45" s="34">
        <f t="shared" si="21"/>
        <v>6046</v>
      </c>
      <c r="LK45" s="34">
        <f t="shared" si="21"/>
        <v>7989</v>
      </c>
      <c r="LL45" s="34">
        <f t="shared" si="21"/>
        <v>8717</v>
      </c>
      <c r="LM45" s="34">
        <f t="shared" si="21"/>
        <v>8333</v>
      </c>
      <c r="LN45" s="34">
        <f t="shared" si="21"/>
        <v>9341</v>
      </c>
      <c r="LO45" s="34">
        <f t="shared" si="21"/>
        <v>0</v>
      </c>
      <c r="LP45" s="34">
        <f t="shared" si="21"/>
        <v>24965</v>
      </c>
      <c r="LQ45" s="34">
        <f t="shared" si="21"/>
        <v>5934</v>
      </c>
      <c r="LR45" s="34">
        <f t="shared" si="21"/>
        <v>8250</v>
      </c>
      <c r="LS45" s="34">
        <f t="shared" si="21"/>
        <v>8850</v>
      </c>
      <c r="LT45" s="34">
        <f t="shared" si="21"/>
        <v>7960</v>
      </c>
      <c r="LU45" s="34">
        <f t="shared" si="21"/>
        <v>7635</v>
      </c>
      <c r="LV45" s="34">
        <f t="shared" si="21"/>
        <v>5447</v>
      </c>
      <c r="LW45" s="34">
        <f t="shared" si="22"/>
        <v>2463</v>
      </c>
      <c r="LX45" s="34">
        <f t="shared" si="22"/>
        <v>0</v>
      </c>
      <c r="LY45" s="34">
        <f t="shared" si="22"/>
        <v>8123</v>
      </c>
      <c r="LZ45" s="34">
        <f t="shared" si="22"/>
        <v>8445</v>
      </c>
      <c r="MA45" s="34">
        <f t="shared" si="22"/>
        <v>7772</v>
      </c>
      <c r="MB45" s="34">
        <f t="shared" si="22"/>
        <v>8301</v>
      </c>
      <c r="MC45" s="34">
        <f t="shared" si="22"/>
        <v>5528</v>
      </c>
      <c r="MD45" s="34">
        <f t="shared" si="22"/>
        <v>2408</v>
      </c>
      <c r="ME45" s="34">
        <f t="shared" si="22"/>
        <v>5762</v>
      </c>
      <c r="MF45" s="34">
        <f t="shared" si="22"/>
        <v>7867</v>
      </c>
      <c r="MG45" s="34">
        <f t="shared" si="22"/>
        <v>8598</v>
      </c>
      <c r="MH45" s="34">
        <f t="shared" si="22"/>
        <v>7977</v>
      </c>
      <c r="MI45" s="34">
        <f t="shared" si="22"/>
        <v>14027</v>
      </c>
      <c r="MJ45" s="34">
        <f t="shared" si="22"/>
        <v>5120</v>
      </c>
      <c r="MK45" s="34">
        <f t="shared" si="23"/>
        <v>2545</v>
      </c>
      <c r="ML45" s="34">
        <f t="shared" si="23"/>
        <v>5525</v>
      </c>
      <c r="MM45" s="34">
        <f t="shared" si="23"/>
        <v>6748</v>
      </c>
      <c r="MN45" s="34">
        <f t="shared" si="23"/>
        <v>7003</v>
      </c>
      <c r="MO45" s="34">
        <f t="shared" si="23"/>
        <v>7426</v>
      </c>
      <c r="MP45" s="34">
        <f t="shared" si="23"/>
        <v>6914</v>
      </c>
      <c r="MQ45" s="34">
        <f t="shared" si="23"/>
        <v>4530</v>
      </c>
      <c r="MR45" s="34">
        <f t="shared" si="23"/>
        <v>2340</v>
      </c>
      <c r="MS45" s="34">
        <f t="shared" si="23"/>
        <v>0</v>
      </c>
      <c r="MT45" s="34">
        <f t="shared" si="23"/>
        <v>6626</v>
      </c>
      <c r="MU45" s="34">
        <f t="shared" si="23"/>
        <v>6744</v>
      </c>
      <c r="MV45" s="34">
        <f t="shared" si="23"/>
        <v>6484</v>
      </c>
      <c r="MW45" s="34">
        <f t="shared" si="23"/>
        <v>0</v>
      </c>
      <c r="MX45" s="34">
        <f t="shared" si="23"/>
        <v>0</v>
      </c>
      <c r="MY45" s="34">
        <f t="shared" si="24"/>
        <v>0</v>
      </c>
      <c r="MZ45" s="34">
        <f t="shared" si="25"/>
        <v>0</v>
      </c>
      <c r="NA45" s="34">
        <f t="shared" si="25"/>
        <v>5459</v>
      </c>
      <c r="NB45" s="34">
        <f t="shared" si="25"/>
        <v>6790</v>
      </c>
      <c r="NC45" s="34">
        <f t="shared" si="25"/>
        <v>0</v>
      </c>
      <c r="ND45" s="34">
        <f t="shared" si="25"/>
        <v>4210</v>
      </c>
      <c r="NE45" s="34">
        <f t="shared" si="25"/>
        <v>4317</v>
      </c>
      <c r="NF45" s="34">
        <f t="shared" si="25"/>
        <v>1867</v>
      </c>
      <c r="NG45" s="34">
        <f t="shared" si="25"/>
        <v>4540</v>
      </c>
      <c r="NH45" s="34">
        <f t="shared" si="25"/>
        <v>5514</v>
      </c>
      <c r="NI45" s="34">
        <f t="shared" si="25"/>
        <v>6026</v>
      </c>
      <c r="NJ45" s="34">
        <f t="shared" si="25"/>
        <v>5960</v>
      </c>
      <c r="NK45" s="34">
        <f t="shared" si="25"/>
        <v>0</v>
      </c>
      <c r="NL45" s="34">
        <f t="shared" si="25"/>
        <v>3647</v>
      </c>
      <c r="NM45" s="34">
        <f t="shared" si="25"/>
        <v>1792</v>
      </c>
      <c r="NN45" s="34">
        <f>NN24-NM24</f>
        <v>4733</v>
      </c>
      <c r="NO45" s="34">
        <f t="shared" si="27"/>
        <v>5945</v>
      </c>
      <c r="NP45" s="34">
        <v>7107</v>
      </c>
      <c r="NQ45" s="34">
        <v>5817</v>
      </c>
      <c r="NR45" s="34">
        <v>0</v>
      </c>
      <c r="NS45" s="34">
        <v>0</v>
      </c>
      <c r="NT45" s="34">
        <v>2108</v>
      </c>
      <c r="NU45" s="34">
        <v>3826</v>
      </c>
      <c r="NV45" s="34">
        <v>6504</v>
      </c>
      <c r="NW45" s="34">
        <v>7102</v>
      </c>
      <c r="NX45">
        <v>6839</v>
      </c>
      <c r="NY45" s="34">
        <v>0</v>
      </c>
      <c r="NZ45" s="34">
        <v>4794</v>
      </c>
      <c r="OA45" s="34">
        <v>0</v>
      </c>
      <c r="OB45" s="34">
        <v>3286</v>
      </c>
      <c r="OC45" s="34">
        <v>6202</v>
      </c>
      <c r="OD45" s="34">
        <v>6838</v>
      </c>
      <c r="OE45" s="34">
        <v>6755</v>
      </c>
      <c r="OF45" s="34">
        <v>6007</v>
      </c>
      <c r="OG45" s="34">
        <v>4437</v>
      </c>
      <c r="OH45" s="34">
        <v>2390</v>
      </c>
      <c r="OI45" s="34">
        <v>5312</v>
      </c>
      <c r="OJ45" s="34">
        <v>0</v>
      </c>
      <c r="OK45" s="34">
        <v>6072</v>
      </c>
      <c r="OL45" s="34">
        <v>6262</v>
      </c>
      <c r="OM45" s="34">
        <v>6899</v>
      </c>
      <c r="ON45" s="34">
        <v>5132</v>
      </c>
      <c r="OO45" s="34">
        <v>9589</v>
      </c>
      <c r="OP45" s="34">
        <v>0</v>
      </c>
      <c r="OQ45" s="34">
        <v>6408</v>
      </c>
      <c r="OR45" s="34">
        <v>7017</v>
      </c>
      <c r="OS45" s="34">
        <f t="shared" ref="OS45:OT62" si="40">OS24-OR24</f>
        <v>7221</v>
      </c>
      <c r="OT45" s="34">
        <f>OT24-OS24</f>
        <v>0</v>
      </c>
      <c r="OU45" s="34">
        <v>4879</v>
      </c>
      <c r="OV45" s="34">
        <v>2086</v>
      </c>
      <c r="OW45" s="34">
        <v>0</v>
      </c>
      <c r="OX45" s="34">
        <v>5569</v>
      </c>
      <c r="OY45" s="34">
        <v>5546</v>
      </c>
      <c r="OZ45" s="34">
        <v>0</v>
      </c>
      <c r="PA45" s="34">
        <v>7879</v>
      </c>
      <c r="PB45" s="34">
        <v>0</v>
      </c>
      <c r="PC45" s="34">
        <v>0</v>
      </c>
      <c r="PD45" s="34">
        <v>0</v>
      </c>
      <c r="PE45" s="34">
        <v>0</v>
      </c>
      <c r="PF45" s="34">
        <v>0</v>
      </c>
      <c r="PG45" s="34">
        <v>0</v>
      </c>
      <c r="PH45" s="34">
        <v>0</v>
      </c>
      <c r="PI45" s="34">
        <v>0</v>
      </c>
      <c r="PJ45" s="34">
        <v>0</v>
      </c>
      <c r="PK45" s="34">
        <v>0</v>
      </c>
      <c r="PL45" s="34">
        <v>0</v>
      </c>
      <c r="PM45" s="34">
        <v>0</v>
      </c>
      <c r="PN45" s="34">
        <v>0</v>
      </c>
      <c r="PO45" s="34">
        <v>0</v>
      </c>
      <c r="PP45" s="34">
        <v>5921</v>
      </c>
      <c r="PQ45" s="34">
        <v>0</v>
      </c>
      <c r="PR45" s="34">
        <v>0</v>
      </c>
      <c r="PS45" s="34">
        <v>0</v>
      </c>
      <c r="PT45" s="34">
        <v>0</v>
      </c>
      <c r="PU45" s="34">
        <v>0</v>
      </c>
      <c r="PV45" s="34">
        <v>8764</v>
      </c>
      <c r="PW45" s="34">
        <v>5283</v>
      </c>
      <c r="PX45" s="34">
        <v>2872</v>
      </c>
      <c r="PY45" s="34">
        <v>6713</v>
      </c>
      <c r="PZ45" s="34">
        <v>0</v>
      </c>
      <c r="QA45" s="34">
        <v>0</v>
      </c>
      <c r="QB45" s="34">
        <v>0</v>
      </c>
      <c r="QC45" s="34">
        <v>0</v>
      </c>
      <c r="QD45" s="34">
        <v>0</v>
      </c>
      <c r="QE45" s="34">
        <v>0</v>
      </c>
      <c r="QF45" s="34">
        <v>0</v>
      </c>
      <c r="QG45" s="34">
        <v>0</v>
      </c>
      <c r="QH45" s="34">
        <v>0</v>
      </c>
      <c r="QI45" s="34">
        <v>0</v>
      </c>
      <c r="QJ45" s="34">
        <v>9587</v>
      </c>
      <c r="QK45" s="34">
        <v>0</v>
      </c>
      <c r="QL45" s="34">
        <v>3361</v>
      </c>
      <c r="QM45" s="34">
        <v>0</v>
      </c>
      <c r="QN45" s="34">
        <v>0</v>
      </c>
      <c r="QO45" s="34">
        <v>9822</v>
      </c>
      <c r="QP45" s="34">
        <v>0</v>
      </c>
      <c r="QQ45" s="34">
        <v>0</v>
      </c>
      <c r="QR45" s="34">
        <v>0</v>
      </c>
      <c r="QS45" s="34">
        <v>0</v>
      </c>
      <c r="QT45" s="34">
        <v>0</v>
      </c>
      <c r="QU45" s="34">
        <v>0</v>
      </c>
      <c r="QV45" s="34">
        <v>8940</v>
      </c>
      <c r="QW45" s="34">
        <v>0</v>
      </c>
      <c r="QX45" s="34">
        <v>9170</v>
      </c>
      <c r="QY45" s="34">
        <v>0</v>
      </c>
      <c r="QZ45" s="34">
        <v>0</v>
      </c>
      <c r="RA45" s="34">
        <v>0</v>
      </c>
      <c r="RB45" s="34">
        <v>0</v>
      </c>
      <c r="RC45" s="34">
        <v>0</v>
      </c>
      <c r="RD45" s="34">
        <v>0</v>
      </c>
      <c r="RE45" s="34">
        <v>0</v>
      </c>
      <c r="RF45" s="34">
        <v>0</v>
      </c>
      <c r="RG45" s="34">
        <v>0</v>
      </c>
      <c r="RH45" s="34">
        <v>0</v>
      </c>
      <c r="RI45" s="34">
        <v>0</v>
      </c>
      <c r="RJ45" s="34">
        <v>0</v>
      </c>
      <c r="RK45" s="34">
        <v>0</v>
      </c>
      <c r="RL45" s="34">
        <v>0</v>
      </c>
      <c r="RM45" s="34">
        <v>0</v>
      </c>
      <c r="RN45" s="34">
        <v>0</v>
      </c>
      <c r="RO45" s="34">
        <v>0</v>
      </c>
      <c r="RP45" s="34">
        <v>0</v>
      </c>
      <c r="RQ45" s="34">
        <v>0</v>
      </c>
      <c r="RR45" s="34">
        <v>0</v>
      </c>
      <c r="RS45" s="34">
        <v>0</v>
      </c>
      <c r="RT45" s="34">
        <v>19223</v>
      </c>
      <c r="RU45" s="34">
        <v>0</v>
      </c>
      <c r="RV45" s="34">
        <v>0</v>
      </c>
      <c r="RW45" s="34">
        <v>0</v>
      </c>
      <c r="RX45" s="34">
        <v>0</v>
      </c>
      <c r="RY45" s="34">
        <v>0</v>
      </c>
      <c r="RZ45" s="34">
        <v>0</v>
      </c>
      <c r="SA45" s="34">
        <v>0</v>
      </c>
      <c r="SB45" s="34">
        <v>0</v>
      </c>
      <c r="SC45" s="34">
        <v>0</v>
      </c>
      <c r="SD45" s="34">
        <v>0</v>
      </c>
      <c r="SE45" s="34">
        <v>0</v>
      </c>
      <c r="SF45" s="34">
        <v>0</v>
      </c>
      <c r="SG45" s="34">
        <v>0</v>
      </c>
      <c r="SH45" s="34">
        <v>0</v>
      </c>
      <c r="SI45" s="34">
        <v>0</v>
      </c>
      <c r="SJ45" s="34">
        <v>0</v>
      </c>
      <c r="SK45" s="34">
        <v>0</v>
      </c>
      <c r="SL45" s="34">
        <v>0</v>
      </c>
      <c r="SM45" s="34">
        <v>0</v>
      </c>
      <c r="SN45" s="34">
        <v>0</v>
      </c>
      <c r="SO45" s="34">
        <v>0</v>
      </c>
      <c r="SP45" s="34">
        <v>0</v>
      </c>
      <c r="SQ45" s="34">
        <v>0</v>
      </c>
      <c r="SR45" s="34">
        <v>12992</v>
      </c>
      <c r="SS45" s="34">
        <v>0</v>
      </c>
      <c r="ST45" s="34">
        <v>0</v>
      </c>
      <c r="SU45" s="34">
        <v>0</v>
      </c>
      <c r="SV45" s="34">
        <v>0</v>
      </c>
      <c r="SW45" s="34">
        <v>0</v>
      </c>
      <c r="SX45" s="34">
        <v>0</v>
      </c>
      <c r="SY45" s="34">
        <v>0</v>
      </c>
      <c r="SZ45" s="34">
        <v>0</v>
      </c>
      <c r="TA45" s="34">
        <v>0</v>
      </c>
      <c r="TB45" s="34">
        <v>0</v>
      </c>
      <c r="TC45" s="34">
        <v>0</v>
      </c>
      <c r="TD45" s="34">
        <v>3290</v>
      </c>
      <c r="TE45" s="34">
        <v>0</v>
      </c>
      <c r="TF45" s="34">
        <v>0</v>
      </c>
      <c r="TG45" s="34">
        <v>0</v>
      </c>
      <c r="TH45" s="34">
        <v>0</v>
      </c>
      <c r="TI45" s="34">
        <v>0</v>
      </c>
      <c r="TJ45" s="34">
        <v>0</v>
      </c>
      <c r="TK45" s="34">
        <v>0</v>
      </c>
      <c r="TL45" s="34">
        <v>0</v>
      </c>
      <c r="TM45" s="34">
        <v>0</v>
      </c>
      <c r="TN45" s="34">
        <v>0</v>
      </c>
      <c r="TO45" s="34">
        <v>0</v>
      </c>
      <c r="TP45" s="34">
        <v>0</v>
      </c>
      <c r="TQ45" s="34">
        <v>0</v>
      </c>
      <c r="TR45" s="34">
        <v>0</v>
      </c>
      <c r="TS45" s="34">
        <v>5873</v>
      </c>
      <c r="TT45" s="34">
        <v>6675</v>
      </c>
      <c r="TU45" s="34">
        <v>0</v>
      </c>
      <c r="TV45" s="34">
        <v>0</v>
      </c>
      <c r="TW45" s="34">
        <v>0</v>
      </c>
      <c r="TX45" s="34">
        <v>0</v>
      </c>
      <c r="TY45" s="34">
        <v>0</v>
      </c>
      <c r="TZ45" s="34">
        <v>0</v>
      </c>
      <c r="UA45" s="34">
        <v>0</v>
      </c>
      <c r="UB45" s="34">
        <v>0</v>
      </c>
      <c r="UC45" s="34">
        <v>0</v>
      </c>
      <c r="UD45" s="34">
        <v>0</v>
      </c>
      <c r="UE45" s="34">
        <v>0</v>
      </c>
      <c r="UF45" s="34">
        <v>0</v>
      </c>
      <c r="UG45" s="34">
        <v>0</v>
      </c>
      <c r="UH45" s="34">
        <v>0</v>
      </c>
      <c r="UI45" s="34">
        <v>0</v>
      </c>
      <c r="UJ45" s="34">
        <v>0</v>
      </c>
      <c r="UK45" s="34">
        <v>0</v>
      </c>
      <c r="UL45" s="34">
        <v>0</v>
      </c>
      <c r="UM45" s="34">
        <v>0</v>
      </c>
      <c r="UN45" s="34">
        <v>0</v>
      </c>
      <c r="UO45" s="34">
        <v>0</v>
      </c>
      <c r="UP45" s="34">
        <v>0</v>
      </c>
      <c r="UQ45" s="34">
        <v>0</v>
      </c>
      <c r="UR45" s="34">
        <v>0</v>
      </c>
      <c r="US45" s="34">
        <v>0</v>
      </c>
      <c r="UT45" s="34">
        <v>0</v>
      </c>
      <c r="UU45" s="34">
        <v>4778</v>
      </c>
      <c r="UV45" s="34">
        <v>0</v>
      </c>
      <c r="UW45" s="34">
        <v>0</v>
      </c>
      <c r="UX45" s="34">
        <v>0</v>
      </c>
      <c r="UY45" s="34">
        <v>0</v>
      </c>
      <c r="UZ45" s="34">
        <v>0</v>
      </c>
      <c r="VA45" s="34">
        <v>2081</v>
      </c>
      <c r="VB45" s="34">
        <v>0</v>
      </c>
      <c r="VC45" s="34">
        <v>0</v>
      </c>
      <c r="VD45" s="34">
        <v>0</v>
      </c>
      <c r="VE45" s="34">
        <v>0</v>
      </c>
      <c r="VF45" s="34">
        <v>0</v>
      </c>
      <c r="VG45" s="34">
        <v>0</v>
      </c>
      <c r="VH45" s="34">
        <v>0</v>
      </c>
      <c r="VI45" s="34">
        <v>4970</v>
      </c>
      <c r="VJ45" s="34">
        <v>0</v>
      </c>
      <c r="VK45" s="34">
        <v>0</v>
      </c>
      <c r="VL45" s="34">
        <v>0</v>
      </c>
      <c r="VM45" s="34">
        <v>0</v>
      </c>
      <c r="VN45" s="34">
        <v>0</v>
      </c>
      <c r="VO45" s="34">
        <v>0</v>
      </c>
      <c r="VP45" s="34">
        <v>5195</v>
      </c>
      <c r="VQ45" s="34">
        <v>0</v>
      </c>
      <c r="VR45" s="34">
        <v>0</v>
      </c>
      <c r="VS45" s="34">
        <v>0</v>
      </c>
      <c r="VT45" s="34">
        <v>0</v>
      </c>
      <c r="VU45" s="34">
        <v>1838</v>
      </c>
      <c r="VV45" s="34">
        <v>0</v>
      </c>
      <c r="VW45" s="34">
        <v>0</v>
      </c>
      <c r="VX45" s="34">
        <v>0</v>
      </c>
      <c r="VY45" s="34">
        <v>4544</v>
      </c>
      <c r="VZ45" s="34">
        <v>0</v>
      </c>
      <c r="WA45" s="34">
        <v>0</v>
      </c>
      <c r="WB45" s="34">
        <v>0</v>
      </c>
      <c r="WC45" s="34">
        <v>0</v>
      </c>
      <c r="WD45" s="34">
        <v>0</v>
      </c>
      <c r="WE45" s="34">
        <v>0</v>
      </c>
      <c r="WF45" s="34">
        <v>0</v>
      </c>
      <c r="WG45" s="34">
        <v>0</v>
      </c>
      <c r="WH45" s="34">
        <v>0</v>
      </c>
      <c r="WI45" s="34">
        <v>0</v>
      </c>
      <c r="WJ45" s="34">
        <v>0</v>
      </c>
      <c r="WK45" s="34">
        <v>0</v>
      </c>
      <c r="WL45" s="34">
        <v>0</v>
      </c>
      <c r="WM45">
        <v>0</v>
      </c>
      <c r="WN45">
        <v>0</v>
      </c>
      <c r="WO45">
        <v>0</v>
      </c>
      <c r="WP45">
        <v>0</v>
      </c>
      <c r="WQ45">
        <v>0</v>
      </c>
      <c r="WR45">
        <v>0</v>
      </c>
      <c r="WS45">
        <v>0</v>
      </c>
      <c r="WT45">
        <v>0</v>
      </c>
      <c r="WU45">
        <v>0</v>
      </c>
      <c r="WV45">
        <v>0</v>
      </c>
      <c r="WW45">
        <v>0</v>
      </c>
      <c r="WX45">
        <v>0</v>
      </c>
      <c r="WY45">
        <v>0</v>
      </c>
      <c r="WZ45">
        <v>0</v>
      </c>
      <c r="XA45">
        <v>0</v>
      </c>
      <c r="XB45">
        <v>0</v>
      </c>
      <c r="XC45">
        <v>0</v>
      </c>
      <c r="XD45">
        <v>0</v>
      </c>
      <c r="XE45">
        <v>0</v>
      </c>
      <c r="XF45">
        <v>0</v>
      </c>
      <c r="XG45">
        <v>0</v>
      </c>
      <c r="XH45">
        <v>0</v>
      </c>
      <c r="XI45">
        <v>0</v>
      </c>
      <c r="XJ45">
        <v>0</v>
      </c>
      <c r="XK45">
        <v>0</v>
      </c>
      <c r="XL45">
        <v>0</v>
      </c>
      <c r="XM45">
        <v>0</v>
      </c>
      <c r="XN45">
        <v>0</v>
      </c>
      <c r="XO45">
        <v>0</v>
      </c>
      <c r="XP45">
        <v>0</v>
      </c>
      <c r="XQ45">
        <v>0</v>
      </c>
      <c r="XR45">
        <v>0</v>
      </c>
      <c r="XS45">
        <v>0</v>
      </c>
      <c r="XT45">
        <v>0</v>
      </c>
      <c r="XU45">
        <v>0</v>
      </c>
      <c r="XV45">
        <v>0</v>
      </c>
      <c r="XW45">
        <v>0</v>
      </c>
      <c r="XX45">
        <v>0</v>
      </c>
      <c r="XY45">
        <v>0</v>
      </c>
      <c r="XZ45">
        <v>0</v>
      </c>
      <c r="YA45">
        <v>0</v>
      </c>
      <c r="YB45">
        <v>0</v>
      </c>
      <c r="YC45">
        <v>0</v>
      </c>
      <c r="YD45">
        <v>0</v>
      </c>
      <c r="YE45">
        <v>0</v>
      </c>
      <c r="YF45" s="1">
        <v>0</v>
      </c>
      <c r="YG45" s="1">
        <v>0</v>
      </c>
      <c r="YH45" s="1">
        <v>0</v>
      </c>
      <c r="YI45" s="1">
        <v>0</v>
      </c>
      <c r="YJ45">
        <v>0</v>
      </c>
      <c r="YK45">
        <v>0</v>
      </c>
      <c r="YL45">
        <v>0</v>
      </c>
      <c r="YM45">
        <v>0</v>
      </c>
      <c r="YN45">
        <v>0</v>
      </c>
      <c r="YO45">
        <v>0</v>
      </c>
      <c r="YP45">
        <v>0</v>
      </c>
      <c r="YQ45">
        <v>0</v>
      </c>
      <c r="YR45">
        <v>0</v>
      </c>
      <c r="YS45">
        <v>0</v>
      </c>
      <c r="YT45">
        <v>0</v>
      </c>
      <c r="YU45">
        <v>0</v>
      </c>
      <c r="YV45">
        <v>0</v>
      </c>
      <c r="YW45">
        <v>0</v>
      </c>
      <c r="YX45">
        <v>0</v>
      </c>
      <c r="YY45">
        <v>0</v>
      </c>
      <c r="YZ45">
        <v>0</v>
      </c>
      <c r="ZA45">
        <v>0</v>
      </c>
      <c r="ZB45">
        <v>0</v>
      </c>
      <c r="ZC45">
        <v>0</v>
      </c>
      <c r="ZD45">
        <v>0</v>
      </c>
      <c r="ZE45">
        <v>0</v>
      </c>
      <c r="ZF45">
        <v>0</v>
      </c>
      <c r="ZG45">
        <v>0</v>
      </c>
      <c r="ZH45">
        <v>0</v>
      </c>
      <c r="ZI45">
        <v>0</v>
      </c>
      <c r="ZJ45">
        <v>0</v>
      </c>
      <c r="ZK45">
        <v>0</v>
      </c>
      <c r="ZL45">
        <v>0</v>
      </c>
      <c r="ZM45">
        <v>0</v>
      </c>
      <c r="ZN45">
        <v>0</v>
      </c>
      <c r="ZO45">
        <v>0</v>
      </c>
      <c r="ZP45">
        <v>0</v>
      </c>
      <c r="ZQ45">
        <v>0</v>
      </c>
      <c r="ZR45">
        <v>0</v>
      </c>
      <c r="ZS45">
        <v>0</v>
      </c>
      <c r="ZT45">
        <v>0</v>
      </c>
      <c r="ZU45">
        <v>0</v>
      </c>
      <c r="ZV45">
        <v>0</v>
      </c>
      <c r="ZW45">
        <v>0</v>
      </c>
      <c r="ZX45">
        <v>0</v>
      </c>
      <c r="ZY45">
        <v>0</v>
      </c>
      <c r="ZZ45">
        <v>0</v>
      </c>
      <c r="AAA45">
        <v>0</v>
      </c>
      <c r="AAB45">
        <v>0</v>
      </c>
      <c r="AAC45">
        <v>0</v>
      </c>
      <c r="AAD45">
        <v>0</v>
      </c>
      <c r="AAE45">
        <v>0</v>
      </c>
      <c r="AAF45">
        <v>0</v>
      </c>
      <c r="AAG45">
        <v>0</v>
      </c>
      <c r="AAH45">
        <v>0</v>
      </c>
      <c r="AAI45">
        <v>0</v>
      </c>
      <c r="AAJ45">
        <v>0</v>
      </c>
      <c r="AAK45">
        <v>0</v>
      </c>
      <c r="AAL45">
        <v>0</v>
      </c>
      <c r="AAM45">
        <v>0</v>
      </c>
      <c r="AAN45">
        <v>0</v>
      </c>
      <c r="AAO45">
        <v>0</v>
      </c>
      <c r="AAP45">
        <v>0</v>
      </c>
      <c r="AAQ45">
        <v>0</v>
      </c>
      <c r="AAR45">
        <v>0</v>
      </c>
      <c r="AAS45">
        <v>0</v>
      </c>
      <c r="AAT45">
        <v>0</v>
      </c>
      <c r="AAU45">
        <v>0</v>
      </c>
      <c r="AAV45">
        <v>0</v>
      </c>
      <c r="AAW45">
        <v>0</v>
      </c>
      <c r="AAX45">
        <v>0</v>
      </c>
      <c r="AAY45">
        <v>0</v>
      </c>
      <c r="AAZ45">
        <v>0</v>
      </c>
      <c r="ABA45">
        <v>0</v>
      </c>
      <c r="ABB45">
        <v>0</v>
      </c>
      <c r="ABC45">
        <v>0</v>
      </c>
      <c r="ABD45">
        <v>0</v>
      </c>
      <c r="ABE45">
        <v>0</v>
      </c>
      <c r="ABF45">
        <v>0</v>
      </c>
      <c r="ABG45">
        <v>0</v>
      </c>
      <c r="ABH45">
        <v>0</v>
      </c>
      <c r="ABI45">
        <v>0</v>
      </c>
      <c r="ABJ45">
        <v>0</v>
      </c>
      <c r="ABK45">
        <v>0</v>
      </c>
      <c r="ABL45">
        <v>0</v>
      </c>
      <c r="ABM45">
        <v>0</v>
      </c>
      <c r="ABN45">
        <v>0</v>
      </c>
      <c r="ABO45">
        <v>0</v>
      </c>
      <c r="ABP45">
        <v>0</v>
      </c>
      <c r="ABQ45">
        <v>0</v>
      </c>
      <c r="ABR45">
        <v>0</v>
      </c>
      <c r="ABS45">
        <v>0</v>
      </c>
      <c r="ABT45">
        <v>0</v>
      </c>
      <c r="ABU45">
        <v>0</v>
      </c>
      <c r="ABV45">
        <v>0</v>
      </c>
      <c r="ABW45">
        <v>0</v>
      </c>
      <c r="ABX45">
        <v>0</v>
      </c>
      <c r="ABY45">
        <v>0</v>
      </c>
      <c r="ABZ45">
        <v>0</v>
      </c>
      <c r="ACA45">
        <v>0</v>
      </c>
      <c r="ACB45">
        <v>0</v>
      </c>
      <c r="ACC45">
        <v>0</v>
      </c>
      <c r="ACD45">
        <v>0</v>
      </c>
      <c r="ACE45">
        <v>0</v>
      </c>
      <c r="ACF45">
        <v>0</v>
      </c>
      <c r="ACG45">
        <v>0</v>
      </c>
      <c r="ACH45">
        <v>0</v>
      </c>
      <c r="ACI45">
        <v>0</v>
      </c>
      <c r="ACJ45">
        <v>0</v>
      </c>
      <c r="ACK45">
        <v>0</v>
      </c>
      <c r="ACL45">
        <v>0</v>
      </c>
      <c r="ACM45">
        <v>0</v>
      </c>
      <c r="ACN45">
        <v>0</v>
      </c>
      <c r="ACO45">
        <v>0</v>
      </c>
      <c r="ACP45">
        <v>0</v>
      </c>
      <c r="ACQ45">
        <v>0</v>
      </c>
      <c r="ACR45">
        <v>0</v>
      </c>
      <c r="ACS45">
        <v>0</v>
      </c>
      <c r="ACT45">
        <v>0</v>
      </c>
      <c r="ACU45">
        <v>0</v>
      </c>
      <c r="ACV45">
        <v>0</v>
      </c>
      <c r="ACW45">
        <v>0</v>
      </c>
      <c r="ACX45">
        <v>0</v>
      </c>
      <c r="ACY45">
        <v>0</v>
      </c>
      <c r="ACZ45">
        <v>0</v>
      </c>
      <c r="ADA45">
        <v>0</v>
      </c>
      <c r="ADB45">
        <v>0</v>
      </c>
      <c r="ADC45">
        <v>0</v>
      </c>
      <c r="ADD45">
        <v>0</v>
      </c>
      <c r="ADE45">
        <v>0</v>
      </c>
      <c r="ADF45">
        <v>0</v>
      </c>
      <c r="ADG45">
        <v>0</v>
      </c>
      <c r="ADH45">
        <v>0</v>
      </c>
      <c r="ADI45">
        <v>0</v>
      </c>
      <c r="ADJ45">
        <v>0</v>
      </c>
      <c r="ADK45">
        <v>0</v>
      </c>
      <c r="ADL45">
        <v>0</v>
      </c>
      <c r="ADM45">
        <v>0</v>
      </c>
      <c r="ADN45">
        <v>0</v>
      </c>
      <c r="ADO45">
        <v>0</v>
      </c>
      <c r="ADP45">
        <v>0</v>
      </c>
      <c r="ADQ45">
        <v>0</v>
      </c>
      <c r="ADR45">
        <v>0</v>
      </c>
      <c r="ADS45">
        <v>0</v>
      </c>
      <c r="ADT45">
        <v>0</v>
      </c>
      <c r="ADU45">
        <v>0</v>
      </c>
      <c r="ADV45">
        <v>0</v>
      </c>
      <c r="ADW45">
        <v>0</v>
      </c>
      <c r="ADX45">
        <v>0</v>
      </c>
      <c r="ADY45">
        <v>0</v>
      </c>
      <c r="ADZ45">
        <v>0</v>
      </c>
      <c r="AEA45">
        <v>0</v>
      </c>
      <c r="AEB45">
        <v>0</v>
      </c>
      <c r="AEC45">
        <v>0</v>
      </c>
      <c r="AED45">
        <v>0</v>
      </c>
      <c r="AEE45">
        <v>0</v>
      </c>
      <c r="AEF45">
        <v>0</v>
      </c>
      <c r="AEG45">
        <v>0</v>
      </c>
      <c r="AEH45">
        <v>0</v>
      </c>
      <c r="AEI45">
        <v>0</v>
      </c>
      <c r="AEJ45">
        <v>0</v>
      </c>
      <c r="AEK45">
        <v>0</v>
      </c>
      <c r="AEL45">
        <v>0</v>
      </c>
      <c r="AEM45">
        <v>0</v>
      </c>
      <c r="AEN45">
        <v>0</v>
      </c>
      <c r="AEO45">
        <v>0</v>
      </c>
      <c r="AEP45">
        <v>0</v>
      </c>
      <c r="AEQ45">
        <v>0</v>
      </c>
      <c r="AER45">
        <v>0</v>
      </c>
      <c r="AES45">
        <v>0</v>
      </c>
      <c r="AET45">
        <v>0</v>
      </c>
      <c r="AEU45">
        <v>0</v>
      </c>
      <c r="AEV45">
        <v>0</v>
      </c>
      <c r="AEW45">
        <v>0</v>
      </c>
      <c r="AEX45">
        <v>0</v>
      </c>
      <c r="AEY45">
        <v>0</v>
      </c>
      <c r="AEZ45">
        <v>0</v>
      </c>
      <c r="AFA45">
        <v>0</v>
      </c>
      <c r="AFB45">
        <v>0</v>
      </c>
      <c r="AFC45">
        <v>0</v>
      </c>
      <c r="AFD45">
        <v>0</v>
      </c>
      <c r="AFE45">
        <v>0</v>
      </c>
      <c r="AFF45">
        <v>0</v>
      </c>
      <c r="AFG45">
        <v>0</v>
      </c>
      <c r="AFH45">
        <v>0</v>
      </c>
      <c r="AFI45">
        <v>0</v>
      </c>
      <c r="AFJ45">
        <v>0</v>
      </c>
      <c r="AFK45">
        <v>0</v>
      </c>
      <c r="AFL45">
        <v>0</v>
      </c>
      <c r="AFM45">
        <v>0</v>
      </c>
      <c r="AFN45">
        <v>0</v>
      </c>
      <c r="AFO45">
        <v>0</v>
      </c>
      <c r="AFP45">
        <v>0</v>
      </c>
      <c r="AFQ45">
        <v>0</v>
      </c>
      <c r="AFR45">
        <v>0</v>
      </c>
      <c r="AFS45">
        <v>0</v>
      </c>
      <c r="AFT45">
        <v>0</v>
      </c>
      <c r="AFU45">
        <v>0</v>
      </c>
      <c r="AFV45">
        <v>0</v>
      </c>
      <c r="AFW45">
        <v>0</v>
      </c>
      <c r="AFX45">
        <v>0</v>
      </c>
      <c r="AFY45">
        <v>0</v>
      </c>
      <c r="AFZ45">
        <v>0</v>
      </c>
      <c r="AGA45">
        <v>0</v>
      </c>
      <c r="AGB45">
        <v>0</v>
      </c>
      <c r="AGC45">
        <v>0</v>
      </c>
      <c r="AGD45">
        <v>0</v>
      </c>
      <c r="AGE45">
        <v>0</v>
      </c>
      <c r="AGF45">
        <v>0</v>
      </c>
      <c r="AGG45">
        <v>0</v>
      </c>
      <c r="AGH45">
        <v>0</v>
      </c>
      <c r="AGI45">
        <v>0</v>
      </c>
      <c r="AGJ45">
        <v>0</v>
      </c>
      <c r="AGK45">
        <v>0</v>
      </c>
      <c r="AGL45">
        <v>0</v>
      </c>
      <c r="AGM45">
        <v>0</v>
      </c>
      <c r="AGN45">
        <v>0</v>
      </c>
      <c r="AGO45">
        <v>0</v>
      </c>
      <c r="AGP45">
        <v>0</v>
      </c>
      <c r="AGQ45">
        <v>0</v>
      </c>
      <c r="AGR45">
        <v>0</v>
      </c>
      <c r="AGS45">
        <v>0</v>
      </c>
      <c r="AGT45">
        <v>0</v>
      </c>
      <c r="AGU45">
        <v>0</v>
      </c>
      <c r="AGV45">
        <v>0</v>
      </c>
      <c r="AGW45">
        <v>0</v>
      </c>
      <c r="AGX45">
        <v>0</v>
      </c>
      <c r="AGY45">
        <v>0</v>
      </c>
      <c r="AGZ45">
        <v>0</v>
      </c>
      <c r="AHA45">
        <v>0</v>
      </c>
      <c r="AHB45">
        <v>0</v>
      </c>
      <c r="AHC45">
        <v>0</v>
      </c>
      <c r="AHD45">
        <v>0</v>
      </c>
      <c r="AHE45">
        <v>0</v>
      </c>
      <c r="AHF45">
        <v>0</v>
      </c>
      <c r="AHG45">
        <v>0</v>
      </c>
      <c r="AHH45">
        <v>0</v>
      </c>
      <c r="AHI45">
        <v>0</v>
      </c>
      <c r="AHJ45">
        <v>0</v>
      </c>
      <c r="AHK45">
        <v>0</v>
      </c>
      <c r="AHL45">
        <v>0</v>
      </c>
      <c r="AHM45">
        <v>0</v>
      </c>
      <c r="AHN45">
        <v>0</v>
      </c>
      <c r="AHO45">
        <v>0</v>
      </c>
      <c r="AHP45">
        <v>0</v>
      </c>
      <c r="AHQ45">
        <v>0</v>
      </c>
    </row>
    <row r="46" spans="1:901">
      <c r="A46" s="1" t="s">
        <v>40</v>
      </c>
      <c r="C46" s="34">
        <f t="shared" si="28"/>
        <v>0</v>
      </c>
      <c r="D46" s="34">
        <f t="shared" si="28"/>
        <v>0</v>
      </c>
      <c r="E46" s="34">
        <f t="shared" si="29"/>
        <v>393136</v>
      </c>
      <c r="F46" s="34">
        <f t="shared" si="30"/>
        <v>0</v>
      </c>
      <c r="G46" s="34">
        <f t="shared" si="31"/>
        <v>0</v>
      </c>
      <c r="H46" s="34">
        <f t="shared" si="32"/>
        <v>0</v>
      </c>
      <c r="I46" s="34">
        <f t="shared" si="32"/>
        <v>2888884</v>
      </c>
      <c r="J46" s="34">
        <f t="shared" si="0"/>
        <v>0</v>
      </c>
      <c r="K46" s="34">
        <f t="shared" si="0"/>
        <v>0</v>
      </c>
      <c r="L46" s="34">
        <f t="shared" si="0"/>
        <v>0</v>
      </c>
      <c r="M46" s="34">
        <f t="shared" si="0"/>
        <v>0</v>
      </c>
      <c r="N46" s="34">
        <f t="shared" si="0"/>
        <v>0</v>
      </c>
      <c r="O46" s="34">
        <f t="shared" si="0"/>
        <v>0</v>
      </c>
      <c r="P46" s="34">
        <f t="shared" si="0"/>
        <v>0</v>
      </c>
      <c r="Q46" s="34">
        <f t="shared" si="0"/>
        <v>0</v>
      </c>
      <c r="R46" s="34">
        <f t="shared" si="0"/>
        <v>0</v>
      </c>
      <c r="S46" s="34">
        <f t="shared" si="0"/>
        <v>0</v>
      </c>
      <c r="T46" s="34">
        <f t="shared" si="0"/>
        <v>0</v>
      </c>
      <c r="U46" s="34">
        <f t="shared" si="0"/>
        <v>0</v>
      </c>
      <c r="V46" s="34">
        <f t="shared" si="0"/>
        <v>0</v>
      </c>
      <c r="W46" s="34">
        <f t="shared" si="0"/>
        <v>0</v>
      </c>
      <c r="X46" s="34">
        <f t="shared" si="0"/>
        <v>0</v>
      </c>
      <c r="Y46" s="34">
        <f t="shared" si="0"/>
        <v>0</v>
      </c>
      <c r="Z46" s="34">
        <f t="shared" si="1"/>
        <v>0</v>
      </c>
      <c r="AA46" s="34">
        <f t="shared" si="1"/>
        <v>0</v>
      </c>
      <c r="AB46" s="34">
        <f t="shared" si="1"/>
        <v>0</v>
      </c>
      <c r="AC46" s="34">
        <f t="shared" si="1"/>
        <v>0</v>
      </c>
      <c r="AD46" s="34">
        <f t="shared" si="1"/>
        <v>0</v>
      </c>
      <c r="AE46" s="34">
        <f t="shared" si="1"/>
        <v>0</v>
      </c>
      <c r="AF46" s="34">
        <f t="shared" si="1"/>
        <v>0</v>
      </c>
      <c r="AG46" s="34">
        <f t="shared" si="1"/>
        <v>0</v>
      </c>
      <c r="AH46" s="34">
        <f t="shared" si="1"/>
        <v>0</v>
      </c>
      <c r="AI46" s="34">
        <f t="shared" si="1"/>
        <v>0</v>
      </c>
      <c r="AJ46" s="34">
        <f t="shared" si="1"/>
        <v>0</v>
      </c>
      <c r="AK46" s="34">
        <f t="shared" si="1"/>
        <v>0</v>
      </c>
      <c r="AL46" s="34">
        <f t="shared" si="1"/>
        <v>4000000</v>
      </c>
      <c r="AM46" s="34">
        <f t="shared" si="1"/>
        <v>0</v>
      </c>
      <c r="AN46" s="34">
        <f t="shared" si="2"/>
        <v>0</v>
      </c>
      <c r="AO46" s="34">
        <f t="shared" si="2"/>
        <v>0</v>
      </c>
      <c r="AP46" s="34">
        <f t="shared" si="2"/>
        <v>0</v>
      </c>
      <c r="AQ46" s="34">
        <f t="shared" si="2"/>
        <v>0</v>
      </c>
      <c r="AR46" s="34">
        <f t="shared" si="2"/>
        <v>0</v>
      </c>
      <c r="AS46" s="34">
        <f t="shared" si="2"/>
        <v>0</v>
      </c>
      <c r="AT46" s="34">
        <f t="shared" si="2"/>
        <v>0</v>
      </c>
      <c r="AU46" s="34">
        <f t="shared" si="2"/>
        <v>0</v>
      </c>
      <c r="AV46" s="34">
        <f t="shared" si="2"/>
        <v>0</v>
      </c>
      <c r="AW46" s="34">
        <f t="shared" si="2"/>
        <v>0</v>
      </c>
      <c r="AX46" s="34">
        <f t="shared" si="2"/>
        <v>0</v>
      </c>
      <c r="AY46" s="34">
        <f t="shared" si="2"/>
        <v>0</v>
      </c>
      <c r="AZ46" s="34">
        <f t="shared" si="2"/>
        <v>0</v>
      </c>
      <c r="BA46" s="34">
        <f t="shared" si="2"/>
        <v>0</v>
      </c>
      <c r="BB46" s="34">
        <f t="shared" si="3"/>
        <v>0</v>
      </c>
      <c r="BC46" s="34">
        <f t="shared" si="3"/>
        <v>0</v>
      </c>
      <c r="BD46" s="34">
        <f t="shared" si="3"/>
        <v>0</v>
      </c>
      <c r="BE46" s="34">
        <f t="shared" si="3"/>
        <v>0</v>
      </c>
      <c r="BF46" s="34">
        <f t="shared" si="3"/>
        <v>0</v>
      </c>
      <c r="BG46" s="34">
        <f t="shared" si="3"/>
        <v>0</v>
      </c>
      <c r="BH46" s="34">
        <f t="shared" si="3"/>
        <v>0</v>
      </c>
      <c r="BI46" s="34">
        <f t="shared" si="3"/>
        <v>0</v>
      </c>
      <c r="BJ46" s="34">
        <f t="shared" si="3"/>
        <v>0</v>
      </c>
      <c r="BK46" s="34">
        <f t="shared" si="3"/>
        <v>0</v>
      </c>
      <c r="BL46" s="34">
        <f t="shared" si="3"/>
        <v>0</v>
      </c>
      <c r="BM46" s="34">
        <f t="shared" si="3"/>
        <v>0</v>
      </c>
      <c r="BN46" s="34">
        <f t="shared" si="3"/>
        <v>0</v>
      </c>
      <c r="BO46" s="34">
        <f t="shared" si="3"/>
        <v>0</v>
      </c>
      <c r="BP46" s="34">
        <f t="shared" si="4"/>
        <v>0</v>
      </c>
      <c r="BQ46" s="34">
        <f t="shared" si="4"/>
        <v>0</v>
      </c>
      <c r="BR46" s="34">
        <f t="shared" si="4"/>
        <v>0</v>
      </c>
      <c r="BS46" s="34">
        <f t="shared" si="4"/>
        <v>0</v>
      </c>
      <c r="BT46" s="34">
        <f t="shared" si="4"/>
        <v>0</v>
      </c>
      <c r="BU46" s="34">
        <f t="shared" si="4"/>
        <v>0</v>
      </c>
      <c r="BV46" s="34">
        <f t="shared" si="4"/>
        <v>0</v>
      </c>
      <c r="BW46" s="34">
        <f t="shared" si="4"/>
        <v>0</v>
      </c>
      <c r="BX46" s="34">
        <f t="shared" si="4"/>
        <v>0</v>
      </c>
      <c r="BY46" s="34">
        <f t="shared" ref="BY46:FM46" si="41">BY25-BX25</f>
        <v>3800000</v>
      </c>
      <c r="BZ46" s="34">
        <f t="shared" si="41"/>
        <v>0</v>
      </c>
      <c r="CA46" s="34">
        <f t="shared" si="41"/>
        <v>0</v>
      </c>
      <c r="CB46" s="34">
        <f t="shared" si="41"/>
        <v>0</v>
      </c>
      <c r="CC46" s="34">
        <f t="shared" si="41"/>
        <v>0</v>
      </c>
      <c r="CD46" s="34">
        <f t="shared" si="41"/>
        <v>0</v>
      </c>
      <c r="CE46" s="34">
        <f t="shared" si="41"/>
        <v>0</v>
      </c>
      <c r="CF46" s="34">
        <f t="shared" si="41"/>
        <v>0</v>
      </c>
      <c r="CG46" s="34">
        <f t="shared" si="41"/>
        <v>0</v>
      </c>
      <c r="CH46" s="34">
        <f t="shared" si="41"/>
        <v>0</v>
      </c>
      <c r="CI46" s="34">
        <f t="shared" si="41"/>
        <v>0</v>
      </c>
      <c r="CJ46" s="34">
        <f t="shared" si="41"/>
        <v>0</v>
      </c>
      <c r="CK46" s="34">
        <f t="shared" si="41"/>
        <v>0</v>
      </c>
      <c r="CL46" s="34">
        <f t="shared" si="41"/>
        <v>0</v>
      </c>
      <c r="CM46" s="34">
        <f t="shared" si="41"/>
        <v>0</v>
      </c>
      <c r="CN46" s="34">
        <f t="shared" si="41"/>
        <v>0</v>
      </c>
      <c r="CO46" s="34">
        <f t="shared" si="41"/>
        <v>0</v>
      </c>
      <c r="CP46" s="34">
        <f t="shared" si="41"/>
        <v>0</v>
      </c>
      <c r="CQ46" s="34">
        <f t="shared" si="41"/>
        <v>0</v>
      </c>
      <c r="CR46" s="34">
        <f t="shared" si="41"/>
        <v>0</v>
      </c>
      <c r="CS46" s="34">
        <f t="shared" si="41"/>
        <v>0</v>
      </c>
      <c r="CT46" s="34">
        <f t="shared" si="41"/>
        <v>0</v>
      </c>
      <c r="CU46" s="34">
        <f t="shared" si="41"/>
        <v>2900000</v>
      </c>
      <c r="CV46" s="34">
        <f t="shared" si="41"/>
        <v>0</v>
      </c>
      <c r="CW46" s="34">
        <f t="shared" si="41"/>
        <v>0</v>
      </c>
      <c r="CX46" s="34">
        <f t="shared" si="41"/>
        <v>0</v>
      </c>
      <c r="CY46" s="34">
        <f t="shared" si="41"/>
        <v>0</v>
      </c>
      <c r="CZ46" s="34">
        <f t="shared" si="41"/>
        <v>0</v>
      </c>
      <c r="DA46" s="34">
        <f t="shared" si="41"/>
        <v>0</v>
      </c>
      <c r="DB46" s="34">
        <f t="shared" si="41"/>
        <v>0</v>
      </c>
      <c r="DC46" s="34">
        <f t="shared" si="41"/>
        <v>0</v>
      </c>
      <c r="DD46" s="34">
        <f t="shared" si="41"/>
        <v>0</v>
      </c>
      <c r="DE46" s="34">
        <f t="shared" si="41"/>
        <v>0</v>
      </c>
      <c r="DF46" s="34">
        <f t="shared" si="41"/>
        <v>0</v>
      </c>
      <c r="DG46" s="34">
        <f t="shared" si="41"/>
        <v>0</v>
      </c>
      <c r="DH46" s="34">
        <f t="shared" si="41"/>
        <v>0</v>
      </c>
      <c r="DI46" s="34">
        <f t="shared" si="41"/>
        <v>0</v>
      </c>
      <c r="DJ46" s="34">
        <f t="shared" si="41"/>
        <v>0</v>
      </c>
      <c r="DK46" s="34">
        <f t="shared" si="41"/>
        <v>0</v>
      </c>
      <c r="DL46" s="34">
        <f t="shared" si="41"/>
        <v>0</v>
      </c>
      <c r="DM46" s="34">
        <f t="shared" si="41"/>
        <v>0</v>
      </c>
      <c r="DN46" s="34">
        <f t="shared" si="41"/>
        <v>0</v>
      </c>
      <c r="DO46" s="34">
        <f t="shared" si="41"/>
        <v>0</v>
      </c>
      <c r="DP46" s="34">
        <f t="shared" si="41"/>
        <v>0</v>
      </c>
      <c r="DQ46" s="34">
        <f t="shared" si="41"/>
        <v>0</v>
      </c>
      <c r="DR46" s="34">
        <f t="shared" si="41"/>
        <v>0</v>
      </c>
      <c r="DS46" s="34">
        <f t="shared" si="41"/>
        <v>0</v>
      </c>
      <c r="DT46" s="34">
        <f t="shared" si="41"/>
        <v>0</v>
      </c>
      <c r="DU46" s="34">
        <f t="shared" si="41"/>
        <v>0</v>
      </c>
      <c r="DV46" s="34">
        <f t="shared" si="41"/>
        <v>0</v>
      </c>
      <c r="DW46" s="34">
        <f t="shared" si="41"/>
        <v>0</v>
      </c>
      <c r="DX46" s="34">
        <f t="shared" si="41"/>
        <v>0</v>
      </c>
      <c r="DY46" s="34">
        <f t="shared" si="41"/>
        <v>0</v>
      </c>
      <c r="DZ46" s="34">
        <f t="shared" si="41"/>
        <v>0</v>
      </c>
      <c r="EA46" s="34">
        <f t="shared" si="41"/>
        <v>0</v>
      </c>
      <c r="EB46" s="34">
        <f t="shared" si="41"/>
        <v>0</v>
      </c>
      <c r="EC46" s="34">
        <f t="shared" si="41"/>
        <v>0</v>
      </c>
      <c r="ED46" s="34">
        <f t="shared" si="41"/>
        <v>0</v>
      </c>
      <c r="EE46" s="34">
        <f t="shared" si="41"/>
        <v>0</v>
      </c>
      <c r="EF46" s="34">
        <f t="shared" si="41"/>
        <v>0</v>
      </c>
      <c r="EG46" s="34">
        <f t="shared" si="41"/>
        <v>0</v>
      </c>
      <c r="EH46" s="34">
        <f t="shared" si="41"/>
        <v>0</v>
      </c>
      <c r="EI46" s="34">
        <f t="shared" si="41"/>
        <v>0</v>
      </c>
      <c r="EJ46" s="34">
        <f t="shared" si="41"/>
        <v>0</v>
      </c>
      <c r="EK46" s="34">
        <f t="shared" si="41"/>
        <v>0</v>
      </c>
      <c r="EL46" s="34">
        <f t="shared" si="41"/>
        <v>0</v>
      </c>
      <c r="EM46" s="34">
        <f t="shared" si="41"/>
        <v>0</v>
      </c>
      <c r="EN46" s="34">
        <f t="shared" si="41"/>
        <v>0</v>
      </c>
      <c r="EO46" s="34">
        <f t="shared" si="41"/>
        <v>0</v>
      </c>
      <c r="EP46" s="34">
        <f t="shared" si="41"/>
        <v>0</v>
      </c>
      <c r="EQ46" s="34">
        <f t="shared" si="41"/>
        <v>0</v>
      </c>
      <c r="ER46" s="34">
        <f t="shared" si="41"/>
        <v>0</v>
      </c>
      <c r="ES46" s="34">
        <f t="shared" si="41"/>
        <v>0</v>
      </c>
      <c r="ET46" s="34">
        <f t="shared" si="41"/>
        <v>0</v>
      </c>
      <c r="EU46" s="34">
        <f t="shared" si="41"/>
        <v>0</v>
      </c>
      <c r="EV46" s="34">
        <f t="shared" si="41"/>
        <v>0</v>
      </c>
      <c r="EW46" s="34">
        <f t="shared" si="41"/>
        <v>0</v>
      </c>
      <c r="EX46" s="34">
        <f t="shared" si="41"/>
        <v>0</v>
      </c>
      <c r="EY46" s="34">
        <f t="shared" si="41"/>
        <v>0</v>
      </c>
      <c r="EZ46" s="34">
        <f t="shared" si="41"/>
        <v>0</v>
      </c>
      <c r="FA46" s="34">
        <f t="shared" si="41"/>
        <v>0</v>
      </c>
      <c r="FB46" s="34">
        <f t="shared" si="41"/>
        <v>0</v>
      </c>
      <c r="FC46" s="34">
        <f t="shared" si="41"/>
        <v>0</v>
      </c>
      <c r="FD46" s="34">
        <f t="shared" si="41"/>
        <v>0</v>
      </c>
      <c r="FE46" s="34">
        <f t="shared" si="41"/>
        <v>0</v>
      </c>
      <c r="FF46" s="34">
        <f t="shared" si="41"/>
        <v>0</v>
      </c>
      <c r="FG46" s="34">
        <f t="shared" si="41"/>
        <v>0</v>
      </c>
      <c r="FH46" s="34">
        <f t="shared" si="41"/>
        <v>0</v>
      </c>
      <c r="FI46" s="34">
        <f t="shared" si="41"/>
        <v>0</v>
      </c>
      <c r="FJ46" s="34">
        <f t="shared" si="41"/>
        <v>0</v>
      </c>
      <c r="FK46" s="34">
        <f t="shared" si="41"/>
        <v>0</v>
      </c>
      <c r="FL46" s="34">
        <f t="shared" si="41"/>
        <v>0</v>
      </c>
      <c r="FM46" s="34">
        <f t="shared" si="41"/>
        <v>0</v>
      </c>
      <c r="FN46" s="34">
        <v>0</v>
      </c>
      <c r="FO46" s="34">
        <f t="shared" si="6"/>
        <v>0</v>
      </c>
      <c r="FP46" s="34">
        <v>0</v>
      </c>
      <c r="FQ46" s="34">
        <v>0</v>
      </c>
      <c r="FR46" s="34">
        <v>0</v>
      </c>
      <c r="FS46" s="34">
        <v>0</v>
      </c>
      <c r="FT46" s="34">
        <f t="shared" si="9"/>
        <v>0</v>
      </c>
      <c r="FU46" s="34">
        <f t="shared" si="9"/>
        <v>0</v>
      </c>
      <c r="FV46" s="34">
        <f t="shared" si="9"/>
        <v>0</v>
      </c>
      <c r="FW46" s="34">
        <f t="shared" si="9"/>
        <v>0</v>
      </c>
      <c r="FX46" s="34">
        <f t="shared" si="9"/>
        <v>0</v>
      </c>
      <c r="FY46" s="34">
        <f t="shared" si="9"/>
        <v>0</v>
      </c>
      <c r="FZ46" s="34">
        <f t="shared" si="9"/>
        <v>0</v>
      </c>
      <c r="GA46" s="34">
        <f t="shared" si="9"/>
        <v>0</v>
      </c>
      <c r="GB46" s="34">
        <f t="shared" si="9"/>
        <v>0</v>
      </c>
      <c r="GC46" s="34">
        <f t="shared" si="9"/>
        <v>0</v>
      </c>
      <c r="GD46" s="34">
        <f t="shared" si="9"/>
        <v>0</v>
      </c>
      <c r="GE46" s="34">
        <f t="shared" si="9"/>
        <v>0</v>
      </c>
      <c r="GF46" s="34">
        <f t="shared" si="9"/>
        <v>0</v>
      </c>
      <c r="GG46" s="34">
        <f t="shared" si="9"/>
        <v>0</v>
      </c>
      <c r="GH46" s="34">
        <f t="shared" si="10"/>
        <v>0</v>
      </c>
      <c r="GI46" s="34">
        <f t="shared" si="10"/>
        <v>0</v>
      </c>
      <c r="GJ46" s="34">
        <f t="shared" si="10"/>
        <v>0</v>
      </c>
      <c r="GK46" s="34">
        <f t="shared" si="10"/>
        <v>0</v>
      </c>
      <c r="GL46" s="34">
        <f t="shared" si="10"/>
        <v>0</v>
      </c>
      <c r="GM46" s="34">
        <f t="shared" si="10"/>
        <v>0</v>
      </c>
      <c r="GN46" s="34">
        <f t="shared" si="10"/>
        <v>0</v>
      </c>
      <c r="GO46" s="34">
        <f t="shared" si="10"/>
        <v>0</v>
      </c>
      <c r="GP46" s="34">
        <f t="shared" si="10"/>
        <v>0</v>
      </c>
      <c r="GQ46" s="34">
        <f t="shared" si="10"/>
        <v>0</v>
      </c>
      <c r="GR46" s="34">
        <f t="shared" si="10"/>
        <v>0</v>
      </c>
      <c r="GS46" s="34">
        <f t="shared" si="10"/>
        <v>0</v>
      </c>
      <c r="GT46" s="34">
        <f t="shared" si="10"/>
        <v>0</v>
      </c>
      <c r="GU46" s="34">
        <f t="shared" si="10"/>
        <v>0</v>
      </c>
      <c r="GV46" s="34">
        <f t="shared" si="11"/>
        <v>0</v>
      </c>
      <c r="GW46" s="34">
        <f t="shared" si="11"/>
        <v>0</v>
      </c>
      <c r="GX46" s="34">
        <f t="shared" si="11"/>
        <v>0</v>
      </c>
      <c r="GY46" s="34">
        <f t="shared" si="11"/>
        <v>0</v>
      </c>
      <c r="GZ46" s="34">
        <f t="shared" si="11"/>
        <v>0</v>
      </c>
      <c r="HA46" s="34">
        <f t="shared" si="11"/>
        <v>0</v>
      </c>
      <c r="HB46" s="34">
        <f t="shared" si="12"/>
        <v>0</v>
      </c>
      <c r="HC46" s="34">
        <f t="shared" si="13"/>
        <v>0</v>
      </c>
      <c r="HD46" s="34">
        <f t="shared" ref="HD46" si="42">HD25-HC25</f>
        <v>0</v>
      </c>
      <c r="HE46" s="34">
        <f t="shared" si="13"/>
        <v>0</v>
      </c>
      <c r="HF46" s="34">
        <f t="shared" si="13"/>
        <v>0</v>
      </c>
      <c r="HG46" s="34">
        <f t="shared" si="13"/>
        <v>0</v>
      </c>
      <c r="HH46" s="34">
        <f t="shared" si="13"/>
        <v>0</v>
      </c>
      <c r="HI46" s="34">
        <f t="shared" si="13"/>
        <v>0</v>
      </c>
      <c r="HJ46" s="34">
        <f t="shared" si="13"/>
        <v>0</v>
      </c>
      <c r="HK46" s="34">
        <f t="shared" si="13"/>
        <v>0</v>
      </c>
      <c r="HL46" s="34">
        <f>HL25-HK25</f>
        <v>14938104</v>
      </c>
      <c r="HM46" s="34">
        <f t="shared" si="13"/>
        <v>0</v>
      </c>
      <c r="HN46" s="34">
        <f t="shared" si="13"/>
        <v>0</v>
      </c>
      <c r="HO46" s="34">
        <f t="shared" si="13"/>
        <v>0</v>
      </c>
      <c r="HP46" s="34">
        <f t="shared" si="13"/>
        <v>0</v>
      </c>
      <c r="HQ46" s="34">
        <f t="shared" si="13"/>
        <v>0</v>
      </c>
      <c r="HR46" s="34">
        <f t="shared" si="14"/>
        <v>280112</v>
      </c>
      <c r="HS46" s="34">
        <f t="shared" si="14"/>
        <v>0</v>
      </c>
      <c r="HT46" s="34">
        <f t="shared" si="14"/>
        <v>0</v>
      </c>
      <c r="HU46" s="34">
        <f t="shared" si="14"/>
        <v>0</v>
      </c>
      <c r="HV46" s="34">
        <f t="shared" si="14"/>
        <v>2620814</v>
      </c>
      <c r="HW46" s="34">
        <f t="shared" si="14"/>
        <v>0</v>
      </c>
      <c r="HX46" s="34">
        <f t="shared" si="14"/>
        <v>177486</v>
      </c>
      <c r="HY46" s="34">
        <f t="shared" si="14"/>
        <v>0</v>
      </c>
      <c r="HZ46" s="34">
        <f t="shared" si="14"/>
        <v>0</v>
      </c>
      <c r="IA46" s="34">
        <f t="shared" si="14"/>
        <v>217612</v>
      </c>
      <c r="IB46" s="34">
        <f t="shared" si="14"/>
        <v>0</v>
      </c>
      <c r="IC46" s="34">
        <f t="shared" si="14"/>
        <v>0</v>
      </c>
      <c r="ID46" s="34">
        <f t="shared" si="14"/>
        <v>0</v>
      </c>
      <c r="IE46" s="34">
        <f t="shared" si="14"/>
        <v>136002</v>
      </c>
      <c r="IF46" s="34">
        <f t="shared" si="15"/>
        <v>0</v>
      </c>
      <c r="IG46" s="34">
        <f t="shared" si="15"/>
        <v>0</v>
      </c>
      <c r="IH46" s="34">
        <f t="shared" si="15"/>
        <v>0</v>
      </c>
      <c r="II46" s="34">
        <f t="shared" si="15"/>
        <v>102930</v>
      </c>
      <c r="IJ46" s="34">
        <f t="shared" si="15"/>
        <v>0</v>
      </c>
      <c r="IK46" s="34">
        <f t="shared" si="15"/>
        <v>0</v>
      </c>
      <c r="IL46" s="34">
        <f t="shared" si="15"/>
        <v>0</v>
      </c>
      <c r="IM46" s="34">
        <f t="shared" si="15"/>
        <v>0</v>
      </c>
      <c r="IN46" s="34">
        <f t="shared" si="15"/>
        <v>1940874</v>
      </c>
      <c r="IO46" s="34">
        <f t="shared" si="15"/>
        <v>0</v>
      </c>
      <c r="IP46" s="34">
        <f t="shared" si="15"/>
        <v>0</v>
      </c>
      <c r="IQ46" s="34">
        <f>IQ25-IP25</f>
        <v>0</v>
      </c>
      <c r="IR46" s="34">
        <f>IR25-IQ25</f>
        <v>62615</v>
      </c>
      <c r="IS46" s="34">
        <f>IS25-IR25</f>
        <v>0</v>
      </c>
      <c r="IT46" s="34">
        <f t="shared" si="15"/>
        <v>0</v>
      </c>
      <c r="IU46" s="34">
        <f t="shared" si="16"/>
        <v>0</v>
      </c>
      <c r="IV46" s="34">
        <f t="shared" si="16"/>
        <v>0</v>
      </c>
      <c r="IW46" s="34">
        <f t="shared" si="16"/>
        <v>327449</v>
      </c>
      <c r="IX46" s="34">
        <f t="shared" si="16"/>
        <v>144112</v>
      </c>
      <c r="IY46" s="34">
        <f>IY25-IX25</f>
        <v>64274</v>
      </c>
      <c r="IZ46" s="34">
        <f t="shared" si="16"/>
        <v>0</v>
      </c>
      <c r="JA46" s="34">
        <f t="shared" si="16"/>
        <v>0</v>
      </c>
      <c r="JB46" s="34">
        <f t="shared" si="16"/>
        <v>229721</v>
      </c>
      <c r="JC46" s="34">
        <f t="shared" si="16"/>
        <v>0</v>
      </c>
      <c r="JD46" s="34">
        <f t="shared" si="16"/>
        <v>0</v>
      </c>
      <c r="JE46" s="34">
        <f t="shared" si="16"/>
        <v>186810</v>
      </c>
      <c r="JF46" s="34">
        <f t="shared" si="16"/>
        <v>0</v>
      </c>
      <c r="JG46" s="34">
        <f t="shared" si="16"/>
        <v>98097</v>
      </c>
      <c r="JH46" s="34">
        <f t="shared" si="16"/>
        <v>0</v>
      </c>
      <c r="JI46" s="34">
        <f t="shared" si="17"/>
        <v>118840</v>
      </c>
      <c r="JJ46" s="34">
        <f t="shared" si="17"/>
        <v>0</v>
      </c>
      <c r="JK46" s="34">
        <f t="shared" si="17"/>
        <v>555190</v>
      </c>
      <c r="JL46" s="34">
        <f t="shared" si="17"/>
        <v>68999</v>
      </c>
      <c r="JM46" s="34">
        <f t="shared" si="17"/>
        <v>0</v>
      </c>
      <c r="JN46" s="34">
        <f t="shared" si="17"/>
        <v>0</v>
      </c>
      <c r="JO46" s="34">
        <f t="shared" si="17"/>
        <v>1844660</v>
      </c>
      <c r="JP46" s="34">
        <f t="shared" si="17"/>
        <v>0</v>
      </c>
      <c r="JQ46" s="34">
        <f t="shared" si="17"/>
        <v>0</v>
      </c>
      <c r="JR46" s="34">
        <f t="shared" si="17"/>
        <v>0</v>
      </c>
      <c r="JS46" s="34">
        <f t="shared" si="17"/>
        <v>105956</v>
      </c>
      <c r="JT46" s="34">
        <f t="shared" si="17"/>
        <v>0</v>
      </c>
      <c r="JU46" s="34">
        <f t="shared" si="17"/>
        <v>0</v>
      </c>
      <c r="JV46" s="34">
        <f t="shared" si="17"/>
        <v>0</v>
      </c>
      <c r="JW46" s="34">
        <f t="shared" si="18"/>
        <v>376199</v>
      </c>
      <c r="JX46" s="34">
        <f t="shared" si="18"/>
        <v>12771</v>
      </c>
      <c r="JY46" s="34">
        <f t="shared" si="18"/>
        <v>0</v>
      </c>
      <c r="JZ46" s="34">
        <f t="shared" si="18"/>
        <v>0</v>
      </c>
      <c r="KA46" s="34">
        <f t="shared" si="18"/>
        <v>0</v>
      </c>
      <c r="KB46" s="34">
        <f t="shared" si="18"/>
        <v>0</v>
      </c>
      <c r="KC46" s="34">
        <f t="shared" si="18"/>
        <v>0</v>
      </c>
      <c r="KD46" s="34">
        <f t="shared" si="18"/>
        <v>793485</v>
      </c>
      <c r="KE46" s="34">
        <f t="shared" si="18"/>
        <v>0</v>
      </c>
      <c r="KF46" s="34">
        <f t="shared" si="18"/>
        <v>0</v>
      </c>
      <c r="KG46" s="34">
        <f t="shared" si="18"/>
        <v>0</v>
      </c>
      <c r="KH46" s="34">
        <f t="shared" si="18"/>
        <v>0</v>
      </c>
      <c r="KI46" s="34">
        <f t="shared" si="18"/>
        <v>201574</v>
      </c>
      <c r="KJ46" s="34">
        <f t="shared" si="18"/>
        <v>0</v>
      </c>
      <c r="KK46" s="34">
        <f t="shared" si="19"/>
        <v>0</v>
      </c>
      <c r="KL46" s="34">
        <f t="shared" si="19"/>
        <v>0</v>
      </c>
      <c r="KM46" s="34">
        <f t="shared" si="19"/>
        <v>0</v>
      </c>
      <c r="KN46" s="34">
        <f t="shared" si="19"/>
        <v>0</v>
      </c>
      <c r="KO46" s="34">
        <f t="shared" si="19"/>
        <v>0</v>
      </c>
      <c r="KP46" s="34">
        <f t="shared" si="19"/>
        <v>0</v>
      </c>
      <c r="KQ46" s="34">
        <f t="shared" si="19"/>
        <v>0</v>
      </c>
      <c r="KR46" s="34">
        <f t="shared" si="19"/>
        <v>0</v>
      </c>
      <c r="KS46" s="34">
        <f t="shared" si="19"/>
        <v>0</v>
      </c>
      <c r="KT46" s="34">
        <f t="shared" si="19"/>
        <v>0</v>
      </c>
      <c r="KU46" s="34">
        <f t="shared" si="19"/>
        <v>0</v>
      </c>
      <c r="KV46" s="34">
        <f t="shared" si="19"/>
        <v>581695</v>
      </c>
      <c r="KW46" s="34">
        <f t="shared" si="19"/>
        <v>0</v>
      </c>
      <c r="KX46" s="34">
        <f t="shared" si="19"/>
        <v>0</v>
      </c>
      <c r="KY46" s="34">
        <f t="shared" si="20"/>
        <v>0</v>
      </c>
      <c r="KZ46" s="34">
        <f t="shared" si="20"/>
        <v>0</v>
      </c>
      <c r="LA46" s="34">
        <f t="shared" si="34"/>
        <v>0</v>
      </c>
      <c r="LB46" s="34">
        <f t="shared" si="35"/>
        <v>0</v>
      </c>
      <c r="LC46" s="34">
        <f t="shared" si="36"/>
        <v>0</v>
      </c>
      <c r="LD46" s="34">
        <f t="shared" si="37"/>
        <v>248340</v>
      </c>
      <c r="LE46" s="34">
        <f t="shared" si="38"/>
        <v>0</v>
      </c>
      <c r="LF46" s="34">
        <f t="shared" si="39"/>
        <v>0</v>
      </c>
      <c r="LG46" s="34">
        <f t="shared" si="21"/>
        <v>0</v>
      </c>
      <c r="LH46" s="34">
        <f t="shared" si="21"/>
        <v>0</v>
      </c>
      <c r="LI46" s="34">
        <f t="shared" si="21"/>
        <v>0</v>
      </c>
      <c r="LJ46" s="34">
        <f t="shared" si="21"/>
        <v>0</v>
      </c>
      <c r="LK46" s="34">
        <f t="shared" si="21"/>
        <v>0</v>
      </c>
      <c r="LL46" s="34">
        <f t="shared" si="21"/>
        <v>0</v>
      </c>
      <c r="LM46" s="34">
        <f t="shared" si="21"/>
        <v>0</v>
      </c>
      <c r="LN46" s="34">
        <f t="shared" si="21"/>
        <v>0</v>
      </c>
      <c r="LO46" s="34">
        <f t="shared" si="21"/>
        <v>0</v>
      </c>
      <c r="LP46" s="34">
        <f t="shared" si="21"/>
        <v>0</v>
      </c>
      <c r="LQ46" s="34">
        <f t="shared" si="21"/>
        <v>0</v>
      </c>
      <c r="LR46" s="34">
        <f t="shared" si="21"/>
        <v>0</v>
      </c>
      <c r="LS46" s="34">
        <f t="shared" si="21"/>
        <v>988963</v>
      </c>
      <c r="LT46" s="34">
        <f t="shared" si="21"/>
        <v>0</v>
      </c>
      <c r="LU46" s="34">
        <f t="shared" si="21"/>
        <v>0</v>
      </c>
      <c r="LV46" s="34">
        <f t="shared" si="21"/>
        <v>0</v>
      </c>
      <c r="LW46" s="34">
        <f t="shared" si="22"/>
        <v>0</v>
      </c>
      <c r="LX46" s="34">
        <f t="shared" si="22"/>
        <v>0</v>
      </c>
      <c r="LY46" s="34">
        <f t="shared" si="22"/>
        <v>0</v>
      </c>
      <c r="LZ46" s="34">
        <f t="shared" si="22"/>
        <v>556761</v>
      </c>
      <c r="MA46" s="34">
        <f t="shared" si="22"/>
        <v>0</v>
      </c>
      <c r="MB46" s="34">
        <f t="shared" si="22"/>
        <v>0</v>
      </c>
      <c r="MC46" s="34">
        <f t="shared" si="22"/>
        <v>0</v>
      </c>
      <c r="MD46" s="34">
        <f t="shared" si="22"/>
        <v>0</v>
      </c>
      <c r="ME46" s="34">
        <f t="shared" si="22"/>
        <v>0</v>
      </c>
      <c r="MF46" s="34">
        <f t="shared" si="22"/>
        <v>0</v>
      </c>
      <c r="MG46" s="34">
        <f t="shared" si="22"/>
        <v>0</v>
      </c>
      <c r="MH46" s="34">
        <f t="shared" si="22"/>
        <v>0</v>
      </c>
      <c r="MI46" s="34">
        <f t="shared" si="22"/>
        <v>0</v>
      </c>
      <c r="MJ46" s="34">
        <f t="shared" si="22"/>
        <v>316779</v>
      </c>
      <c r="MK46" s="34">
        <f t="shared" si="23"/>
        <v>0</v>
      </c>
      <c r="ML46" s="34">
        <f t="shared" si="23"/>
        <v>0</v>
      </c>
      <c r="MM46" s="34">
        <f t="shared" si="23"/>
        <v>0</v>
      </c>
      <c r="MN46" s="34">
        <f t="shared" si="23"/>
        <v>0</v>
      </c>
      <c r="MO46" s="34">
        <f t="shared" si="23"/>
        <v>0</v>
      </c>
      <c r="MP46" s="34">
        <f t="shared" si="23"/>
        <v>0</v>
      </c>
      <c r="MQ46" s="34">
        <f t="shared" si="23"/>
        <v>0</v>
      </c>
      <c r="MR46" s="34">
        <f t="shared" si="23"/>
        <v>197995</v>
      </c>
      <c r="MS46" s="34">
        <f t="shared" si="23"/>
        <v>0</v>
      </c>
      <c r="MT46" s="34">
        <f t="shared" si="23"/>
        <v>0</v>
      </c>
      <c r="MU46" s="34">
        <f t="shared" si="23"/>
        <v>0</v>
      </c>
      <c r="MV46" s="34">
        <f t="shared" si="23"/>
        <v>0</v>
      </c>
      <c r="MW46" s="34">
        <f t="shared" si="23"/>
        <v>0</v>
      </c>
      <c r="MX46" s="34">
        <f t="shared" si="23"/>
        <v>0</v>
      </c>
      <c r="MY46" s="34">
        <f t="shared" si="24"/>
        <v>0</v>
      </c>
      <c r="MZ46" s="34">
        <f t="shared" si="25"/>
        <v>0</v>
      </c>
      <c r="NA46" s="34">
        <f t="shared" si="25"/>
        <v>0</v>
      </c>
      <c r="NB46" s="34">
        <f t="shared" si="25"/>
        <v>0</v>
      </c>
      <c r="NC46" s="34">
        <f t="shared" si="25"/>
        <v>0</v>
      </c>
      <c r="ND46" s="34">
        <f t="shared" si="25"/>
        <v>187301</v>
      </c>
      <c r="NE46" s="34">
        <f t="shared" si="25"/>
        <v>0</v>
      </c>
      <c r="NF46" s="34">
        <f t="shared" si="25"/>
        <v>0</v>
      </c>
      <c r="NG46" s="34">
        <f t="shared" si="25"/>
        <v>0</v>
      </c>
      <c r="NH46" s="34">
        <f t="shared" si="25"/>
        <v>0</v>
      </c>
      <c r="NI46" s="34">
        <f t="shared" si="25"/>
        <v>0</v>
      </c>
      <c r="NJ46" s="34">
        <f t="shared" si="25"/>
        <v>0</v>
      </c>
      <c r="NK46" s="34">
        <f t="shared" si="25"/>
        <v>0</v>
      </c>
      <c r="NL46" s="34">
        <f t="shared" si="25"/>
        <v>0</v>
      </c>
      <c r="NM46" s="34">
        <f t="shared" si="25"/>
        <v>0</v>
      </c>
      <c r="NN46" s="34">
        <f t="shared" si="26"/>
        <v>0</v>
      </c>
      <c r="NO46" s="34">
        <f t="shared" si="27"/>
        <v>0</v>
      </c>
      <c r="NP46" s="34">
        <v>0</v>
      </c>
      <c r="NQ46" s="34">
        <v>0</v>
      </c>
      <c r="NR46" s="34">
        <v>6493646</v>
      </c>
      <c r="NS46" s="34">
        <v>0</v>
      </c>
      <c r="NT46" s="34">
        <v>0</v>
      </c>
      <c r="NU46" s="34">
        <v>0</v>
      </c>
      <c r="NV46" s="34">
        <v>0</v>
      </c>
      <c r="NW46" s="34">
        <v>0</v>
      </c>
      <c r="NX46">
        <v>0</v>
      </c>
      <c r="NY46" s="34">
        <v>0</v>
      </c>
      <c r="NZ46" s="34">
        <v>0</v>
      </c>
      <c r="OA46" s="34">
        <v>0</v>
      </c>
      <c r="OB46" s="34">
        <v>0</v>
      </c>
      <c r="OC46" s="34">
        <v>0</v>
      </c>
      <c r="OD46" s="34">
        <v>0</v>
      </c>
      <c r="OE46" s="34">
        <v>0</v>
      </c>
      <c r="OF46" s="34">
        <v>0</v>
      </c>
      <c r="OG46" s="34">
        <v>0</v>
      </c>
      <c r="OH46" s="34">
        <v>0</v>
      </c>
      <c r="OI46" s="34">
        <v>0</v>
      </c>
      <c r="OJ46" s="34">
        <v>0</v>
      </c>
      <c r="OK46" s="34">
        <v>0</v>
      </c>
      <c r="OL46" s="34">
        <v>0</v>
      </c>
      <c r="OM46" s="34">
        <v>0</v>
      </c>
      <c r="ON46" s="34">
        <v>0</v>
      </c>
      <c r="OO46" s="34">
        <v>0</v>
      </c>
      <c r="OP46" s="34">
        <v>0</v>
      </c>
      <c r="OQ46" s="34">
        <v>0</v>
      </c>
      <c r="OR46" s="34">
        <v>0</v>
      </c>
      <c r="OS46" s="34">
        <f t="shared" si="40"/>
        <v>0</v>
      </c>
      <c r="OT46" s="34">
        <f t="shared" si="40"/>
        <v>0</v>
      </c>
      <c r="OU46" s="34">
        <v>0</v>
      </c>
      <c r="OV46" s="34">
        <v>0</v>
      </c>
      <c r="OW46" s="34">
        <v>0</v>
      </c>
      <c r="OX46" s="34">
        <v>0</v>
      </c>
      <c r="OY46" s="34">
        <v>0</v>
      </c>
      <c r="OZ46" s="34">
        <v>0</v>
      </c>
      <c r="PA46" s="34">
        <v>0</v>
      </c>
      <c r="PB46" s="34">
        <v>0</v>
      </c>
      <c r="PC46" s="34">
        <v>0</v>
      </c>
      <c r="PD46" s="34">
        <v>0</v>
      </c>
      <c r="PE46" s="34">
        <v>0</v>
      </c>
      <c r="PF46" s="34">
        <v>0</v>
      </c>
      <c r="PG46" s="34">
        <v>0</v>
      </c>
      <c r="PH46" s="34">
        <v>0</v>
      </c>
      <c r="PI46" s="34">
        <v>0</v>
      </c>
      <c r="PJ46" s="34">
        <v>0</v>
      </c>
      <c r="PK46" s="34">
        <v>0</v>
      </c>
      <c r="PL46" s="34">
        <v>0</v>
      </c>
      <c r="PM46" s="34">
        <v>0</v>
      </c>
      <c r="PN46" s="34">
        <v>0</v>
      </c>
      <c r="PO46" s="34">
        <v>0</v>
      </c>
      <c r="PP46" s="34">
        <v>0</v>
      </c>
      <c r="PQ46" s="34">
        <v>0</v>
      </c>
      <c r="PR46" s="34">
        <v>0</v>
      </c>
      <c r="PS46" s="34">
        <v>0</v>
      </c>
      <c r="PT46" s="34">
        <v>0</v>
      </c>
      <c r="PU46" s="34">
        <v>0</v>
      </c>
      <c r="PV46" s="34">
        <v>0</v>
      </c>
      <c r="PW46" s="34">
        <v>0</v>
      </c>
      <c r="PX46" s="34">
        <v>0</v>
      </c>
      <c r="PY46" s="34">
        <v>0</v>
      </c>
      <c r="PZ46" s="34">
        <v>0</v>
      </c>
      <c r="QA46" s="34">
        <v>0</v>
      </c>
      <c r="QB46" s="34">
        <v>0</v>
      </c>
      <c r="QC46" s="34">
        <v>0</v>
      </c>
      <c r="QD46" s="34">
        <v>0</v>
      </c>
      <c r="QE46" s="34">
        <v>0</v>
      </c>
      <c r="QF46" s="34">
        <v>0</v>
      </c>
      <c r="QG46" s="34">
        <v>0</v>
      </c>
      <c r="QH46" s="34">
        <v>0</v>
      </c>
      <c r="QI46" s="34">
        <v>0</v>
      </c>
      <c r="QJ46" s="34">
        <v>0</v>
      </c>
      <c r="QK46" s="34">
        <v>0</v>
      </c>
      <c r="QL46" s="34">
        <v>0</v>
      </c>
      <c r="QM46" s="34">
        <v>0</v>
      </c>
      <c r="QN46" s="34">
        <v>0</v>
      </c>
      <c r="QO46" s="34">
        <v>0</v>
      </c>
      <c r="QP46" s="34">
        <v>0</v>
      </c>
      <c r="QQ46" s="34">
        <v>0</v>
      </c>
      <c r="QR46" s="34">
        <v>0</v>
      </c>
      <c r="QS46" s="34">
        <v>0</v>
      </c>
      <c r="QT46" s="34">
        <v>0</v>
      </c>
      <c r="QU46" s="34">
        <v>0</v>
      </c>
      <c r="QV46" s="34">
        <v>0</v>
      </c>
      <c r="QW46" s="34">
        <v>0</v>
      </c>
      <c r="QX46" s="34">
        <v>0</v>
      </c>
      <c r="QY46" s="34">
        <v>0</v>
      </c>
      <c r="QZ46" s="34">
        <v>0</v>
      </c>
      <c r="RA46" s="34">
        <v>0</v>
      </c>
      <c r="RB46" s="34">
        <v>0</v>
      </c>
      <c r="RC46" s="34">
        <v>0</v>
      </c>
      <c r="RD46" s="34">
        <v>0</v>
      </c>
      <c r="RE46" s="34">
        <v>0</v>
      </c>
      <c r="RF46" s="34">
        <v>0</v>
      </c>
      <c r="RG46" s="34">
        <v>0</v>
      </c>
      <c r="RH46" s="34">
        <v>0</v>
      </c>
      <c r="RI46" s="34">
        <v>0</v>
      </c>
      <c r="RJ46" s="34">
        <v>0</v>
      </c>
      <c r="RK46" s="34">
        <v>0</v>
      </c>
      <c r="RL46" s="34">
        <v>0</v>
      </c>
      <c r="RM46" s="34">
        <v>0</v>
      </c>
      <c r="RN46" s="34">
        <v>0</v>
      </c>
      <c r="RO46" s="34">
        <v>0</v>
      </c>
      <c r="RP46" s="34">
        <v>0</v>
      </c>
      <c r="RQ46" s="34">
        <v>0</v>
      </c>
      <c r="RR46" s="34">
        <v>0</v>
      </c>
      <c r="RS46" s="34">
        <v>0</v>
      </c>
      <c r="RT46" s="34">
        <v>0</v>
      </c>
      <c r="RU46" s="34">
        <v>0</v>
      </c>
      <c r="RV46" s="34">
        <v>0</v>
      </c>
      <c r="RW46" s="34">
        <v>0</v>
      </c>
      <c r="RX46" s="34">
        <v>0</v>
      </c>
      <c r="RY46" s="34">
        <v>0</v>
      </c>
      <c r="RZ46" s="34">
        <v>0</v>
      </c>
      <c r="SA46" s="34">
        <v>0</v>
      </c>
      <c r="SB46" s="34">
        <v>0</v>
      </c>
      <c r="SC46" s="34">
        <v>0</v>
      </c>
      <c r="SD46" s="34">
        <v>0</v>
      </c>
      <c r="SE46" s="34">
        <v>0</v>
      </c>
      <c r="SF46" s="34">
        <v>0</v>
      </c>
      <c r="SG46" s="34">
        <v>0</v>
      </c>
      <c r="SH46" s="34">
        <v>0</v>
      </c>
      <c r="SI46" s="34">
        <v>0</v>
      </c>
      <c r="SJ46" s="34">
        <v>0</v>
      </c>
      <c r="SK46" s="34">
        <v>0</v>
      </c>
      <c r="SL46" s="34">
        <v>0</v>
      </c>
      <c r="SM46" s="34">
        <v>0</v>
      </c>
      <c r="SN46" s="34">
        <v>0</v>
      </c>
      <c r="SO46" s="34">
        <v>0</v>
      </c>
      <c r="SP46" s="34">
        <v>0</v>
      </c>
      <c r="SQ46" s="34">
        <v>0</v>
      </c>
      <c r="SR46" s="34">
        <v>0</v>
      </c>
      <c r="SS46" s="34">
        <v>0</v>
      </c>
      <c r="ST46" s="34">
        <v>0</v>
      </c>
      <c r="SU46" s="34">
        <v>0</v>
      </c>
      <c r="SV46" s="34">
        <v>0</v>
      </c>
      <c r="SW46" s="34">
        <v>0</v>
      </c>
      <c r="SX46" s="34">
        <v>0</v>
      </c>
      <c r="SY46" s="34">
        <v>0</v>
      </c>
      <c r="SZ46" s="34">
        <v>0</v>
      </c>
      <c r="TA46" s="34">
        <v>0</v>
      </c>
      <c r="TB46" s="34">
        <v>0</v>
      </c>
      <c r="TC46" s="34">
        <v>0</v>
      </c>
      <c r="TD46" s="34">
        <v>0</v>
      </c>
      <c r="TE46" s="34">
        <v>0</v>
      </c>
      <c r="TF46" s="34">
        <v>0</v>
      </c>
      <c r="TG46" s="34">
        <v>0</v>
      </c>
      <c r="TH46" s="34">
        <v>0</v>
      </c>
      <c r="TI46" s="34">
        <v>0</v>
      </c>
      <c r="TJ46" s="34">
        <v>0</v>
      </c>
      <c r="TK46" s="34">
        <v>0</v>
      </c>
      <c r="TL46" s="34">
        <v>0</v>
      </c>
      <c r="TM46" s="34">
        <v>0</v>
      </c>
      <c r="TN46" s="34">
        <v>0</v>
      </c>
      <c r="TO46" s="34">
        <v>0</v>
      </c>
      <c r="TP46" s="34">
        <v>0</v>
      </c>
      <c r="TQ46" s="34">
        <v>0</v>
      </c>
      <c r="TR46" s="34">
        <v>0</v>
      </c>
      <c r="TS46" s="34">
        <v>0</v>
      </c>
      <c r="TT46" s="34">
        <v>0</v>
      </c>
      <c r="TU46" s="34">
        <v>0</v>
      </c>
      <c r="TV46" s="34">
        <v>0</v>
      </c>
      <c r="TW46" s="34">
        <v>0</v>
      </c>
      <c r="TX46" s="34">
        <v>0</v>
      </c>
      <c r="TY46" s="34">
        <v>0</v>
      </c>
      <c r="TZ46" s="34">
        <v>0</v>
      </c>
      <c r="UA46" s="34">
        <v>0</v>
      </c>
      <c r="UB46" s="34">
        <v>0</v>
      </c>
      <c r="UC46" s="34">
        <v>0</v>
      </c>
      <c r="UD46" s="34">
        <v>0</v>
      </c>
      <c r="UE46" s="34">
        <v>0</v>
      </c>
      <c r="UF46" s="34">
        <v>0</v>
      </c>
      <c r="UG46" s="34">
        <v>0</v>
      </c>
      <c r="UH46" s="34">
        <v>0</v>
      </c>
      <c r="UI46" s="34">
        <v>0</v>
      </c>
      <c r="UJ46" s="34">
        <v>0</v>
      </c>
      <c r="UK46" s="34">
        <v>0</v>
      </c>
      <c r="UL46" s="34">
        <v>0</v>
      </c>
      <c r="UM46" s="34">
        <v>0</v>
      </c>
      <c r="UN46" s="34">
        <v>0</v>
      </c>
      <c r="UO46" s="34">
        <v>0</v>
      </c>
      <c r="UP46" s="34">
        <v>0</v>
      </c>
      <c r="UQ46" s="34">
        <v>0</v>
      </c>
      <c r="UR46" s="34">
        <v>0</v>
      </c>
      <c r="US46" s="34">
        <v>0</v>
      </c>
      <c r="UT46" s="34">
        <v>0</v>
      </c>
      <c r="UU46" s="34">
        <v>0</v>
      </c>
      <c r="UV46" s="34">
        <v>0</v>
      </c>
      <c r="UW46" s="34">
        <v>0</v>
      </c>
      <c r="UX46" s="34">
        <v>0</v>
      </c>
      <c r="UY46" s="34">
        <v>0</v>
      </c>
      <c r="UZ46" s="34">
        <v>0</v>
      </c>
      <c r="VA46" s="34">
        <v>0</v>
      </c>
      <c r="VB46" s="34">
        <v>0</v>
      </c>
      <c r="VC46" s="34">
        <v>0</v>
      </c>
      <c r="VD46" s="34">
        <v>0</v>
      </c>
      <c r="VE46" s="34">
        <v>0</v>
      </c>
      <c r="VF46" s="34">
        <v>0</v>
      </c>
      <c r="VG46" s="34">
        <v>0</v>
      </c>
      <c r="VH46" s="34">
        <v>0</v>
      </c>
      <c r="VI46" s="34">
        <v>0</v>
      </c>
      <c r="VJ46" s="34">
        <v>0</v>
      </c>
      <c r="VK46" s="34">
        <v>0</v>
      </c>
      <c r="VL46" s="34">
        <v>0</v>
      </c>
      <c r="VM46" s="34">
        <v>0</v>
      </c>
      <c r="VN46" s="34">
        <v>0</v>
      </c>
      <c r="VO46" s="34">
        <v>0</v>
      </c>
      <c r="VP46" s="34">
        <v>0</v>
      </c>
      <c r="VQ46" s="34">
        <v>0</v>
      </c>
      <c r="VR46" s="34">
        <v>0</v>
      </c>
      <c r="VS46" s="34">
        <v>0</v>
      </c>
      <c r="VT46" s="34">
        <v>0</v>
      </c>
      <c r="VU46" s="34">
        <v>0</v>
      </c>
      <c r="VV46" s="34">
        <v>0</v>
      </c>
      <c r="VW46" s="34">
        <v>0</v>
      </c>
      <c r="VX46" s="34">
        <v>0</v>
      </c>
      <c r="VY46" s="34">
        <v>0</v>
      </c>
      <c r="VZ46" s="34">
        <v>0</v>
      </c>
      <c r="WA46" s="34">
        <v>0</v>
      </c>
      <c r="WB46" s="34">
        <v>0</v>
      </c>
      <c r="WC46" s="34">
        <v>0</v>
      </c>
      <c r="WD46" s="34">
        <v>0</v>
      </c>
      <c r="WE46" s="34">
        <v>0</v>
      </c>
      <c r="WF46" s="34">
        <v>0</v>
      </c>
      <c r="WG46" s="34">
        <v>0</v>
      </c>
      <c r="WH46" s="34">
        <v>0</v>
      </c>
      <c r="WI46" s="34">
        <v>0</v>
      </c>
      <c r="WJ46" s="34">
        <v>0</v>
      </c>
      <c r="WK46" s="34">
        <v>0</v>
      </c>
      <c r="WL46" s="34">
        <v>0</v>
      </c>
      <c r="WM46">
        <v>0</v>
      </c>
      <c r="WN46">
        <v>0</v>
      </c>
      <c r="WO46">
        <v>0</v>
      </c>
      <c r="WP46">
        <v>0</v>
      </c>
      <c r="WQ46">
        <v>0</v>
      </c>
      <c r="WR46">
        <v>0</v>
      </c>
      <c r="WS46">
        <v>0</v>
      </c>
      <c r="WT46">
        <v>0</v>
      </c>
      <c r="WU46">
        <v>0</v>
      </c>
      <c r="WV46">
        <v>0</v>
      </c>
      <c r="WW46">
        <v>0</v>
      </c>
      <c r="WX46">
        <v>0</v>
      </c>
      <c r="WY46">
        <v>0</v>
      </c>
      <c r="WZ46">
        <v>0</v>
      </c>
      <c r="XA46">
        <v>0</v>
      </c>
      <c r="XB46">
        <v>0</v>
      </c>
      <c r="XC46">
        <v>0</v>
      </c>
      <c r="XD46">
        <v>0</v>
      </c>
      <c r="XE46">
        <v>0</v>
      </c>
      <c r="XF46">
        <v>0</v>
      </c>
      <c r="XG46">
        <v>0</v>
      </c>
      <c r="XH46">
        <v>0</v>
      </c>
      <c r="XI46">
        <v>0</v>
      </c>
      <c r="XJ46">
        <v>0</v>
      </c>
      <c r="XK46">
        <v>0</v>
      </c>
      <c r="XL46">
        <v>0</v>
      </c>
      <c r="XM46">
        <v>0</v>
      </c>
      <c r="XN46">
        <v>0</v>
      </c>
      <c r="XO46">
        <v>0</v>
      </c>
      <c r="XP46">
        <v>0</v>
      </c>
      <c r="XQ46">
        <v>0</v>
      </c>
      <c r="XR46">
        <v>0</v>
      </c>
      <c r="XS46">
        <v>0</v>
      </c>
      <c r="XT46">
        <v>0</v>
      </c>
      <c r="XU46">
        <v>0</v>
      </c>
      <c r="XV46">
        <v>0</v>
      </c>
      <c r="XW46">
        <v>0</v>
      </c>
      <c r="XX46">
        <v>0</v>
      </c>
      <c r="XY46">
        <v>0</v>
      </c>
      <c r="XZ46">
        <v>0</v>
      </c>
      <c r="YA46">
        <v>0</v>
      </c>
      <c r="YB46">
        <v>0</v>
      </c>
      <c r="YC46">
        <v>0</v>
      </c>
      <c r="YD46">
        <v>0</v>
      </c>
      <c r="YE46">
        <v>0</v>
      </c>
      <c r="YF46" s="1">
        <v>0</v>
      </c>
      <c r="YG46" s="1">
        <v>0</v>
      </c>
      <c r="YH46" s="1">
        <v>0</v>
      </c>
      <c r="YI46" s="1">
        <v>0</v>
      </c>
      <c r="YJ46">
        <v>0</v>
      </c>
      <c r="YK46">
        <v>0</v>
      </c>
      <c r="YL46">
        <v>0</v>
      </c>
      <c r="YM46">
        <v>0</v>
      </c>
      <c r="YN46">
        <v>0</v>
      </c>
      <c r="YO46">
        <v>0</v>
      </c>
      <c r="YP46">
        <v>0</v>
      </c>
      <c r="YQ46">
        <v>0</v>
      </c>
      <c r="YR46">
        <v>0</v>
      </c>
      <c r="YS46">
        <v>0</v>
      </c>
      <c r="YT46">
        <v>0</v>
      </c>
      <c r="YU46">
        <v>0</v>
      </c>
      <c r="YV46">
        <v>0</v>
      </c>
      <c r="YW46">
        <v>0</v>
      </c>
      <c r="YX46">
        <v>0</v>
      </c>
      <c r="YY46">
        <v>0</v>
      </c>
      <c r="YZ46">
        <v>0</v>
      </c>
      <c r="ZA46">
        <v>0</v>
      </c>
      <c r="ZB46">
        <v>0</v>
      </c>
      <c r="ZC46">
        <v>0</v>
      </c>
      <c r="ZD46">
        <v>0</v>
      </c>
      <c r="ZE46">
        <v>0</v>
      </c>
      <c r="ZF46">
        <v>0</v>
      </c>
      <c r="ZG46">
        <v>0</v>
      </c>
      <c r="ZH46">
        <v>0</v>
      </c>
      <c r="ZI46">
        <v>0</v>
      </c>
      <c r="ZJ46">
        <v>0</v>
      </c>
      <c r="ZK46">
        <v>0</v>
      </c>
      <c r="ZL46">
        <v>0</v>
      </c>
      <c r="ZM46">
        <v>0</v>
      </c>
      <c r="ZN46">
        <v>0</v>
      </c>
      <c r="ZO46">
        <v>0</v>
      </c>
      <c r="ZP46">
        <v>0</v>
      </c>
      <c r="ZQ46">
        <v>0</v>
      </c>
      <c r="ZR46">
        <v>0</v>
      </c>
      <c r="ZS46">
        <v>0</v>
      </c>
      <c r="ZT46">
        <v>0</v>
      </c>
      <c r="ZU46">
        <v>0</v>
      </c>
      <c r="ZV46">
        <v>0</v>
      </c>
      <c r="ZW46">
        <v>0</v>
      </c>
      <c r="ZX46">
        <v>0</v>
      </c>
      <c r="ZY46">
        <v>0</v>
      </c>
      <c r="ZZ46">
        <v>0</v>
      </c>
      <c r="AAA46">
        <v>0</v>
      </c>
      <c r="AAB46">
        <v>0</v>
      </c>
      <c r="AAC46">
        <v>0</v>
      </c>
      <c r="AAD46">
        <v>0</v>
      </c>
      <c r="AAE46">
        <v>0</v>
      </c>
      <c r="AAF46">
        <v>0</v>
      </c>
      <c r="AAG46">
        <v>0</v>
      </c>
      <c r="AAH46">
        <v>0</v>
      </c>
      <c r="AAI46">
        <v>0</v>
      </c>
      <c r="AAJ46">
        <v>0</v>
      </c>
      <c r="AAK46">
        <v>0</v>
      </c>
      <c r="AAL46">
        <v>0</v>
      </c>
      <c r="AAM46">
        <v>0</v>
      </c>
      <c r="AAN46">
        <v>0</v>
      </c>
      <c r="AAO46">
        <v>0</v>
      </c>
      <c r="AAP46">
        <v>0</v>
      </c>
      <c r="AAQ46">
        <v>0</v>
      </c>
      <c r="AAR46">
        <v>0</v>
      </c>
      <c r="AAS46">
        <v>0</v>
      </c>
      <c r="AAT46">
        <v>0</v>
      </c>
      <c r="AAU46">
        <v>0</v>
      </c>
      <c r="AAV46">
        <v>0</v>
      </c>
      <c r="AAW46">
        <v>0</v>
      </c>
      <c r="AAX46">
        <v>0</v>
      </c>
      <c r="AAY46">
        <v>0</v>
      </c>
      <c r="AAZ46">
        <v>0</v>
      </c>
      <c r="ABA46">
        <v>0</v>
      </c>
      <c r="ABB46">
        <v>0</v>
      </c>
      <c r="ABC46">
        <v>0</v>
      </c>
      <c r="ABD46">
        <v>0</v>
      </c>
      <c r="ABE46">
        <v>0</v>
      </c>
      <c r="ABF46">
        <v>0</v>
      </c>
      <c r="ABG46">
        <v>0</v>
      </c>
      <c r="ABH46">
        <v>0</v>
      </c>
      <c r="ABI46">
        <v>0</v>
      </c>
      <c r="ABJ46">
        <v>0</v>
      </c>
      <c r="ABK46">
        <v>0</v>
      </c>
      <c r="ABL46">
        <v>0</v>
      </c>
      <c r="ABM46">
        <v>0</v>
      </c>
      <c r="ABN46">
        <v>0</v>
      </c>
      <c r="ABO46">
        <v>0</v>
      </c>
      <c r="ABP46">
        <v>0</v>
      </c>
      <c r="ABQ46">
        <v>0</v>
      </c>
      <c r="ABR46">
        <v>0</v>
      </c>
      <c r="ABS46">
        <v>0</v>
      </c>
      <c r="ABT46">
        <v>0</v>
      </c>
      <c r="ABU46">
        <v>0</v>
      </c>
      <c r="ABV46">
        <v>0</v>
      </c>
      <c r="ABW46">
        <v>0</v>
      </c>
      <c r="ABX46">
        <v>0</v>
      </c>
      <c r="ABY46">
        <v>0</v>
      </c>
      <c r="ABZ46">
        <v>0</v>
      </c>
      <c r="ACA46">
        <v>0</v>
      </c>
      <c r="ACB46">
        <v>0</v>
      </c>
      <c r="ACC46">
        <v>0</v>
      </c>
      <c r="ACD46">
        <v>0</v>
      </c>
      <c r="ACE46">
        <v>0</v>
      </c>
      <c r="ACF46">
        <v>0</v>
      </c>
      <c r="ACG46">
        <v>0</v>
      </c>
      <c r="ACH46">
        <v>0</v>
      </c>
      <c r="ACI46">
        <v>0</v>
      </c>
      <c r="ACJ46">
        <v>0</v>
      </c>
      <c r="ACK46">
        <v>0</v>
      </c>
      <c r="ACL46">
        <v>0</v>
      </c>
      <c r="ACM46">
        <v>0</v>
      </c>
      <c r="ACN46">
        <v>0</v>
      </c>
      <c r="ACO46">
        <v>0</v>
      </c>
      <c r="ACP46">
        <v>0</v>
      </c>
      <c r="ACQ46">
        <v>0</v>
      </c>
      <c r="ACR46">
        <v>0</v>
      </c>
      <c r="ACS46">
        <v>0</v>
      </c>
      <c r="ACT46">
        <v>0</v>
      </c>
      <c r="ACU46">
        <v>0</v>
      </c>
      <c r="ACV46">
        <v>0</v>
      </c>
      <c r="ACW46">
        <v>0</v>
      </c>
      <c r="ACX46">
        <v>0</v>
      </c>
      <c r="ACY46">
        <v>0</v>
      </c>
      <c r="ACZ46">
        <v>0</v>
      </c>
      <c r="ADA46">
        <v>0</v>
      </c>
      <c r="ADB46">
        <v>0</v>
      </c>
      <c r="ADC46">
        <v>0</v>
      </c>
      <c r="ADD46">
        <v>0</v>
      </c>
      <c r="ADE46">
        <v>0</v>
      </c>
      <c r="ADF46">
        <v>0</v>
      </c>
      <c r="ADG46">
        <v>0</v>
      </c>
      <c r="ADH46">
        <v>0</v>
      </c>
      <c r="ADI46">
        <v>0</v>
      </c>
      <c r="ADJ46">
        <v>0</v>
      </c>
      <c r="ADK46">
        <v>0</v>
      </c>
      <c r="ADL46">
        <v>0</v>
      </c>
      <c r="ADM46">
        <v>0</v>
      </c>
      <c r="ADN46">
        <v>0</v>
      </c>
      <c r="ADO46">
        <v>0</v>
      </c>
      <c r="ADP46">
        <v>0</v>
      </c>
      <c r="ADQ46">
        <v>0</v>
      </c>
      <c r="ADR46">
        <v>0</v>
      </c>
      <c r="ADS46">
        <v>0</v>
      </c>
      <c r="ADT46">
        <v>0</v>
      </c>
      <c r="ADU46">
        <v>0</v>
      </c>
      <c r="ADV46">
        <v>0</v>
      </c>
      <c r="ADW46">
        <v>0</v>
      </c>
      <c r="ADX46">
        <v>0</v>
      </c>
      <c r="ADY46">
        <v>0</v>
      </c>
      <c r="ADZ46">
        <v>0</v>
      </c>
      <c r="AEA46">
        <v>0</v>
      </c>
      <c r="AEB46">
        <v>0</v>
      </c>
      <c r="AEC46">
        <v>0</v>
      </c>
      <c r="AED46">
        <v>0</v>
      </c>
      <c r="AEE46">
        <v>0</v>
      </c>
      <c r="AEF46">
        <v>0</v>
      </c>
      <c r="AEG46">
        <v>0</v>
      </c>
      <c r="AEH46">
        <v>0</v>
      </c>
      <c r="AEI46">
        <v>0</v>
      </c>
      <c r="AEJ46">
        <v>0</v>
      </c>
      <c r="AEK46">
        <v>0</v>
      </c>
      <c r="AEL46">
        <v>0</v>
      </c>
      <c r="AEM46">
        <v>0</v>
      </c>
      <c r="AEN46">
        <v>0</v>
      </c>
      <c r="AEO46">
        <v>0</v>
      </c>
      <c r="AEP46">
        <v>0</v>
      </c>
      <c r="AEQ46">
        <v>0</v>
      </c>
      <c r="AER46">
        <v>0</v>
      </c>
      <c r="AES46">
        <v>0</v>
      </c>
      <c r="AET46">
        <v>0</v>
      </c>
      <c r="AEU46">
        <v>0</v>
      </c>
      <c r="AEV46">
        <v>0</v>
      </c>
      <c r="AEW46">
        <v>0</v>
      </c>
      <c r="AEX46">
        <v>0</v>
      </c>
      <c r="AEY46">
        <v>0</v>
      </c>
      <c r="AEZ46">
        <v>0</v>
      </c>
      <c r="AFA46">
        <v>0</v>
      </c>
      <c r="AFB46">
        <v>0</v>
      </c>
      <c r="AFC46">
        <v>0</v>
      </c>
      <c r="AFD46">
        <v>0</v>
      </c>
      <c r="AFE46">
        <v>0</v>
      </c>
      <c r="AFF46">
        <v>0</v>
      </c>
      <c r="AFG46">
        <v>0</v>
      </c>
      <c r="AFH46">
        <v>0</v>
      </c>
      <c r="AFI46">
        <v>0</v>
      </c>
      <c r="AFJ46">
        <v>0</v>
      </c>
      <c r="AFK46">
        <v>0</v>
      </c>
      <c r="AFL46">
        <v>0</v>
      </c>
      <c r="AFM46">
        <v>0</v>
      </c>
      <c r="AFN46">
        <v>0</v>
      </c>
      <c r="AFO46">
        <v>0</v>
      </c>
      <c r="AFP46">
        <v>0</v>
      </c>
      <c r="AFQ46">
        <v>0</v>
      </c>
      <c r="AFR46">
        <v>0</v>
      </c>
      <c r="AFS46">
        <v>0</v>
      </c>
      <c r="AFT46">
        <v>0</v>
      </c>
      <c r="AFU46">
        <v>0</v>
      </c>
      <c r="AFV46">
        <v>0</v>
      </c>
      <c r="AFW46">
        <v>0</v>
      </c>
      <c r="AFX46">
        <v>0</v>
      </c>
      <c r="AFY46">
        <v>0</v>
      </c>
      <c r="AFZ46">
        <v>0</v>
      </c>
      <c r="AGA46">
        <v>0</v>
      </c>
      <c r="AGB46">
        <v>0</v>
      </c>
      <c r="AGC46">
        <v>0</v>
      </c>
      <c r="AGD46">
        <v>0</v>
      </c>
      <c r="AGE46">
        <v>0</v>
      </c>
      <c r="AGF46">
        <v>0</v>
      </c>
      <c r="AGG46">
        <v>0</v>
      </c>
      <c r="AGH46">
        <v>0</v>
      </c>
      <c r="AGI46">
        <v>0</v>
      </c>
      <c r="AGJ46">
        <v>0</v>
      </c>
      <c r="AGK46">
        <v>0</v>
      </c>
      <c r="AGL46">
        <v>0</v>
      </c>
      <c r="AGM46">
        <v>0</v>
      </c>
      <c r="AGN46">
        <v>0</v>
      </c>
      <c r="AGO46">
        <v>0</v>
      </c>
      <c r="AGP46">
        <v>0</v>
      </c>
      <c r="AGQ46">
        <v>0</v>
      </c>
      <c r="AGR46">
        <v>0</v>
      </c>
      <c r="AGS46">
        <v>0</v>
      </c>
      <c r="AGT46">
        <v>0</v>
      </c>
      <c r="AGU46">
        <v>0</v>
      </c>
      <c r="AGV46">
        <v>0</v>
      </c>
      <c r="AGW46">
        <v>0</v>
      </c>
      <c r="AGX46">
        <v>0</v>
      </c>
      <c r="AGY46">
        <v>0</v>
      </c>
      <c r="AGZ46">
        <v>0</v>
      </c>
      <c r="AHA46">
        <v>0</v>
      </c>
      <c r="AHB46">
        <v>0</v>
      </c>
      <c r="AHC46">
        <v>0</v>
      </c>
      <c r="AHD46">
        <v>0</v>
      </c>
      <c r="AHE46">
        <v>0</v>
      </c>
      <c r="AHF46">
        <v>0</v>
      </c>
      <c r="AHG46">
        <v>0</v>
      </c>
      <c r="AHH46">
        <v>0</v>
      </c>
      <c r="AHI46">
        <v>0</v>
      </c>
      <c r="AHJ46">
        <v>0</v>
      </c>
      <c r="AHK46">
        <v>0</v>
      </c>
      <c r="AHL46">
        <v>0</v>
      </c>
      <c r="AHM46">
        <v>0</v>
      </c>
      <c r="AHN46">
        <v>0</v>
      </c>
      <c r="AHO46">
        <v>0</v>
      </c>
      <c r="AHP46">
        <v>0</v>
      </c>
      <c r="AHQ46">
        <v>0</v>
      </c>
    </row>
    <row r="47" spans="1:901">
      <c r="A47" s="1" t="s">
        <v>36</v>
      </c>
      <c r="C47" s="34">
        <f t="shared" si="28"/>
        <v>31646</v>
      </c>
      <c r="D47" s="34">
        <f>D26-C26</f>
        <v>33240</v>
      </c>
      <c r="E47" s="34">
        <f t="shared" si="29"/>
        <v>34822</v>
      </c>
      <c r="F47" s="34">
        <f t="shared" si="30"/>
        <v>27620</v>
      </c>
      <c r="G47" s="34">
        <f t="shared" si="31"/>
        <v>16822</v>
      </c>
      <c r="H47" s="34">
        <f t="shared" si="32"/>
        <v>13389</v>
      </c>
      <c r="I47" s="34">
        <f t="shared" si="32"/>
        <v>15573</v>
      </c>
      <c r="J47" s="34">
        <f t="shared" si="0"/>
        <v>29078</v>
      </c>
      <c r="K47" s="34">
        <f t="shared" si="0"/>
        <v>37653</v>
      </c>
      <c r="L47" s="34">
        <f t="shared" si="0"/>
        <v>77566</v>
      </c>
      <c r="M47" s="34">
        <f t="shared" si="0"/>
        <v>37473</v>
      </c>
      <c r="N47" s="34">
        <f t="shared" si="0"/>
        <v>28919</v>
      </c>
      <c r="O47" s="34">
        <f t="shared" si="0"/>
        <v>27509</v>
      </c>
      <c r="P47" s="34">
        <f t="shared" si="0"/>
        <v>33533</v>
      </c>
      <c r="Q47" s="34">
        <f t="shared" si="0"/>
        <v>38674</v>
      </c>
      <c r="R47" s="34">
        <f t="shared" si="0"/>
        <v>35698</v>
      </c>
      <c r="S47" s="34">
        <f t="shared" si="0"/>
        <v>36333</v>
      </c>
      <c r="T47" s="34">
        <f t="shared" si="0"/>
        <v>36198</v>
      </c>
      <c r="U47" s="34">
        <f t="shared" si="0"/>
        <v>26316</v>
      </c>
      <c r="V47" s="34">
        <f t="shared" si="0"/>
        <v>19706</v>
      </c>
      <c r="W47" s="34">
        <f t="shared" si="0"/>
        <v>32954</v>
      </c>
      <c r="X47" s="34">
        <f t="shared" si="0"/>
        <v>36292</v>
      </c>
      <c r="Y47" s="34">
        <f t="shared" si="0"/>
        <v>36022</v>
      </c>
      <c r="Z47" s="34">
        <f t="shared" si="1"/>
        <v>39211</v>
      </c>
      <c r="AA47" s="34">
        <f t="shared" si="1"/>
        <v>35907</v>
      </c>
      <c r="AB47" s="34">
        <f t="shared" si="1"/>
        <v>25603</v>
      </c>
      <c r="AC47" s="34">
        <f t="shared" si="1"/>
        <v>17351</v>
      </c>
      <c r="AD47" s="34">
        <f t="shared" si="1"/>
        <v>18005</v>
      </c>
      <c r="AE47" s="34">
        <f t="shared" si="1"/>
        <v>31088</v>
      </c>
      <c r="AF47" s="34">
        <f t="shared" si="1"/>
        <v>36614</v>
      </c>
      <c r="AG47" s="34">
        <f t="shared" si="1"/>
        <v>37121</v>
      </c>
      <c r="AH47" s="34">
        <f t="shared" si="1"/>
        <v>34671</v>
      </c>
      <c r="AI47" s="34">
        <f t="shared" si="1"/>
        <v>25731</v>
      </c>
      <c r="AJ47" s="34">
        <f t="shared" si="1"/>
        <v>18846</v>
      </c>
      <c r="AK47" s="34">
        <f t="shared" si="1"/>
        <v>31734</v>
      </c>
      <c r="AL47" s="34">
        <f t="shared" si="1"/>
        <v>37359</v>
      </c>
      <c r="AM47" s="34">
        <f t="shared" si="1"/>
        <v>37796</v>
      </c>
      <c r="AN47" s="34">
        <f t="shared" si="2"/>
        <v>38473</v>
      </c>
      <c r="AO47" s="34">
        <f t="shared" si="2"/>
        <v>37832</v>
      </c>
      <c r="AP47" s="34">
        <f t="shared" si="2"/>
        <v>20012</v>
      </c>
      <c r="AQ47" s="34">
        <f t="shared" si="2"/>
        <v>21822</v>
      </c>
      <c r="AR47" s="34">
        <f t="shared" si="2"/>
        <v>33406</v>
      </c>
      <c r="AS47" s="34">
        <f t="shared" si="2"/>
        <v>36880</v>
      </c>
      <c r="AT47" s="34">
        <f t="shared" si="2"/>
        <v>39258</v>
      </c>
      <c r="AU47" s="34">
        <f t="shared" si="2"/>
        <v>41152</v>
      </c>
      <c r="AV47" s="34">
        <f t="shared" si="2"/>
        <v>36260</v>
      </c>
      <c r="AW47" s="34">
        <f t="shared" si="2"/>
        <v>23654</v>
      </c>
      <c r="AX47" s="34">
        <f t="shared" si="2"/>
        <v>18031</v>
      </c>
      <c r="AY47" s="34">
        <f t="shared" si="2"/>
        <v>34228</v>
      </c>
      <c r="AZ47" s="34">
        <f t="shared" si="2"/>
        <v>40493</v>
      </c>
      <c r="BA47" s="34">
        <f t="shared" si="2"/>
        <v>39290</v>
      </c>
      <c r="BB47" s="34">
        <f t="shared" si="3"/>
        <v>42071</v>
      </c>
      <c r="BC47" s="34">
        <f t="shared" si="3"/>
        <v>37331</v>
      </c>
      <c r="BD47" s="34">
        <f t="shared" si="3"/>
        <v>23931</v>
      </c>
      <c r="BE47" s="34">
        <f t="shared" si="3"/>
        <v>22148</v>
      </c>
      <c r="BF47" s="34">
        <f t="shared" si="3"/>
        <v>35708</v>
      </c>
      <c r="BG47" s="34">
        <f t="shared" si="3"/>
        <v>38283</v>
      </c>
      <c r="BH47" s="34">
        <f t="shared" si="3"/>
        <v>40522</v>
      </c>
      <c r="BI47" s="34">
        <f t="shared" si="3"/>
        <v>40814</v>
      </c>
      <c r="BJ47" s="34">
        <f t="shared" si="3"/>
        <v>37329</v>
      </c>
      <c r="BK47" s="34">
        <f t="shared" si="3"/>
        <v>22703</v>
      </c>
      <c r="BL47" s="34">
        <f t="shared" si="3"/>
        <v>20225</v>
      </c>
      <c r="BM47" s="34">
        <f t="shared" si="3"/>
        <v>35314</v>
      </c>
      <c r="BN47" s="34">
        <f t="shared" si="3"/>
        <v>39230</v>
      </c>
      <c r="BO47" s="34">
        <f t="shared" si="3"/>
        <v>39586</v>
      </c>
      <c r="BP47" s="34">
        <f t="shared" si="4"/>
        <v>40034</v>
      </c>
      <c r="BQ47" s="34">
        <f t="shared" si="4"/>
        <v>38378</v>
      </c>
      <c r="BR47" s="34">
        <f t="shared" si="4"/>
        <v>22760</v>
      </c>
      <c r="BS47" s="34">
        <f t="shared" si="4"/>
        <v>20380</v>
      </c>
      <c r="BT47" s="34">
        <f t="shared" si="4"/>
        <v>36179</v>
      </c>
      <c r="BU47" s="34">
        <f t="shared" si="4"/>
        <v>38926</v>
      </c>
      <c r="BV47" s="34">
        <f t="shared" si="4"/>
        <v>39462</v>
      </c>
      <c r="BW47" s="34">
        <f t="shared" si="4"/>
        <v>42774</v>
      </c>
      <c r="BX47" s="34">
        <f t="shared" si="4"/>
        <v>37496</v>
      </c>
      <c r="BY47" s="34">
        <f t="shared" si="4"/>
        <v>23680</v>
      </c>
      <c r="BZ47" s="34">
        <f t="shared" si="4"/>
        <v>21600</v>
      </c>
      <c r="CA47" s="34">
        <f t="shared" si="4"/>
        <v>36062</v>
      </c>
      <c r="CB47" s="34">
        <f t="shared" si="4"/>
        <v>40641</v>
      </c>
      <c r="CC47" s="34">
        <f t="shared" si="4"/>
        <v>40161</v>
      </c>
      <c r="CD47" s="34">
        <f t="shared" si="4"/>
        <v>42177</v>
      </c>
      <c r="CE47" s="34">
        <f t="shared" si="4"/>
        <v>38743</v>
      </c>
      <c r="CF47" s="34">
        <f t="shared" si="4"/>
        <v>28185</v>
      </c>
      <c r="CG47" s="34">
        <f t="shared" si="4"/>
        <v>22192</v>
      </c>
      <c r="CH47" s="34">
        <f t="shared" si="4"/>
        <v>32509</v>
      </c>
      <c r="CI47" s="34">
        <f t="shared" si="4"/>
        <v>27543</v>
      </c>
      <c r="CJ47" s="34">
        <f t="shared" si="4"/>
        <v>40359</v>
      </c>
      <c r="CK47" s="34">
        <f t="shared" si="4"/>
        <v>48000</v>
      </c>
      <c r="CL47" s="34">
        <f t="shared" si="4"/>
        <v>46876</v>
      </c>
      <c r="CM47" s="34">
        <f t="shared" si="4"/>
        <v>29482</v>
      </c>
      <c r="CN47" s="34">
        <f t="shared" si="4"/>
        <v>25899</v>
      </c>
      <c r="CO47" s="34">
        <f t="shared" si="4"/>
        <v>40061</v>
      </c>
      <c r="CP47" s="34">
        <f t="shared" si="4"/>
        <v>47534</v>
      </c>
      <c r="CQ47" s="34">
        <f t="shared" si="4"/>
        <v>46726</v>
      </c>
      <c r="CR47" s="34">
        <f t="shared" si="4"/>
        <v>50285</v>
      </c>
      <c r="CS47" s="34">
        <f t="shared" si="4"/>
        <v>45693</v>
      </c>
      <c r="CT47" s="34">
        <f t="shared" si="4"/>
        <v>29905</v>
      </c>
      <c r="CU47" s="34">
        <f t="shared" si="4"/>
        <v>31234</v>
      </c>
      <c r="CV47" s="34">
        <f t="shared" si="4"/>
        <v>44304</v>
      </c>
      <c r="CW47" s="34">
        <f t="shared" si="5"/>
        <v>48011</v>
      </c>
      <c r="CX47" s="34">
        <f t="shared" si="5"/>
        <v>48273</v>
      </c>
      <c r="CY47" s="34">
        <f t="shared" si="5"/>
        <v>27297</v>
      </c>
      <c r="CZ47" s="34">
        <f t="shared" si="5"/>
        <v>23491</v>
      </c>
      <c r="DA47" s="34">
        <f t="shared" si="5"/>
        <v>22390</v>
      </c>
      <c r="DB47" s="34">
        <f t="shared" si="5"/>
        <v>26092</v>
      </c>
      <c r="DC47" s="34">
        <f t="shared" si="5"/>
        <v>42570</v>
      </c>
      <c r="DD47" s="34">
        <f t="shared" si="5"/>
        <v>50583</v>
      </c>
      <c r="DE47" s="34">
        <f t="shared" si="5"/>
        <v>46178</v>
      </c>
      <c r="DF47" s="34">
        <f t="shared" si="5"/>
        <v>29784</v>
      </c>
      <c r="DG47" s="34">
        <f t="shared" si="5"/>
        <v>25497</v>
      </c>
      <c r="DH47" s="34">
        <f t="shared" si="5"/>
        <v>25817</v>
      </c>
      <c r="DI47" s="34">
        <f t="shared" si="5"/>
        <v>32036</v>
      </c>
      <c r="DJ47" s="34">
        <f t="shared" si="5"/>
        <v>47718</v>
      </c>
      <c r="DK47" s="34">
        <f t="shared" si="5"/>
        <v>54041</v>
      </c>
      <c r="DL47" s="34">
        <f t="shared" si="5"/>
        <v>58116</v>
      </c>
      <c r="DM47" s="34">
        <f t="shared" si="5"/>
        <v>59726</v>
      </c>
      <c r="DN47" s="34">
        <f t="shared" si="5"/>
        <v>57438</v>
      </c>
      <c r="DO47" s="34">
        <f t="shared" si="5"/>
        <v>42722</v>
      </c>
      <c r="DP47" s="34">
        <f t="shared" si="5"/>
        <v>41460</v>
      </c>
      <c r="DQ47" s="34">
        <f t="shared" si="5"/>
        <v>54116</v>
      </c>
      <c r="DR47" s="34">
        <f t="shared" si="5"/>
        <v>58977</v>
      </c>
      <c r="DS47" s="34">
        <f t="shared" si="5"/>
        <v>65199</v>
      </c>
      <c r="DT47" s="34">
        <f t="shared" si="5"/>
        <v>68458</v>
      </c>
      <c r="DU47" s="34">
        <f t="shared" si="5"/>
        <v>55673</v>
      </c>
      <c r="DV47" s="34">
        <f t="shared" si="5"/>
        <v>42013</v>
      </c>
      <c r="DW47" s="34">
        <f t="shared" si="5"/>
        <v>41504</v>
      </c>
      <c r="DX47" s="34">
        <f t="shared" si="5"/>
        <v>56928</v>
      </c>
      <c r="DY47" s="34">
        <f t="shared" si="5"/>
        <v>62516</v>
      </c>
      <c r="DZ47" s="34">
        <f t="shared" si="5"/>
        <v>58428</v>
      </c>
      <c r="EA47" s="34">
        <f t="shared" si="5"/>
        <v>65500</v>
      </c>
      <c r="EB47" s="34">
        <f t="shared" si="5"/>
        <v>55229</v>
      </c>
      <c r="EC47" s="34">
        <f t="shared" si="5"/>
        <v>42995</v>
      </c>
      <c r="ED47" s="34">
        <f t="shared" si="5"/>
        <v>39555</v>
      </c>
      <c r="EE47" s="34">
        <f t="shared" si="5"/>
        <v>53790</v>
      </c>
      <c r="EF47" s="34">
        <f t="shared" si="5"/>
        <v>61941</v>
      </c>
      <c r="EG47" s="34">
        <f t="shared" si="5"/>
        <v>63308</v>
      </c>
      <c r="EH47" s="34">
        <f t="shared" si="5"/>
        <v>60434</v>
      </c>
      <c r="EI47" s="34">
        <f t="shared" si="5"/>
        <v>58709</v>
      </c>
      <c r="EJ47" s="34">
        <f t="shared" si="5"/>
        <v>45388</v>
      </c>
      <c r="EK47" s="34">
        <f t="shared" si="5"/>
        <v>32488</v>
      </c>
      <c r="EL47" s="34">
        <f t="shared" si="5"/>
        <v>52040</v>
      </c>
      <c r="EM47" s="34">
        <f t="shared" si="5"/>
        <v>56151</v>
      </c>
      <c r="EN47" s="34">
        <f t="shared" si="5"/>
        <v>59950</v>
      </c>
      <c r="EO47" s="34">
        <f t="shared" si="5"/>
        <v>54943</v>
      </c>
      <c r="EP47" s="34">
        <f t="shared" si="5"/>
        <v>50505</v>
      </c>
      <c r="EQ47" s="34">
        <f t="shared" si="5"/>
        <v>39024</v>
      </c>
      <c r="ER47" s="34">
        <f t="shared" si="6"/>
        <v>28742</v>
      </c>
      <c r="ES47" s="34">
        <f t="shared" si="6"/>
        <v>52742</v>
      </c>
      <c r="ET47" s="34">
        <f t="shared" si="6"/>
        <v>55262</v>
      </c>
      <c r="EU47" s="34">
        <f t="shared" si="6"/>
        <v>51788</v>
      </c>
      <c r="EV47" s="34">
        <f t="shared" si="6"/>
        <v>57855</v>
      </c>
      <c r="EW47" s="34">
        <f t="shared" si="6"/>
        <v>50614</v>
      </c>
      <c r="EX47" s="34">
        <f t="shared" si="6"/>
        <v>34193</v>
      </c>
      <c r="EY47" s="34">
        <f t="shared" si="6"/>
        <v>24914</v>
      </c>
      <c r="EZ47" s="34">
        <f t="shared" si="6"/>
        <v>51196</v>
      </c>
      <c r="FA47" s="34">
        <f t="shared" si="6"/>
        <v>49684</v>
      </c>
      <c r="FB47" s="34">
        <f t="shared" si="6"/>
        <v>51953</v>
      </c>
      <c r="FC47" s="34">
        <f t="shared" si="6"/>
        <v>50028</v>
      </c>
      <c r="FD47" s="34">
        <f t="shared" si="6"/>
        <v>54650</v>
      </c>
      <c r="FE47" s="34">
        <f t="shared" si="6"/>
        <v>31486</v>
      </c>
      <c r="FF47" s="34">
        <f t="shared" si="6"/>
        <v>28884</v>
      </c>
      <c r="FG47" s="34">
        <f t="shared" si="6"/>
        <v>51026</v>
      </c>
      <c r="FH47" s="34">
        <f t="shared" si="6"/>
        <v>54910</v>
      </c>
      <c r="FI47" s="34">
        <f t="shared" si="6"/>
        <v>55300</v>
      </c>
      <c r="FJ47" s="34">
        <f t="shared" si="6"/>
        <v>53311</v>
      </c>
      <c r="FK47" s="34">
        <f t="shared" si="6"/>
        <v>56754</v>
      </c>
      <c r="FL47" s="34">
        <f t="shared" si="6"/>
        <v>31617</v>
      </c>
      <c r="FM47" s="34">
        <f t="shared" si="6"/>
        <v>27151</v>
      </c>
      <c r="FN47" s="34">
        <v>55677</v>
      </c>
      <c r="FO47" s="34">
        <f t="shared" si="6"/>
        <v>60720</v>
      </c>
      <c r="FP47" s="34">
        <v>59191</v>
      </c>
      <c r="FQ47" s="34">
        <v>63583</v>
      </c>
      <c r="FR47" s="34">
        <v>62007</v>
      </c>
      <c r="FS47" s="34">
        <v>35615</v>
      </c>
      <c r="FT47" s="34">
        <f t="shared" si="9"/>
        <v>35006</v>
      </c>
      <c r="FU47" s="34">
        <f t="shared" si="9"/>
        <v>62746</v>
      </c>
      <c r="FV47" s="34">
        <f t="shared" si="9"/>
        <v>65686</v>
      </c>
      <c r="FW47" s="34">
        <f t="shared" si="9"/>
        <v>69517</v>
      </c>
      <c r="FX47" s="34">
        <f t="shared" si="9"/>
        <v>68151</v>
      </c>
      <c r="FY47" s="34">
        <f t="shared" si="9"/>
        <v>68968</v>
      </c>
      <c r="FZ47" s="34">
        <f t="shared" si="9"/>
        <v>46380</v>
      </c>
      <c r="GA47" s="34">
        <f t="shared" si="9"/>
        <v>37465</v>
      </c>
      <c r="GB47" s="34">
        <f t="shared" si="9"/>
        <v>70195</v>
      </c>
      <c r="GC47" s="34">
        <f t="shared" si="9"/>
        <v>73129</v>
      </c>
      <c r="GD47" s="34">
        <f t="shared" si="9"/>
        <v>76275</v>
      </c>
      <c r="GE47" s="34">
        <f t="shared" si="9"/>
        <v>76335</v>
      </c>
      <c r="GF47" s="34">
        <f t="shared" si="9"/>
        <v>75880</v>
      </c>
      <c r="GG47" s="34">
        <f t="shared" si="9"/>
        <v>54615</v>
      </c>
      <c r="GH47" s="34">
        <f t="shared" si="10"/>
        <v>39770</v>
      </c>
      <c r="GI47" s="34">
        <f t="shared" si="10"/>
        <v>70922</v>
      </c>
      <c r="GJ47" s="34">
        <f t="shared" si="10"/>
        <v>77308</v>
      </c>
      <c r="GK47" s="34">
        <f t="shared" si="10"/>
        <v>79262</v>
      </c>
      <c r="GL47" s="34">
        <f t="shared" si="10"/>
        <v>78444</v>
      </c>
      <c r="GM47" s="34">
        <f t="shared" si="10"/>
        <v>75958</v>
      </c>
      <c r="GN47" s="34">
        <f t="shared" si="10"/>
        <v>46387</v>
      </c>
      <c r="GO47" s="34">
        <f t="shared" si="10"/>
        <v>41827</v>
      </c>
      <c r="GP47" s="34">
        <f t="shared" si="10"/>
        <v>69121</v>
      </c>
      <c r="GQ47" s="34">
        <f t="shared" si="10"/>
        <v>73543</v>
      </c>
      <c r="GR47" s="34">
        <f t="shared" si="10"/>
        <v>70458</v>
      </c>
      <c r="GS47" s="34">
        <f t="shared" si="10"/>
        <v>69095</v>
      </c>
      <c r="GT47" s="34">
        <f t="shared" si="10"/>
        <v>45821</v>
      </c>
      <c r="GU47" s="34">
        <f t="shared" si="10"/>
        <v>35604</v>
      </c>
      <c r="GV47" s="34">
        <f t="shared" si="11"/>
        <v>30671</v>
      </c>
      <c r="GW47" s="34">
        <f t="shared" si="11"/>
        <v>70204</v>
      </c>
      <c r="GX47" s="34">
        <f t="shared" si="11"/>
        <v>77899</v>
      </c>
      <c r="GY47" s="34">
        <f t="shared" si="11"/>
        <v>73833</v>
      </c>
      <c r="GZ47" s="34">
        <f t="shared" si="11"/>
        <v>72297</v>
      </c>
      <c r="HA47" s="34">
        <f t="shared" si="11"/>
        <v>61598.5</v>
      </c>
      <c r="HB47" s="34">
        <f t="shared" si="12"/>
        <v>123197</v>
      </c>
      <c r="HC47" s="34">
        <f t="shared" si="13"/>
        <v>36705</v>
      </c>
      <c r="HD47" s="34">
        <f t="shared" ref="HD47" si="43">HD26-HC26</f>
        <v>70821</v>
      </c>
      <c r="HE47" s="34">
        <f t="shared" si="13"/>
        <v>77375</v>
      </c>
      <c r="HF47" s="34">
        <f t="shared" si="13"/>
        <v>0</v>
      </c>
      <c r="HG47" s="34">
        <f t="shared" si="13"/>
        <v>72806</v>
      </c>
      <c r="HH47" s="34">
        <f t="shared" si="13"/>
        <v>147828</v>
      </c>
      <c r="HI47" s="34">
        <f t="shared" si="13"/>
        <v>45505</v>
      </c>
      <c r="HJ47" s="34">
        <f t="shared" si="13"/>
        <v>36128</v>
      </c>
      <c r="HK47" s="34">
        <f t="shared" si="13"/>
        <v>66267</v>
      </c>
      <c r="HL47" s="34">
        <f t="shared" si="13"/>
        <v>69461</v>
      </c>
      <c r="HM47" s="34">
        <f t="shared" si="13"/>
        <v>65303</v>
      </c>
      <c r="HN47" s="34">
        <f t="shared" si="13"/>
        <v>67932</v>
      </c>
      <c r="HO47" s="34">
        <f t="shared" si="13"/>
        <v>69029</v>
      </c>
      <c r="HP47" s="34">
        <f t="shared" si="13"/>
        <v>38690</v>
      </c>
      <c r="HQ47" s="34">
        <f t="shared" si="13"/>
        <v>31603</v>
      </c>
      <c r="HR47" s="34">
        <f t="shared" si="14"/>
        <v>63239</v>
      </c>
      <c r="HS47" s="34">
        <f t="shared" si="14"/>
        <v>71802</v>
      </c>
      <c r="HT47" s="34">
        <f t="shared" si="14"/>
        <v>64363</v>
      </c>
      <c r="HU47" s="34">
        <f t="shared" si="14"/>
        <v>66725</v>
      </c>
      <c r="HV47" s="34">
        <f t="shared" si="14"/>
        <v>60737</v>
      </c>
      <c r="HW47" s="34">
        <f t="shared" si="14"/>
        <v>29850</v>
      </c>
      <c r="HX47" s="34">
        <f t="shared" si="14"/>
        <v>30531</v>
      </c>
      <c r="HY47" s="34">
        <f t="shared" si="14"/>
        <v>62816</v>
      </c>
      <c r="HZ47" s="34">
        <f t="shared" si="14"/>
        <v>65470</v>
      </c>
      <c r="IA47" s="34">
        <f t="shared" si="14"/>
        <v>62995</v>
      </c>
      <c r="IB47" s="34">
        <f t="shared" si="14"/>
        <v>62044</v>
      </c>
      <c r="IC47" s="34">
        <f t="shared" si="14"/>
        <v>66350</v>
      </c>
      <c r="ID47" s="34">
        <f t="shared" si="14"/>
        <v>37399</v>
      </c>
      <c r="IE47" s="34">
        <f t="shared" si="14"/>
        <v>28402</v>
      </c>
      <c r="IF47" s="34">
        <f t="shared" si="15"/>
        <v>60976</v>
      </c>
      <c r="IG47" s="34">
        <f t="shared" si="15"/>
        <v>65918</v>
      </c>
      <c r="IH47" s="34">
        <f t="shared" si="15"/>
        <v>65312</v>
      </c>
      <c r="II47" s="34">
        <f t="shared" si="15"/>
        <v>65886</v>
      </c>
      <c r="IJ47" s="34">
        <f t="shared" si="15"/>
        <v>66252</v>
      </c>
      <c r="IK47" s="34">
        <f t="shared" si="15"/>
        <v>30228</v>
      </c>
      <c r="IL47" s="34">
        <f t="shared" si="15"/>
        <v>32470</v>
      </c>
      <c r="IM47" s="34">
        <f t="shared" si="15"/>
        <v>68721</v>
      </c>
      <c r="IN47" s="34">
        <f t="shared" si="15"/>
        <v>68158</v>
      </c>
      <c r="IO47" s="34">
        <f t="shared" si="15"/>
        <v>70401</v>
      </c>
      <c r="IP47" s="34">
        <f t="shared" si="15"/>
        <v>65339</v>
      </c>
      <c r="IQ47" s="34">
        <f t="shared" si="15"/>
        <v>43802</v>
      </c>
      <c r="IR47" s="34">
        <f t="shared" si="15"/>
        <v>33538</v>
      </c>
      <c r="IS47" s="34">
        <f t="shared" si="15"/>
        <v>32389</v>
      </c>
      <c r="IT47" s="34">
        <f t="shared" ref="IT47:IT62" si="44">IT26-IS26</f>
        <v>70276</v>
      </c>
      <c r="IU47" s="34">
        <f t="shared" si="16"/>
        <v>72575</v>
      </c>
      <c r="IV47" s="34">
        <f t="shared" si="16"/>
        <v>74580</v>
      </c>
      <c r="IW47" s="34">
        <f t="shared" si="16"/>
        <v>77048</v>
      </c>
      <c r="IX47" s="34">
        <f t="shared" si="16"/>
        <v>71749</v>
      </c>
      <c r="IY47" s="34">
        <f t="shared" si="16"/>
        <v>43648</v>
      </c>
      <c r="IZ47" s="34">
        <f t="shared" si="16"/>
        <v>39081</v>
      </c>
      <c r="JA47" s="34">
        <f t="shared" si="16"/>
        <v>73435</v>
      </c>
      <c r="JB47" s="34">
        <f t="shared" si="16"/>
        <v>72491</v>
      </c>
      <c r="JC47" s="34">
        <f t="shared" si="16"/>
        <v>77869</v>
      </c>
      <c r="JD47" s="34">
        <f t="shared" si="16"/>
        <v>77462</v>
      </c>
      <c r="JE47" s="34">
        <f t="shared" si="16"/>
        <v>75405</v>
      </c>
      <c r="JF47" s="34">
        <f t="shared" si="16"/>
        <v>49496</v>
      </c>
      <c r="JG47" s="34">
        <f t="shared" si="16"/>
        <v>38446</v>
      </c>
      <c r="JH47" s="34">
        <f t="shared" si="16"/>
        <v>71578</v>
      </c>
      <c r="JI47" s="34">
        <f t="shared" si="17"/>
        <v>76449</v>
      </c>
      <c r="JJ47" s="34">
        <f t="shared" si="17"/>
        <v>351494</v>
      </c>
      <c r="JK47" s="34">
        <f t="shared" si="17"/>
        <v>86435</v>
      </c>
      <c r="JL47" s="34">
        <f t="shared" si="17"/>
        <v>73719</v>
      </c>
      <c r="JM47" s="34">
        <f t="shared" si="17"/>
        <v>49096</v>
      </c>
      <c r="JN47" s="34">
        <f t="shared" si="17"/>
        <v>41219</v>
      </c>
      <c r="JO47" s="34">
        <f t="shared" si="17"/>
        <v>81631</v>
      </c>
      <c r="JP47" s="34">
        <f t="shared" si="17"/>
        <v>80284</v>
      </c>
      <c r="JQ47" s="34">
        <f t="shared" si="17"/>
        <v>77034</v>
      </c>
      <c r="JR47" s="34">
        <f t="shared" si="17"/>
        <v>72783</v>
      </c>
      <c r="JS47" s="34">
        <f t="shared" si="17"/>
        <v>75848</v>
      </c>
      <c r="JT47" s="34">
        <f t="shared" si="17"/>
        <v>41085</v>
      </c>
      <c r="JU47" s="34">
        <f t="shared" si="17"/>
        <v>27471</v>
      </c>
      <c r="JV47" s="34">
        <f t="shared" si="17"/>
        <v>42128</v>
      </c>
      <c r="JW47" s="34">
        <f t="shared" si="18"/>
        <v>74138</v>
      </c>
      <c r="JX47" s="34">
        <f t="shared" si="18"/>
        <v>73134</v>
      </c>
      <c r="JY47" s="34">
        <f t="shared" si="18"/>
        <v>72015</v>
      </c>
      <c r="JZ47" s="34">
        <f t="shared" si="18"/>
        <v>69191</v>
      </c>
      <c r="KA47" s="34">
        <f t="shared" si="18"/>
        <v>36969</v>
      </c>
      <c r="KB47" s="34">
        <f t="shared" si="18"/>
        <v>26480</v>
      </c>
      <c r="KC47" s="34">
        <f t="shared" si="18"/>
        <v>40298</v>
      </c>
      <c r="KD47" s="34">
        <f t="shared" si="18"/>
        <v>71006</v>
      </c>
      <c r="KE47" s="34">
        <f t="shared" si="18"/>
        <v>71902</v>
      </c>
      <c r="KF47" s="34">
        <f t="shared" si="18"/>
        <v>71913</v>
      </c>
      <c r="KG47" s="34">
        <f t="shared" si="18"/>
        <v>63781</v>
      </c>
      <c r="KH47" s="34">
        <f t="shared" si="18"/>
        <v>36763</v>
      </c>
      <c r="KI47" s="34">
        <f t="shared" si="18"/>
        <v>37001</v>
      </c>
      <c r="KJ47" s="34">
        <f t="shared" si="18"/>
        <v>69080</v>
      </c>
      <c r="KK47" s="34">
        <f t="shared" si="19"/>
        <v>67480</v>
      </c>
      <c r="KL47" s="34">
        <f t="shared" si="19"/>
        <v>65849</v>
      </c>
      <c r="KM47" s="34">
        <f t="shared" si="19"/>
        <v>65483</v>
      </c>
      <c r="KN47" s="34">
        <f t="shared" si="19"/>
        <v>59631</v>
      </c>
      <c r="KO47" s="34">
        <f t="shared" si="19"/>
        <v>32595</v>
      </c>
      <c r="KP47" s="34">
        <f t="shared" si="19"/>
        <v>32010</v>
      </c>
      <c r="KQ47" s="34">
        <f t="shared" si="19"/>
        <v>68698</v>
      </c>
      <c r="KR47" s="34">
        <f t="shared" si="19"/>
        <v>63082</v>
      </c>
      <c r="KS47" s="34">
        <f t="shared" si="19"/>
        <v>60197</v>
      </c>
      <c r="KT47" s="34">
        <f t="shared" si="19"/>
        <v>53022</v>
      </c>
      <c r="KU47" s="34">
        <f t="shared" si="19"/>
        <v>33868</v>
      </c>
      <c r="KV47" s="34">
        <f t="shared" si="19"/>
        <v>29021</v>
      </c>
      <c r="KW47" s="34">
        <f t="shared" si="19"/>
        <v>32377</v>
      </c>
      <c r="KX47" s="34">
        <f t="shared" si="19"/>
        <v>67555</v>
      </c>
      <c r="KY47" s="34">
        <f t="shared" si="20"/>
        <v>61172</v>
      </c>
      <c r="KZ47" s="34">
        <f t="shared" si="20"/>
        <v>60817</v>
      </c>
      <c r="LA47" s="34">
        <f t="shared" si="34"/>
        <v>62571</v>
      </c>
      <c r="LB47" s="34">
        <f t="shared" si="35"/>
        <v>55049</v>
      </c>
      <c r="LC47" s="34">
        <f t="shared" si="36"/>
        <v>31848</v>
      </c>
      <c r="LD47" s="34">
        <f t="shared" si="37"/>
        <v>34317</v>
      </c>
      <c r="LE47" s="34">
        <f t="shared" si="38"/>
        <v>67894</v>
      </c>
      <c r="LF47" s="34">
        <f t="shared" si="39"/>
        <v>63348</v>
      </c>
      <c r="LG47" s="34">
        <f t="shared" si="21"/>
        <v>60233</v>
      </c>
      <c r="LH47" s="34">
        <f t="shared" si="21"/>
        <v>64670</v>
      </c>
      <c r="LI47" s="34">
        <f t="shared" si="21"/>
        <v>59429</v>
      </c>
      <c r="LJ47" s="34">
        <f t="shared" si="21"/>
        <v>31126</v>
      </c>
      <c r="LK47" s="34">
        <f t="shared" si="21"/>
        <v>33181</v>
      </c>
      <c r="LL47" s="34">
        <f t="shared" si="21"/>
        <v>67266</v>
      </c>
      <c r="LM47" s="34">
        <f t="shared" si="21"/>
        <v>61471</v>
      </c>
      <c r="LN47" s="34">
        <f t="shared" si="21"/>
        <v>63873</v>
      </c>
      <c r="LO47" s="34">
        <f t="shared" si="21"/>
        <v>60086</v>
      </c>
      <c r="LP47" s="34">
        <f t="shared" si="21"/>
        <v>57071</v>
      </c>
      <c r="LQ47" s="34">
        <f t="shared" si="21"/>
        <v>30881</v>
      </c>
      <c r="LR47" s="34">
        <f t="shared" si="21"/>
        <v>32843</v>
      </c>
      <c r="LS47" s="34">
        <f t="shared" si="21"/>
        <v>65327</v>
      </c>
      <c r="LT47" s="34">
        <f t="shared" si="21"/>
        <v>62430</v>
      </c>
      <c r="LU47" s="34">
        <f t="shared" si="21"/>
        <v>61058</v>
      </c>
      <c r="LV47" s="34">
        <f t="shared" si="21"/>
        <v>60185</v>
      </c>
      <c r="LW47" s="34">
        <f t="shared" si="22"/>
        <v>55843</v>
      </c>
      <c r="LX47" s="34">
        <f t="shared" si="22"/>
        <v>32636</v>
      </c>
      <c r="LY47" s="34">
        <f t="shared" si="22"/>
        <v>32915</v>
      </c>
      <c r="LZ47" s="34">
        <f t="shared" si="22"/>
        <v>68052</v>
      </c>
      <c r="MA47" s="34">
        <f t="shared" si="22"/>
        <v>61188</v>
      </c>
      <c r="MB47" s="34">
        <f t="shared" si="22"/>
        <v>60466</v>
      </c>
      <c r="MC47" s="34">
        <f t="shared" si="22"/>
        <v>59480</v>
      </c>
      <c r="MD47" s="34">
        <f t="shared" si="22"/>
        <v>51960</v>
      </c>
      <c r="ME47" s="34">
        <f t="shared" si="22"/>
        <v>29201</v>
      </c>
      <c r="MF47" s="34">
        <f t="shared" si="22"/>
        <v>38029</v>
      </c>
      <c r="MG47" s="34">
        <f t="shared" si="22"/>
        <v>63985</v>
      </c>
      <c r="MH47" s="34">
        <f t="shared" si="22"/>
        <v>60920</v>
      </c>
      <c r="MI47" s="34">
        <f t="shared" si="22"/>
        <v>57697</v>
      </c>
      <c r="MJ47" s="34">
        <f t="shared" si="22"/>
        <v>56139</v>
      </c>
      <c r="MK47" s="34">
        <f t="shared" si="23"/>
        <v>48875</v>
      </c>
      <c r="ML47" s="34">
        <f t="shared" si="23"/>
        <v>26111</v>
      </c>
      <c r="MM47" s="34">
        <f t="shared" si="23"/>
        <v>41971</v>
      </c>
      <c r="MN47" s="34">
        <f t="shared" si="23"/>
        <v>64301</v>
      </c>
      <c r="MO47" s="34">
        <f t="shared" si="23"/>
        <v>57318</v>
      </c>
      <c r="MP47" s="34">
        <f t="shared" si="23"/>
        <v>58803</v>
      </c>
      <c r="MQ47" s="34">
        <f t="shared" si="23"/>
        <v>57187</v>
      </c>
      <c r="MR47" s="34">
        <f t="shared" si="23"/>
        <v>49193</v>
      </c>
      <c r="MS47" s="34">
        <f t="shared" si="23"/>
        <v>27369</v>
      </c>
      <c r="MT47" s="34">
        <f t="shared" si="23"/>
        <v>43498</v>
      </c>
      <c r="MU47" s="34">
        <f t="shared" si="23"/>
        <v>60081</v>
      </c>
      <c r="MV47" s="34">
        <f t="shared" si="23"/>
        <v>57718</v>
      </c>
      <c r="MW47" s="34">
        <f t="shared" si="23"/>
        <v>56668</v>
      </c>
      <c r="MX47" s="34">
        <f t="shared" si="23"/>
        <v>56394</v>
      </c>
      <c r="MY47" s="34">
        <f t="shared" si="24"/>
        <v>46802</v>
      </c>
      <c r="MZ47" s="34">
        <f t="shared" si="25"/>
        <v>28613</v>
      </c>
      <c r="NA47" s="34">
        <f t="shared" si="25"/>
        <v>36966</v>
      </c>
      <c r="NB47" s="34">
        <f t="shared" si="25"/>
        <v>61697</v>
      </c>
      <c r="NC47" s="34">
        <f t="shared" si="25"/>
        <v>57845</v>
      </c>
      <c r="ND47" s="34">
        <f t="shared" si="25"/>
        <v>53970</v>
      </c>
      <c r="NE47" s="34">
        <f t="shared" si="25"/>
        <v>37404</v>
      </c>
      <c r="NF47" s="34">
        <f t="shared" si="25"/>
        <v>22863</v>
      </c>
      <c r="NG47" s="34">
        <f t="shared" si="25"/>
        <v>20338</v>
      </c>
      <c r="NH47" s="34">
        <f t="shared" si="25"/>
        <v>43427</v>
      </c>
      <c r="NI47" s="34">
        <f t="shared" si="25"/>
        <v>69628</v>
      </c>
      <c r="NJ47" s="34">
        <f t="shared" si="25"/>
        <v>72586</v>
      </c>
      <c r="NK47" s="34">
        <f t="shared" si="25"/>
        <v>70774</v>
      </c>
      <c r="NL47" s="34">
        <f t="shared" si="25"/>
        <v>74774</v>
      </c>
      <c r="NM47" s="34">
        <f t="shared" si="25"/>
        <v>58300</v>
      </c>
      <c r="NN47" s="34">
        <f t="shared" si="26"/>
        <v>32408</v>
      </c>
      <c r="NO47" s="34">
        <f t="shared" si="27"/>
        <v>46433</v>
      </c>
      <c r="NP47" s="34">
        <v>67527</v>
      </c>
      <c r="NQ47" s="34">
        <v>70613</v>
      </c>
      <c r="NR47" s="34">
        <v>66943</v>
      </c>
      <c r="NS47" s="34">
        <v>61648</v>
      </c>
      <c r="NT47" s="34">
        <v>52355</v>
      </c>
      <c r="NU47" s="34">
        <v>31606</v>
      </c>
      <c r="NV47" s="34">
        <v>43085</v>
      </c>
      <c r="NW47" s="34">
        <v>64490</v>
      </c>
      <c r="NX47">
        <v>62960</v>
      </c>
      <c r="NY47" s="34">
        <v>62255</v>
      </c>
      <c r="NZ47" s="34">
        <v>58879</v>
      </c>
      <c r="OA47" s="34">
        <v>51267</v>
      </c>
      <c r="OB47" s="34">
        <v>28616</v>
      </c>
      <c r="OC47" s="34">
        <v>28920</v>
      </c>
      <c r="OD47" s="34">
        <v>47921</v>
      </c>
      <c r="OE47" s="34">
        <v>66751</v>
      </c>
      <c r="OF47" s="34">
        <v>66113</v>
      </c>
      <c r="OG47" s="34">
        <v>65170</v>
      </c>
      <c r="OH47" s="34">
        <v>51974</v>
      </c>
      <c r="OI47" s="34">
        <v>34669</v>
      </c>
      <c r="OJ47" s="34">
        <v>46314</v>
      </c>
      <c r="OK47" s="34">
        <v>65884</v>
      </c>
      <c r="OL47" s="34">
        <v>70193</v>
      </c>
      <c r="OM47" s="34">
        <v>68245</v>
      </c>
      <c r="ON47" s="34">
        <v>70569</v>
      </c>
      <c r="OO47" s="34">
        <v>57449</v>
      </c>
      <c r="OP47" s="34">
        <v>36118</v>
      </c>
      <c r="OQ47" s="34">
        <v>52817</v>
      </c>
      <c r="OR47" s="34">
        <v>71016</v>
      </c>
      <c r="OS47" s="34">
        <f t="shared" si="40"/>
        <v>0</v>
      </c>
      <c r="OT47" s="34">
        <f t="shared" si="40"/>
        <v>141885</v>
      </c>
      <c r="OU47" s="34">
        <v>68794</v>
      </c>
      <c r="OV47" s="34">
        <v>57176</v>
      </c>
      <c r="OW47" s="34">
        <v>40130</v>
      </c>
      <c r="OX47" s="34">
        <v>34163</v>
      </c>
      <c r="OY47" s="34">
        <v>56485</v>
      </c>
      <c r="OZ47" s="34">
        <v>80027</v>
      </c>
      <c r="PA47" s="34">
        <v>82419</v>
      </c>
      <c r="PB47" s="34">
        <v>80924</v>
      </c>
      <c r="PC47" s="34">
        <v>65817</v>
      </c>
      <c r="PD47" s="34">
        <v>49894</v>
      </c>
      <c r="PE47" s="34">
        <v>60064</v>
      </c>
      <c r="PF47" s="34">
        <v>83614</v>
      </c>
      <c r="PG47" s="34">
        <v>82901</v>
      </c>
      <c r="PH47" s="34">
        <v>82875</v>
      </c>
      <c r="PI47" s="34">
        <v>80189</v>
      </c>
      <c r="PJ47" s="34">
        <v>70733</v>
      </c>
      <c r="PK47" s="34">
        <v>51132</v>
      </c>
      <c r="PL47" s="34">
        <v>59732</v>
      </c>
      <c r="PM47" s="34">
        <v>79950</v>
      </c>
      <c r="PN47" s="34">
        <v>81955</v>
      </c>
      <c r="PO47" s="34">
        <v>83017</v>
      </c>
      <c r="PP47" s="34">
        <v>77413</v>
      </c>
      <c r="PQ47" s="34">
        <v>65893</v>
      </c>
      <c r="PR47" s="34">
        <v>44502</v>
      </c>
      <c r="PS47" s="34">
        <v>54478</v>
      </c>
      <c r="PT47" s="34">
        <v>81677</v>
      </c>
      <c r="PU47" s="34">
        <v>75350</v>
      </c>
      <c r="PV47" s="34">
        <v>75269</v>
      </c>
      <c r="PW47" s="34">
        <v>72198</v>
      </c>
      <c r="PX47" s="34">
        <v>66488</v>
      </c>
      <c r="PY47" s="34">
        <v>40539</v>
      </c>
      <c r="PZ47" s="34">
        <v>52073</v>
      </c>
      <c r="QA47" s="34">
        <v>79885</v>
      </c>
      <c r="QB47" s="34">
        <v>79336</v>
      </c>
      <c r="QC47" s="34">
        <v>75772</v>
      </c>
      <c r="QD47" s="34">
        <v>71360</v>
      </c>
      <c r="QE47" s="34">
        <v>59999</v>
      </c>
      <c r="QF47" s="34">
        <v>41467</v>
      </c>
      <c r="QG47" s="34">
        <v>51647</v>
      </c>
      <c r="QH47" s="34">
        <v>69219</v>
      </c>
      <c r="QI47" s="34">
        <v>52579</v>
      </c>
      <c r="QJ47" s="34">
        <v>50635</v>
      </c>
      <c r="QK47" s="34">
        <v>64992</v>
      </c>
      <c r="QL47" s="34">
        <v>56751</v>
      </c>
      <c r="QM47" s="34">
        <v>40618</v>
      </c>
      <c r="QN47" s="34">
        <v>51155</v>
      </c>
      <c r="QO47" s="34">
        <v>69811</v>
      </c>
      <c r="QP47" s="34">
        <v>70021</v>
      </c>
      <c r="QQ47" s="34">
        <v>66839</v>
      </c>
      <c r="QR47" s="34">
        <v>58651</v>
      </c>
      <c r="QS47" s="34">
        <v>55623</v>
      </c>
      <c r="QT47" s="34">
        <v>35232</v>
      </c>
      <c r="QU47" s="34">
        <v>46286</v>
      </c>
      <c r="QV47" s="34">
        <v>68117</v>
      </c>
      <c r="QW47" s="34">
        <v>58606</v>
      </c>
      <c r="QX47" s="34">
        <v>57043</v>
      </c>
      <c r="QY47" s="34">
        <v>54350</v>
      </c>
      <c r="QZ47" s="34">
        <v>26712</v>
      </c>
      <c r="RA47" s="34">
        <v>24302</v>
      </c>
      <c r="RB47" s="34">
        <v>51326</v>
      </c>
      <c r="RC47" s="34">
        <v>68694</v>
      </c>
      <c r="RD47" s="34">
        <v>61204</v>
      </c>
      <c r="RE47" s="34">
        <v>63089</v>
      </c>
      <c r="RF47" s="34">
        <v>59275</v>
      </c>
      <c r="RG47" s="34">
        <v>26554</v>
      </c>
      <c r="RH47" s="34">
        <v>25783</v>
      </c>
      <c r="RI47" s="34">
        <v>52023</v>
      </c>
      <c r="RJ47" s="34">
        <v>74438</v>
      </c>
      <c r="RK47" s="34">
        <v>74482</v>
      </c>
      <c r="RL47" s="34">
        <v>77829</v>
      </c>
      <c r="RM47" s="34">
        <v>75979</v>
      </c>
      <c r="RN47" s="34">
        <v>66950</v>
      </c>
      <c r="RO47" s="34">
        <v>50535</v>
      </c>
      <c r="RP47" s="34">
        <v>59038</v>
      </c>
      <c r="RQ47" s="34">
        <v>95967</v>
      </c>
      <c r="RR47" s="34">
        <v>89252</v>
      </c>
      <c r="RS47" s="34">
        <v>94825</v>
      </c>
      <c r="RT47" s="34">
        <v>96108</v>
      </c>
      <c r="RU47" s="34">
        <v>87568</v>
      </c>
      <c r="RV47" s="34">
        <v>59971</v>
      </c>
      <c r="RW47" s="34">
        <v>70480</v>
      </c>
      <c r="RX47" s="34">
        <v>96981</v>
      </c>
      <c r="RY47" s="34">
        <v>102755</v>
      </c>
      <c r="RZ47" s="34">
        <v>96583</v>
      </c>
      <c r="SA47" s="34">
        <v>91715</v>
      </c>
      <c r="SB47" s="34">
        <v>96154</v>
      </c>
      <c r="SC47" s="34">
        <v>80163</v>
      </c>
      <c r="SD47" s="34">
        <v>91398</v>
      </c>
      <c r="SE47" s="34">
        <v>111771</v>
      </c>
      <c r="SF47" s="34">
        <v>127507</v>
      </c>
      <c r="SG47" s="34">
        <v>132299</v>
      </c>
      <c r="SH47" s="34">
        <v>130969</v>
      </c>
      <c r="SI47" s="34">
        <v>119417</v>
      </c>
      <c r="SJ47" s="34">
        <v>212445</v>
      </c>
      <c r="SK47" s="34">
        <v>111306</v>
      </c>
      <c r="SL47" s="34">
        <v>137013</v>
      </c>
      <c r="SM47" s="34">
        <v>141234</v>
      </c>
      <c r="SN47" s="34">
        <v>136073</v>
      </c>
      <c r="SO47" s="34">
        <v>134185</v>
      </c>
      <c r="SP47" s="34">
        <v>118824</v>
      </c>
      <c r="SQ47" s="34">
        <v>96219</v>
      </c>
      <c r="SR47" s="34">
        <v>113966</v>
      </c>
      <c r="SS47" s="34">
        <v>129605</v>
      </c>
      <c r="ST47" s="34">
        <v>135064</v>
      </c>
      <c r="SU47" s="34">
        <v>124669</v>
      </c>
      <c r="SV47" s="34">
        <v>123978</v>
      </c>
      <c r="SW47" s="34">
        <v>99297</v>
      </c>
      <c r="SX47" s="34">
        <v>75710</v>
      </c>
      <c r="SY47" s="34">
        <v>101768</v>
      </c>
      <c r="SZ47" s="34">
        <v>122384</v>
      </c>
      <c r="TA47" s="34">
        <v>113815</v>
      </c>
      <c r="TB47" s="34">
        <v>111515</v>
      </c>
      <c r="TC47" s="34">
        <v>107132</v>
      </c>
      <c r="TD47" s="34">
        <v>86698</v>
      </c>
      <c r="TE47" s="34">
        <v>70484</v>
      </c>
      <c r="TF47" s="34">
        <v>88686</v>
      </c>
      <c r="TG47" s="34">
        <v>110072</v>
      </c>
      <c r="TH47" s="34">
        <v>108600</v>
      </c>
      <c r="TI47" s="34">
        <v>103015</v>
      </c>
      <c r="TJ47" s="34">
        <v>99813</v>
      </c>
      <c r="TK47" s="34">
        <v>77857</v>
      </c>
      <c r="TL47" s="34">
        <v>51271</v>
      </c>
      <c r="TM47" s="34">
        <v>80811</v>
      </c>
      <c r="TN47" s="34">
        <v>96681</v>
      </c>
      <c r="TO47" s="34">
        <v>95416</v>
      </c>
      <c r="TP47" s="34">
        <v>91666</v>
      </c>
      <c r="TQ47" s="34">
        <v>91792</v>
      </c>
      <c r="TR47" s="34">
        <v>67895</v>
      </c>
      <c r="TS47" s="34">
        <v>53482</v>
      </c>
      <c r="TT47" s="34">
        <v>80261</v>
      </c>
      <c r="TU47" s="34">
        <v>95850</v>
      </c>
      <c r="TV47" s="34">
        <v>94619</v>
      </c>
      <c r="TW47" s="34">
        <v>94417</v>
      </c>
      <c r="TX47" s="34">
        <v>91231</v>
      </c>
      <c r="TY47" s="34">
        <v>63646</v>
      </c>
      <c r="TZ47" s="34">
        <v>49263</v>
      </c>
      <c r="UA47" s="34">
        <v>90797</v>
      </c>
      <c r="UB47" s="34">
        <v>108919</v>
      </c>
      <c r="UC47" s="34">
        <v>200167</v>
      </c>
      <c r="UD47" s="34">
        <v>0</v>
      </c>
      <c r="UE47" s="34">
        <v>92129</v>
      </c>
      <c r="UF47" s="34">
        <v>68985</v>
      </c>
      <c r="UG47" s="34">
        <v>0</v>
      </c>
      <c r="UH47" s="34">
        <v>121666</v>
      </c>
      <c r="UI47" s="34">
        <v>103581</v>
      </c>
      <c r="UJ47" s="34">
        <v>96073</v>
      </c>
      <c r="UK47" s="34">
        <v>84304</v>
      </c>
      <c r="UL47" s="34">
        <v>80333</v>
      </c>
      <c r="UM47" s="34">
        <v>56395</v>
      </c>
      <c r="UN47" s="34">
        <v>34785</v>
      </c>
      <c r="UO47" s="34">
        <v>69702</v>
      </c>
      <c r="UP47" s="34">
        <v>82092</v>
      </c>
      <c r="UQ47" s="34">
        <v>148096</v>
      </c>
      <c r="UR47" s="34">
        <v>65178</v>
      </c>
      <c r="US47" s="34">
        <v>0</v>
      </c>
      <c r="UT47" s="34">
        <v>43541</v>
      </c>
      <c r="UU47" s="34">
        <v>32797</v>
      </c>
      <c r="UV47" s="34">
        <v>60575</v>
      </c>
      <c r="UW47" s="34">
        <v>73277</v>
      </c>
      <c r="UX47" s="34">
        <v>67633</v>
      </c>
      <c r="UY47" s="34">
        <v>61849</v>
      </c>
      <c r="UZ47" s="34">
        <v>62442</v>
      </c>
      <c r="VA47" s="34">
        <v>43859</v>
      </c>
      <c r="VB47" s="34">
        <v>31374</v>
      </c>
      <c r="VC47" s="34">
        <v>117610</v>
      </c>
      <c r="VD47" s="34">
        <v>0</v>
      </c>
      <c r="VE47" s="34">
        <v>57083</v>
      </c>
      <c r="VF47" s="34">
        <v>0</v>
      </c>
      <c r="VG47" s="34">
        <v>0</v>
      </c>
      <c r="VH47" s="34">
        <v>105378</v>
      </c>
      <c r="VI47" s="34">
        <v>22302</v>
      </c>
      <c r="VJ47" s="34">
        <v>50396</v>
      </c>
      <c r="VK47" s="34">
        <v>60971</v>
      </c>
      <c r="VL47" s="34">
        <v>106891</v>
      </c>
      <c r="VM47" s="34">
        <v>43427</v>
      </c>
      <c r="VN47" s="34">
        <v>0</v>
      </c>
      <c r="VO47" s="34">
        <v>32429</v>
      </c>
      <c r="VP47" s="34">
        <v>23004</v>
      </c>
      <c r="VQ47" s="34">
        <v>45711</v>
      </c>
      <c r="VR47" s="34">
        <v>52614</v>
      </c>
      <c r="VS47" s="34">
        <v>92849</v>
      </c>
      <c r="VT47" s="34">
        <v>82284</v>
      </c>
      <c r="VU47" s="34">
        <v>21545</v>
      </c>
      <c r="VV47" s="34">
        <v>0</v>
      </c>
      <c r="VW47" s="34">
        <v>0</v>
      </c>
      <c r="VX47" s="34">
        <v>47646</v>
      </c>
      <c r="VY47" s="34">
        <v>109792</v>
      </c>
      <c r="VZ47" s="34">
        <v>49868</v>
      </c>
      <c r="WA47" s="34">
        <v>0</v>
      </c>
      <c r="WB47" s="34">
        <v>50545</v>
      </c>
      <c r="WC47" s="34">
        <v>33082</v>
      </c>
      <c r="WD47" s="34">
        <v>23225</v>
      </c>
      <c r="WE47" s="34">
        <v>46947</v>
      </c>
      <c r="WF47" s="34">
        <v>58604</v>
      </c>
      <c r="WG47" s="34">
        <v>111997</v>
      </c>
      <c r="WH47" s="34">
        <v>0</v>
      </c>
      <c r="WI47" s="34">
        <v>0</v>
      </c>
      <c r="WJ47" s="34">
        <v>100351</v>
      </c>
      <c r="WK47" s="34">
        <v>0</v>
      </c>
      <c r="WL47" s="34">
        <v>80155</v>
      </c>
      <c r="WM47">
        <v>70855</v>
      </c>
      <c r="WN47">
        <v>191396</v>
      </c>
      <c r="WO47">
        <v>0</v>
      </c>
      <c r="WP47">
        <v>0</v>
      </c>
      <c r="WQ47">
        <v>130598</v>
      </c>
      <c r="WR47">
        <v>0</v>
      </c>
      <c r="WS47">
        <v>0</v>
      </c>
      <c r="WT47">
        <v>0</v>
      </c>
      <c r="WU47">
        <v>213211</v>
      </c>
      <c r="WV47">
        <v>0</v>
      </c>
      <c r="WW47">
        <v>0</v>
      </c>
      <c r="WX47">
        <v>145981</v>
      </c>
      <c r="WY47">
        <v>0</v>
      </c>
      <c r="WZ47">
        <v>59401</v>
      </c>
      <c r="XA47">
        <v>214186</v>
      </c>
      <c r="XB47">
        <v>0</v>
      </c>
      <c r="XC47">
        <v>66187</v>
      </c>
      <c r="XD47">
        <v>0</v>
      </c>
      <c r="XE47">
        <v>50296</v>
      </c>
      <c r="XF47">
        <v>339579</v>
      </c>
      <c r="XG47">
        <v>0</v>
      </c>
      <c r="XH47">
        <v>0</v>
      </c>
      <c r="XI47">
        <v>0</v>
      </c>
      <c r="XJ47">
        <v>0</v>
      </c>
      <c r="XK47">
        <v>76449</v>
      </c>
      <c r="XL47">
        <v>60893</v>
      </c>
      <c r="XM47">
        <v>359318</v>
      </c>
      <c r="XN47">
        <v>0</v>
      </c>
      <c r="XO47">
        <v>0</v>
      </c>
      <c r="XP47">
        <v>0</v>
      </c>
      <c r="XQ47">
        <v>0</v>
      </c>
      <c r="XR47">
        <v>412774</v>
      </c>
      <c r="XS47">
        <v>0</v>
      </c>
      <c r="XT47">
        <v>0</v>
      </c>
      <c r="XU47">
        <v>0</v>
      </c>
      <c r="XV47">
        <v>0</v>
      </c>
      <c r="XW47">
        <v>0</v>
      </c>
      <c r="XX47">
        <v>0</v>
      </c>
      <c r="XY47">
        <v>72165</v>
      </c>
      <c r="XZ47">
        <v>51184</v>
      </c>
      <c r="YA47">
        <v>30930</v>
      </c>
      <c r="YB47">
        <v>36007</v>
      </c>
      <c r="YC47">
        <v>210330</v>
      </c>
      <c r="YD47">
        <v>62828</v>
      </c>
      <c r="YE47">
        <v>43100</v>
      </c>
      <c r="YF47" s="1">
        <v>28649</v>
      </c>
      <c r="YG47" s="1">
        <v>0</v>
      </c>
      <c r="YH47" s="1">
        <v>0</v>
      </c>
      <c r="YI47" s="1">
        <v>55903</v>
      </c>
      <c r="YJ47">
        <v>66919</v>
      </c>
      <c r="YK47">
        <v>123801</v>
      </c>
      <c r="YL47">
        <v>58650</v>
      </c>
      <c r="YM47">
        <v>39444</v>
      </c>
      <c r="YN47">
        <v>25500</v>
      </c>
      <c r="YO47">
        <v>0</v>
      </c>
      <c r="YP47">
        <v>50977</v>
      </c>
      <c r="YQ47">
        <v>117152</v>
      </c>
      <c r="YR47">
        <v>51500</v>
      </c>
      <c r="YS47">
        <v>0</v>
      </c>
      <c r="YT47">
        <v>47675</v>
      </c>
      <c r="YU47">
        <v>33019</v>
      </c>
      <c r="YV47">
        <v>22633</v>
      </c>
      <c r="YW47">
        <v>206697</v>
      </c>
      <c r="YX47">
        <v>0</v>
      </c>
      <c r="YY47">
        <v>0</v>
      </c>
      <c r="YZ47">
        <v>0</v>
      </c>
      <c r="ZA47">
        <v>52329</v>
      </c>
      <c r="ZB47">
        <v>39604</v>
      </c>
      <c r="ZC47">
        <v>25758</v>
      </c>
      <c r="ZD47">
        <v>53409</v>
      </c>
      <c r="ZE47">
        <v>63213</v>
      </c>
      <c r="ZF47">
        <v>122682</v>
      </c>
      <c r="ZG47">
        <v>56823</v>
      </c>
      <c r="ZH47">
        <v>43380</v>
      </c>
      <c r="ZI47">
        <v>27970</v>
      </c>
      <c r="ZJ47">
        <v>59971</v>
      </c>
      <c r="ZK47">
        <v>74302</v>
      </c>
      <c r="ZL47">
        <v>72174</v>
      </c>
      <c r="ZM47">
        <v>72903</v>
      </c>
      <c r="ZN47">
        <v>69866</v>
      </c>
      <c r="ZO47">
        <v>188821</v>
      </c>
      <c r="ZP47">
        <v>31004</v>
      </c>
      <c r="ZQ47">
        <v>69809</v>
      </c>
      <c r="ZR47">
        <v>90270</v>
      </c>
      <c r="ZS47">
        <v>90750</v>
      </c>
      <c r="ZT47">
        <v>82867</v>
      </c>
      <c r="ZU47">
        <v>78196</v>
      </c>
      <c r="ZV47">
        <v>50436</v>
      </c>
      <c r="ZW47">
        <v>32526</v>
      </c>
      <c r="ZX47">
        <v>36613</v>
      </c>
      <c r="ZY47">
        <v>71056</v>
      </c>
      <c r="ZZ47">
        <v>86283</v>
      </c>
      <c r="AAA47">
        <v>159613</v>
      </c>
      <c r="AAB47">
        <v>0</v>
      </c>
      <c r="AAC47">
        <v>51668</v>
      </c>
      <c r="AAD47">
        <v>32206</v>
      </c>
      <c r="AAE47">
        <v>68277</v>
      </c>
      <c r="AAF47">
        <v>81447</v>
      </c>
      <c r="AAG47">
        <v>77552</v>
      </c>
      <c r="AAH47">
        <v>68990</v>
      </c>
      <c r="AAI47">
        <v>132803</v>
      </c>
      <c r="AAJ47">
        <v>41573</v>
      </c>
      <c r="AAK47">
        <v>27515</v>
      </c>
      <c r="AAL47">
        <v>54499</v>
      </c>
      <c r="AAM47">
        <v>66143</v>
      </c>
      <c r="AAN47">
        <v>115297</v>
      </c>
      <c r="AAO47">
        <v>47630</v>
      </c>
      <c r="AAP47">
        <v>0</v>
      </c>
      <c r="AAQ47">
        <v>34521</v>
      </c>
      <c r="AAR47">
        <v>20569</v>
      </c>
      <c r="AAS47">
        <v>48474</v>
      </c>
      <c r="AAT47">
        <v>57895</v>
      </c>
      <c r="AAU47">
        <v>56169</v>
      </c>
      <c r="AAV47">
        <v>96016</v>
      </c>
      <c r="AAW47">
        <v>0</v>
      </c>
      <c r="AAX47">
        <v>28897</v>
      </c>
      <c r="AAY47">
        <v>19244</v>
      </c>
      <c r="AAZ47">
        <v>41668</v>
      </c>
      <c r="ABA47">
        <v>49344</v>
      </c>
      <c r="ABB47">
        <v>76220</v>
      </c>
      <c r="ABC47">
        <v>20394</v>
      </c>
      <c r="ABD47">
        <v>0</v>
      </c>
      <c r="ABE47">
        <v>17730</v>
      </c>
      <c r="ABF47">
        <v>15378</v>
      </c>
      <c r="ABG47">
        <v>18614</v>
      </c>
      <c r="ABH47">
        <v>44210</v>
      </c>
      <c r="ABI47">
        <v>98423</v>
      </c>
      <c r="ABJ47">
        <v>0</v>
      </c>
      <c r="ABK47">
        <v>45003</v>
      </c>
      <c r="ABL47">
        <v>30931</v>
      </c>
      <c r="ABM47">
        <v>19870</v>
      </c>
      <c r="ABN47">
        <v>42575</v>
      </c>
      <c r="ABO47">
        <v>46374</v>
      </c>
      <c r="ABP47">
        <v>44105</v>
      </c>
      <c r="ABQ47">
        <v>74678</v>
      </c>
      <c r="ABR47">
        <v>0</v>
      </c>
      <c r="ABS47">
        <v>24251</v>
      </c>
      <c r="ABT47">
        <v>15625</v>
      </c>
      <c r="ABU47">
        <v>31867</v>
      </c>
      <c r="ABV47">
        <v>35729</v>
      </c>
      <c r="ABW47">
        <v>65554</v>
      </c>
      <c r="ABX47">
        <v>0</v>
      </c>
      <c r="ABY47">
        <v>0</v>
      </c>
      <c r="ABZ47">
        <v>0</v>
      </c>
      <c r="ACA47">
        <v>64733</v>
      </c>
      <c r="ACB47">
        <v>164262</v>
      </c>
      <c r="ACC47">
        <v>0</v>
      </c>
      <c r="ACD47">
        <v>0</v>
      </c>
      <c r="ACE47">
        <v>0</v>
      </c>
      <c r="ACF47">
        <v>0</v>
      </c>
      <c r="ACG47">
        <v>25088</v>
      </c>
      <c r="ACH47">
        <v>17547</v>
      </c>
      <c r="ACI47">
        <v>37981</v>
      </c>
      <c r="ACJ47">
        <v>43924</v>
      </c>
      <c r="ACK47">
        <v>116590</v>
      </c>
      <c r="ACL47">
        <v>0</v>
      </c>
      <c r="ACM47">
        <v>0</v>
      </c>
      <c r="ACN47">
        <v>43104</v>
      </c>
      <c r="ACO47">
        <v>0</v>
      </c>
      <c r="ACP47">
        <v>40049</v>
      </c>
      <c r="ACQ47">
        <v>0</v>
      </c>
      <c r="ACR47">
        <v>160767</v>
      </c>
      <c r="ACS47">
        <v>0</v>
      </c>
      <c r="ACT47">
        <v>0</v>
      </c>
      <c r="ACU47">
        <v>35963</v>
      </c>
      <c r="ACV47">
        <v>163218</v>
      </c>
      <c r="ACW47">
        <v>0</v>
      </c>
      <c r="ACX47">
        <v>0</v>
      </c>
      <c r="ACY47">
        <v>0</v>
      </c>
      <c r="ACZ47">
        <v>0</v>
      </c>
      <c r="ADA47">
        <v>0</v>
      </c>
      <c r="ADB47">
        <v>27039</v>
      </c>
      <c r="ADC47">
        <v>19213</v>
      </c>
      <c r="ADD47">
        <v>85553</v>
      </c>
      <c r="ADE47">
        <v>0</v>
      </c>
      <c r="ADF47">
        <v>114469</v>
      </c>
      <c r="ADG47">
        <v>0</v>
      </c>
      <c r="ADH47">
        <v>0</v>
      </c>
      <c r="ADI47">
        <v>76504</v>
      </c>
      <c r="ADJ47">
        <v>0</v>
      </c>
      <c r="ADK47">
        <v>0</v>
      </c>
      <c r="ADL47">
        <v>181169</v>
      </c>
      <c r="ADM47">
        <v>0</v>
      </c>
      <c r="ADN47">
        <v>0</v>
      </c>
      <c r="ADO47">
        <v>0</v>
      </c>
      <c r="ADP47">
        <v>0</v>
      </c>
      <c r="ADQ47">
        <v>0</v>
      </c>
      <c r="ADR47">
        <v>160539</v>
      </c>
      <c r="ADS47">
        <v>0</v>
      </c>
      <c r="ADT47">
        <v>0</v>
      </c>
      <c r="ADU47">
        <v>0</v>
      </c>
      <c r="ADV47">
        <v>0</v>
      </c>
      <c r="ADW47">
        <v>31755</v>
      </c>
      <c r="ADX47">
        <v>0</v>
      </c>
      <c r="ADY47">
        <v>136742</v>
      </c>
      <c r="ADZ47">
        <v>0</v>
      </c>
      <c r="AEA47">
        <v>0</v>
      </c>
      <c r="AEB47">
        <v>0</v>
      </c>
      <c r="AEC47">
        <v>0</v>
      </c>
      <c r="AED47">
        <v>135231</v>
      </c>
      <c r="AEE47">
        <v>0</v>
      </c>
      <c r="AEF47">
        <v>0</v>
      </c>
      <c r="AEG47">
        <v>0</v>
      </c>
      <c r="AEH47">
        <v>0</v>
      </c>
      <c r="AEI47">
        <v>0</v>
      </c>
      <c r="AEJ47">
        <v>0</v>
      </c>
      <c r="AEK47">
        <v>140258</v>
      </c>
      <c r="AEL47">
        <v>0</v>
      </c>
      <c r="AEM47">
        <v>0</v>
      </c>
      <c r="AEN47">
        <v>0</v>
      </c>
      <c r="AEO47">
        <v>0</v>
      </c>
      <c r="AEP47">
        <v>0</v>
      </c>
      <c r="AEQ47">
        <v>0</v>
      </c>
      <c r="AER47">
        <v>252847</v>
      </c>
      <c r="AES47">
        <v>0</v>
      </c>
      <c r="AET47">
        <v>0</v>
      </c>
      <c r="AEU47">
        <v>0</v>
      </c>
      <c r="AEV47">
        <v>0</v>
      </c>
      <c r="AEW47">
        <v>0</v>
      </c>
      <c r="AEX47">
        <v>0</v>
      </c>
      <c r="AEY47">
        <v>0</v>
      </c>
      <c r="AEZ47">
        <v>0</v>
      </c>
      <c r="AFA47">
        <v>0</v>
      </c>
      <c r="AFB47">
        <v>0</v>
      </c>
      <c r="AFC47">
        <v>0</v>
      </c>
      <c r="AFD47">
        <v>0</v>
      </c>
      <c r="AFE47">
        <v>139417</v>
      </c>
      <c r="AFF47">
        <v>0</v>
      </c>
      <c r="AFG47">
        <v>0</v>
      </c>
      <c r="AFH47">
        <v>0</v>
      </c>
      <c r="AFI47">
        <v>0</v>
      </c>
      <c r="AFJ47">
        <v>0</v>
      </c>
      <c r="AFK47">
        <v>0</v>
      </c>
      <c r="AFL47">
        <v>0</v>
      </c>
      <c r="AFM47">
        <v>0</v>
      </c>
      <c r="AFN47">
        <v>95767</v>
      </c>
      <c r="AFO47">
        <v>0</v>
      </c>
      <c r="AFP47">
        <v>0</v>
      </c>
      <c r="AFQ47">
        <v>0</v>
      </c>
      <c r="AFR47">
        <v>0</v>
      </c>
      <c r="AFS47">
        <v>0</v>
      </c>
      <c r="AFT47">
        <v>96933</v>
      </c>
      <c r="AFU47">
        <v>0</v>
      </c>
      <c r="AFV47">
        <v>0</v>
      </c>
      <c r="AFW47">
        <v>0</v>
      </c>
      <c r="AFX47">
        <v>0</v>
      </c>
      <c r="AFY47">
        <v>0</v>
      </c>
      <c r="AFZ47">
        <v>0</v>
      </c>
      <c r="AGA47">
        <v>162512</v>
      </c>
      <c r="AGB47">
        <v>0</v>
      </c>
      <c r="AGC47">
        <v>0</v>
      </c>
      <c r="AGD47">
        <v>0</v>
      </c>
      <c r="AGE47">
        <v>0</v>
      </c>
      <c r="AGF47">
        <v>0</v>
      </c>
      <c r="AGG47">
        <v>0</v>
      </c>
      <c r="AGH47">
        <v>0</v>
      </c>
      <c r="AGI47">
        <v>0</v>
      </c>
      <c r="AGJ47">
        <v>0</v>
      </c>
      <c r="AGK47">
        <v>0</v>
      </c>
      <c r="AGL47">
        <v>0</v>
      </c>
      <c r="AGM47">
        <v>0</v>
      </c>
      <c r="AGN47">
        <v>0</v>
      </c>
      <c r="AGO47">
        <v>148577</v>
      </c>
      <c r="AGP47">
        <v>0</v>
      </c>
      <c r="AGQ47">
        <v>0</v>
      </c>
      <c r="AGR47">
        <v>0</v>
      </c>
      <c r="AGS47">
        <v>0</v>
      </c>
      <c r="AGT47">
        <v>0</v>
      </c>
      <c r="AGU47">
        <v>0</v>
      </c>
      <c r="AGV47">
        <v>0</v>
      </c>
      <c r="AGW47">
        <v>0</v>
      </c>
      <c r="AGX47">
        <v>0</v>
      </c>
      <c r="AGY47">
        <v>0</v>
      </c>
      <c r="AGZ47">
        <v>0</v>
      </c>
      <c r="AHA47">
        <v>0</v>
      </c>
      <c r="AHB47">
        <v>0</v>
      </c>
      <c r="AHC47">
        <v>92191</v>
      </c>
      <c r="AHD47">
        <v>0</v>
      </c>
      <c r="AHE47">
        <v>0</v>
      </c>
      <c r="AHF47">
        <v>0</v>
      </c>
      <c r="AHG47">
        <v>0</v>
      </c>
      <c r="AHH47">
        <v>0</v>
      </c>
      <c r="AHI47">
        <v>0</v>
      </c>
      <c r="AHJ47">
        <v>0</v>
      </c>
      <c r="AHK47">
        <v>95410</v>
      </c>
      <c r="AHL47">
        <v>0</v>
      </c>
      <c r="AHM47">
        <v>0</v>
      </c>
      <c r="AHN47">
        <v>0</v>
      </c>
      <c r="AHO47">
        <v>0</v>
      </c>
      <c r="AHP47">
        <v>0</v>
      </c>
      <c r="AHQ47">
        <v>0</v>
      </c>
    </row>
    <row r="48" spans="1:901">
      <c r="A48" s="1" t="s">
        <v>35</v>
      </c>
      <c r="C48" s="34">
        <f t="shared" si="28"/>
        <v>51049</v>
      </c>
      <c r="D48" s="34">
        <f t="shared" si="28"/>
        <v>33737</v>
      </c>
      <c r="E48" s="34">
        <f t="shared" si="29"/>
        <v>32348</v>
      </c>
      <c r="F48" s="34">
        <f t="shared" si="30"/>
        <v>29062</v>
      </c>
      <c r="G48" s="34">
        <f t="shared" si="31"/>
        <v>30975</v>
      </c>
      <c r="H48" s="34">
        <f t="shared" si="32"/>
        <v>36177</v>
      </c>
      <c r="I48" s="34">
        <f t="shared" si="32"/>
        <v>38422</v>
      </c>
      <c r="J48" s="34">
        <f t="shared" si="0"/>
        <v>35514</v>
      </c>
      <c r="K48" s="34">
        <f t="shared" si="0"/>
        <v>36467</v>
      </c>
      <c r="L48" s="34">
        <f t="shared" si="0"/>
        <v>65751</v>
      </c>
      <c r="M48" s="34">
        <f t="shared" si="0"/>
        <v>31258</v>
      </c>
      <c r="N48" s="34">
        <f t="shared" si="0"/>
        <v>34479</v>
      </c>
      <c r="O48" s="34">
        <f t="shared" si="0"/>
        <v>35293</v>
      </c>
      <c r="P48" s="34">
        <f t="shared" si="0"/>
        <v>38382</v>
      </c>
      <c r="Q48" s="34">
        <f t="shared" si="0"/>
        <v>42544</v>
      </c>
      <c r="R48" s="34">
        <f t="shared" si="0"/>
        <v>42804</v>
      </c>
      <c r="S48" s="34">
        <f t="shared" si="0"/>
        <v>32661</v>
      </c>
      <c r="T48" s="34">
        <f t="shared" si="0"/>
        <v>35973</v>
      </c>
      <c r="U48" s="34">
        <f t="shared" si="0"/>
        <v>37623</v>
      </c>
      <c r="V48" s="34">
        <f t="shared" si="0"/>
        <v>37552</v>
      </c>
      <c r="W48" s="34">
        <f t="shared" si="0"/>
        <v>42155</v>
      </c>
      <c r="X48" s="34">
        <f t="shared" si="0"/>
        <v>49631</v>
      </c>
      <c r="Y48" s="34">
        <f t="shared" si="0"/>
        <v>44379</v>
      </c>
      <c r="Z48" s="34">
        <f t="shared" si="1"/>
        <v>32261</v>
      </c>
      <c r="AA48" s="34">
        <f t="shared" si="1"/>
        <v>28318</v>
      </c>
      <c r="AB48" s="34">
        <f t="shared" si="1"/>
        <v>32632</v>
      </c>
      <c r="AC48" s="34">
        <f t="shared" si="1"/>
        <v>36123</v>
      </c>
      <c r="AD48" s="34">
        <f t="shared" si="1"/>
        <v>43574</v>
      </c>
      <c r="AE48" s="34">
        <f t="shared" si="1"/>
        <v>43129</v>
      </c>
      <c r="AF48" s="34">
        <f t="shared" si="1"/>
        <v>43891</v>
      </c>
      <c r="AG48" s="34">
        <f t="shared" si="1"/>
        <v>31988</v>
      </c>
      <c r="AH48" s="34">
        <f t="shared" si="1"/>
        <v>33533</v>
      </c>
      <c r="AI48" s="34">
        <f t="shared" si="1"/>
        <v>49781</v>
      </c>
      <c r="AJ48" s="34">
        <f t="shared" si="1"/>
        <v>47238</v>
      </c>
      <c r="AK48" s="34">
        <f t="shared" si="1"/>
        <v>51544</v>
      </c>
      <c r="AL48" s="34">
        <f t="shared" si="1"/>
        <v>52727</v>
      </c>
      <c r="AM48" s="34">
        <f t="shared" si="1"/>
        <v>50393</v>
      </c>
      <c r="AN48" s="34">
        <f t="shared" si="2"/>
        <v>30010</v>
      </c>
      <c r="AO48" s="34">
        <f t="shared" si="2"/>
        <v>40881</v>
      </c>
      <c r="AP48" s="34">
        <f t="shared" si="2"/>
        <v>48479</v>
      </c>
      <c r="AQ48" s="34">
        <f t="shared" si="2"/>
        <v>49190</v>
      </c>
      <c r="AR48" s="34">
        <f t="shared" si="2"/>
        <v>53420</v>
      </c>
      <c r="AS48" s="34">
        <f t="shared" si="2"/>
        <v>51423</v>
      </c>
      <c r="AT48" s="34">
        <f t="shared" si="2"/>
        <v>87243</v>
      </c>
      <c r="AU48" s="34">
        <f t="shared" si="2"/>
        <v>15669</v>
      </c>
      <c r="AV48" s="34">
        <f t="shared" si="2"/>
        <v>31047</v>
      </c>
      <c r="AW48" s="34">
        <f t="shared" si="2"/>
        <v>38233</v>
      </c>
      <c r="AX48" s="34">
        <f t="shared" si="2"/>
        <v>50994</v>
      </c>
      <c r="AY48" s="34">
        <f t="shared" si="2"/>
        <v>42915</v>
      </c>
      <c r="AZ48" s="34">
        <f t="shared" si="2"/>
        <v>62634</v>
      </c>
      <c r="BA48" s="34">
        <f t="shared" si="2"/>
        <v>48659</v>
      </c>
      <c r="BB48" s="34">
        <f t="shared" si="3"/>
        <v>32902</v>
      </c>
      <c r="BC48" s="34">
        <f t="shared" si="3"/>
        <v>48874</v>
      </c>
      <c r="BD48" s="34">
        <f t="shared" si="3"/>
        <v>49438</v>
      </c>
      <c r="BE48" s="34">
        <f t="shared" si="3"/>
        <v>48716</v>
      </c>
      <c r="BF48" s="34">
        <f t="shared" si="3"/>
        <v>52893</v>
      </c>
      <c r="BG48" s="34">
        <f t="shared" si="3"/>
        <v>50632</v>
      </c>
      <c r="BH48" s="34">
        <f t="shared" si="3"/>
        <v>55611</v>
      </c>
      <c r="BI48" s="34">
        <f t="shared" si="3"/>
        <v>26424</v>
      </c>
      <c r="BJ48" s="34">
        <f t="shared" si="3"/>
        <v>31960</v>
      </c>
      <c r="BK48" s="34">
        <f t="shared" si="3"/>
        <v>41889</v>
      </c>
      <c r="BL48" s="34">
        <f t="shared" si="3"/>
        <v>47460</v>
      </c>
      <c r="BM48" s="34">
        <f t="shared" si="3"/>
        <v>47645</v>
      </c>
      <c r="BN48" s="34">
        <f t="shared" si="3"/>
        <v>51514</v>
      </c>
      <c r="BO48" s="34">
        <f t="shared" si="3"/>
        <v>55165</v>
      </c>
      <c r="BP48" s="34">
        <f t="shared" si="4"/>
        <v>33393</v>
      </c>
      <c r="BQ48" s="34">
        <f t="shared" si="4"/>
        <v>38698</v>
      </c>
      <c r="BR48" s="34">
        <f t="shared" si="4"/>
        <v>53221</v>
      </c>
      <c r="BS48" s="34">
        <f t="shared" si="4"/>
        <v>50337</v>
      </c>
      <c r="BT48" s="34">
        <f t="shared" si="4"/>
        <v>59185</v>
      </c>
      <c r="BU48" s="34">
        <f t="shared" si="4"/>
        <v>51381</v>
      </c>
      <c r="BV48" s="34">
        <f t="shared" si="4"/>
        <v>55508</v>
      </c>
      <c r="BW48" s="34">
        <f t="shared" si="4"/>
        <v>40278</v>
      </c>
      <c r="BX48" s="34">
        <f t="shared" si="4"/>
        <v>36579</v>
      </c>
      <c r="BY48" s="34">
        <f t="shared" si="4"/>
        <v>49769</v>
      </c>
      <c r="BZ48" s="34">
        <f t="shared" si="4"/>
        <v>56151</v>
      </c>
      <c r="CA48" s="34">
        <f t="shared" si="4"/>
        <v>57621</v>
      </c>
      <c r="CB48" s="34">
        <f t="shared" si="4"/>
        <v>56922</v>
      </c>
      <c r="CC48" s="34">
        <f t="shared" si="4"/>
        <v>52780</v>
      </c>
      <c r="CD48" s="34">
        <f t="shared" si="4"/>
        <v>35495</v>
      </c>
      <c r="CE48" s="34">
        <f t="shared" si="4"/>
        <v>37112</v>
      </c>
      <c r="CF48" s="34">
        <f t="shared" si="4"/>
        <v>39711</v>
      </c>
      <c r="CG48" s="34">
        <f t="shared" si="4"/>
        <v>40240</v>
      </c>
      <c r="CH48" s="34">
        <f t="shared" si="4"/>
        <v>60431</v>
      </c>
      <c r="CI48" s="34">
        <f t="shared" si="4"/>
        <v>53152</v>
      </c>
      <c r="CJ48" s="34">
        <f t="shared" si="4"/>
        <v>60452</v>
      </c>
      <c r="CK48" s="34">
        <f t="shared" si="4"/>
        <v>40153</v>
      </c>
      <c r="CL48" s="34">
        <f t="shared" si="4"/>
        <v>53354</v>
      </c>
      <c r="CM48" s="34">
        <f t="shared" si="4"/>
        <v>63614</v>
      </c>
      <c r="CN48" s="34">
        <f t="shared" si="4"/>
        <v>60638</v>
      </c>
      <c r="CO48" s="34">
        <f t="shared" si="4"/>
        <v>63939</v>
      </c>
      <c r="CP48" s="34">
        <f t="shared" si="4"/>
        <v>75263</v>
      </c>
      <c r="CQ48" s="34">
        <f t="shared" si="4"/>
        <v>62854</v>
      </c>
      <c r="CR48" s="34">
        <f t="shared" si="4"/>
        <v>43635</v>
      </c>
      <c r="CS48" s="34">
        <f t="shared" si="4"/>
        <v>47447</v>
      </c>
      <c r="CT48" s="34">
        <f t="shared" si="4"/>
        <v>61710</v>
      </c>
      <c r="CU48" s="34">
        <f t="shared" si="4"/>
        <v>80032</v>
      </c>
      <c r="CV48" s="34">
        <f t="shared" si="4"/>
        <v>74280</v>
      </c>
      <c r="CW48" s="34">
        <f t="shared" si="5"/>
        <v>46646</v>
      </c>
      <c r="CX48" s="34">
        <f t="shared" si="5"/>
        <v>32294</v>
      </c>
      <c r="CY48" s="34">
        <f t="shared" si="5"/>
        <v>39617</v>
      </c>
      <c r="CZ48" s="34">
        <f t="shared" si="5"/>
        <v>38327</v>
      </c>
      <c r="DA48" s="34">
        <f t="shared" si="5"/>
        <v>69671</v>
      </c>
      <c r="DB48" s="34">
        <f t="shared" si="5"/>
        <v>68313</v>
      </c>
      <c r="DC48" s="34">
        <f t="shared" si="5"/>
        <v>83539</v>
      </c>
      <c r="DD48" s="34">
        <f t="shared" si="5"/>
        <v>39691</v>
      </c>
      <c r="DE48" s="34">
        <f t="shared" si="5"/>
        <v>30897</v>
      </c>
      <c r="DF48" s="34">
        <f t="shared" si="5"/>
        <v>33977</v>
      </c>
      <c r="DG48" s="34">
        <f t="shared" si="5"/>
        <v>48289</v>
      </c>
      <c r="DH48" s="34">
        <f t="shared" si="5"/>
        <v>65823</v>
      </c>
      <c r="DI48" s="34">
        <f t="shared" si="5"/>
        <v>67277</v>
      </c>
      <c r="DJ48" s="34">
        <f t="shared" si="5"/>
        <v>68730</v>
      </c>
      <c r="DK48" s="34">
        <f t="shared" si="5"/>
        <v>67751</v>
      </c>
      <c r="DL48" s="34">
        <f t="shared" si="5"/>
        <v>70263</v>
      </c>
      <c r="DM48" s="34">
        <f t="shared" si="5"/>
        <v>55727</v>
      </c>
      <c r="DN48" s="34">
        <f t="shared" si="5"/>
        <v>43227</v>
      </c>
      <c r="DO48" s="34">
        <f t="shared" si="5"/>
        <v>43539</v>
      </c>
      <c r="DP48" s="34">
        <f t="shared" si="5"/>
        <v>58302</v>
      </c>
      <c r="DQ48" s="34">
        <f t="shared" si="5"/>
        <v>93302</v>
      </c>
      <c r="DR48" s="34">
        <f t="shared" si="5"/>
        <v>86857</v>
      </c>
      <c r="DS48" s="34">
        <f t="shared" si="5"/>
        <v>70763</v>
      </c>
      <c r="DT48" s="34">
        <f t="shared" si="5"/>
        <v>51743</v>
      </c>
      <c r="DU48" s="34">
        <f t="shared" si="5"/>
        <v>57886</v>
      </c>
      <c r="DV48" s="34">
        <f t="shared" si="5"/>
        <v>75867</v>
      </c>
      <c r="DW48" s="34">
        <f t="shared" si="5"/>
        <v>76678</v>
      </c>
      <c r="DX48" s="34">
        <f t="shared" si="5"/>
        <v>78942</v>
      </c>
      <c r="DY48" s="34">
        <f t="shared" si="5"/>
        <v>85635</v>
      </c>
      <c r="DZ48" s="34">
        <f t="shared" si="5"/>
        <v>70222</v>
      </c>
      <c r="EA48" s="34">
        <f t="shared" si="5"/>
        <v>51549</v>
      </c>
      <c r="EB48" s="34">
        <f t="shared" si="5"/>
        <v>59908</v>
      </c>
      <c r="EC48" s="34">
        <f t="shared" si="5"/>
        <v>69767</v>
      </c>
      <c r="ED48" s="34">
        <f t="shared" si="5"/>
        <v>74125</v>
      </c>
      <c r="EE48" s="34">
        <f t="shared" si="5"/>
        <v>72932</v>
      </c>
      <c r="EF48" s="34">
        <f t="shared" si="5"/>
        <v>68133</v>
      </c>
      <c r="EG48" s="34">
        <f t="shared" si="5"/>
        <v>65711</v>
      </c>
      <c r="EH48" s="34">
        <f t="shared" si="5"/>
        <v>53309</v>
      </c>
      <c r="EI48" s="34">
        <f t="shared" si="5"/>
        <v>57968</v>
      </c>
      <c r="EJ48" s="34">
        <f t="shared" si="5"/>
        <v>61183</v>
      </c>
      <c r="EK48" s="34">
        <f t="shared" si="5"/>
        <v>62711</v>
      </c>
      <c r="EL48" s="34">
        <f t="shared" si="5"/>
        <v>72624</v>
      </c>
      <c r="EM48" s="34">
        <f t="shared" si="5"/>
        <v>64578</v>
      </c>
      <c r="EN48" s="34">
        <f t="shared" si="5"/>
        <v>54842</v>
      </c>
      <c r="EO48" s="34">
        <f t="shared" si="5"/>
        <v>38088</v>
      </c>
      <c r="EP48" s="34">
        <f t="shared" si="5"/>
        <v>50756</v>
      </c>
      <c r="EQ48" s="34">
        <f t="shared" si="5"/>
        <v>47682</v>
      </c>
      <c r="ER48" s="34">
        <f t="shared" si="6"/>
        <v>53511</v>
      </c>
      <c r="ES48" s="34">
        <f t="shared" si="6"/>
        <v>61161</v>
      </c>
      <c r="ET48" s="34">
        <f t="shared" si="6"/>
        <v>54037</v>
      </c>
      <c r="EU48" s="34">
        <f t="shared" si="6"/>
        <v>42804</v>
      </c>
      <c r="EV48" s="34">
        <f t="shared" si="6"/>
        <v>34258</v>
      </c>
      <c r="EW48" s="34">
        <f t="shared" si="6"/>
        <v>40170</v>
      </c>
      <c r="EX48" s="34">
        <f t="shared" si="6"/>
        <v>50407</v>
      </c>
      <c r="EY48" s="34">
        <f t="shared" si="6"/>
        <v>49645</v>
      </c>
      <c r="EZ48" s="34">
        <f t="shared" si="6"/>
        <v>46302</v>
      </c>
      <c r="FA48" s="34">
        <f t="shared" si="6"/>
        <v>50027</v>
      </c>
      <c r="FB48" s="34">
        <f t="shared" si="6"/>
        <v>46336</v>
      </c>
      <c r="FC48" s="34">
        <f t="shared" si="6"/>
        <v>48509</v>
      </c>
      <c r="FD48" s="34">
        <f t="shared" si="6"/>
        <v>37769</v>
      </c>
      <c r="FE48" s="34">
        <f t="shared" si="6"/>
        <v>41760</v>
      </c>
      <c r="FF48" s="34">
        <f t="shared" si="6"/>
        <v>43846</v>
      </c>
      <c r="FG48" s="34">
        <f t="shared" si="6"/>
        <v>40480</v>
      </c>
      <c r="FH48" s="34">
        <f t="shared" si="6"/>
        <v>42066</v>
      </c>
      <c r="FI48" s="34">
        <f t="shared" si="6"/>
        <v>42744</v>
      </c>
      <c r="FJ48" s="34">
        <f t="shared" si="6"/>
        <v>31478</v>
      </c>
      <c r="FK48" s="34">
        <f t="shared" si="6"/>
        <v>32191</v>
      </c>
      <c r="FL48" s="34">
        <f t="shared" si="6"/>
        <v>37735</v>
      </c>
      <c r="FM48" s="34">
        <f t="shared" si="6"/>
        <v>40009</v>
      </c>
      <c r="FN48" s="34">
        <v>45301</v>
      </c>
      <c r="FO48" s="34">
        <f t="shared" si="6"/>
        <v>40990</v>
      </c>
      <c r="FP48" s="34">
        <v>40733</v>
      </c>
      <c r="FQ48" s="34">
        <v>21679</v>
      </c>
      <c r="FR48" s="34">
        <v>31392</v>
      </c>
      <c r="FS48" s="34">
        <v>35341</v>
      </c>
      <c r="FT48" s="34">
        <f t="shared" si="9"/>
        <v>35472</v>
      </c>
      <c r="FU48" s="34">
        <f t="shared" si="9"/>
        <v>50708</v>
      </c>
      <c r="FV48" s="34">
        <f t="shared" si="9"/>
        <v>48077</v>
      </c>
      <c r="FW48" s="34">
        <f t="shared" si="9"/>
        <v>40964</v>
      </c>
      <c r="FX48" s="34">
        <f t="shared" si="9"/>
        <v>30349</v>
      </c>
      <c r="FY48" s="34">
        <f t="shared" si="9"/>
        <v>31002</v>
      </c>
      <c r="FZ48" s="34">
        <f t="shared" si="9"/>
        <v>41800</v>
      </c>
      <c r="GA48" s="34">
        <f t="shared" si="9"/>
        <v>34091</v>
      </c>
      <c r="GB48" s="34">
        <f t="shared" si="9"/>
        <v>46093</v>
      </c>
      <c r="GC48" s="34">
        <f t="shared" si="9"/>
        <v>43963</v>
      </c>
      <c r="GD48" s="34">
        <f t="shared" si="9"/>
        <v>60794</v>
      </c>
      <c r="GE48" s="34">
        <f t="shared" si="9"/>
        <v>38965</v>
      </c>
      <c r="GF48" s="34">
        <f t="shared" si="9"/>
        <v>28160</v>
      </c>
      <c r="GG48" s="34">
        <f t="shared" si="9"/>
        <v>28574</v>
      </c>
      <c r="GH48" s="34">
        <f t="shared" si="10"/>
        <v>43650</v>
      </c>
      <c r="GI48" s="34">
        <f t="shared" si="10"/>
        <v>52145</v>
      </c>
      <c r="GJ48" s="34">
        <f t="shared" si="10"/>
        <v>46531</v>
      </c>
      <c r="GK48" s="34">
        <f t="shared" si="10"/>
        <v>56723</v>
      </c>
      <c r="GL48" s="34">
        <f t="shared" si="10"/>
        <v>44396</v>
      </c>
      <c r="GM48" s="34">
        <f t="shared" si="10"/>
        <v>42981</v>
      </c>
      <c r="GN48" s="34">
        <f t="shared" si="10"/>
        <v>47242</v>
      </c>
      <c r="GO48" s="34">
        <f t="shared" si="10"/>
        <v>55763</v>
      </c>
      <c r="GP48" s="34">
        <f t="shared" si="10"/>
        <v>57715</v>
      </c>
      <c r="GQ48" s="34">
        <f t="shared" si="10"/>
        <v>43401</v>
      </c>
      <c r="GR48" s="34">
        <f t="shared" si="10"/>
        <v>36332</v>
      </c>
      <c r="GS48" s="34">
        <f t="shared" si="10"/>
        <v>32660</v>
      </c>
      <c r="GT48" s="34">
        <f t="shared" si="10"/>
        <v>42223</v>
      </c>
      <c r="GU48" s="34">
        <f t="shared" si="10"/>
        <v>44246</v>
      </c>
      <c r="GV48" s="34">
        <f t="shared" si="11"/>
        <v>52917</v>
      </c>
      <c r="GW48" s="34">
        <f t="shared" si="11"/>
        <v>67237</v>
      </c>
      <c r="GX48" s="34">
        <f t="shared" si="11"/>
        <v>65084</v>
      </c>
      <c r="GY48" s="34">
        <f t="shared" si="11"/>
        <v>71613</v>
      </c>
      <c r="GZ48" s="34">
        <f t="shared" si="11"/>
        <v>68067</v>
      </c>
      <c r="HA48" s="34">
        <f t="shared" si="11"/>
        <v>62576.5</v>
      </c>
      <c r="HB48" s="34">
        <f t="shared" si="12"/>
        <v>125153</v>
      </c>
      <c r="HC48" s="34">
        <f t="shared" si="13"/>
        <v>87478</v>
      </c>
      <c r="HD48" s="34">
        <f t="shared" ref="HD48" si="45">HD27-HC27</f>
        <v>89160</v>
      </c>
      <c r="HE48" s="34">
        <f t="shared" si="13"/>
        <v>77343</v>
      </c>
      <c r="HF48" s="34">
        <f t="shared" si="13"/>
        <v>81496</v>
      </c>
      <c r="HG48" s="34">
        <f t="shared" si="13"/>
        <v>70072</v>
      </c>
      <c r="HH48" s="34">
        <f t="shared" si="13"/>
        <v>62825</v>
      </c>
      <c r="HI48" s="34">
        <f t="shared" si="13"/>
        <v>70977</v>
      </c>
      <c r="HJ48" s="34">
        <f t="shared" si="13"/>
        <v>74113</v>
      </c>
      <c r="HK48" s="34">
        <f t="shared" si="13"/>
        <v>82084</v>
      </c>
      <c r="HL48" s="34">
        <f t="shared" si="13"/>
        <v>98921</v>
      </c>
      <c r="HM48" s="34">
        <f t="shared" si="13"/>
        <v>83472</v>
      </c>
      <c r="HN48" s="34">
        <f t="shared" si="13"/>
        <v>81246</v>
      </c>
      <c r="HO48" s="34">
        <f t="shared" si="13"/>
        <v>68720</v>
      </c>
      <c r="HP48" s="34">
        <f t="shared" si="13"/>
        <v>74514</v>
      </c>
      <c r="HQ48" s="34">
        <f t="shared" si="13"/>
        <v>84326</v>
      </c>
      <c r="HR48" s="34">
        <f t="shared" si="14"/>
        <v>89407</v>
      </c>
      <c r="HS48" s="34">
        <f t="shared" si="14"/>
        <v>87210</v>
      </c>
      <c r="HT48" s="34">
        <f t="shared" si="14"/>
        <v>85596</v>
      </c>
      <c r="HU48" s="34">
        <f t="shared" si="14"/>
        <v>56246</v>
      </c>
      <c r="HV48" s="34">
        <f t="shared" si="14"/>
        <v>55353</v>
      </c>
      <c r="HW48" s="34">
        <f t="shared" si="14"/>
        <v>60379</v>
      </c>
      <c r="HX48" s="34">
        <f t="shared" si="14"/>
        <v>66511</v>
      </c>
      <c r="HY48" s="34">
        <f t="shared" si="14"/>
        <v>74649</v>
      </c>
      <c r="HZ48" s="34">
        <f t="shared" si="14"/>
        <v>82217</v>
      </c>
      <c r="IA48" s="34">
        <f t="shared" si="14"/>
        <v>81497</v>
      </c>
      <c r="IB48" s="34">
        <f t="shared" si="14"/>
        <v>70928</v>
      </c>
      <c r="IC48" s="34">
        <f t="shared" si="14"/>
        <v>41678</v>
      </c>
      <c r="ID48" s="34">
        <f t="shared" si="14"/>
        <v>87059</v>
      </c>
      <c r="IE48" s="34">
        <f t="shared" si="14"/>
        <v>74209</v>
      </c>
      <c r="IF48" s="34">
        <f t="shared" si="15"/>
        <v>72818</v>
      </c>
      <c r="IG48" s="34">
        <f t="shared" si="15"/>
        <v>71520</v>
      </c>
      <c r="IH48" s="34">
        <f t="shared" si="15"/>
        <v>80021</v>
      </c>
      <c r="II48" s="34">
        <f t="shared" si="15"/>
        <v>61558</v>
      </c>
      <c r="IJ48" s="34">
        <f t="shared" si="15"/>
        <v>32599</v>
      </c>
      <c r="IK48" s="34">
        <f t="shared" si="15"/>
        <v>41373</v>
      </c>
      <c r="IL48" s="34">
        <f t="shared" si="15"/>
        <v>75871</v>
      </c>
      <c r="IM48" s="34">
        <f t="shared" si="15"/>
        <v>71390</v>
      </c>
      <c r="IN48" s="34">
        <f t="shared" si="15"/>
        <v>70523</v>
      </c>
      <c r="IO48" s="34">
        <f t="shared" si="15"/>
        <v>94683</v>
      </c>
      <c r="IP48" s="34">
        <f t="shared" si="15"/>
        <v>67032</v>
      </c>
      <c r="IQ48" s="34">
        <f t="shared" si="15"/>
        <v>40936</v>
      </c>
      <c r="IR48" s="34">
        <f t="shared" si="15"/>
        <v>89811</v>
      </c>
      <c r="IS48" s="34">
        <f t="shared" si="15"/>
        <v>97872</v>
      </c>
      <c r="IT48" s="34">
        <f t="shared" si="44"/>
        <v>104269</v>
      </c>
      <c r="IU48" s="34">
        <f t="shared" si="16"/>
        <v>81155</v>
      </c>
      <c r="IV48" s="34">
        <f t="shared" si="16"/>
        <v>86358</v>
      </c>
      <c r="IW48" s="34">
        <f t="shared" si="16"/>
        <v>79045</v>
      </c>
      <c r="IX48" s="34">
        <f t="shared" si="16"/>
        <v>51113</v>
      </c>
      <c r="IY48" s="34">
        <f t="shared" si="16"/>
        <v>90698</v>
      </c>
      <c r="IZ48" s="34">
        <f t="shared" si="16"/>
        <v>108414</v>
      </c>
      <c r="JA48" s="34">
        <f t="shared" si="16"/>
        <v>97001</v>
      </c>
      <c r="JB48" s="34">
        <f t="shared" si="16"/>
        <v>97619</v>
      </c>
      <c r="JC48" s="34">
        <f t="shared" si="16"/>
        <v>98717</v>
      </c>
      <c r="JD48" s="34">
        <f t="shared" si="16"/>
        <v>71762</v>
      </c>
      <c r="JE48" s="34">
        <f t="shared" si="16"/>
        <v>52409</v>
      </c>
      <c r="JF48" s="34">
        <f t="shared" si="16"/>
        <v>64442</v>
      </c>
      <c r="JG48" s="34">
        <f t="shared" si="16"/>
        <v>109372</v>
      </c>
      <c r="JH48" s="34">
        <f t="shared" si="16"/>
        <v>112556</v>
      </c>
      <c r="JI48" s="34">
        <f t="shared" si="17"/>
        <v>117499</v>
      </c>
      <c r="JJ48" s="34">
        <f t="shared" si="17"/>
        <v>85129</v>
      </c>
      <c r="JK48" s="34">
        <f t="shared" si="17"/>
        <v>91883</v>
      </c>
      <c r="JL48" s="34">
        <f t="shared" si="17"/>
        <v>45718</v>
      </c>
      <c r="JM48" s="34">
        <f t="shared" si="17"/>
        <v>87837</v>
      </c>
      <c r="JN48" s="34">
        <f t="shared" si="17"/>
        <v>110906</v>
      </c>
      <c r="JO48" s="34">
        <f t="shared" si="17"/>
        <v>106889</v>
      </c>
      <c r="JP48" s="34">
        <f t="shared" si="17"/>
        <v>113523</v>
      </c>
      <c r="JQ48" s="34">
        <f t="shared" si="17"/>
        <v>101295</v>
      </c>
      <c r="JR48" s="34">
        <f t="shared" si="17"/>
        <v>76467</v>
      </c>
      <c r="JS48" s="34">
        <f t="shared" si="17"/>
        <v>79856</v>
      </c>
      <c r="JT48" s="34">
        <f t="shared" si="17"/>
        <v>111053</v>
      </c>
      <c r="JU48" s="34">
        <f t="shared" si="17"/>
        <v>127955</v>
      </c>
      <c r="JV48" s="34">
        <f t="shared" si="17"/>
        <v>119583</v>
      </c>
      <c r="JW48" s="34">
        <f t="shared" si="18"/>
        <v>121605</v>
      </c>
      <c r="JX48" s="34">
        <f t="shared" si="18"/>
        <v>110701</v>
      </c>
      <c r="JY48" s="34">
        <f t="shared" si="18"/>
        <v>99305</v>
      </c>
      <c r="JZ48" s="34">
        <f t="shared" si="18"/>
        <v>76416</v>
      </c>
      <c r="KA48" s="34">
        <f t="shared" si="18"/>
        <v>126959</v>
      </c>
      <c r="KB48" s="34">
        <f t="shared" si="18"/>
        <v>114286</v>
      </c>
      <c r="KC48" s="34">
        <f t="shared" si="18"/>
        <v>123272</v>
      </c>
      <c r="KD48" s="34">
        <f t="shared" si="18"/>
        <v>120202</v>
      </c>
      <c r="KE48" s="34">
        <f t="shared" si="18"/>
        <v>101759</v>
      </c>
      <c r="KF48" s="34">
        <f t="shared" si="18"/>
        <v>102506</v>
      </c>
      <c r="KG48" s="34">
        <f t="shared" si="18"/>
        <v>50470</v>
      </c>
      <c r="KH48" s="34">
        <f t="shared" si="18"/>
        <v>68147</v>
      </c>
      <c r="KI48" s="34">
        <f t="shared" si="18"/>
        <v>109616</v>
      </c>
      <c r="KJ48" s="34">
        <f t="shared" si="18"/>
        <v>99047</v>
      </c>
      <c r="KK48" s="34">
        <f t="shared" si="19"/>
        <v>116358</v>
      </c>
      <c r="KL48" s="34">
        <f t="shared" si="19"/>
        <v>87133</v>
      </c>
      <c r="KM48" s="34">
        <f t="shared" si="19"/>
        <v>90956</v>
      </c>
      <c r="KN48" s="34">
        <f t="shared" si="19"/>
        <v>54184</v>
      </c>
      <c r="KO48" s="34">
        <f t="shared" si="19"/>
        <v>95923</v>
      </c>
      <c r="KP48" s="34">
        <f t="shared" si="19"/>
        <v>92941</v>
      </c>
      <c r="KQ48" s="34">
        <f t="shared" si="19"/>
        <v>96023</v>
      </c>
      <c r="KR48" s="34">
        <f t="shared" si="19"/>
        <v>94112</v>
      </c>
      <c r="KS48" s="34">
        <f t="shared" si="19"/>
        <v>93019</v>
      </c>
      <c r="KT48" s="34">
        <f t="shared" si="19"/>
        <v>79507</v>
      </c>
      <c r="KU48" s="34">
        <f t="shared" si="19"/>
        <v>43270</v>
      </c>
      <c r="KV48" s="34">
        <f t="shared" si="19"/>
        <v>88787</v>
      </c>
      <c r="KW48" s="34">
        <f t="shared" si="19"/>
        <v>42934</v>
      </c>
      <c r="KX48" s="34">
        <f t="shared" si="19"/>
        <v>89316</v>
      </c>
      <c r="KY48" s="34">
        <f t="shared" si="20"/>
        <v>76955</v>
      </c>
      <c r="KZ48" s="34">
        <f t="shared" si="20"/>
        <v>68238</v>
      </c>
      <c r="LA48" s="34">
        <f t="shared" si="34"/>
        <v>77392</v>
      </c>
      <c r="LB48" s="34">
        <f t="shared" si="35"/>
        <v>38444</v>
      </c>
      <c r="LC48" s="34">
        <f t="shared" si="36"/>
        <v>80253</v>
      </c>
      <c r="LD48" s="34">
        <f t="shared" si="37"/>
        <v>65169</v>
      </c>
      <c r="LE48" s="34">
        <f t="shared" si="38"/>
        <v>89569</v>
      </c>
      <c r="LF48" s="34">
        <f t="shared" si="39"/>
        <v>75604</v>
      </c>
      <c r="LG48" s="34">
        <f t="shared" si="21"/>
        <v>85303</v>
      </c>
      <c r="LH48" s="34">
        <f t="shared" si="21"/>
        <v>76242</v>
      </c>
      <c r="LI48" s="34">
        <f t="shared" si="21"/>
        <v>33886</v>
      </c>
      <c r="LJ48" s="34">
        <f t="shared" si="21"/>
        <v>60922</v>
      </c>
      <c r="LK48" s="34">
        <f t="shared" si="21"/>
        <v>65114</v>
      </c>
      <c r="LL48" s="34">
        <f t="shared" si="21"/>
        <v>67815</v>
      </c>
      <c r="LM48" s="34">
        <f t="shared" si="21"/>
        <v>78620</v>
      </c>
      <c r="LN48" s="34">
        <f t="shared" si="21"/>
        <v>54948</v>
      </c>
      <c r="LO48" s="34">
        <f t="shared" si="21"/>
        <v>56087</v>
      </c>
      <c r="LP48" s="34">
        <f t="shared" si="21"/>
        <v>33080</v>
      </c>
      <c r="LQ48" s="34">
        <f t="shared" si="21"/>
        <v>53904</v>
      </c>
      <c r="LR48" s="34">
        <f t="shared" si="21"/>
        <v>58923</v>
      </c>
      <c r="LS48" s="34">
        <f t="shared" si="21"/>
        <v>60449</v>
      </c>
      <c r="LT48" s="34">
        <f t="shared" si="21"/>
        <v>64881</v>
      </c>
      <c r="LU48" s="34">
        <f t="shared" si="21"/>
        <v>57068</v>
      </c>
      <c r="LV48" s="34">
        <f t="shared" si="21"/>
        <v>63762</v>
      </c>
      <c r="LW48" s="34">
        <f t="shared" si="22"/>
        <v>25689</v>
      </c>
      <c r="LX48" s="34">
        <f t="shared" si="22"/>
        <v>35126</v>
      </c>
      <c r="LY48" s="34">
        <f t="shared" si="22"/>
        <v>50603</v>
      </c>
      <c r="LZ48" s="34">
        <f t="shared" si="22"/>
        <v>56621</v>
      </c>
      <c r="MA48" s="34">
        <f t="shared" si="22"/>
        <v>60558</v>
      </c>
      <c r="MB48" s="34">
        <f t="shared" si="22"/>
        <v>53831</v>
      </c>
      <c r="MC48" s="34">
        <f t="shared" si="22"/>
        <v>53475</v>
      </c>
      <c r="MD48" s="34">
        <f t="shared" si="22"/>
        <v>33688</v>
      </c>
      <c r="ME48" s="34">
        <f t="shared" si="22"/>
        <v>42994</v>
      </c>
      <c r="MF48" s="34">
        <f t="shared" si="22"/>
        <v>51947</v>
      </c>
      <c r="MG48" s="34">
        <f t="shared" si="22"/>
        <v>53128</v>
      </c>
      <c r="MH48" s="34">
        <f t="shared" si="22"/>
        <v>55507</v>
      </c>
      <c r="MI48" s="34">
        <f t="shared" si="22"/>
        <v>51363</v>
      </c>
      <c r="MJ48" s="34">
        <f t="shared" si="22"/>
        <v>49243</v>
      </c>
      <c r="MK48" s="34">
        <f t="shared" si="23"/>
        <v>28924</v>
      </c>
      <c r="ML48" s="34">
        <f t="shared" si="23"/>
        <v>48074</v>
      </c>
      <c r="MM48" s="34">
        <f t="shared" si="23"/>
        <v>47751</v>
      </c>
      <c r="MN48" s="34">
        <f t="shared" si="23"/>
        <v>51201</v>
      </c>
      <c r="MO48" s="34">
        <f t="shared" si="23"/>
        <v>53871</v>
      </c>
      <c r="MP48" s="34">
        <f t="shared" si="23"/>
        <v>41117</v>
      </c>
      <c r="MQ48" s="34">
        <f t="shared" si="23"/>
        <v>45981</v>
      </c>
      <c r="MR48" s="34">
        <f t="shared" si="23"/>
        <v>32014</v>
      </c>
      <c r="MS48" s="34">
        <f t="shared" si="23"/>
        <v>51627</v>
      </c>
      <c r="MT48" s="34">
        <f t="shared" si="23"/>
        <v>53075</v>
      </c>
      <c r="MU48" s="34">
        <f t="shared" si="23"/>
        <v>51614</v>
      </c>
      <c r="MV48" s="34">
        <f t="shared" si="23"/>
        <v>53446</v>
      </c>
      <c r="MW48" s="34">
        <f t="shared" si="23"/>
        <v>41679</v>
      </c>
      <c r="MX48" s="34">
        <f t="shared" si="23"/>
        <v>47045</v>
      </c>
      <c r="MY48" s="34">
        <f t="shared" si="24"/>
        <v>28804</v>
      </c>
      <c r="MZ48" s="34">
        <f t="shared" si="25"/>
        <v>49768</v>
      </c>
      <c r="NA48" s="34">
        <f t="shared" si="25"/>
        <v>45720</v>
      </c>
      <c r="NB48" s="34">
        <f t="shared" si="25"/>
        <v>55631</v>
      </c>
      <c r="NC48" s="34">
        <f t="shared" si="25"/>
        <v>50421</v>
      </c>
      <c r="ND48" s="34">
        <f t="shared" si="25"/>
        <v>40498</v>
      </c>
      <c r="NE48" s="34">
        <f t="shared" si="25"/>
        <v>44762</v>
      </c>
      <c r="NF48" s="34">
        <f t="shared" si="25"/>
        <v>29506</v>
      </c>
      <c r="NG48" s="34">
        <f t="shared" si="25"/>
        <v>50327</v>
      </c>
      <c r="NH48" s="34">
        <f t="shared" si="25"/>
        <v>47411</v>
      </c>
      <c r="NI48" s="34">
        <f t="shared" si="25"/>
        <v>49784</v>
      </c>
      <c r="NJ48" s="34">
        <f t="shared" si="25"/>
        <v>53407</v>
      </c>
      <c r="NK48" s="34">
        <f t="shared" si="25"/>
        <v>44240</v>
      </c>
      <c r="NL48" s="34">
        <f t="shared" si="25"/>
        <v>43624</v>
      </c>
      <c r="NM48" s="34">
        <f t="shared" si="25"/>
        <v>30455</v>
      </c>
      <c r="NN48" s="34">
        <f t="shared" si="26"/>
        <v>44979</v>
      </c>
      <c r="NO48" s="34">
        <f t="shared" si="27"/>
        <v>44422</v>
      </c>
      <c r="NP48" s="34">
        <v>51805</v>
      </c>
      <c r="NQ48" s="34">
        <v>48358</v>
      </c>
      <c r="NR48" s="34">
        <v>45313</v>
      </c>
      <c r="NS48" s="34">
        <v>31132</v>
      </c>
      <c r="NT48" s="34">
        <v>42131</v>
      </c>
      <c r="NU48" s="34">
        <v>37868</v>
      </c>
      <c r="NV48" s="34">
        <v>44725</v>
      </c>
      <c r="NW48" s="34">
        <v>48969</v>
      </c>
      <c r="NX48">
        <v>51687</v>
      </c>
      <c r="NY48" s="34">
        <v>42543</v>
      </c>
      <c r="NZ48" s="34">
        <v>33466</v>
      </c>
      <c r="OA48" s="34">
        <v>39163</v>
      </c>
      <c r="OB48" s="34">
        <v>41685</v>
      </c>
      <c r="OC48" s="34">
        <v>48035</v>
      </c>
      <c r="OD48" s="34">
        <v>48083</v>
      </c>
      <c r="OE48" s="34">
        <v>45480</v>
      </c>
      <c r="OF48" s="34">
        <v>45297</v>
      </c>
      <c r="OG48" s="34">
        <v>27289</v>
      </c>
      <c r="OH48" s="34">
        <v>28671</v>
      </c>
      <c r="OI48" s="34">
        <v>24810</v>
      </c>
      <c r="OJ48" s="34">
        <v>38262</v>
      </c>
      <c r="OK48" s="34">
        <v>46872</v>
      </c>
      <c r="OL48" s="34">
        <v>45608</v>
      </c>
      <c r="OM48" s="34">
        <v>43186</v>
      </c>
      <c r="ON48" s="34">
        <v>30711</v>
      </c>
      <c r="OO48" s="34">
        <v>41165</v>
      </c>
      <c r="OP48" s="34">
        <v>43725</v>
      </c>
      <c r="OQ48" s="34">
        <v>41131</v>
      </c>
      <c r="OR48" s="34">
        <v>43209</v>
      </c>
      <c r="OS48" s="34">
        <f t="shared" si="40"/>
        <v>47559</v>
      </c>
      <c r="OT48" s="34">
        <f t="shared" si="40"/>
        <v>37260</v>
      </c>
      <c r="OU48" s="34">
        <v>29953</v>
      </c>
      <c r="OV48" s="34">
        <v>36254</v>
      </c>
      <c r="OW48" s="34">
        <v>25761</v>
      </c>
      <c r="OX48" s="34">
        <v>40422</v>
      </c>
      <c r="OY48" s="34">
        <v>40936</v>
      </c>
      <c r="OZ48" s="34">
        <v>45099</v>
      </c>
      <c r="PA48" s="34">
        <v>44805</v>
      </c>
      <c r="PB48" s="34">
        <v>30619</v>
      </c>
      <c r="PC48" s="34">
        <v>46038</v>
      </c>
      <c r="PD48" s="34">
        <v>45421</v>
      </c>
      <c r="PE48" s="34">
        <v>46273</v>
      </c>
      <c r="PF48" s="34">
        <v>51331</v>
      </c>
      <c r="PG48" s="34">
        <v>45365</v>
      </c>
      <c r="PH48" s="34">
        <v>42374</v>
      </c>
      <c r="PI48" s="34">
        <v>44155</v>
      </c>
      <c r="PJ48" s="34">
        <v>35337</v>
      </c>
      <c r="PK48" s="34">
        <v>36284</v>
      </c>
      <c r="PL48" s="34">
        <v>44856</v>
      </c>
      <c r="PM48" s="34">
        <v>47296</v>
      </c>
      <c r="PN48" s="34">
        <v>52453</v>
      </c>
      <c r="PO48" s="34">
        <v>39380</v>
      </c>
      <c r="PP48" s="34">
        <v>41587</v>
      </c>
      <c r="PQ48" s="34">
        <v>53446</v>
      </c>
      <c r="PR48" s="34">
        <v>43410</v>
      </c>
      <c r="PS48" s="34">
        <v>51921</v>
      </c>
      <c r="PT48" s="34">
        <v>51065</v>
      </c>
      <c r="PU48" s="34">
        <v>53128</v>
      </c>
      <c r="PV48" s="34">
        <v>31516</v>
      </c>
      <c r="PW48" s="34">
        <v>42275</v>
      </c>
      <c r="PX48" s="34">
        <v>46944</v>
      </c>
      <c r="PY48" s="34">
        <v>47839</v>
      </c>
      <c r="PZ48" s="34">
        <v>47993</v>
      </c>
      <c r="QA48" s="34">
        <v>46741</v>
      </c>
      <c r="QB48" s="34">
        <v>51370</v>
      </c>
      <c r="QC48" s="34">
        <v>34874</v>
      </c>
      <c r="QD48" s="34">
        <v>36973</v>
      </c>
      <c r="QE48" s="34">
        <v>51687</v>
      </c>
      <c r="QF48" s="34">
        <v>48705</v>
      </c>
      <c r="QG48" s="34">
        <v>47329</v>
      </c>
      <c r="QH48" s="34">
        <v>27748</v>
      </c>
      <c r="QI48" s="34">
        <v>53351</v>
      </c>
      <c r="QJ48" s="34">
        <v>28228</v>
      </c>
      <c r="QK48" s="34">
        <v>37335</v>
      </c>
      <c r="QL48" s="34">
        <v>59043</v>
      </c>
      <c r="QM48" s="34">
        <v>47762</v>
      </c>
      <c r="QN48" s="34">
        <v>46455</v>
      </c>
      <c r="QO48" s="34">
        <v>51786</v>
      </c>
      <c r="QP48" s="34">
        <v>55342</v>
      </c>
      <c r="QQ48" s="34">
        <v>34032</v>
      </c>
      <c r="QR48" s="34">
        <v>38510</v>
      </c>
      <c r="QS48" s="34">
        <v>49836</v>
      </c>
      <c r="QT48" s="34">
        <v>48415</v>
      </c>
      <c r="QU48" s="34">
        <v>50254</v>
      </c>
      <c r="QV48" s="34">
        <v>59604</v>
      </c>
      <c r="QW48" s="34">
        <v>62465</v>
      </c>
      <c r="QX48" s="34">
        <v>27310</v>
      </c>
      <c r="QY48" s="34">
        <v>57919</v>
      </c>
      <c r="QZ48" s="34">
        <v>38504</v>
      </c>
      <c r="RA48" s="34">
        <v>57812</v>
      </c>
      <c r="RB48" s="34">
        <v>69825</v>
      </c>
      <c r="RC48" s="34">
        <v>85907</v>
      </c>
      <c r="RD48" s="34">
        <v>56746</v>
      </c>
      <c r="RE48" s="34">
        <v>77202</v>
      </c>
      <c r="RF48" s="34">
        <v>64312</v>
      </c>
      <c r="RG48" s="34">
        <v>48969</v>
      </c>
      <c r="RH48" s="34">
        <v>76746</v>
      </c>
      <c r="RI48" s="34">
        <v>91099</v>
      </c>
      <c r="RJ48" s="34">
        <v>96548</v>
      </c>
      <c r="RK48" s="34">
        <v>122242</v>
      </c>
      <c r="RL48" s="34">
        <v>72514</v>
      </c>
      <c r="RM48" s="34">
        <v>105400</v>
      </c>
      <c r="RN48" s="34">
        <v>96361</v>
      </c>
      <c r="RO48" s="34">
        <v>112580</v>
      </c>
      <c r="RP48" s="34">
        <v>131812</v>
      </c>
      <c r="RQ48" s="34">
        <v>109502</v>
      </c>
      <c r="RR48" s="34">
        <v>104690</v>
      </c>
      <c r="RS48" s="34">
        <v>55699</v>
      </c>
      <c r="RT48" s="34">
        <v>82634</v>
      </c>
      <c r="RU48" s="34">
        <v>100800</v>
      </c>
      <c r="RV48" s="34">
        <v>92848</v>
      </c>
      <c r="RW48" s="34">
        <v>91144</v>
      </c>
      <c r="RX48" s="34">
        <v>92208</v>
      </c>
      <c r="RY48" s="34">
        <v>85511</v>
      </c>
      <c r="RZ48" s="34">
        <v>46765</v>
      </c>
      <c r="SA48" s="34">
        <v>68610</v>
      </c>
      <c r="SB48" s="34">
        <v>87566</v>
      </c>
      <c r="SC48" s="34">
        <v>72492</v>
      </c>
      <c r="SD48" s="34">
        <v>66998</v>
      </c>
      <c r="SE48" s="34">
        <v>66476</v>
      </c>
      <c r="SF48" s="34">
        <v>70633</v>
      </c>
      <c r="SG48" s="34">
        <v>38358</v>
      </c>
      <c r="SH48" s="34">
        <v>59357</v>
      </c>
      <c r="SI48" s="34">
        <v>46409</v>
      </c>
      <c r="SJ48" s="34">
        <v>105085</v>
      </c>
      <c r="SK48" s="34">
        <v>62321</v>
      </c>
      <c r="SL48" s="34">
        <v>52453</v>
      </c>
      <c r="SM48" s="34">
        <v>59019</v>
      </c>
      <c r="SN48" s="34">
        <v>28024</v>
      </c>
      <c r="SO48" s="34">
        <v>42493</v>
      </c>
      <c r="SP48" s="34">
        <v>40196</v>
      </c>
      <c r="SQ48" s="34">
        <v>42027</v>
      </c>
      <c r="SR48" s="34">
        <v>43222</v>
      </c>
      <c r="SS48" s="34">
        <v>44240</v>
      </c>
      <c r="ST48" s="34">
        <v>38775</v>
      </c>
      <c r="SU48" s="34">
        <v>24053</v>
      </c>
      <c r="SV48" s="34">
        <v>36095</v>
      </c>
      <c r="SW48" s="34">
        <v>29676</v>
      </c>
      <c r="SX48" s="34">
        <v>35685</v>
      </c>
      <c r="SY48" s="34">
        <v>35659</v>
      </c>
      <c r="SZ48" s="34">
        <v>39020</v>
      </c>
      <c r="TA48" s="34">
        <v>33978</v>
      </c>
      <c r="TB48" s="34">
        <v>20137</v>
      </c>
      <c r="TC48" s="34">
        <v>30998</v>
      </c>
      <c r="TD48" s="34">
        <v>26757</v>
      </c>
      <c r="TE48" s="34">
        <v>35718</v>
      </c>
      <c r="TF48" s="34">
        <v>34171</v>
      </c>
      <c r="TG48" s="34">
        <v>35082</v>
      </c>
      <c r="TH48" s="34">
        <v>33372</v>
      </c>
      <c r="TI48" s="34">
        <v>17689</v>
      </c>
      <c r="TJ48" s="34">
        <v>29154</v>
      </c>
      <c r="TK48" s="34">
        <v>28396</v>
      </c>
      <c r="TL48" s="34">
        <v>30251</v>
      </c>
      <c r="TM48" s="34">
        <v>26193</v>
      </c>
      <c r="TN48" s="34">
        <v>31137</v>
      </c>
      <c r="TO48" s="34">
        <v>28506</v>
      </c>
      <c r="TP48" s="34">
        <v>15734</v>
      </c>
      <c r="TQ48" s="34">
        <v>24577</v>
      </c>
      <c r="TR48" s="34">
        <v>24063</v>
      </c>
      <c r="TS48" s="34">
        <v>26129</v>
      </c>
      <c r="TT48" s="34">
        <v>26716</v>
      </c>
      <c r="TU48" s="34">
        <v>27072</v>
      </c>
      <c r="TV48" s="34">
        <v>27279</v>
      </c>
      <c r="TW48" s="34">
        <v>13583</v>
      </c>
      <c r="TX48" s="34">
        <v>21441</v>
      </c>
      <c r="TY48" s="34">
        <v>23331</v>
      </c>
      <c r="TZ48" s="34">
        <v>26025</v>
      </c>
      <c r="UA48" s="34">
        <v>29683</v>
      </c>
      <c r="UB48" s="34">
        <v>27212</v>
      </c>
      <c r="UC48" s="34">
        <v>38952</v>
      </c>
      <c r="UD48" s="34">
        <v>0</v>
      </c>
      <c r="UE48" s="34">
        <v>21368</v>
      </c>
      <c r="UF48" s="34">
        <v>21960</v>
      </c>
      <c r="UG48" s="34">
        <v>11522</v>
      </c>
      <c r="UH48" s="34">
        <v>25171</v>
      </c>
      <c r="UI48" s="34">
        <v>24122</v>
      </c>
      <c r="UJ48" s="34">
        <v>24908</v>
      </c>
      <c r="UK48" s="34">
        <v>12711</v>
      </c>
      <c r="UL48" s="34">
        <v>25522</v>
      </c>
      <c r="UM48" s="34">
        <v>23881</v>
      </c>
      <c r="UN48" s="34">
        <v>23971</v>
      </c>
      <c r="UO48" s="34">
        <v>22305</v>
      </c>
      <c r="UP48" s="34">
        <v>23109</v>
      </c>
      <c r="UQ48" s="34">
        <v>30129</v>
      </c>
      <c r="UR48" s="34">
        <v>19258</v>
      </c>
      <c r="US48" s="34">
        <v>0</v>
      </c>
      <c r="UT48" s="34">
        <v>20591</v>
      </c>
      <c r="UU48" s="34">
        <v>26750</v>
      </c>
      <c r="UV48" s="34">
        <v>29300</v>
      </c>
      <c r="UW48" s="34">
        <v>25800</v>
      </c>
      <c r="UX48" s="34">
        <v>25189</v>
      </c>
      <c r="UY48" s="34">
        <v>13595</v>
      </c>
      <c r="UZ48" s="34">
        <v>22165</v>
      </c>
      <c r="VA48" s="34">
        <v>22490</v>
      </c>
      <c r="VB48" s="34">
        <v>25440</v>
      </c>
      <c r="VC48" s="34">
        <v>43185</v>
      </c>
      <c r="VD48" s="34">
        <v>0</v>
      </c>
      <c r="VE48" s="34">
        <v>15801</v>
      </c>
      <c r="VF48" s="34">
        <v>7179</v>
      </c>
      <c r="VG48" s="34">
        <v>0</v>
      </c>
      <c r="VH48" s="34">
        <v>16322</v>
      </c>
      <c r="VI48" s="34">
        <v>21565</v>
      </c>
      <c r="VJ48" s="34">
        <v>19324</v>
      </c>
      <c r="VK48" s="34">
        <v>21246</v>
      </c>
      <c r="VL48" s="34">
        <v>27115</v>
      </c>
      <c r="VM48" s="34">
        <v>16668</v>
      </c>
      <c r="VN48" s="34">
        <v>0</v>
      </c>
      <c r="VO48" s="34">
        <v>16800</v>
      </c>
      <c r="VP48" s="34">
        <v>18884</v>
      </c>
      <c r="VQ48" s="34">
        <v>20981</v>
      </c>
      <c r="VR48" s="34">
        <v>18363</v>
      </c>
      <c r="VS48" s="34">
        <v>18334</v>
      </c>
      <c r="VT48" s="34">
        <v>0</v>
      </c>
      <c r="VU48" s="34">
        <v>0</v>
      </c>
      <c r="VV48" s="34">
        <v>0</v>
      </c>
      <c r="VW48" s="34">
        <v>0</v>
      </c>
      <c r="VX48" s="34">
        <v>0</v>
      </c>
      <c r="VY48" s="34">
        <v>95250</v>
      </c>
      <c r="VZ48" s="34">
        <v>0</v>
      </c>
      <c r="WA48" s="34">
        <v>0</v>
      </c>
      <c r="WB48" s="34">
        <v>0</v>
      </c>
      <c r="WC48" s="34">
        <v>0</v>
      </c>
      <c r="WD48" s="34">
        <v>0</v>
      </c>
      <c r="WE48" s="34">
        <v>0</v>
      </c>
      <c r="WF48" s="34">
        <v>115279</v>
      </c>
      <c r="WG48" s="34">
        <v>0</v>
      </c>
      <c r="WH48" s="34">
        <v>0</v>
      </c>
      <c r="WI48" s="34">
        <v>0</v>
      </c>
      <c r="WJ48" s="34">
        <v>0</v>
      </c>
      <c r="WK48" s="34">
        <v>0</v>
      </c>
      <c r="WL48" s="34">
        <v>0</v>
      </c>
      <c r="WM48">
        <v>117263</v>
      </c>
      <c r="WN48">
        <v>0</v>
      </c>
      <c r="WO48">
        <v>0</v>
      </c>
      <c r="WP48">
        <v>0</v>
      </c>
      <c r="WQ48">
        <v>0</v>
      </c>
      <c r="WR48">
        <v>0</v>
      </c>
      <c r="WS48">
        <v>0</v>
      </c>
      <c r="WT48">
        <v>0</v>
      </c>
      <c r="WU48">
        <v>129689</v>
      </c>
      <c r="WV48">
        <v>0</v>
      </c>
      <c r="WW48">
        <v>0</v>
      </c>
      <c r="WX48">
        <v>0</v>
      </c>
      <c r="WY48">
        <v>0</v>
      </c>
      <c r="WZ48">
        <v>0</v>
      </c>
      <c r="XA48">
        <v>119113</v>
      </c>
      <c r="XB48">
        <v>0</v>
      </c>
      <c r="XC48">
        <v>0</v>
      </c>
      <c r="XD48">
        <v>0</v>
      </c>
      <c r="XE48">
        <v>0</v>
      </c>
      <c r="XF48">
        <v>133882</v>
      </c>
      <c r="XG48">
        <v>0</v>
      </c>
      <c r="XH48">
        <v>0</v>
      </c>
      <c r="XI48">
        <v>0</v>
      </c>
      <c r="XJ48">
        <v>0</v>
      </c>
      <c r="XK48">
        <v>0</v>
      </c>
      <c r="XL48">
        <v>0</v>
      </c>
      <c r="XM48">
        <v>128803</v>
      </c>
      <c r="XN48">
        <v>0</v>
      </c>
      <c r="XO48">
        <v>0</v>
      </c>
      <c r="XP48">
        <v>0</v>
      </c>
      <c r="XQ48">
        <v>0</v>
      </c>
      <c r="XR48">
        <v>118049</v>
      </c>
      <c r="XS48">
        <v>0</v>
      </c>
      <c r="XT48">
        <v>0</v>
      </c>
      <c r="XU48">
        <v>0</v>
      </c>
      <c r="XV48">
        <v>0</v>
      </c>
      <c r="XW48">
        <v>0</v>
      </c>
      <c r="XX48">
        <v>0</v>
      </c>
      <c r="XY48">
        <v>0</v>
      </c>
      <c r="XZ48">
        <v>0</v>
      </c>
      <c r="YA48">
        <v>0</v>
      </c>
      <c r="YB48">
        <v>0</v>
      </c>
      <c r="YC48">
        <v>117136</v>
      </c>
      <c r="YD48">
        <v>0</v>
      </c>
      <c r="YE48">
        <v>0</v>
      </c>
      <c r="YF48" s="1">
        <v>0</v>
      </c>
      <c r="YG48" s="1">
        <v>0</v>
      </c>
      <c r="YH48" s="1">
        <v>0</v>
      </c>
      <c r="YI48" s="1">
        <v>0</v>
      </c>
      <c r="YJ48">
        <v>123341</v>
      </c>
      <c r="YK48">
        <v>0</v>
      </c>
      <c r="YL48">
        <v>0</v>
      </c>
      <c r="YM48">
        <v>0</v>
      </c>
      <c r="YN48">
        <v>0</v>
      </c>
      <c r="YO48">
        <v>0</v>
      </c>
      <c r="YP48">
        <v>0</v>
      </c>
      <c r="YQ48">
        <v>118912</v>
      </c>
      <c r="YR48">
        <v>0</v>
      </c>
      <c r="YS48">
        <v>0</v>
      </c>
      <c r="YT48">
        <v>0</v>
      </c>
      <c r="YU48">
        <v>0</v>
      </c>
      <c r="YV48">
        <v>0</v>
      </c>
      <c r="YW48">
        <v>107855</v>
      </c>
      <c r="YX48">
        <v>0</v>
      </c>
      <c r="YY48">
        <v>0</v>
      </c>
      <c r="YZ48">
        <v>0</v>
      </c>
      <c r="ZA48">
        <v>0</v>
      </c>
      <c r="ZB48">
        <v>0</v>
      </c>
      <c r="ZC48">
        <v>0</v>
      </c>
      <c r="ZD48">
        <v>0</v>
      </c>
      <c r="ZE48">
        <v>102423</v>
      </c>
      <c r="ZF48">
        <v>0</v>
      </c>
      <c r="ZG48">
        <v>0</v>
      </c>
      <c r="ZH48">
        <v>0</v>
      </c>
      <c r="ZI48">
        <v>0</v>
      </c>
      <c r="ZJ48">
        <v>0</v>
      </c>
      <c r="ZK48">
        <v>94523</v>
      </c>
      <c r="ZL48">
        <v>0</v>
      </c>
      <c r="ZM48">
        <v>0</v>
      </c>
      <c r="ZN48">
        <v>0</v>
      </c>
      <c r="ZO48">
        <v>0</v>
      </c>
      <c r="ZP48">
        <v>0</v>
      </c>
      <c r="ZQ48">
        <v>0</v>
      </c>
      <c r="ZR48">
        <v>78669</v>
      </c>
      <c r="ZS48">
        <v>0</v>
      </c>
      <c r="ZT48">
        <v>0</v>
      </c>
      <c r="ZU48">
        <v>0</v>
      </c>
      <c r="ZV48">
        <v>0</v>
      </c>
      <c r="ZW48">
        <v>0</v>
      </c>
      <c r="ZX48">
        <v>0</v>
      </c>
      <c r="ZY48">
        <v>63293</v>
      </c>
      <c r="ZZ48">
        <v>0</v>
      </c>
      <c r="AAA48">
        <v>0</v>
      </c>
      <c r="AAB48">
        <v>0</v>
      </c>
      <c r="AAC48">
        <v>0</v>
      </c>
      <c r="AAD48">
        <v>0</v>
      </c>
      <c r="AAE48">
        <v>0</v>
      </c>
      <c r="AAF48">
        <v>50656</v>
      </c>
      <c r="AAG48">
        <v>0</v>
      </c>
      <c r="AAH48">
        <v>0</v>
      </c>
      <c r="AAI48">
        <v>0</v>
      </c>
      <c r="AAJ48">
        <v>0</v>
      </c>
      <c r="AAK48">
        <v>0</v>
      </c>
      <c r="AAL48">
        <v>0</v>
      </c>
      <c r="AAM48">
        <v>79506</v>
      </c>
      <c r="AAN48">
        <v>0</v>
      </c>
      <c r="AAO48">
        <v>0</v>
      </c>
      <c r="AAP48">
        <v>0</v>
      </c>
      <c r="AAQ48">
        <v>0</v>
      </c>
      <c r="AAR48">
        <v>0</v>
      </c>
      <c r="AAS48">
        <v>0</v>
      </c>
      <c r="AAT48">
        <v>54635</v>
      </c>
      <c r="AAU48">
        <v>0</v>
      </c>
      <c r="AAV48">
        <v>0</v>
      </c>
      <c r="AAW48">
        <v>0</v>
      </c>
      <c r="AAX48">
        <v>0</v>
      </c>
      <c r="AAY48">
        <v>0</v>
      </c>
      <c r="AAZ48">
        <v>0</v>
      </c>
      <c r="ABA48">
        <v>56224</v>
      </c>
      <c r="ABB48">
        <v>0</v>
      </c>
      <c r="ABC48">
        <v>0</v>
      </c>
      <c r="ABD48">
        <v>0</v>
      </c>
      <c r="ABE48">
        <v>0</v>
      </c>
      <c r="ABF48">
        <v>0</v>
      </c>
      <c r="ABG48">
        <v>0</v>
      </c>
      <c r="ABH48">
        <v>49979</v>
      </c>
      <c r="ABI48">
        <v>0</v>
      </c>
      <c r="ABJ48">
        <v>0</v>
      </c>
      <c r="ABK48">
        <v>0</v>
      </c>
      <c r="ABL48">
        <v>0</v>
      </c>
      <c r="ABM48">
        <v>0</v>
      </c>
      <c r="ABN48">
        <v>0</v>
      </c>
      <c r="ABO48">
        <v>0</v>
      </c>
      <c r="ABP48">
        <v>53188</v>
      </c>
      <c r="ABQ48">
        <v>0</v>
      </c>
      <c r="ABR48">
        <v>0</v>
      </c>
      <c r="ABS48">
        <v>0</v>
      </c>
      <c r="ABT48">
        <v>0</v>
      </c>
      <c r="ABU48">
        <v>0</v>
      </c>
      <c r="ABV48">
        <v>42961</v>
      </c>
      <c r="ABW48">
        <v>0</v>
      </c>
      <c r="ABX48">
        <v>0</v>
      </c>
      <c r="ABY48">
        <v>0</v>
      </c>
      <c r="ABZ48">
        <v>0</v>
      </c>
      <c r="ACA48">
        <v>0</v>
      </c>
      <c r="ACB48">
        <v>38548</v>
      </c>
      <c r="ACC48">
        <v>0</v>
      </c>
      <c r="ACD48">
        <v>0</v>
      </c>
      <c r="ACE48">
        <v>0</v>
      </c>
      <c r="ACF48">
        <v>0</v>
      </c>
      <c r="ACG48">
        <v>0</v>
      </c>
      <c r="ACH48">
        <v>0</v>
      </c>
      <c r="ACI48">
        <v>0</v>
      </c>
      <c r="ACJ48">
        <v>33744</v>
      </c>
      <c r="ACK48">
        <v>0</v>
      </c>
      <c r="ACL48">
        <v>0</v>
      </c>
      <c r="ACM48">
        <v>0</v>
      </c>
      <c r="ACN48">
        <v>0</v>
      </c>
      <c r="ACO48">
        <v>0</v>
      </c>
      <c r="ACP48">
        <v>36210</v>
      </c>
      <c r="ACQ48">
        <v>0</v>
      </c>
      <c r="ACR48">
        <v>0</v>
      </c>
      <c r="ACS48">
        <v>0</v>
      </c>
      <c r="ACT48">
        <v>0</v>
      </c>
      <c r="ACU48">
        <v>0</v>
      </c>
      <c r="ACV48">
        <v>36476</v>
      </c>
      <c r="ACW48">
        <v>0</v>
      </c>
      <c r="ACX48">
        <v>0</v>
      </c>
      <c r="ACY48">
        <v>0</v>
      </c>
      <c r="ACZ48">
        <v>0</v>
      </c>
      <c r="ADA48">
        <v>0</v>
      </c>
      <c r="ADB48">
        <v>0</v>
      </c>
      <c r="ADC48">
        <v>0</v>
      </c>
      <c r="ADD48">
        <v>31100</v>
      </c>
      <c r="ADE48">
        <v>0</v>
      </c>
      <c r="ADF48">
        <v>0</v>
      </c>
      <c r="ADG48">
        <v>0</v>
      </c>
      <c r="ADH48">
        <v>0</v>
      </c>
      <c r="ADI48">
        <v>0</v>
      </c>
      <c r="ADJ48">
        <v>0</v>
      </c>
      <c r="ADK48">
        <v>0</v>
      </c>
      <c r="ADL48">
        <v>39824</v>
      </c>
      <c r="ADM48">
        <v>0</v>
      </c>
      <c r="ADN48">
        <v>0</v>
      </c>
      <c r="ADO48">
        <v>0</v>
      </c>
      <c r="ADP48">
        <v>0</v>
      </c>
      <c r="ADQ48">
        <v>0</v>
      </c>
      <c r="ADR48">
        <v>44235</v>
      </c>
      <c r="ADS48">
        <v>0</v>
      </c>
      <c r="ADT48">
        <v>0</v>
      </c>
      <c r="ADU48">
        <v>0</v>
      </c>
      <c r="ADV48">
        <v>0</v>
      </c>
      <c r="ADW48">
        <v>0</v>
      </c>
      <c r="ADX48">
        <v>0</v>
      </c>
      <c r="ADY48">
        <v>31807</v>
      </c>
      <c r="ADZ48">
        <v>0</v>
      </c>
      <c r="AEA48">
        <v>0</v>
      </c>
      <c r="AEB48">
        <v>0</v>
      </c>
      <c r="AEC48">
        <v>0</v>
      </c>
      <c r="AED48">
        <v>43882</v>
      </c>
      <c r="AEE48">
        <v>0</v>
      </c>
      <c r="AEF48">
        <v>0</v>
      </c>
      <c r="AEG48">
        <v>0</v>
      </c>
      <c r="AEH48">
        <v>0</v>
      </c>
      <c r="AEI48">
        <v>0</v>
      </c>
      <c r="AEJ48">
        <v>0</v>
      </c>
      <c r="AEK48">
        <v>0</v>
      </c>
      <c r="AEL48">
        <v>0</v>
      </c>
      <c r="AEM48">
        <v>0</v>
      </c>
      <c r="AEN48">
        <v>0</v>
      </c>
      <c r="AEO48">
        <v>0</v>
      </c>
      <c r="AEP48">
        <v>0</v>
      </c>
      <c r="AEQ48">
        <v>0</v>
      </c>
      <c r="AER48">
        <v>0</v>
      </c>
      <c r="AES48">
        <v>0</v>
      </c>
      <c r="AET48">
        <v>0</v>
      </c>
      <c r="AEU48">
        <v>0</v>
      </c>
      <c r="AEV48">
        <v>0</v>
      </c>
      <c r="AEW48">
        <v>0</v>
      </c>
      <c r="AEX48">
        <v>0</v>
      </c>
      <c r="AEY48">
        <v>0</v>
      </c>
      <c r="AEZ48">
        <v>0</v>
      </c>
      <c r="AFA48">
        <v>0</v>
      </c>
      <c r="AFB48">
        <v>0</v>
      </c>
      <c r="AFC48">
        <v>0</v>
      </c>
      <c r="AFD48">
        <v>0</v>
      </c>
      <c r="AFE48">
        <v>0</v>
      </c>
      <c r="AFF48">
        <v>0</v>
      </c>
      <c r="AFG48">
        <v>0</v>
      </c>
      <c r="AFH48">
        <v>0</v>
      </c>
      <c r="AFI48">
        <v>0</v>
      </c>
      <c r="AFJ48">
        <v>0</v>
      </c>
      <c r="AFK48">
        <v>0</v>
      </c>
      <c r="AFL48">
        <v>0</v>
      </c>
      <c r="AFM48">
        <v>0</v>
      </c>
      <c r="AFN48">
        <v>0</v>
      </c>
      <c r="AFO48">
        <v>0</v>
      </c>
      <c r="AFP48">
        <v>0</v>
      </c>
      <c r="AFQ48">
        <v>0</v>
      </c>
      <c r="AFR48">
        <v>0</v>
      </c>
      <c r="AFS48">
        <v>0</v>
      </c>
      <c r="AFT48">
        <v>0</v>
      </c>
      <c r="AFU48">
        <v>0</v>
      </c>
      <c r="AFV48">
        <v>0</v>
      </c>
      <c r="AFW48">
        <v>0</v>
      </c>
      <c r="AFX48">
        <v>0</v>
      </c>
      <c r="AFY48">
        <v>0</v>
      </c>
      <c r="AFZ48">
        <v>0</v>
      </c>
      <c r="AGA48">
        <v>0</v>
      </c>
      <c r="AGB48">
        <v>0</v>
      </c>
      <c r="AGC48">
        <v>0</v>
      </c>
      <c r="AGD48">
        <v>0</v>
      </c>
      <c r="AGE48">
        <v>0</v>
      </c>
      <c r="AGF48">
        <v>0</v>
      </c>
      <c r="AGG48">
        <v>0</v>
      </c>
      <c r="AGH48">
        <v>0</v>
      </c>
      <c r="AGI48">
        <v>0</v>
      </c>
      <c r="AGJ48">
        <v>0</v>
      </c>
      <c r="AGK48">
        <v>0</v>
      </c>
      <c r="AGL48">
        <v>0</v>
      </c>
      <c r="AGM48">
        <v>0</v>
      </c>
      <c r="AGN48">
        <v>0</v>
      </c>
      <c r="AGO48">
        <v>0</v>
      </c>
      <c r="AGP48">
        <v>0</v>
      </c>
      <c r="AGQ48">
        <v>0</v>
      </c>
      <c r="AGR48">
        <v>0</v>
      </c>
      <c r="AGS48">
        <v>0</v>
      </c>
      <c r="AGT48">
        <v>0</v>
      </c>
      <c r="AGU48">
        <v>0</v>
      </c>
      <c r="AGV48">
        <v>0</v>
      </c>
      <c r="AGW48">
        <v>0</v>
      </c>
      <c r="AGX48">
        <v>0</v>
      </c>
      <c r="AGY48">
        <v>0</v>
      </c>
      <c r="AGZ48">
        <v>0</v>
      </c>
      <c r="AHA48">
        <v>0</v>
      </c>
      <c r="AHB48">
        <v>0</v>
      </c>
      <c r="AHC48">
        <v>0</v>
      </c>
      <c r="AHD48">
        <v>0</v>
      </c>
      <c r="AHE48">
        <v>0</v>
      </c>
      <c r="AHF48">
        <v>0</v>
      </c>
      <c r="AHG48">
        <v>0</v>
      </c>
      <c r="AHH48">
        <v>0</v>
      </c>
      <c r="AHI48">
        <v>0</v>
      </c>
      <c r="AHJ48">
        <v>0</v>
      </c>
      <c r="AHK48">
        <v>0</v>
      </c>
      <c r="AHL48">
        <v>0</v>
      </c>
      <c r="AHM48">
        <v>0</v>
      </c>
      <c r="AHN48">
        <v>0</v>
      </c>
      <c r="AHO48">
        <v>0</v>
      </c>
      <c r="AHP48">
        <v>0</v>
      </c>
      <c r="AHQ48">
        <v>0</v>
      </c>
    </row>
    <row r="49" spans="1:901">
      <c r="A49" s="1" t="s">
        <v>34</v>
      </c>
      <c r="C49" s="34">
        <f t="shared" si="28"/>
        <v>7712</v>
      </c>
      <c r="D49" s="34">
        <f t="shared" si="28"/>
        <v>5542</v>
      </c>
      <c r="E49" s="34">
        <f t="shared" si="29"/>
        <v>7700</v>
      </c>
      <c r="F49" s="34">
        <f t="shared" si="30"/>
        <v>3001</v>
      </c>
      <c r="G49" s="34">
        <f t="shared" si="31"/>
        <v>1185</v>
      </c>
      <c r="H49" s="34">
        <f t="shared" si="32"/>
        <v>4392</v>
      </c>
      <c r="I49" s="34">
        <f t="shared" si="32"/>
        <v>6412</v>
      </c>
      <c r="J49" s="34">
        <f t="shared" si="0"/>
        <v>4755</v>
      </c>
      <c r="K49" s="34">
        <f t="shared" si="0"/>
        <v>5483</v>
      </c>
      <c r="L49" s="34">
        <f t="shared" si="0"/>
        <v>9451</v>
      </c>
      <c r="M49" s="34">
        <f t="shared" si="0"/>
        <v>955</v>
      </c>
      <c r="N49" s="34">
        <f t="shared" si="0"/>
        <v>4793</v>
      </c>
      <c r="O49" s="34">
        <f t="shared" si="0"/>
        <v>7786</v>
      </c>
      <c r="P49" s="34">
        <f t="shared" si="0"/>
        <v>7100</v>
      </c>
      <c r="Q49" s="34">
        <f t="shared" si="0"/>
        <v>7287</v>
      </c>
      <c r="R49" s="34">
        <f t="shared" si="0"/>
        <v>4392</v>
      </c>
      <c r="S49" s="34">
        <f t="shared" si="0"/>
        <v>2725</v>
      </c>
      <c r="T49" s="34">
        <f t="shared" si="0"/>
        <v>1299</v>
      </c>
      <c r="U49" s="34">
        <f t="shared" si="0"/>
        <v>0</v>
      </c>
      <c r="V49" s="34">
        <f t="shared" si="0"/>
        <v>0</v>
      </c>
      <c r="W49" s="34">
        <f t="shared" si="0"/>
        <v>2150</v>
      </c>
      <c r="X49" s="34">
        <f t="shared" si="0"/>
        <v>4486</v>
      </c>
      <c r="Y49" s="34">
        <f t="shared" si="0"/>
        <v>4128</v>
      </c>
      <c r="Z49" s="34">
        <f t="shared" si="1"/>
        <v>628</v>
      </c>
      <c r="AA49" s="34">
        <f t="shared" si="1"/>
        <v>814</v>
      </c>
      <c r="AB49" s="34">
        <f t="shared" si="1"/>
        <v>4034</v>
      </c>
      <c r="AC49" s="34">
        <f t="shared" si="1"/>
        <v>4092</v>
      </c>
      <c r="AD49" s="34">
        <f t="shared" si="1"/>
        <v>5726</v>
      </c>
      <c r="AE49" s="34">
        <f t="shared" si="1"/>
        <v>5807</v>
      </c>
      <c r="AF49" s="34">
        <f t="shared" si="1"/>
        <v>4898</v>
      </c>
      <c r="AG49" s="34">
        <f t="shared" si="1"/>
        <v>3248</v>
      </c>
      <c r="AH49" s="34">
        <f t="shared" si="1"/>
        <v>719</v>
      </c>
      <c r="AI49" s="34">
        <f t="shared" si="1"/>
        <v>3819</v>
      </c>
      <c r="AJ49" s="34">
        <f t="shared" si="1"/>
        <v>5560</v>
      </c>
      <c r="AK49" s="34">
        <f t="shared" si="1"/>
        <v>4283</v>
      </c>
      <c r="AL49" s="34">
        <f t="shared" si="1"/>
        <v>5343</v>
      </c>
      <c r="AM49" s="34">
        <f t="shared" si="1"/>
        <v>2127</v>
      </c>
      <c r="AN49" s="34">
        <f t="shared" si="2"/>
        <v>4907</v>
      </c>
      <c r="AO49" s="34">
        <f t="shared" si="2"/>
        <v>1066</v>
      </c>
      <c r="AP49" s="34">
        <f t="shared" si="2"/>
        <v>11487</v>
      </c>
      <c r="AQ49" s="34">
        <f t="shared" si="2"/>
        <v>2405</v>
      </c>
      <c r="AR49" s="34">
        <f t="shared" si="2"/>
        <v>944</v>
      </c>
      <c r="AS49" s="34">
        <f t="shared" si="2"/>
        <v>3709</v>
      </c>
      <c r="AT49" s="34">
        <f t="shared" si="2"/>
        <v>5006</v>
      </c>
      <c r="AU49" s="34">
        <f t="shared" si="2"/>
        <v>2282</v>
      </c>
      <c r="AV49" s="34">
        <f t="shared" si="2"/>
        <v>436</v>
      </c>
      <c r="AW49" s="34">
        <f t="shared" si="2"/>
        <v>717</v>
      </c>
      <c r="AX49" s="34">
        <f t="shared" si="2"/>
        <v>6820</v>
      </c>
      <c r="AY49" s="34">
        <f t="shared" si="2"/>
        <v>1821</v>
      </c>
      <c r="AZ49" s="34">
        <f t="shared" si="2"/>
        <v>4575</v>
      </c>
      <c r="BA49" s="34">
        <f t="shared" si="2"/>
        <v>3462</v>
      </c>
      <c r="BB49" s="34">
        <f t="shared" si="3"/>
        <v>5977</v>
      </c>
      <c r="BC49" s="34">
        <f t="shared" si="3"/>
        <v>3370</v>
      </c>
      <c r="BD49" s="34">
        <f t="shared" si="3"/>
        <v>559</v>
      </c>
      <c r="BE49" s="34">
        <f t="shared" si="3"/>
        <v>3642</v>
      </c>
      <c r="BF49" s="34">
        <f t="shared" si="3"/>
        <v>4590</v>
      </c>
      <c r="BG49" s="34">
        <f t="shared" si="3"/>
        <v>4934</v>
      </c>
      <c r="BH49" s="34">
        <f t="shared" si="3"/>
        <v>4266</v>
      </c>
      <c r="BI49" s="34">
        <f t="shared" si="3"/>
        <v>2244</v>
      </c>
      <c r="BJ49" s="34">
        <f t="shared" si="3"/>
        <v>987</v>
      </c>
      <c r="BK49" s="34">
        <f t="shared" si="3"/>
        <v>1933</v>
      </c>
      <c r="BL49" s="34">
        <f t="shared" si="3"/>
        <v>4335</v>
      </c>
      <c r="BM49" s="34">
        <f t="shared" si="3"/>
        <v>5063</v>
      </c>
      <c r="BN49" s="34">
        <f t="shared" si="3"/>
        <v>3360</v>
      </c>
      <c r="BO49" s="34">
        <f t="shared" si="3"/>
        <v>3975</v>
      </c>
      <c r="BP49" s="34">
        <f t="shared" si="4"/>
        <v>5114</v>
      </c>
      <c r="BQ49" s="34">
        <f t="shared" si="4"/>
        <v>1863</v>
      </c>
      <c r="BR49" s="34">
        <f t="shared" si="4"/>
        <v>3531</v>
      </c>
      <c r="BS49" s="34">
        <f t="shared" si="4"/>
        <v>3078</v>
      </c>
      <c r="BT49" s="34">
        <f t="shared" si="4"/>
        <v>5061</v>
      </c>
      <c r="BU49" s="34">
        <f t="shared" si="4"/>
        <v>5759</v>
      </c>
      <c r="BV49" s="34">
        <f t="shared" si="4"/>
        <v>5331</v>
      </c>
      <c r="BW49" s="34">
        <f t="shared" si="4"/>
        <v>3958</v>
      </c>
      <c r="BX49" s="34">
        <f t="shared" si="4"/>
        <v>2151</v>
      </c>
      <c r="BY49" s="34">
        <f t="shared" si="4"/>
        <v>3490</v>
      </c>
      <c r="BZ49" s="34">
        <f t="shared" si="4"/>
        <v>3469</v>
      </c>
      <c r="CA49" s="34">
        <f t="shared" si="4"/>
        <v>3522</v>
      </c>
      <c r="CB49" s="34">
        <f t="shared" si="4"/>
        <v>4541</v>
      </c>
      <c r="CC49" s="34">
        <f t="shared" si="4"/>
        <v>3147</v>
      </c>
      <c r="CD49" s="34">
        <f t="shared" si="4"/>
        <v>2388</v>
      </c>
      <c r="CE49" s="34">
        <f t="shared" si="4"/>
        <v>695</v>
      </c>
      <c r="CF49" s="34">
        <f t="shared" si="4"/>
        <v>1177</v>
      </c>
      <c r="CG49" s="34">
        <f t="shared" si="4"/>
        <v>2824</v>
      </c>
      <c r="CH49" s="34">
        <f t="shared" si="4"/>
        <v>5903</v>
      </c>
      <c r="CI49" s="34">
        <f t="shared" si="4"/>
        <v>1630</v>
      </c>
      <c r="CJ49" s="34">
        <f t="shared" si="4"/>
        <v>3544</v>
      </c>
      <c r="CK49" s="34">
        <f t="shared" si="4"/>
        <v>2537</v>
      </c>
      <c r="CL49" s="34">
        <f t="shared" si="4"/>
        <v>594</v>
      </c>
      <c r="CM49" s="34">
        <f t="shared" si="4"/>
        <v>1046</v>
      </c>
      <c r="CN49" s="34">
        <f t="shared" si="4"/>
        <v>7751</v>
      </c>
      <c r="CO49" s="34">
        <f t="shared" si="4"/>
        <v>3323</v>
      </c>
      <c r="CP49" s="34">
        <f t="shared" si="4"/>
        <v>2342</v>
      </c>
      <c r="CQ49" s="34">
        <f t="shared" si="4"/>
        <v>5918</v>
      </c>
      <c r="CR49" s="34">
        <f t="shared" si="4"/>
        <v>1440</v>
      </c>
      <c r="CS49" s="34">
        <f t="shared" si="4"/>
        <v>623</v>
      </c>
      <c r="CT49" s="34">
        <f t="shared" si="4"/>
        <v>5847</v>
      </c>
      <c r="CU49" s="34">
        <f t="shared" si="4"/>
        <v>5103</v>
      </c>
      <c r="CV49" s="34">
        <f t="shared" ref="CV49:EH56" si="46">CV28-CU28</f>
        <v>5459</v>
      </c>
      <c r="CW49" s="34">
        <f t="shared" si="46"/>
        <v>4751</v>
      </c>
      <c r="CX49" s="34">
        <f t="shared" si="46"/>
        <v>1024</v>
      </c>
      <c r="CY49" s="34">
        <f t="shared" si="46"/>
        <v>424</v>
      </c>
      <c r="CZ49" s="34">
        <f t="shared" si="46"/>
        <v>1101</v>
      </c>
      <c r="DA49" s="34">
        <f t="shared" si="46"/>
        <v>3817</v>
      </c>
      <c r="DB49" s="34">
        <f t="shared" si="46"/>
        <v>3852</v>
      </c>
      <c r="DC49" s="34">
        <f t="shared" si="46"/>
        <v>3662</v>
      </c>
      <c r="DD49" s="34">
        <f t="shared" si="46"/>
        <v>3596</v>
      </c>
      <c r="DE49" s="34">
        <f t="shared" si="46"/>
        <v>3463</v>
      </c>
      <c r="DF49" s="34">
        <f t="shared" si="46"/>
        <v>224</v>
      </c>
      <c r="DG49" s="34">
        <f t="shared" si="46"/>
        <v>1023</v>
      </c>
      <c r="DH49" s="34">
        <f t="shared" si="46"/>
        <v>3069</v>
      </c>
      <c r="DI49" s="34">
        <f t="shared" si="46"/>
        <v>2718</v>
      </c>
      <c r="DJ49" s="34">
        <f t="shared" si="46"/>
        <v>4394</v>
      </c>
      <c r="DK49" s="34">
        <f t="shared" si="46"/>
        <v>2662</v>
      </c>
      <c r="DL49" s="34">
        <f t="shared" si="46"/>
        <v>4325</v>
      </c>
      <c r="DM49" s="34">
        <f t="shared" si="46"/>
        <v>1606</v>
      </c>
      <c r="DN49" s="34">
        <f t="shared" si="46"/>
        <v>1845</v>
      </c>
      <c r="DO49" s="34">
        <f t="shared" si="46"/>
        <v>4177</v>
      </c>
      <c r="DP49" s="34">
        <f t="shared" si="46"/>
        <v>7374</v>
      </c>
      <c r="DQ49" s="34">
        <f t="shared" si="46"/>
        <v>8393</v>
      </c>
      <c r="DR49" s="34">
        <f t="shared" si="46"/>
        <v>3895</v>
      </c>
      <c r="DS49" s="34">
        <f t="shared" si="46"/>
        <v>9433</v>
      </c>
      <c r="DT49" s="34">
        <f t="shared" si="46"/>
        <v>1126</v>
      </c>
      <c r="DU49" s="34">
        <f t="shared" si="46"/>
        <v>1315</v>
      </c>
      <c r="DV49" s="34">
        <f t="shared" si="46"/>
        <v>3585</v>
      </c>
      <c r="DW49" s="34">
        <f t="shared" si="46"/>
        <v>7009</v>
      </c>
      <c r="DX49" s="34">
        <f t="shared" si="46"/>
        <v>8644</v>
      </c>
      <c r="DY49" s="34">
        <f t="shared" si="46"/>
        <v>2953</v>
      </c>
      <c r="DZ49" s="34">
        <f t="shared" si="46"/>
        <v>5329</v>
      </c>
      <c r="EA49" s="34">
        <f t="shared" si="46"/>
        <v>5223</v>
      </c>
      <c r="EB49" s="34">
        <f t="shared" si="46"/>
        <v>1579</v>
      </c>
      <c r="EC49" s="34">
        <f t="shared" si="46"/>
        <v>2161</v>
      </c>
      <c r="ED49" s="34">
        <f t="shared" si="46"/>
        <v>6507</v>
      </c>
      <c r="EE49" s="34">
        <f t="shared" si="46"/>
        <v>10501</v>
      </c>
      <c r="EF49" s="34">
        <f t="shared" si="46"/>
        <v>4889</v>
      </c>
      <c r="EG49" s="34">
        <f t="shared" si="46"/>
        <v>11635</v>
      </c>
      <c r="EH49" s="34">
        <f t="shared" si="46"/>
        <v>1775</v>
      </c>
      <c r="EI49" s="34">
        <f t="shared" si="5"/>
        <v>888</v>
      </c>
      <c r="EJ49" s="34">
        <f t="shared" si="5"/>
        <v>3001</v>
      </c>
      <c r="EK49" s="34">
        <f t="shared" si="5"/>
        <v>2709</v>
      </c>
      <c r="EL49" s="34">
        <f t="shared" si="5"/>
        <v>4344</v>
      </c>
      <c r="EM49" s="34">
        <f t="shared" si="5"/>
        <v>4640</v>
      </c>
      <c r="EN49" s="34">
        <f t="shared" si="5"/>
        <v>5229</v>
      </c>
      <c r="EO49" s="34">
        <f t="shared" si="5"/>
        <v>3180</v>
      </c>
      <c r="EP49" s="34">
        <f t="shared" si="5"/>
        <v>1343</v>
      </c>
      <c r="EQ49" s="34">
        <f t="shared" si="5"/>
        <v>5230</v>
      </c>
      <c r="ER49" s="34">
        <f t="shared" si="6"/>
        <v>2318</v>
      </c>
      <c r="ES49" s="34">
        <f t="shared" si="6"/>
        <v>9305</v>
      </c>
      <c r="ET49" s="34">
        <f t="shared" si="6"/>
        <v>5739</v>
      </c>
      <c r="EU49" s="34">
        <f t="shared" si="6"/>
        <v>7866</v>
      </c>
      <c r="EV49" s="34">
        <f t="shared" si="6"/>
        <v>4622</v>
      </c>
      <c r="EW49" s="34">
        <f t="shared" si="6"/>
        <v>1119</v>
      </c>
      <c r="EX49" s="34">
        <f t="shared" si="6"/>
        <v>1747</v>
      </c>
      <c r="EY49" s="34">
        <f t="shared" si="6"/>
        <v>1248</v>
      </c>
      <c r="EZ49" s="34">
        <f t="shared" si="6"/>
        <v>4475</v>
      </c>
      <c r="FA49" s="34">
        <f t="shared" si="6"/>
        <v>5325</v>
      </c>
      <c r="FB49" s="34">
        <f t="shared" si="6"/>
        <v>8375</v>
      </c>
      <c r="FC49" s="34">
        <f t="shared" si="6"/>
        <v>4847</v>
      </c>
      <c r="FD49" s="34">
        <f t="shared" si="6"/>
        <v>1508</v>
      </c>
      <c r="FE49" s="34">
        <f t="shared" si="6"/>
        <v>1605</v>
      </c>
      <c r="FF49" s="34">
        <f t="shared" si="6"/>
        <v>7464</v>
      </c>
      <c r="FG49" s="34">
        <f t="shared" si="6"/>
        <v>8271</v>
      </c>
      <c r="FH49" s="34">
        <f t="shared" si="6"/>
        <v>5889</v>
      </c>
      <c r="FI49" s="34">
        <f t="shared" si="6"/>
        <v>7827</v>
      </c>
      <c r="FJ49" s="34">
        <f t="shared" si="6"/>
        <v>4473</v>
      </c>
      <c r="FK49" s="34">
        <f t="shared" si="6"/>
        <v>1598</v>
      </c>
      <c r="FL49" s="34">
        <f t="shared" si="6"/>
        <v>2945</v>
      </c>
      <c r="FM49" s="34">
        <f t="shared" si="6"/>
        <v>8693</v>
      </c>
      <c r="FN49" s="34">
        <v>2357</v>
      </c>
      <c r="FO49" s="34">
        <f t="shared" si="6"/>
        <v>5941</v>
      </c>
      <c r="FP49" s="34">
        <v>6334</v>
      </c>
      <c r="FQ49" s="34">
        <v>2200</v>
      </c>
      <c r="FR49" s="34">
        <v>282</v>
      </c>
      <c r="FS49" s="34">
        <v>3252</v>
      </c>
      <c r="FT49" s="34">
        <f t="shared" si="9"/>
        <v>5045</v>
      </c>
      <c r="FU49" s="34">
        <f t="shared" si="9"/>
        <v>4933</v>
      </c>
      <c r="FV49" s="34">
        <f t="shared" si="9"/>
        <v>6506</v>
      </c>
      <c r="FW49" s="34">
        <f t="shared" si="9"/>
        <v>5338</v>
      </c>
      <c r="FX49" s="34">
        <f t="shared" si="9"/>
        <v>3445</v>
      </c>
      <c r="FY49" s="34">
        <f t="shared" si="9"/>
        <v>1163</v>
      </c>
      <c r="FZ49" s="34">
        <f t="shared" si="9"/>
        <v>2718</v>
      </c>
      <c r="GA49" s="34">
        <f t="shared" si="9"/>
        <v>7156</v>
      </c>
      <c r="GB49" s="34">
        <f t="shared" si="9"/>
        <v>6544</v>
      </c>
      <c r="GC49" s="34">
        <f t="shared" si="9"/>
        <v>7660</v>
      </c>
      <c r="GD49" s="34">
        <f t="shared" si="9"/>
        <v>3610</v>
      </c>
      <c r="GE49" s="34">
        <f t="shared" si="9"/>
        <v>3638</v>
      </c>
      <c r="GF49" s="34">
        <f t="shared" si="9"/>
        <v>1364</v>
      </c>
      <c r="GG49" s="34">
        <f t="shared" si="9"/>
        <v>2609</v>
      </c>
      <c r="GH49" s="34">
        <f t="shared" si="10"/>
        <v>6813</v>
      </c>
      <c r="GI49" s="34">
        <f t="shared" si="10"/>
        <v>5867</v>
      </c>
      <c r="GJ49" s="34">
        <f t="shared" si="10"/>
        <v>5600</v>
      </c>
      <c r="GK49" s="34">
        <f t="shared" si="10"/>
        <v>4465</v>
      </c>
      <c r="GL49" s="34">
        <f t="shared" si="10"/>
        <v>4025</v>
      </c>
      <c r="GM49" s="34">
        <f t="shared" si="10"/>
        <v>3123</v>
      </c>
      <c r="GN49" s="34">
        <f t="shared" si="10"/>
        <v>3206</v>
      </c>
      <c r="GO49" s="34">
        <f t="shared" si="10"/>
        <v>4648</v>
      </c>
      <c r="GP49" s="34">
        <f t="shared" si="10"/>
        <v>4956</v>
      </c>
      <c r="GQ49" s="34">
        <f t="shared" si="10"/>
        <v>7875</v>
      </c>
      <c r="GR49" s="34">
        <f t="shared" si="10"/>
        <v>2335</v>
      </c>
      <c r="GS49" s="34">
        <f t="shared" si="10"/>
        <v>2854</v>
      </c>
      <c r="GT49" s="34">
        <f t="shared" si="10"/>
        <v>4084</v>
      </c>
      <c r="GU49" s="34">
        <f t="shared" si="10"/>
        <v>1624</v>
      </c>
      <c r="GV49" s="34">
        <f t="shared" si="11"/>
        <v>6155</v>
      </c>
      <c r="GW49" s="34">
        <f t="shared" si="11"/>
        <v>7706</v>
      </c>
      <c r="GX49" s="34">
        <f t="shared" si="11"/>
        <v>3578</v>
      </c>
      <c r="GY49" s="34">
        <f t="shared" si="11"/>
        <v>7033</v>
      </c>
      <c r="GZ49" s="34">
        <f t="shared" si="11"/>
        <v>2907</v>
      </c>
      <c r="HA49" s="34">
        <f t="shared" si="11"/>
        <v>2459</v>
      </c>
      <c r="HB49" s="34">
        <f t="shared" si="12"/>
        <v>4918</v>
      </c>
      <c r="HC49" s="34">
        <f t="shared" si="13"/>
        <v>7105</v>
      </c>
      <c r="HD49" s="34">
        <f t="shared" ref="HD49" si="47">HD28-HC28</f>
        <v>10029</v>
      </c>
      <c r="HE49" s="34">
        <f t="shared" si="13"/>
        <v>2971</v>
      </c>
      <c r="HF49" s="34">
        <f t="shared" si="13"/>
        <v>6514</v>
      </c>
      <c r="HG49" s="34">
        <f t="shared" si="13"/>
        <v>3258</v>
      </c>
      <c r="HH49" s="34">
        <f t="shared" si="13"/>
        <v>104</v>
      </c>
      <c r="HI49" s="34">
        <f t="shared" si="13"/>
        <v>2908</v>
      </c>
      <c r="HJ49" s="34">
        <f t="shared" si="13"/>
        <v>4831</v>
      </c>
      <c r="HK49" s="34">
        <f t="shared" si="13"/>
        <v>7781</v>
      </c>
      <c r="HL49" s="34">
        <f t="shared" si="13"/>
        <v>10720</v>
      </c>
      <c r="HM49" s="34">
        <f t="shared" si="13"/>
        <v>4307</v>
      </c>
      <c r="HN49" s="34">
        <f t="shared" si="13"/>
        <v>700</v>
      </c>
      <c r="HO49" s="34">
        <f t="shared" si="13"/>
        <v>3283</v>
      </c>
      <c r="HP49" s="34">
        <f t="shared" si="13"/>
        <v>2564</v>
      </c>
      <c r="HQ49" s="34">
        <f t="shared" si="13"/>
        <v>7352</v>
      </c>
      <c r="HR49" s="34">
        <f t="shared" si="14"/>
        <v>8246</v>
      </c>
      <c r="HS49" s="34">
        <f t="shared" si="14"/>
        <v>4075</v>
      </c>
      <c r="HT49" s="34">
        <f t="shared" si="14"/>
        <v>5558</v>
      </c>
      <c r="HU49" s="34">
        <f t="shared" si="14"/>
        <v>3093</v>
      </c>
      <c r="HV49" s="34">
        <f t="shared" si="14"/>
        <v>2746</v>
      </c>
      <c r="HW49" s="34">
        <f t="shared" si="14"/>
        <v>10289</v>
      </c>
      <c r="HX49" s="34">
        <f t="shared" si="14"/>
        <v>7798</v>
      </c>
      <c r="HY49" s="34">
        <f t="shared" si="14"/>
        <v>7677</v>
      </c>
      <c r="HZ49" s="34">
        <f t="shared" si="14"/>
        <v>4433</v>
      </c>
      <c r="IA49" s="34">
        <f t="shared" si="14"/>
        <v>7735</v>
      </c>
      <c r="IB49" s="34">
        <f t="shared" si="14"/>
        <v>3424</v>
      </c>
      <c r="IC49" s="34">
        <f t="shared" si="14"/>
        <v>3144</v>
      </c>
      <c r="ID49" s="34">
        <f t="shared" si="14"/>
        <v>2492</v>
      </c>
      <c r="IE49" s="34">
        <f t="shared" si="14"/>
        <v>7056</v>
      </c>
      <c r="IF49" s="34">
        <f t="shared" si="15"/>
        <v>4245</v>
      </c>
      <c r="IG49" s="34">
        <f t="shared" si="15"/>
        <v>4289</v>
      </c>
      <c r="IH49" s="34">
        <f t="shared" si="15"/>
        <v>7134</v>
      </c>
      <c r="II49" s="34">
        <f t="shared" si="15"/>
        <v>2191</v>
      </c>
      <c r="IJ49" s="34">
        <f t="shared" si="15"/>
        <v>1802</v>
      </c>
      <c r="IK49" s="34">
        <f t="shared" si="15"/>
        <v>3626</v>
      </c>
      <c r="IL49" s="34">
        <f t="shared" si="15"/>
        <v>6303</v>
      </c>
      <c r="IM49" s="34">
        <f t="shared" si="15"/>
        <v>4603</v>
      </c>
      <c r="IN49" s="34">
        <f t="shared" si="15"/>
        <v>4431</v>
      </c>
      <c r="IO49" s="34">
        <f t="shared" si="15"/>
        <v>5210</v>
      </c>
      <c r="IP49" s="34">
        <f t="shared" si="15"/>
        <v>2974</v>
      </c>
      <c r="IQ49" s="34">
        <f t="shared" si="15"/>
        <v>783</v>
      </c>
      <c r="IR49" s="34">
        <f t="shared" si="15"/>
        <v>1783</v>
      </c>
      <c r="IS49" s="34">
        <f t="shared" si="15"/>
        <v>4410</v>
      </c>
      <c r="IT49" s="34">
        <f t="shared" si="44"/>
        <v>4160</v>
      </c>
      <c r="IU49" s="34">
        <f t="shared" si="16"/>
        <v>4080</v>
      </c>
      <c r="IV49" s="34">
        <f t="shared" si="16"/>
        <v>5660</v>
      </c>
      <c r="IW49" s="34">
        <f t="shared" si="16"/>
        <v>2804</v>
      </c>
      <c r="IX49" s="34">
        <f t="shared" si="16"/>
        <v>1308</v>
      </c>
      <c r="IY49" s="34">
        <f t="shared" si="16"/>
        <v>3886</v>
      </c>
      <c r="IZ49" s="34">
        <f t="shared" si="16"/>
        <v>4752</v>
      </c>
      <c r="JA49" s="34">
        <f t="shared" si="16"/>
        <v>4377</v>
      </c>
      <c r="JB49" s="34">
        <f t="shared" si="16"/>
        <v>3764</v>
      </c>
      <c r="JC49" s="34">
        <f t="shared" si="16"/>
        <v>3046</v>
      </c>
      <c r="JD49" s="34">
        <f t="shared" si="16"/>
        <v>3199</v>
      </c>
      <c r="JE49" s="34">
        <f t="shared" si="16"/>
        <v>1264</v>
      </c>
      <c r="JF49" s="34">
        <f t="shared" si="16"/>
        <v>1683</v>
      </c>
      <c r="JG49" s="34">
        <f t="shared" si="16"/>
        <v>3717</v>
      </c>
      <c r="JH49" s="34">
        <f t="shared" si="16"/>
        <v>6387</v>
      </c>
      <c r="JI49" s="34">
        <f t="shared" si="17"/>
        <v>4306</v>
      </c>
      <c r="JJ49" s="34">
        <f t="shared" si="17"/>
        <v>4132</v>
      </c>
      <c r="JK49" s="34">
        <f t="shared" si="17"/>
        <v>3087</v>
      </c>
      <c r="JL49" s="34">
        <f t="shared" si="17"/>
        <v>687</v>
      </c>
      <c r="JM49" s="34">
        <f t="shared" si="17"/>
        <v>1612</v>
      </c>
      <c r="JN49" s="34">
        <f t="shared" si="17"/>
        <v>5393</v>
      </c>
      <c r="JO49" s="34">
        <f t="shared" si="17"/>
        <v>5207</v>
      </c>
      <c r="JP49" s="34">
        <f t="shared" si="17"/>
        <v>7255</v>
      </c>
      <c r="JQ49" s="34">
        <f t="shared" si="17"/>
        <v>5833</v>
      </c>
      <c r="JR49" s="34">
        <f t="shared" si="17"/>
        <v>2655</v>
      </c>
      <c r="JS49" s="34">
        <f t="shared" si="17"/>
        <v>1333</v>
      </c>
      <c r="JT49" s="34">
        <f t="shared" si="17"/>
        <v>3233</v>
      </c>
      <c r="JU49" s="34">
        <f t="shared" si="17"/>
        <v>7803</v>
      </c>
      <c r="JV49" s="34">
        <f t="shared" si="17"/>
        <v>1384</v>
      </c>
      <c r="JW49" s="34">
        <f t="shared" si="18"/>
        <v>8351</v>
      </c>
      <c r="JX49" s="34">
        <f t="shared" si="18"/>
        <v>4582</v>
      </c>
      <c r="JY49" s="34">
        <f t="shared" si="18"/>
        <v>4662</v>
      </c>
      <c r="JZ49" s="34">
        <f t="shared" si="18"/>
        <v>3295</v>
      </c>
      <c r="KA49" s="34">
        <f t="shared" si="18"/>
        <v>6484</v>
      </c>
      <c r="KB49" s="34">
        <f t="shared" si="18"/>
        <v>5404</v>
      </c>
      <c r="KC49" s="34">
        <f t="shared" si="18"/>
        <v>4696</v>
      </c>
      <c r="KD49" s="34">
        <f t="shared" si="18"/>
        <v>5418</v>
      </c>
      <c r="KE49" s="34">
        <f t="shared" si="18"/>
        <v>3587</v>
      </c>
      <c r="KF49" s="34">
        <f t="shared" si="18"/>
        <v>0</v>
      </c>
      <c r="KG49" s="34">
        <f t="shared" si="18"/>
        <v>1753</v>
      </c>
      <c r="KH49" s="34">
        <f t="shared" si="18"/>
        <v>4179</v>
      </c>
      <c r="KI49" s="34">
        <f t="shared" si="18"/>
        <v>4944</v>
      </c>
      <c r="KJ49" s="34">
        <f t="shared" si="18"/>
        <v>4468</v>
      </c>
      <c r="KK49" s="34">
        <f t="shared" si="19"/>
        <v>4887</v>
      </c>
      <c r="KL49" s="34">
        <f t="shared" si="19"/>
        <v>2185</v>
      </c>
      <c r="KM49" s="34">
        <f t="shared" si="19"/>
        <v>1176</v>
      </c>
      <c r="KN49" s="34">
        <f t="shared" si="19"/>
        <v>345</v>
      </c>
      <c r="KO49" s="34">
        <f t="shared" si="19"/>
        <v>3573</v>
      </c>
      <c r="KP49" s="34">
        <f t="shared" si="19"/>
        <v>4202</v>
      </c>
      <c r="KQ49" s="34">
        <f t="shared" si="19"/>
        <v>4806</v>
      </c>
      <c r="KR49" s="34">
        <f t="shared" si="19"/>
        <v>4653</v>
      </c>
      <c r="KS49" s="34">
        <f t="shared" si="19"/>
        <v>5185</v>
      </c>
      <c r="KT49" s="34">
        <f t="shared" si="19"/>
        <v>3012</v>
      </c>
      <c r="KU49" s="34">
        <f t="shared" si="19"/>
        <v>1338</v>
      </c>
      <c r="KV49" s="34">
        <f t="shared" si="19"/>
        <v>5830</v>
      </c>
      <c r="KW49" s="34">
        <f t="shared" si="19"/>
        <v>3027</v>
      </c>
      <c r="KX49" s="34">
        <f t="shared" si="19"/>
        <v>4294</v>
      </c>
      <c r="KY49" s="34">
        <f t="shared" si="20"/>
        <v>4105</v>
      </c>
      <c r="KZ49" s="34">
        <f t="shared" si="20"/>
        <v>0</v>
      </c>
      <c r="LA49" s="34">
        <f t="shared" si="34"/>
        <v>0</v>
      </c>
      <c r="LB49" s="34">
        <f t="shared" si="35"/>
        <v>0</v>
      </c>
      <c r="LC49" s="34">
        <f t="shared" si="36"/>
        <v>0</v>
      </c>
      <c r="LD49" s="34">
        <f t="shared" si="37"/>
        <v>0</v>
      </c>
      <c r="LE49" s="34">
        <f t="shared" si="38"/>
        <v>0</v>
      </c>
      <c r="LF49" s="34">
        <f t="shared" si="39"/>
        <v>55999</v>
      </c>
      <c r="LG49" s="34">
        <f t="shared" si="21"/>
        <v>3837</v>
      </c>
      <c r="LH49" s="34">
        <f t="shared" si="21"/>
        <v>1441</v>
      </c>
      <c r="LI49" s="34">
        <f t="shared" si="21"/>
        <v>0</v>
      </c>
      <c r="LJ49" s="34">
        <f t="shared" si="21"/>
        <v>0</v>
      </c>
      <c r="LK49" s="34">
        <f t="shared" si="21"/>
        <v>5386</v>
      </c>
      <c r="LL49" s="34">
        <f t="shared" si="21"/>
        <v>1956</v>
      </c>
      <c r="LM49" s="34">
        <f t="shared" si="21"/>
        <v>7723</v>
      </c>
      <c r="LN49" s="34">
        <f t="shared" si="21"/>
        <v>0</v>
      </c>
      <c r="LO49" s="34">
        <f t="shared" si="21"/>
        <v>4202</v>
      </c>
      <c r="LP49" s="34">
        <f t="shared" si="21"/>
        <v>0</v>
      </c>
      <c r="LQ49" s="34">
        <f t="shared" si="21"/>
        <v>0</v>
      </c>
      <c r="LR49" s="34">
        <f t="shared" si="21"/>
        <v>7197</v>
      </c>
      <c r="LS49" s="34">
        <f t="shared" si="21"/>
        <v>4134</v>
      </c>
      <c r="LT49" s="34">
        <f t="shared" si="21"/>
        <v>0</v>
      </c>
      <c r="LU49" s="34">
        <f t="shared" si="21"/>
        <v>0</v>
      </c>
      <c r="LV49" s="34">
        <f t="shared" si="21"/>
        <v>0</v>
      </c>
      <c r="LW49" s="34">
        <f t="shared" si="22"/>
        <v>0</v>
      </c>
      <c r="LX49" s="34">
        <f t="shared" si="22"/>
        <v>0</v>
      </c>
      <c r="LY49" s="34">
        <f t="shared" si="22"/>
        <v>0</v>
      </c>
      <c r="LZ49" s="34">
        <f t="shared" si="22"/>
        <v>0</v>
      </c>
      <c r="MA49" s="34">
        <f t="shared" si="22"/>
        <v>0</v>
      </c>
      <c r="MB49" s="34">
        <f t="shared" si="22"/>
        <v>0</v>
      </c>
      <c r="MC49" s="34">
        <f t="shared" si="22"/>
        <v>0</v>
      </c>
      <c r="MD49" s="34">
        <f t="shared" si="22"/>
        <v>29294</v>
      </c>
      <c r="ME49" s="34">
        <f t="shared" si="22"/>
        <v>0</v>
      </c>
      <c r="MF49" s="34">
        <f t="shared" si="22"/>
        <v>0</v>
      </c>
      <c r="MG49" s="34">
        <f t="shared" si="22"/>
        <v>10646</v>
      </c>
      <c r="MH49" s="34">
        <f t="shared" si="22"/>
        <v>0</v>
      </c>
      <c r="MI49" s="34">
        <f t="shared" si="22"/>
        <v>2731</v>
      </c>
      <c r="MJ49" s="34">
        <f t="shared" si="22"/>
        <v>3808</v>
      </c>
      <c r="MK49" s="34">
        <f t="shared" si="23"/>
        <v>0</v>
      </c>
      <c r="ML49" s="34">
        <f t="shared" si="23"/>
        <v>0</v>
      </c>
      <c r="MM49" s="34">
        <f t="shared" si="23"/>
        <v>7156</v>
      </c>
      <c r="MN49" s="34">
        <f t="shared" si="23"/>
        <v>0</v>
      </c>
      <c r="MO49" s="34">
        <f t="shared" si="23"/>
        <v>0</v>
      </c>
      <c r="MP49" s="34">
        <f t="shared" si="23"/>
        <v>0</v>
      </c>
      <c r="MQ49" s="34">
        <f t="shared" si="23"/>
        <v>10207</v>
      </c>
      <c r="MR49" s="34">
        <f t="shared" si="23"/>
        <v>0</v>
      </c>
      <c r="MS49" s="34">
        <f t="shared" si="23"/>
        <v>0</v>
      </c>
      <c r="MT49" s="34">
        <f t="shared" si="23"/>
        <v>3957</v>
      </c>
      <c r="MU49" s="34">
        <f t="shared" si="23"/>
        <v>0</v>
      </c>
      <c r="MV49" s="34">
        <f t="shared" si="23"/>
        <v>8457</v>
      </c>
      <c r="MW49" s="34">
        <f t="shared" si="23"/>
        <v>270</v>
      </c>
      <c r="MX49" s="34">
        <f t="shared" si="23"/>
        <v>2422</v>
      </c>
      <c r="MY49" s="34">
        <f t="shared" si="24"/>
        <v>0</v>
      </c>
      <c r="MZ49" s="34">
        <f t="shared" si="25"/>
        <v>0</v>
      </c>
      <c r="NA49" s="34">
        <f t="shared" si="25"/>
        <v>0</v>
      </c>
      <c r="NB49" s="34">
        <f t="shared" si="25"/>
        <v>0</v>
      </c>
      <c r="NC49" s="34">
        <f t="shared" si="25"/>
        <v>0</v>
      </c>
      <c r="ND49" s="34">
        <f t="shared" si="25"/>
        <v>0</v>
      </c>
      <c r="NE49" s="34">
        <f t="shared" si="25"/>
        <v>14157</v>
      </c>
      <c r="NF49" s="34">
        <f t="shared" si="25"/>
        <v>971</v>
      </c>
      <c r="NG49" s="34">
        <f t="shared" si="25"/>
        <v>0</v>
      </c>
      <c r="NH49" s="34">
        <f t="shared" si="25"/>
        <v>0</v>
      </c>
      <c r="NI49" s="34">
        <f t="shared" si="25"/>
        <v>0</v>
      </c>
      <c r="NJ49" s="34">
        <f t="shared" si="25"/>
        <v>8522</v>
      </c>
      <c r="NK49" s="34">
        <f t="shared" si="25"/>
        <v>0</v>
      </c>
      <c r="NL49" s="34">
        <f t="shared" si="25"/>
        <v>0</v>
      </c>
      <c r="NM49" s="34">
        <f t="shared" si="25"/>
        <v>0</v>
      </c>
      <c r="NN49" s="34">
        <f t="shared" si="26"/>
        <v>0</v>
      </c>
      <c r="NO49" s="34">
        <f t="shared" si="27"/>
        <v>14627</v>
      </c>
      <c r="NP49" s="34">
        <v>0</v>
      </c>
      <c r="NQ49" s="34">
        <v>0</v>
      </c>
      <c r="NR49" s="34">
        <v>0</v>
      </c>
      <c r="NS49" s="34">
        <v>13928</v>
      </c>
      <c r="NT49" s="34">
        <v>0</v>
      </c>
      <c r="NU49" s="34">
        <v>0</v>
      </c>
      <c r="NV49" s="34">
        <v>9263</v>
      </c>
      <c r="NW49" s="34">
        <v>6732</v>
      </c>
      <c r="NX49">
        <v>0</v>
      </c>
      <c r="NY49" s="34">
        <v>0</v>
      </c>
      <c r="NZ49" s="34">
        <v>0</v>
      </c>
      <c r="OA49" s="34">
        <v>5043</v>
      </c>
      <c r="OB49" s="34">
        <v>564</v>
      </c>
      <c r="OC49" s="34">
        <v>0</v>
      </c>
      <c r="OD49" s="34">
        <v>6949</v>
      </c>
      <c r="OE49" s="34">
        <v>0</v>
      </c>
      <c r="OF49" s="34">
        <v>0</v>
      </c>
      <c r="OG49" s="34">
        <v>0</v>
      </c>
      <c r="OH49" s="34">
        <v>0</v>
      </c>
      <c r="OI49" s="34">
        <v>16417</v>
      </c>
      <c r="OJ49" s="34">
        <v>0</v>
      </c>
      <c r="OK49" s="34">
        <v>0</v>
      </c>
      <c r="OL49" s="34">
        <v>0</v>
      </c>
      <c r="OM49" s="34">
        <v>0</v>
      </c>
      <c r="ON49" s="34">
        <v>18019</v>
      </c>
      <c r="OO49" s="34">
        <v>1463</v>
      </c>
      <c r="OP49" s="34">
        <v>0</v>
      </c>
      <c r="OQ49" s="34">
        <v>3129</v>
      </c>
      <c r="OR49" s="34">
        <v>0</v>
      </c>
      <c r="OS49" s="34">
        <f t="shared" si="40"/>
        <v>0</v>
      </c>
      <c r="OT49" s="34">
        <f t="shared" si="40"/>
        <v>0</v>
      </c>
      <c r="OU49" s="34">
        <v>0</v>
      </c>
      <c r="OV49" s="34">
        <v>0</v>
      </c>
      <c r="OW49" s="34">
        <v>0</v>
      </c>
      <c r="OX49" s="34">
        <v>0</v>
      </c>
      <c r="OY49" s="34">
        <v>0</v>
      </c>
      <c r="OZ49" s="34">
        <v>0</v>
      </c>
      <c r="PA49" s="34">
        <v>0</v>
      </c>
      <c r="PB49" s="34">
        <v>0</v>
      </c>
      <c r="PC49" s="34">
        <v>0</v>
      </c>
      <c r="PD49" s="34">
        <v>0</v>
      </c>
      <c r="PE49" s="34">
        <v>0</v>
      </c>
      <c r="PF49" s="34">
        <v>0</v>
      </c>
      <c r="PG49" s="34">
        <v>0</v>
      </c>
      <c r="PH49" s="34">
        <v>0</v>
      </c>
      <c r="PI49" s="34">
        <v>0</v>
      </c>
      <c r="PJ49" s="34">
        <v>0</v>
      </c>
      <c r="PK49" s="34">
        <v>0</v>
      </c>
      <c r="PL49" s="34">
        <v>0</v>
      </c>
      <c r="PM49" s="34">
        <v>0</v>
      </c>
      <c r="PN49" s="34">
        <v>0</v>
      </c>
      <c r="PO49" s="34">
        <v>0</v>
      </c>
      <c r="PP49" s="34">
        <v>0</v>
      </c>
      <c r="PQ49" s="34">
        <v>73054</v>
      </c>
      <c r="PR49" s="34">
        <v>950</v>
      </c>
      <c r="PS49" s="34">
        <v>0</v>
      </c>
      <c r="PT49" s="34">
        <v>0</v>
      </c>
      <c r="PU49" s="34">
        <v>0</v>
      </c>
      <c r="PV49" s="34">
        <v>0</v>
      </c>
      <c r="PW49" s="34">
        <v>0</v>
      </c>
      <c r="PX49" s="34">
        <v>21568</v>
      </c>
      <c r="PY49" s="34">
        <v>0</v>
      </c>
      <c r="PZ49" s="34">
        <v>0</v>
      </c>
      <c r="QA49" s="34">
        <v>0</v>
      </c>
      <c r="QB49" s="34">
        <v>0</v>
      </c>
      <c r="QC49" s="34">
        <v>0</v>
      </c>
      <c r="QD49" s="34">
        <v>0</v>
      </c>
      <c r="QE49" s="34">
        <v>33892</v>
      </c>
      <c r="QF49" s="34">
        <v>0</v>
      </c>
      <c r="QG49" s="34">
        <v>6298</v>
      </c>
      <c r="QH49" s="34">
        <v>0</v>
      </c>
      <c r="QI49" s="34">
        <v>0</v>
      </c>
      <c r="QJ49" s="34">
        <v>0</v>
      </c>
      <c r="QK49" s="34">
        <v>0</v>
      </c>
      <c r="QL49" s="34">
        <v>22178</v>
      </c>
      <c r="QM49" s="34">
        <v>0</v>
      </c>
      <c r="QN49" s="34">
        <v>0</v>
      </c>
      <c r="QO49" s="34">
        <v>0</v>
      </c>
      <c r="QP49" s="34">
        <v>19113</v>
      </c>
      <c r="QQ49" s="34">
        <v>0</v>
      </c>
      <c r="QR49" s="34">
        <v>0</v>
      </c>
      <c r="QS49" s="34">
        <v>8164</v>
      </c>
      <c r="QT49" s="34">
        <v>0</v>
      </c>
      <c r="QU49" s="34">
        <v>0</v>
      </c>
      <c r="QV49" s="34">
        <v>0</v>
      </c>
      <c r="QW49" s="34">
        <v>0</v>
      </c>
      <c r="QX49" s="34">
        <v>0</v>
      </c>
      <c r="QY49" s="34">
        <v>0</v>
      </c>
      <c r="QZ49" s="34">
        <v>0</v>
      </c>
      <c r="RA49" s="34">
        <v>32995</v>
      </c>
      <c r="RB49" s="34">
        <v>0</v>
      </c>
      <c r="RC49" s="34">
        <v>0</v>
      </c>
      <c r="RD49" s="34">
        <v>0</v>
      </c>
      <c r="RE49" s="34">
        <v>0</v>
      </c>
      <c r="RF49" s="34">
        <v>0</v>
      </c>
      <c r="RG49" s="34">
        <v>35244</v>
      </c>
      <c r="RH49" s="34">
        <v>0</v>
      </c>
      <c r="RI49" s="34">
        <v>0</v>
      </c>
      <c r="RJ49" s="34">
        <v>16374</v>
      </c>
      <c r="RK49" s="34">
        <v>0</v>
      </c>
      <c r="RL49" s="34">
        <v>0</v>
      </c>
      <c r="RM49" s="34">
        <v>0</v>
      </c>
      <c r="RN49" s="34">
        <v>0</v>
      </c>
      <c r="RO49" s="34">
        <v>0</v>
      </c>
      <c r="RP49" s="34">
        <v>0</v>
      </c>
      <c r="RQ49" s="34">
        <v>0</v>
      </c>
      <c r="RR49" s="34">
        <v>0</v>
      </c>
      <c r="RS49" s="34">
        <v>0</v>
      </c>
      <c r="RT49" s="34">
        <v>0</v>
      </c>
      <c r="RU49" s="34">
        <v>0</v>
      </c>
      <c r="RV49" s="34">
        <v>116679</v>
      </c>
      <c r="RW49" s="34">
        <v>0</v>
      </c>
      <c r="RX49" s="34">
        <v>0</v>
      </c>
      <c r="RY49" s="34">
        <v>44986</v>
      </c>
      <c r="RZ49" s="34">
        <v>0</v>
      </c>
      <c r="SA49" s="34">
        <v>0</v>
      </c>
      <c r="SB49" s="34">
        <v>0</v>
      </c>
      <c r="SC49" s="34">
        <v>0</v>
      </c>
      <c r="SD49" s="34">
        <v>56110</v>
      </c>
      <c r="SE49" s="34">
        <v>0</v>
      </c>
      <c r="SF49" s="34">
        <v>0</v>
      </c>
      <c r="SG49" s="34">
        <v>0</v>
      </c>
      <c r="SH49" s="34">
        <v>0</v>
      </c>
      <c r="SI49" s="34">
        <v>64769</v>
      </c>
      <c r="SJ49" s="34">
        <v>64769</v>
      </c>
      <c r="SK49" s="34">
        <v>0</v>
      </c>
      <c r="SL49" s="34">
        <v>0</v>
      </c>
      <c r="SM49" s="34">
        <v>0</v>
      </c>
      <c r="SN49" s="34">
        <v>0</v>
      </c>
      <c r="SO49" s="34">
        <v>0</v>
      </c>
      <c r="SP49" s="34">
        <v>0</v>
      </c>
      <c r="SQ49" s="34">
        <v>0</v>
      </c>
      <c r="SR49" s="34">
        <v>0</v>
      </c>
      <c r="SS49" s="34">
        <v>0</v>
      </c>
      <c r="ST49" s="34">
        <v>0</v>
      </c>
      <c r="SU49" s="34">
        <v>0</v>
      </c>
      <c r="SV49" s="34">
        <v>0</v>
      </c>
      <c r="SW49" s="34">
        <v>0</v>
      </c>
      <c r="SX49" s="34">
        <v>0</v>
      </c>
      <c r="SY49" s="34">
        <v>0</v>
      </c>
      <c r="SZ49" s="34">
        <v>0</v>
      </c>
      <c r="TA49" s="34">
        <v>0</v>
      </c>
      <c r="TB49" s="34">
        <v>0</v>
      </c>
      <c r="TC49" s="34">
        <v>0</v>
      </c>
      <c r="TD49" s="34">
        <v>0</v>
      </c>
      <c r="TE49" s="34">
        <v>0</v>
      </c>
      <c r="TF49" s="34">
        <v>0</v>
      </c>
      <c r="TG49" s="34">
        <v>0</v>
      </c>
      <c r="TH49" s="34">
        <v>0</v>
      </c>
      <c r="TI49" s="34">
        <v>0</v>
      </c>
      <c r="TJ49" s="34">
        <v>0</v>
      </c>
      <c r="TK49" s="34">
        <v>0</v>
      </c>
      <c r="TL49" s="34">
        <v>0</v>
      </c>
      <c r="TM49" s="34">
        <v>0</v>
      </c>
      <c r="TN49" s="34">
        <v>0</v>
      </c>
      <c r="TO49" s="34">
        <v>0</v>
      </c>
      <c r="TP49" s="34">
        <v>0</v>
      </c>
      <c r="TQ49" s="34">
        <v>0</v>
      </c>
      <c r="TR49" s="34">
        <v>0</v>
      </c>
      <c r="TS49" s="34">
        <v>0</v>
      </c>
      <c r="TT49" s="34">
        <v>0</v>
      </c>
      <c r="TU49" s="34">
        <v>0</v>
      </c>
      <c r="TV49" s="34">
        <v>0</v>
      </c>
      <c r="TW49" s="34">
        <v>0</v>
      </c>
      <c r="TX49" s="34">
        <v>0</v>
      </c>
      <c r="TY49" s="34">
        <v>0</v>
      </c>
      <c r="TZ49" s="34">
        <v>0</v>
      </c>
      <c r="UA49" s="34">
        <v>0</v>
      </c>
      <c r="UB49" s="34">
        <v>0</v>
      </c>
      <c r="UC49" s="34">
        <v>0</v>
      </c>
      <c r="UD49" s="34">
        <v>0</v>
      </c>
      <c r="UE49" s="34">
        <v>0</v>
      </c>
      <c r="UF49" s="34">
        <v>0</v>
      </c>
      <c r="UG49" s="34">
        <v>0</v>
      </c>
      <c r="UH49" s="34">
        <v>0</v>
      </c>
      <c r="UI49" s="34">
        <v>0</v>
      </c>
      <c r="UJ49" s="34">
        <v>0</v>
      </c>
      <c r="UK49" s="34">
        <v>0</v>
      </c>
      <c r="UL49" s="34">
        <v>0</v>
      </c>
      <c r="UM49" s="34">
        <v>0</v>
      </c>
      <c r="UN49" s="34">
        <v>0</v>
      </c>
      <c r="UO49" s="34">
        <v>0</v>
      </c>
      <c r="UP49" s="34">
        <v>0</v>
      </c>
      <c r="UQ49" s="34">
        <v>0</v>
      </c>
      <c r="UR49" s="34">
        <v>0</v>
      </c>
      <c r="US49" s="34">
        <v>0</v>
      </c>
      <c r="UT49" s="34">
        <v>0</v>
      </c>
      <c r="UU49" s="34">
        <v>0</v>
      </c>
      <c r="UV49" s="34">
        <v>0</v>
      </c>
      <c r="UW49" s="34">
        <v>0</v>
      </c>
      <c r="UX49" s="34">
        <v>0</v>
      </c>
      <c r="UY49" s="34">
        <v>0</v>
      </c>
      <c r="UZ49" s="34">
        <v>0</v>
      </c>
      <c r="VA49" s="34">
        <v>0</v>
      </c>
      <c r="VB49" s="34">
        <v>0</v>
      </c>
      <c r="VC49" s="34">
        <v>0</v>
      </c>
      <c r="VD49" s="34">
        <v>0</v>
      </c>
      <c r="VE49" s="34">
        <v>0</v>
      </c>
      <c r="VF49" s="34">
        <v>0</v>
      </c>
      <c r="VG49" s="34">
        <v>0</v>
      </c>
      <c r="VH49" s="34">
        <v>0</v>
      </c>
      <c r="VI49" s="34">
        <v>0</v>
      </c>
      <c r="VJ49" s="34">
        <v>0</v>
      </c>
      <c r="VK49" s="34">
        <v>0</v>
      </c>
      <c r="VL49" s="34">
        <v>0</v>
      </c>
      <c r="VM49" s="34">
        <v>0</v>
      </c>
      <c r="VN49" s="34">
        <v>0</v>
      </c>
      <c r="VO49" s="34">
        <v>0</v>
      </c>
      <c r="VP49" s="34">
        <v>0</v>
      </c>
      <c r="VQ49" s="34">
        <v>0</v>
      </c>
      <c r="VR49" s="34">
        <v>0</v>
      </c>
      <c r="VS49" s="34">
        <v>0</v>
      </c>
      <c r="VT49" s="34">
        <v>0</v>
      </c>
      <c r="VU49" s="34">
        <v>0</v>
      </c>
      <c r="VV49" s="34">
        <v>0</v>
      </c>
      <c r="VW49" s="34">
        <v>0</v>
      </c>
      <c r="VX49" s="34">
        <v>0</v>
      </c>
      <c r="VY49" s="34">
        <v>0</v>
      </c>
      <c r="VZ49" s="34">
        <v>0</v>
      </c>
      <c r="WA49" s="34">
        <v>0</v>
      </c>
      <c r="WB49" s="34">
        <v>0</v>
      </c>
      <c r="WC49" s="34">
        <v>0</v>
      </c>
      <c r="WD49" s="34">
        <v>0</v>
      </c>
      <c r="WE49" s="34">
        <v>0</v>
      </c>
      <c r="WF49" s="34">
        <v>0</v>
      </c>
      <c r="WG49" s="34">
        <v>0</v>
      </c>
      <c r="WH49" s="34">
        <v>0</v>
      </c>
      <c r="WI49" s="34">
        <v>0</v>
      </c>
      <c r="WJ49" s="34">
        <v>0</v>
      </c>
      <c r="WK49" s="34">
        <v>0</v>
      </c>
      <c r="WL49" s="34">
        <v>0</v>
      </c>
      <c r="WM49">
        <v>0</v>
      </c>
      <c r="WN49">
        <v>0</v>
      </c>
      <c r="WO49">
        <v>0</v>
      </c>
      <c r="WP49">
        <v>0</v>
      </c>
      <c r="WQ49">
        <v>0</v>
      </c>
      <c r="WR49">
        <v>0</v>
      </c>
      <c r="WS49">
        <v>0</v>
      </c>
      <c r="WT49">
        <v>0</v>
      </c>
      <c r="WU49">
        <v>0</v>
      </c>
      <c r="WV49">
        <v>0</v>
      </c>
      <c r="WW49">
        <v>0</v>
      </c>
      <c r="WX49">
        <v>0</v>
      </c>
      <c r="WY49">
        <v>0</v>
      </c>
      <c r="WZ49">
        <v>0</v>
      </c>
      <c r="XA49">
        <v>0</v>
      </c>
      <c r="XB49">
        <v>0</v>
      </c>
      <c r="XC49">
        <v>0</v>
      </c>
      <c r="XD49">
        <v>0</v>
      </c>
      <c r="XE49">
        <v>0</v>
      </c>
      <c r="XF49">
        <v>0</v>
      </c>
      <c r="XG49">
        <v>0</v>
      </c>
      <c r="XH49">
        <v>0</v>
      </c>
      <c r="XI49">
        <v>0</v>
      </c>
      <c r="XJ49">
        <v>0</v>
      </c>
      <c r="XK49">
        <v>0</v>
      </c>
      <c r="XL49">
        <v>0</v>
      </c>
      <c r="XM49">
        <v>0</v>
      </c>
      <c r="XN49">
        <v>0</v>
      </c>
      <c r="XO49">
        <v>0</v>
      </c>
      <c r="XP49">
        <v>0</v>
      </c>
      <c r="XQ49">
        <v>0</v>
      </c>
      <c r="XR49">
        <v>0</v>
      </c>
      <c r="XS49">
        <v>0</v>
      </c>
      <c r="XT49">
        <v>0</v>
      </c>
      <c r="XU49">
        <v>0</v>
      </c>
      <c r="XV49">
        <v>0</v>
      </c>
      <c r="XW49">
        <v>0</v>
      </c>
      <c r="XX49">
        <v>0</v>
      </c>
      <c r="XY49">
        <v>0</v>
      </c>
      <c r="XZ49">
        <v>0</v>
      </c>
      <c r="YA49">
        <v>0</v>
      </c>
      <c r="YB49">
        <v>0</v>
      </c>
      <c r="YC49">
        <v>0</v>
      </c>
      <c r="YD49">
        <v>0</v>
      </c>
      <c r="YE49">
        <v>0</v>
      </c>
      <c r="YF49" s="1">
        <v>0</v>
      </c>
      <c r="YG49" s="1">
        <v>0</v>
      </c>
      <c r="YH49" s="1">
        <v>0</v>
      </c>
      <c r="YI49" s="1">
        <v>0</v>
      </c>
      <c r="YJ49">
        <v>0</v>
      </c>
      <c r="YK49">
        <v>0</v>
      </c>
      <c r="YL49">
        <v>0</v>
      </c>
      <c r="YM49">
        <v>0</v>
      </c>
      <c r="YN49">
        <v>0</v>
      </c>
      <c r="YO49">
        <v>0</v>
      </c>
      <c r="YP49">
        <v>0</v>
      </c>
      <c r="YQ49">
        <v>0</v>
      </c>
      <c r="YR49">
        <v>0</v>
      </c>
      <c r="YS49">
        <v>0</v>
      </c>
      <c r="YT49">
        <v>0</v>
      </c>
      <c r="YU49">
        <v>0</v>
      </c>
      <c r="YV49">
        <v>0</v>
      </c>
      <c r="YW49">
        <v>0</v>
      </c>
      <c r="YX49">
        <v>0</v>
      </c>
      <c r="YY49">
        <v>0</v>
      </c>
      <c r="YZ49">
        <v>0</v>
      </c>
      <c r="ZA49">
        <v>0</v>
      </c>
      <c r="ZB49">
        <v>0</v>
      </c>
      <c r="ZC49">
        <v>0</v>
      </c>
      <c r="ZD49">
        <v>0</v>
      </c>
      <c r="ZE49">
        <v>0</v>
      </c>
      <c r="ZF49">
        <v>0</v>
      </c>
      <c r="ZG49">
        <v>0</v>
      </c>
      <c r="ZH49">
        <v>0</v>
      </c>
      <c r="ZI49">
        <v>0</v>
      </c>
      <c r="ZJ49">
        <v>0</v>
      </c>
      <c r="ZK49">
        <v>0</v>
      </c>
      <c r="ZL49">
        <v>0</v>
      </c>
      <c r="ZM49">
        <v>0</v>
      </c>
      <c r="ZN49">
        <v>0</v>
      </c>
      <c r="ZO49">
        <v>0</v>
      </c>
      <c r="ZP49">
        <v>0</v>
      </c>
      <c r="ZQ49">
        <v>0</v>
      </c>
      <c r="ZR49">
        <v>0</v>
      </c>
      <c r="ZS49">
        <v>0</v>
      </c>
      <c r="ZT49">
        <v>0</v>
      </c>
      <c r="ZU49">
        <v>0</v>
      </c>
      <c r="ZV49">
        <v>0</v>
      </c>
      <c r="ZW49">
        <v>0</v>
      </c>
      <c r="ZX49">
        <v>0</v>
      </c>
      <c r="ZY49">
        <v>0</v>
      </c>
      <c r="ZZ49">
        <v>612233</v>
      </c>
      <c r="AAA49">
        <v>0</v>
      </c>
      <c r="AAB49">
        <v>0</v>
      </c>
      <c r="AAC49">
        <v>0</v>
      </c>
      <c r="AAD49">
        <v>0</v>
      </c>
      <c r="AAE49">
        <v>0</v>
      </c>
      <c r="AAF49">
        <v>0</v>
      </c>
      <c r="AAG49">
        <v>0</v>
      </c>
      <c r="AAH49">
        <v>0</v>
      </c>
      <c r="AAI49">
        <v>0</v>
      </c>
      <c r="AAJ49">
        <v>0</v>
      </c>
      <c r="AAK49">
        <v>0</v>
      </c>
      <c r="AAL49">
        <v>0</v>
      </c>
      <c r="AAM49">
        <v>0</v>
      </c>
      <c r="AAN49">
        <v>0</v>
      </c>
      <c r="AAO49">
        <v>0</v>
      </c>
      <c r="AAP49">
        <v>0</v>
      </c>
      <c r="AAQ49">
        <v>0</v>
      </c>
      <c r="AAR49">
        <v>0</v>
      </c>
      <c r="AAS49">
        <v>0</v>
      </c>
      <c r="AAT49">
        <v>0</v>
      </c>
      <c r="AAU49">
        <v>0</v>
      </c>
      <c r="AAV49">
        <v>0</v>
      </c>
      <c r="AAW49">
        <v>0</v>
      </c>
      <c r="AAX49">
        <v>0</v>
      </c>
      <c r="AAY49">
        <v>0</v>
      </c>
      <c r="AAZ49">
        <v>0</v>
      </c>
      <c r="ABA49">
        <v>0</v>
      </c>
      <c r="ABB49">
        <v>0</v>
      </c>
      <c r="ABC49">
        <v>0</v>
      </c>
      <c r="ABD49">
        <v>0</v>
      </c>
      <c r="ABE49">
        <v>0</v>
      </c>
      <c r="ABF49">
        <v>0</v>
      </c>
      <c r="ABG49">
        <v>0</v>
      </c>
      <c r="ABH49">
        <v>0</v>
      </c>
      <c r="ABI49">
        <v>0</v>
      </c>
      <c r="ABJ49">
        <v>0</v>
      </c>
      <c r="ABK49">
        <v>0</v>
      </c>
      <c r="ABL49">
        <v>0</v>
      </c>
      <c r="ABM49">
        <v>0</v>
      </c>
      <c r="ABN49">
        <v>0</v>
      </c>
      <c r="ABO49">
        <v>0</v>
      </c>
      <c r="ABP49">
        <v>0</v>
      </c>
      <c r="ABQ49">
        <v>0</v>
      </c>
      <c r="ABR49">
        <v>0</v>
      </c>
      <c r="ABS49">
        <v>0</v>
      </c>
      <c r="ABT49">
        <v>0</v>
      </c>
      <c r="ABU49">
        <v>0</v>
      </c>
      <c r="ABV49">
        <v>0</v>
      </c>
      <c r="ABW49">
        <v>0</v>
      </c>
      <c r="ABX49">
        <v>0</v>
      </c>
      <c r="ABY49">
        <v>0</v>
      </c>
      <c r="ABZ49">
        <v>0</v>
      </c>
      <c r="ACA49">
        <v>0</v>
      </c>
      <c r="ACB49">
        <v>0</v>
      </c>
      <c r="ACC49">
        <v>0</v>
      </c>
      <c r="ACD49">
        <v>0</v>
      </c>
      <c r="ACE49">
        <v>0</v>
      </c>
      <c r="ACF49">
        <v>0</v>
      </c>
      <c r="ACG49">
        <v>0</v>
      </c>
      <c r="ACH49">
        <v>0</v>
      </c>
      <c r="ACI49">
        <v>0</v>
      </c>
      <c r="ACJ49">
        <v>0</v>
      </c>
      <c r="ACK49">
        <v>0</v>
      </c>
      <c r="ACL49">
        <v>0</v>
      </c>
      <c r="ACM49">
        <v>0</v>
      </c>
      <c r="ACN49">
        <v>0</v>
      </c>
      <c r="ACO49">
        <v>0</v>
      </c>
      <c r="ACP49">
        <v>0</v>
      </c>
      <c r="ACQ49">
        <v>0</v>
      </c>
      <c r="ACR49">
        <v>0</v>
      </c>
      <c r="ACS49">
        <v>0</v>
      </c>
      <c r="ACT49">
        <v>0</v>
      </c>
      <c r="ACU49">
        <v>0</v>
      </c>
      <c r="ACV49">
        <v>0</v>
      </c>
      <c r="ACW49">
        <v>0</v>
      </c>
      <c r="ACX49">
        <v>0</v>
      </c>
      <c r="ACY49">
        <v>0</v>
      </c>
      <c r="ACZ49">
        <v>0</v>
      </c>
      <c r="ADA49">
        <v>0</v>
      </c>
      <c r="ADB49">
        <v>0</v>
      </c>
      <c r="ADC49">
        <v>0</v>
      </c>
      <c r="ADD49">
        <v>0</v>
      </c>
      <c r="ADE49">
        <v>0</v>
      </c>
      <c r="ADF49">
        <v>0</v>
      </c>
      <c r="ADG49">
        <v>0</v>
      </c>
      <c r="ADH49">
        <v>0</v>
      </c>
      <c r="ADI49">
        <v>0</v>
      </c>
      <c r="ADJ49">
        <v>0</v>
      </c>
      <c r="ADK49">
        <v>0</v>
      </c>
      <c r="ADL49">
        <v>0</v>
      </c>
      <c r="ADM49">
        <v>0</v>
      </c>
      <c r="ADN49">
        <v>0</v>
      </c>
      <c r="ADO49">
        <v>0</v>
      </c>
      <c r="ADP49">
        <v>0</v>
      </c>
      <c r="ADQ49">
        <v>0</v>
      </c>
      <c r="ADR49">
        <v>0</v>
      </c>
      <c r="ADS49">
        <v>0</v>
      </c>
      <c r="ADT49">
        <v>0</v>
      </c>
      <c r="ADU49">
        <v>0</v>
      </c>
      <c r="ADV49">
        <v>0</v>
      </c>
      <c r="ADW49">
        <v>0</v>
      </c>
      <c r="ADX49">
        <v>0</v>
      </c>
      <c r="ADY49">
        <v>0</v>
      </c>
      <c r="ADZ49">
        <v>0</v>
      </c>
      <c r="AEA49">
        <v>0</v>
      </c>
      <c r="AEB49">
        <v>0</v>
      </c>
      <c r="AEC49">
        <v>0</v>
      </c>
      <c r="AED49">
        <v>0</v>
      </c>
      <c r="AEE49">
        <v>0</v>
      </c>
      <c r="AEF49">
        <v>0</v>
      </c>
      <c r="AEG49">
        <v>0</v>
      </c>
      <c r="AEH49">
        <v>0</v>
      </c>
      <c r="AEI49">
        <v>0</v>
      </c>
      <c r="AEJ49">
        <v>0</v>
      </c>
      <c r="AEK49">
        <v>0</v>
      </c>
      <c r="AEL49">
        <v>0</v>
      </c>
      <c r="AEM49">
        <v>0</v>
      </c>
      <c r="AEN49">
        <v>0</v>
      </c>
      <c r="AEO49">
        <v>0</v>
      </c>
      <c r="AEP49">
        <v>0</v>
      </c>
      <c r="AEQ49">
        <v>0</v>
      </c>
      <c r="AER49">
        <v>0</v>
      </c>
      <c r="AES49">
        <v>0</v>
      </c>
      <c r="AET49">
        <v>0</v>
      </c>
      <c r="AEU49">
        <v>0</v>
      </c>
      <c r="AEV49">
        <v>0</v>
      </c>
      <c r="AEW49">
        <v>0</v>
      </c>
      <c r="AEX49">
        <v>0</v>
      </c>
      <c r="AEY49">
        <v>0</v>
      </c>
      <c r="AEZ49">
        <v>0</v>
      </c>
      <c r="AFA49">
        <v>0</v>
      </c>
      <c r="AFB49">
        <v>0</v>
      </c>
      <c r="AFC49">
        <v>0</v>
      </c>
      <c r="AFD49">
        <v>0</v>
      </c>
      <c r="AFE49">
        <v>0</v>
      </c>
      <c r="AFF49">
        <v>0</v>
      </c>
      <c r="AFG49">
        <v>0</v>
      </c>
      <c r="AFH49">
        <v>0</v>
      </c>
      <c r="AFI49">
        <v>0</v>
      </c>
      <c r="AFJ49">
        <v>0</v>
      </c>
      <c r="AFK49">
        <v>0</v>
      </c>
      <c r="AFL49">
        <v>0</v>
      </c>
      <c r="AFM49">
        <v>0</v>
      </c>
      <c r="AFN49">
        <v>0</v>
      </c>
      <c r="AFO49">
        <v>0</v>
      </c>
      <c r="AFP49">
        <v>0</v>
      </c>
      <c r="AFQ49">
        <v>0</v>
      </c>
      <c r="AFR49">
        <v>0</v>
      </c>
      <c r="AFS49">
        <v>0</v>
      </c>
      <c r="AFT49">
        <v>0</v>
      </c>
      <c r="AFU49">
        <v>0</v>
      </c>
      <c r="AFV49">
        <v>0</v>
      </c>
      <c r="AFW49">
        <v>0</v>
      </c>
      <c r="AFX49">
        <v>0</v>
      </c>
      <c r="AFY49">
        <v>0</v>
      </c>
      <c r="AFZ49">
        <v>0</v>
      </c>
      <c r="AGA49">
        <v>0</v>
      </c>
      <c r="AGB49">
        <v>0</v>
      </c>
      <c r="AGC49">
        <v>0</v>
      </c>
      <c r="AGD49">
        <v>0</v>
      </c>
      <c r="AGE49">
        <v>0</v>
      </c>
      <c r="AGF49">
        <v>0</v>
      </c>
      <c r="AGG49">
        <v>0</v>
      </c>
      <c r="AGH49">
        <v>0</v>
      </c>
      <c r="AGI49">
        <v>0</v>
      </c>
      <c r="AGJ49">
        <v>0</v>
      </c>
      <c r="AGK49">
        <v>0</v>
      </c>
      <c r="AGL49">
        <v>0</v>
      </c>
      <c r="AGM49">
        <v>0</v>
      </c>
      <c r="AGN49">
        <v>0</v>
      </c>
      <c r="AGO49">
        <v>0</v>
      </c>
      <c r="AGP49">
        <v>0</v>
      </c>
      <c r="AGQ49">
        <v>0</v>
      </c>
      <c r="AGR49">
        <v>0</v>
      </c>
      <c r="AGS49">
        <v>0</v>
      </c>
      <c r="AGT49">
        <v>0</v>
      </c>
      <c r="AGU49">
        <v>0</v>
      </c>
      <c r="AGV49">
        <v>0</v>
      </c>
      <c r="AGW49">
        <v>0</v>
      </c>
      <c r="AGX49">
        <v>0</v>
      </c>
      <c r="AGY49">
        <v>0</v>
      </c>
      <c r="AGZ49">
        <v>0</v>
      </c>
      <c r="AHA49">
        <v>0</v>
      </c>
      <c r="AHB49">
        <v>0</v>
      </c>
      <c r="AHC49">
        <v>0</v>
      </c>
      <c r="AHD49">
        <v>0</v>
      </c>
      <c r="AHE49">
        <v>0</v>
      </c>
      <c r="AHF49">
        <v>0</v>
      </c>
      <c r="AHG49">
        <v>0</v>
      </c>
      <c r="AHH49">
        <v>0</v>
      </c>
      <c r="AHI49">
        <v>0</v>
      </c>
      <c r="AHJ49">
        <v>0</v>
      </c>
      <c r="AHK49">
        <v>0</v>
      </c>
      <c r="AHL49">
        <v>0</v>
      </c>
      <c r="AHM49">
        <v>0</v>
      </c>
      <c r="AHN49">
        <v>0</v>
      </c>
      <c r="AHO49">
        <v>0</v>
      </c>
      <c r="AHP49">
        <v>0</v>
      </c>
      <c r="AHQ49">
        <v>0</v>
      </c>
    </row>
    <row r="50" spans="1:901">
      <c r="A50" s="1" t="s">
        <v>31</v>
      </c>
      <c r="C50" s="34">
        <f t="shared" si="28"/>
        <v>2851</v>
      </c>
      <c r="D50" s="34">
        <f t="shared" si="28"/>
        <v>3152</v>
      </c>
      <c r="E50" s="34">
        <f t="shared" si="29"/>
        <v>3171</v>
      </c>
      <c r="F50" s="34">
        <f t="shared" si="30"/>
        <v>1302</v>
      </c>
      <c r="G50" s="34">
        <f t="shared" si="31"/>
        <v>1312</v>
      </c>
      <c r="H50" s="34">
        <f t="shared" si="32"/>
        <v>3954</v>
      </c>
      <c r="I50" s="34">
        <f t="shared" si="32"/>
        <v>3746</v>
      </c>
      <c r="J50" s="34">
        <f t="shared" si="0"/>
        <v>2743</v>
      </c>
      <c r="K50" s="34">
        <f t="shared" si="0"/>
        <v>4710</v>
      </c>
      <c r="L50" s="34">
        <f t="shared" si="0"/>
        <v>6418</v>
      </c>
      <c r="M50" s="34">
        <f t="shared" si="0"/>
        <v>889</v>
      </c>
      <c r="N50" s="34">
        <f t="shared" si="0"/>
        <v>3956</v>
      </c>
      <c r="O50" s="34">
        <f t="shared" si="0"/>
        <v>4738</v>
      </c>
      <c r="P50" s="34">
        <f t="shared" si="0"/>
        <v>4278</v>
      </c>
      <c r="Q50" s="34">
        <f t="shared" si="0"/>
        <v>4637</v>
      </c>
      <c r="R50" s="34">
        <f t="shared" si="0"/>
        <v>3962</v>
      </c>
      <c r="S50" s="34">
        <f t="shared" si="0"/>
        <v>1350</v>
      </c>
      <c r="T50" s="34">
        <f t="shared" si="0"/>
        <v>796</v>
      </c>
      <c r="U50" s="34">
        <f t="shared" si="0"/>
        <v>3982</v>
      </c>
      <c r="V50" s="34">
        <f t="shared" si="0"/>
        <v>4700</v>
      </c>
      <c r="W50" s="34">
        <f t="shared" si="0"/>
        <v>5764</v>
      </c>
      <c r="X50" s="34">
        <f t="shared" si="0"/>
        <v>2965</v>
      </c>
      <c r="Y50" s="34">
        <f t="shared" si="0"/>
        <v>4814</v>
      </c>
      <c r="Z50" s="34">
        <f t="shared" si="1"/>
        <v>1941</v>
      </c>
      <c r="AA50" s="34">
        <f t="shared" si="1"/>
        <v>856</v>
      </c>
      <c r="AB50" s="34">
        <f t="shared" si="1"/>
        <v>4344</v>
      </c>
      <c r="AC50" s="34">
        <f t="shared" si="1"/>
        <v>4567</v>
      </c>
      <c r="AD50" s="34">
        <f t="shared" si="1"/>
        <v>5097</v>
      </c>
      <c r="AE50" s="34">
        <f t="shared" si="1"/>
        <v>4687</v>
      </c>
      <c r="AF50" s="34">
        <f t="shared" si="1"/>
        <v>4668</v>
      </c>
      <c r="AG50" s="34">
        <f t="shared" si="1"/>
        <v>1576</v>
      </c>
      <c r="AH50" s="34">
        <f t="shared" si="1"/>
        <v>1494</v>
      </c>
      <c r="AI50" s="34">
        <f t="shared" si="1"/>
        <v>4148</v>
      </c>
      <c r="AJ50" s="34">
        <f t="shared" si="1"/>
        <v>1325</v>
      </c>
      <c r="AK50" s="34">
        <f t="shared" si="1"/>
        <v>4340</v>
      </c>
      <c r="AL50" s="34">
        <f t="shared" si="1"/>
        <v>4500</v>
      </c>
      <c r="AM50" s="34">
        <f t="shared" si="1"/>
        <v>4606</v>
      </c>
      <c r="AN50" s="34">
        <f t="shared" si="2"/>
        <v>982</v>
      </c>
      <c r="AO50" s="34">
        <f t="shared" si="2"/>
        <v>883</v>
      </c>
      <c r="AP50" s="34">
        <f t="shared" si="2"/>
        <v>5157</v>
      </c>
      <c r="AQ50" s="34">
        <f t="shared" si="2"/>
        <v>5149</v>
      </c>
      <c r="AR50" s="34">
        <f t="shared" si="2"/>
        <v>4004</v>
      </c>
      <c r="AS50" s="34">
        <f t="shared" si="2"/>
        <v>4800</v>
      </c>
      <c r="AT50" s="34">
        <f t="shared" si="2"/>
        <v>4411</v>
      </c>
      <c r="AU50" s="34">
        <f t="shared" si="2"/>
        <v>930</v>
      </c>
      <c r="AV50" s="34">
        <f t="shared" si="2"/>
        <v>0</v>
      </c>
      <c r="AW50" s="34">
        <f t="shared" si="2"/>
        <v>2890</v>
      </c>
      <c r="AX50" s="34">
        <f t="shared" si="2"/>
        <v>3777</v>
      </c>
      <c r="AY50" s="34">
        <f t="shared" si="2"/>
        <v>4840</v>
      </c>
      <c r="AZ50" s="34">
        <f t="shared" si="2"/>
        <v>4188</v>
      </c>
      <c r="BA50" s="34">
        <f t="shared" si="2"/>
        <v>3760</v>
      </c>
      <c r="BB50" s="34">
        <f t="shared" si="3"/>
        <v>1038</v>
      </c>
      <c r="BC50" s="34">
        <f t="shared" si="3"/>
        <v>684</v>
      </c>
      <c r="BD50" s="34">
        <f t="shared" si="3"/>
        <v>4895</v>
      </c>
      <c r="BE50" s="34">
        <f t="shared" si="3"/>
        <v>4553</v>
      </c>
      <c r="BF50" s="34">
        <f t="shared" si="3"/>
        <v>5377</v>
      </c>
      <c r="BG50" s="34">
        <f t="shared" si="3"/>
        <v>4529</v>
      </c>
      <c r="BH50" s="34">
        <f t="shared" si="3"/>
        <v>5102</v>
      </c>
      <c r="BI50" s="34">
        <f t="shared" si="3"/>
        <v>1279</v>
      </c>
      <c r="BJ50" s="34">
        <f t="shared" si="3"/>
        <v>1095</v>
      </c>
      <c r="BK50" s="34">
        <f t="shared" si="3"/>
        <v>5212</v>
      </c>
      <c r="BL50" s="34">
        <f t="shared" si="3"/>
        <v>4324</v>
      </c>
      <c r="BM50" s="34">
        <f t="shared" si="3"/>
        <v>5185</v>
      </c>
      <c r="BN50" s="34">
        <f t="shared" si="3"/>
        <v>4947</v>
      </c>
      <c r="BO50" s="34">
        <f t="shared" si="3"/>
        <v>4419</v>
      </c>
      <c r="BP50" s="34">
        <f t="shared" si="4"/>
        <v>1338</v>
      </c>
      <c r="BQ50" s="34">
        <f t="shared" si="4"/>
        <v>663</v>
      </c>
      <c r="BR50" s="34">
        <f t="shared" si="4"/>
        <v>4929</v>
      </c>
      <c r="BS50" s="34">
        <f t="shared" si="4"/>
        <v>4604</v>
      </c>
      <c r="BT50" s="34">
        <f t="shared" si="4"/>
        <v>4615</v>
      </c>
      <c r="BU50" s="34">
        <f t="shared" si="4"/>
        <v>3923</v>
      </c>
      <c r="BV50" s="34">
        <f t="shared" si="4"/>
        <v>4116</v>
      </c>
      <c r="BW50" s="34">
        <f t="shared" si="4"/>
        <v>1580</v>
      </c>
      <c r="BX50" s="34">
        <f t="shared" si="4"/>
        <v>627</v>
      </c>
      <c r="BY50" s="34">
        <f t="shared" si="4"/>
        <v>4926</v>
      </c>
      <c r="BZ50" s="34">
        <f t="shared" si="4"/>
        <v>4527</v>
      </c>
      <c r="CA50" s="34">
        <f t="shared" si="4"/>
        <v>4074</v>
      </c>
      <c r="CB50" s="34">
        <f t="shared" si="4"/>
        <v>3775</v>
      </c>
      <c r="CC50" s="34">
        <f t="shared" si="4"/>
        <v>4040</v>
      </c>
      <c r="CD50" s="34">
        <f t="shared" si="4"/>
        <v>1309</v>
      </c>
      <c r="CE50" s="34">
        <f t="shared" si="4"/>
        <v>713</v>
      </c>
      <c r="CF50" s="34">
        <f t="shared" si="4"/>
        <v>4765</v>
      </c>
      <c r="CG50" s="34">
        <f t="shared" si="4"/>
        <v>4458</v>
      </c>
      <c r="CH50" s="34">
        <f t="shared" si="4"/>
        <v>4671</v>
      </c>
      <c r="CI50" s="34">
        <f t="shared" si="4"/>
        <v>4417</v>
      </c>
      <c r="CJ50" s="34">
        <f t="shared" si="4"/>
        <v>4593</v>
      </c>
      <c r="CK50" s="34">
        <f t="shared" si="4"/>
        <v>1262</v>
      </c>
      <c r="CL50" s="34">
        <f t="shared" si="4"/>
        <v>532</v>
      </c>
      <c r="CM50" s="34">
        <f t="shared" si="4"/>
        <v>4771</v>
      </c>
      <c r="CN50" s="34">
        <f t="shared" si="4"/>
        <v>4779</v>
      </c>
      <c r="CO50" s="34">
        <f t="shared" si="4"/>
        <v>4781</v>
      </c>
      <c r="CP50" s="34">
        <f t="shared" si="4"/>
        <v>4604</v>
      </c>
      <c r="CQ50" s="34">
        <f t="shared" si="4"/>
        <v>4575</v>
      </c>
      <c r="CR50" s="34">
        <f t="shared" si="4"/>
        <v>1550</v>
      </c>
      <c r="CS50" s="34">
        <f t="shared" si="4"/>
        <v>667</v>
      </c>
      <c r="CT50" s="34">
        <f t="shared" si="4"/>
        <v>4668</v>
      </c>
      <c r="CU50" s="34">
        <f t="shared" si="4"/>
        <v>5315</v>
      </c>
      <c r="CV50" s="34">
        <f t="shared" si="46"/>
        <v>4712</v>
      </c>
      <c r="CW50" s="34">
        <f t="shared" si="46"/>
        <v>966</v>
      </c>
      <c r="CX50" s="34">
        <f t="shared" si="46"/>
        <v>398</v>
      </c>
      <c r="CY50" s="34">
        <f t="shared" si="46"/>
        <v>818</v>
      </c>
      <c r="CZ50" s="34">
        <f t="shared" si="46"/>
        <v>625</v>
      </c>
      <c r="DA50" s="34">
        <f t="shared" si="46"/>
        <v>5020</v>
      </c>
      <c r="DB50" s="34">
        <f t="shared" si="46"/>
        <v>5403</v>
      </c>
      <c r="DC50" s="34">
        <f t="shared" si="46"/>
        <v>4610</v>
      </c>
      <c r="DD50" s="34">
        <f t="shared" si="46"/>
        <v>1117</v>
      </c>
      <c r="DE50" s="34">
        <f t="shared" si="46"/>
        <v>686</v>
      </c>
      <c r="DF50" s="34">
        <f t="shared" si="46"/>
        <v>656</v>
      </c>
      <c r="DG50" s="34">
        <f t="shared" si="46"/>
        <v>531</v>
      </c>
      <c r="DH50" s="34">
        <f t="shared" si="46"/>
        <v>5131</v>
      </c>
      <c r="DI50" s="34">
        <f t="shared" si="46"/>
        <v>4742</v>
      </c>
      <c r="DJ50" s="34">
        <f t="shared" si="46"/>
        <v>5635</v>
      </c>
      <c r="DK50" s="34">
        <f t="shared" si="46"/>
        <v>5582</v>
      </c>
      <c r="DL50" s="34">
        <f t="shared" si="46"/>
        <v>5998</v>
      </c>
      <c r="DM50" s="34">
        <f t="shared" si="46"/>
        <v>1750</v>
      </c>
      <c r="DN50" s="34">
        <f t="shared" si="46"/>
        <v>0</v>
      </c>
      <c r="DO50" s="34">
        <f t="shared" si="46"/>
        <v>6780</v>
      </c>
      <c r="DP50" s="34">
        <f t="shared" si="46"/>
        <v>5749</v>
      </c>
      <c r="DQ50" s="34">
        <f t="shared" si="46"/>
        <v>6478</v>
      </c>
      <c r="DR50" s="34">
        <f t="shared" si="46"/>
        <v>1180</v>
      </c>
      <c r="DS50" s="34">
        <f t="shared" si="46"/>
        <v>5668</v>
      </c>
      <c r="DT50" s="34">
        <f t="shared" si="46"/>
        <v>2223</v>
      </c>
      <c r="DU50" s="34">
        <f t="shared" si="46"/>
        <v>1229</v>
      </c>
      <c r="DV50" s="34">
        <f t="shared" si="46"/>
        <v>6271</v>
      </c>
      <c r="DW50" s="34">
        <f t="shared" si="46"/>
        <v>7334</v>
      </c>
      <c r="DX50" s="34">
        <f t="shared" si="46"/>
        <v>6428</v>
      </c>
      <c r="DY50" s="34">
        <f t="shared" si="46"/>
        <v>6609</v>
      </c>
      <c r="DZ50" s="34">
        <f t="shared" si="46"/>
        <v>6773</v>
      </c>
      <c r="EA50" s="34">
        <f t="shared" si="46"/>
        <v>2791</v>
      </c>
      <c r="EB50" s="34">
        <f t="shared" si="46"/>
        <v>1325</v>
      </c>
      <c r="EC50" s="34">
        <f t="shared" si="46"/>
        <v>7100</v>
      </c>
      <c r="ED50" s="34">
        <f t="shared" si="46"/>
        <v>6761</v>
      </c>
      <c r="EE50" s="34">
        <f t="shared" si="46"/>
        <v>7673</v>
      </c>
      <c r="EF50" s="34">
        <f t="shared" si="46"/>
        <v>7096</v>
      </c>
      <c r="EG50" s="34">
        <f t="shared" si="46"/>
        <v>8338</v>
      </c>
      <c r="EH50" s="34">
        <f t="shared" si="46"/>
        <v>4986</v>
      </c>
      <c r="EI50" s="34">
        <f t="shared" si="5"/>
        <v>4371</v>
      </c>
      <c r="EJ50" s="34">
        <f t="shared" si="5"/>
        <v>6742</v>
      </c>
      <c r="EK50" s="34">
        <f t="shared" si="5"/>
        <v>6955</v>
      </c>
      <c r="EL50" s="34">
        <f t="shared" si="5"/>
        <v>5677</v>
      </c>
      <c r="EM50" s="34">
        <f t="shared" si="5"/>
        <v>6682</v>
      </c>
      <c r="EN50" s="34">
        <f t="shared" si="5"/>
        <v>6217</v>
      </c>
      <c r="EO50" s="34">
        <f t="shared" si="5"/>
        <v>1962</v>
      </c>
      <c r="EP50" s="34">
        <f t="shared" si="5"/>
        <v>756</v>
      </c>
      <c r="EQ50" s="34">
        <f t="shared" si="5"/>
        <v>6371</v>
      </c>
      <c r="ER50" s="34">
        <f t="shared" si="6"/>
        <v>6368</v>
      </c>
      <c r="ES50" s="34">
        <f t="shared" si="6"/>
        <v>6353</v>
      </c>
      <c r="ET50" s="34">
        <f t="shared" si="6"/>
        <v>6345</v>
      </c>
      <c r="EU50" s="34">
        <f t="shared" si="6"/>
        <v>5337</v>
      </c>
      <c r="EV50" s="34">
        <f t="shared" si="6"/>
        <v>1760</v>
      </c>
      <c r="EW50" s="34">
        <f t="shared" si="6"/>
        <v>945</v>
      </c>
      <c r="EX50" s="34">
        <f t="shared" si="6"/>
        <v>5875</v>
      </c>
      <c r="EY50" s="34">
        <f t="shared" si="6"/>
        <v>6346</v>
      </c>
      <c r="EZ50" s="34">
        <f t="shared" si="6"/>
        <v>6355</v>
      </c>
      <c r="FA50" s="34">
        <f t="shared" si="6"/>
        <v>6835</v>
      </c>
      <c r="FB50" s="34">
        <f t="shared" si="6"/>
        <v>5965</v>
      </c>
      <c r="FC50" s="34">
        <f t="shared" si="6"/>
        <v>1851</v>
      </c>
      <c r="FD50" s="34">
        <f t="shared" si="6"/>
        <v>951</v>
      </c>
      <c r="FE50" s="34">
        <f t="shared" si="6"/>
        <v>5921</v>
      </c>
      <c r="FF50" s="34">
        <f t="shared" si="6"/>
        <v>6398</v>
      </c>
      <c r="FG50" s="34">
        <f t="shared" si="6"/>
        <v>4724</v>
      </c>
      <c r="FH50" s="34">
        <f t="shared" si="6"/>
        <v>6138</v>
      </c>
      <c r="FI50" s="34">
        <f t="shared" si="6"/>
        <v>5354</v>
      </c>
      <c r="FJ50" s="34">
        <f t="shared" si="6"/>
        <v>1450</v>
      </c>
      <c r="FK50" s="34">
        <f t="shared" si="6"/>
        <v>829</v>
      </c>
      <c r="FL50" s="34">
        <f t="shared" si="6"/>
        <v>5314</v>
      </c>
      <c r="FM50" s="34">
        <f t="shared" si="6"/>
        <v>6279</v>
      </c>
      <c r="FN50" s="34">
        <v>5139</v>
      </c>
      <c r="FO50" s="34">
        <f t="shared" si="6"/>
        <v>5755</v>
      </c>
      <c r="FP50" s="34">
        <v>4787</v>
      </c>
      <c r="FQ50" s="34">
        <v>1239</v>
      </c>
      <c r="FR50" s="34">
        <v>849</v>
      </c>
      <c r="FS50" s="34">
        <v>5631</v>
      </c>
      <c r="FT50" s="34">
        <f t="shared" si="9"/>
        <v>5649</v>
      </c>
      <c r="FU50" s="34">
        <f t="shared" si="9"/>
        <v>5738</v>
      </c>
      <c r="FV50" s="34">
        <f t="shared" si="9"/>
        <v>5671</v>
      </c>
      <c r="FW50" s="34">
        <f t="shared" si="9"/>
        <v>5043</v>
      </c>
      <c r="FX50" s="34">
        <f t="shared" si="9"/>
        <v>1443</v>
      </c>
      <c r="FY50" s="34">
        <f t="shared" si="9"/>
        <v>751</v>
      </c>
      <c r="FZ50" s="34">
        <f t="shared" si="9"/>
        <v>5693</v>
      </c>
      <c r="GA50" s="34">
        <f t="shared" si="9"/>
        <v>0</v>
      </c>
      <c r="GB50" s="34">
        <f t="shared" si="9"/>
        <v>11908</v>
      </c>
      <c r="GC50" s="34">
        <f t="shared" si="9"/>
        <v>6562</v>
      </c>
      <c r="GD50" s="34">
        <f t="shared" si="9"/>
        <v>5754</v>
      </c>
      <c r="GE50" s="34">
        <f t="shared" si="9"/>
        <v>1640</v>
      </c>
      <c r="GF50" s="34">
        <f t="shared" si="9"/>
        <v>917</v>
      </c>
      <c r="GG50" s="34">
        <f t="shared" si="9"/>
        <v>6607</v>
      </c>
      <c r="GH50" s="34">
        <f t="shared" si="10"/>
        <v>6076</v>
      </c>
      <c r="GI50" s="34">
        <f t="shared" si="10"/>
        <v>6211</v>
      </c>
      <c r="GJ50" s="34">
        <f t="shared" si="10"/>
        <v>5664</v>
      </c>
      <c r="GK50" s="34">
        <f t="shared" si="10"/>
        <v>5867</v>
      </c>
      <c r="GL50" s="34">
        <f t="shared" si="10"/>
        <v>1704</v>
      </c>
      <c r="GM50" s="34">
        <f t="shared" si="10"/>
        <v>912</v>
      </c>
      <c r="GN50" s="34">
        <f t="shared" si="10"/>
        <v>2024</v>
      </c>
      <c r="GO50" s="34">
        <f t="shared" si="10"/>
        <v>3126</v>
      </c>
      <c r="GP50" s="34">
        <f t="shared" si="10"/>
        <v>3994</v>
      </c>
      <c r="GQ50" s="34">
        <f t="shared" si="10"/>
        <v>3742</v>
      </c>
      <c r="GR50" s="34">
        <f t="shared" si="10"/>
        <v>2483</v>
      </c>
      <c r="GS50" s="34">
        <f t="shared" si="10"/>
        <v>1115</v>
      </c>
      <c r="GT50" s="34">
        <f t="shared" si="10"/>
        <v>1229</v>
      </c>
      <c r="GU50" s="34">
        <f t="shared" si="10"/>
        <v>8080</v>
      </c>
      <c r="GV50" s="34">
        <f t="shared" si="11"/>
        <v>8660</v>
      </c>
      <c r="GW50" s="34">
        <f t="shared" si="11"/>
        <v>9746</v>
      </c>
      <c r="GX50" s="34">
        <f t="shared" si="11"/>
        <v>8312</v>
      </c>
      <c r="GY50" s="34">
        <f t="shared" si="11"/>
        <v>7976</v>
      </c>
      <c r="GZ50" s="34">
        <f t="shared" si="11"/>
        <v>3313</v>
      </c>
      <c r="HA50" s="34">
        <f t="shared" si="11"/>
        <v>5555</v>
      </c>
      <c r="HB50" s="34">
        <f t="shared" si="12"/>
        <v>11110</v>
      </c>
      <c r="HC50" s="34">
        <f t="shared" si="13"/>
        <v>10384</v>
      </c>
      <c r="HD50" s="34">
        <f t="shared" ref="HD50" si="48">HD29-HC29</f>
        <v>11217</v>
      </c>
      <c r="HE50" s="34">
        <f t="shared" si="13"/>
        <v>12562</v>
      </c>
      <c r="HF50" s="34">
        <f t="shared" si="13"/>
        <v>9372</v>
      </c>
      <c r="HG50" s="34">
        <f t="shared" si="13"/>
        <v>2797</v>
      </c>
      <c r="HH50" s="34">
        <f t="shared" si="13"/>
        <v>1979</v>
      </c>
      <c r="HI50" s="34">
        <f t="shared" si="13"/>
        <v>9941</v>
      </c>
      <c r="HJ50" s="34">
        <f t="shared" si="13"/>
        <v>10429</v>
      </c>
      <c r="HK50" s="34">
        <f t="shared" si="13"/>
        <v>11294</v>
      </c>
      <c r="HL50" s="34">
        <f t="shared" si="13"/>
        <v>11361</v>
      </c>
      <c r="HM50" s="34">
        <f t="shared" si="13"/>
        <v>9391</v>
      </c>
      <c r="HN50" s="34">
        <f t="shared" si="13"/>
        <v>3222</v>
      </c>
      <c r="HO50" s="34">
        <f t="shared" si="13"/>
        <v>1616</v>
      </c>
      <c r="HP50" s="34">
        <f t="shared" si="13"/>
        <v>8545</v>
      </c>
      <c r="HQ50" s="34">
        <f t="shared" si="13"/>
        <v>9003</v>
      </c>
      <c r="HR50" s="34">
        <f t="shared" si="14"/>
        <v>9593</v>
      </c>
      <c r="HS50" s="34">
        <f t="shared" si="14"/>
        <v>9123</v>
      </c>
      <c r="HT50" s="34">
        <f t="shared" si="14"/>
        <v>4354</v>
      </c>
      <c r="HU50" s="34">
        <f t="shared" si="14"/>
        <v>1305</v>
      </c>
      <c r="HV50" s="34">
        <f t="shared" si="14"/>
        <v>1140</v>
      </c>
      <c r="HW50" s="34">
        <f t="shared" si="14"/>
        <v>8577</v>
      </c>
      <c r="HX50" s="34">
        <f t="shared" si="14"/>
        <v>7955</v>
      </c>
      <c r="HY50" s="34">
        <f t="shared" si="14"/>
        <v>7724</v>
      </c>
      <c r="HZ50" s="34">
        <f t="shared" si="14"/>
        <v>7468</v>
      </c>
      <c r="IA50" s="34">
        <f t="shared" si="14"/>
        <v>7171</v>
      </c>
      <c r="IB50" s="34">
        <f t="shared" si="14"/>
        <v>1947</v>
      </c>
      <c r="IC50" s="34">
        <f t="shared" si="14"/>
        <v>1052</v>
      </c>
      <c r="ID50" s="34">
        <f t="shared" si="14"/>
        <v>5633</v>
      </c>
      <c r="IE50" s="34">
        <f t="shared" si="14"/>
        <v>7493</v>
      </c>
      <c r="IF50" s="34">
        <f t="shared" si="15"/>
        <v>0</v>
      </c>
      <c r="IG50" s="34">
        <f t="shared" si="15"/>
        <v>14344</v>
      </c>
      <c r="IH50" s="34">
        <f t="shared" si="15"/>
        <v>6336</v>
      </c>
      <c r="II50" s="34">
        <f t="shared" si="15"/>
        <v>2423</v>
      </c>
      <c r="IJ50" s="34">
        <f t="shared" si="15"/>
        <v>962</v>
      </c>
      <c r="IK50" s="34">
        <f t="shared" si="15"/>
        <v>7368</v>
      </c>
      <c r="IL50" s="34">
        <f t="shared" si="15"/>
        <v>7145</v>
      </c>
      <c r="IM50" s="34">
        <f t="shared" si="15"/>
        <v>7430</v>
      </c>
      <c r="IN50" s="34">
        <f t="shared" si="15"/>
        <v>6574</v>
      </c>
      <c r="IO50" s="34">
        <f t="shared" si="15"/>
        <v>5935</v>
      </c>
      <c r="IP50" s="34">
        <f t="shared" si="15"/>
        <v>2041</v>
      </c>
      <c r="IQ50" s="34">
        <f t="shared" si="15"/>
        <v>1050</v>
      </c>
      <c r="IR50" s="34">
        <f t="shared" si="15"/>
        <v>7121</v>
      </c>
      <c r="IS50" s="34">
        <f t="shared" si="15"/>
        <v>7377</v>
      </c>
      <c r="IT50" s="34">
        <f t="shared" si="44"/>
        <v>6384</v>
      </c>
      <c r="IU50" s="34">
        <f t="shared" si="16"/>
        <v>7069</v>
      </c>
      <c r="IV50" s="34">
        <f t="shared" si="16"/>
        <v>5391</v>
      </c>
      <c r="IW50" s="34">
        <f t="shared" si="16"/>
        <v>2031</v>
      </c>
      <c r="IX50" s="34">
        <f t="shared" si="16"/>
        <v>1021</v>
      </c>
      <c r="IY50" s="34">
        <f t="shared" si="16"/>
        <v>6275</v>
      </c>
      <c r="IZ50" s="34">
        <f t="shared" si="16"/>
        <v>5418</v>
      </c>
      <c r="JA50" s="34">
        <f t="shared" si="16"/>
        <v>7101</v>
      </c>
      <c r="JB50" s="34">
        <f t="shared" si="16"/>
        <v>6588</v>
      </c>
      <c r="JC50" s="34">
        <f t="shared" si="16"/>
        <v>6814</v>
      </c>
      <c r="JD50" s="34">
        <f t="shared" si="16"/>
        <v>2663</v>
      </c>
      <c r="JE50" s="34">
        <f t="shared" si="16"/>
        <v>1333</v>
      </c>
      <c r="JF50" s="34">
        <f t="shared" si="16"/>
        <v>8125</v>
      </c>
      <c r="JG50" s="34">
        <f t="shared" si="16"/>
        <v>7937</v>
      </c>
      <c r="JH50" s="34">
        <f t="shared" si="16"/>
        <v>7928</v>
      </c>
      <c r="JI50" s="34">
        <f t="shared" si="17"/>
        <v>7439</v>
      </c>
      <c r="JJ50" s="34">
        <f t="shared" si="17"/>
        <v>7247</v>
      </c>
      <c r="JK50" s="34">
        <f t="shared" si="17"/>
        <v>2597</v>
      </c>
      <c r="JL50" s="34">
        <f t="shared" si="17"/>
        <v>920</v>
      </c>
      <c r="JM50" s="34">
        <f t="shared" si="17"/>
        <v>7567</v>
      </c>
      <c r="JN50" s="34">
        <f t="shared" si="17"/>
        <v>6827</v>
      </c>
      <c r="JO50" s="34">
        <f t="shared" si="17"/>
        <v>6799</v>
      </c>
      <c r="JP50" s="34">
        <f t="shared" si="17"/>
        <v>6749</v>
      </c>
      <c r="JQ50" s="34">
        <f t="shared" si="17"/>
        <v>5628</v>
      </c>
      <c r="JR50" s="34">
        <f t="shared" si="17"/>
        <v>2835</v>
      </c>
      <c r="JS50" s="34">
        <f t="shared" si="17"/>
        <v>1043</v>
      </c>
      <c r="JT50" s="34">
        <f t="shared" si="17"/>
        <v>7831</v>
      </c>
      <c r="JU50" s="34">
        <f t="shared" si="17"/>
        <v>6965</v>
      </c>
      <c r="JV50" s="34">
        <f t="shared" si="17"/>
        <v>7457</v>
      </c>
      <c r="JW50" s="34">
        <f t="shared" si="18"/>
        <v>7875</v>
      </c>
      <c r="JX50" s="34">
        <f t="shared" si="18"/>
        <v>7205</v>
      </c>
      <c r="JY50" s="34">
        <f t="shared" si="18"/>
        <v>3439</v>
      </c>
      <c r="JZ50" s="34">
        <f t="shared" si="18"/>
        <v>1179</v>
      </c>
      <c r="KA50" s="34">
        <f t="shared" si="18"/>
        <v>2534</v>
      </c>
      <c r="KB50" s="34">
        <f t="shared" si="18"/>
        <v>0</v>
      </c>
      <c r="KC50" s="34">
        <f t="shared" si="18"/>
        <v>10639</v>
      </c>
      <c r="KD50" s="34">
        <f t="shared" si="18"/>
        <v>0</v>
      </c>
      <c r="KE50" s="34">
        <f t="shared" si="18"/>
        <v>18412</v>
      </c>
      <c r="KF50" s="34">
        <f t="shared" si="18"/>
        <v>4077</v>
      </c>
      <c r="KG50" s="34">
        <f t="shared" si="18"/>
        <v>0</v>
      </c>
      <c r="KH50" s="34">
        <f t="shared" si="18"/>
        <v>10310</v>
      </c>
      <c r="KI50" s="34">
        <f t="shared" si="18"/>
        <v>9198</v>
      </c>
      <c r="KJ50" s="34">
        <f t="shared" si="18"/>
        <v>9417</v>
      </c>
      <c r="KK50" s="34">
        <f t="shared" si="19"/>
        <v>10686</v>
      </c>
      <c r="KL50" s="34">
        <f t="shared" si="19"/>
        <v>9931</v>
      </c>
      <c r="KM50" s="34">
        <f t="shared" si="19"/>
        <v>4232</v>
      </c>
      <c r="KN50" s="34">
        <f t="shared" si="19"/>
        <v>3375</v>
      </c>
      <c r="KO50" s="34">
        <f t="shared" si="19"/>
        <v>9877</v>
      </c>
      <c r="KP50" s="34">
        <f t="shared" si="19"/>
        <v>9977</v>
      </c>
      <c r="KQ50" s="34">
        <f t="shared" si="19"/>
        <v>9347</v>
      </c>
      <c r="KR50" s="34">
        <f t="shared" si="19"/>
        <v>10583</v>
      </c>
      <c r="KS50" s="34">
        <f t="shared" si="19"/>
        <v>9062</v>
      </c>
      <c r="KT50" s="34">
        <f t="shared" si="19"/>
        <v>3460</v>
      </c>
      <c r="KU50" s="34">
        <f t="shared" si="19"/>
        <v>1909</v>
      </c>
      <c r="KV50" s="34">
        <f t="shared" si="19"/>
        <v>0</v>
      </c>
      <c r="KW50" s="34">
        <f t="shared" si="19"/>
        <v>0</v>
      </c>
      <c r="KX50" s="34">
        <f t="shared" si="19"/>
        <v>43427</v>
      </c>
      <c r="KY50" s="34">
        <f t="shared" si="20"/>
        <v>9447</v>
      </c>
      <c r="KZ50" s="34">
        <f t="shared" si="20"/>
        <v>11864</v>
      </c>
      <c r="LA50" s="34">
        <f t="shared" si="34"/>
        <v>5737</v>
      </c>
      <c r="LB50" s="34">
        <f t="shared" si="35"/>
        <v>5116</v>
      </c>
      <c r="LC50" s="34">
        <f t="shared" si="36"/>
        <v>13710</v>
      </c>
      <c r="LD50" s="34">
        <f t="shared" si="37"/>
        <v>14268</v>
      </c>
      <c r="LE50" s="34">
        <f t="shared" si="38"/>
        <v>14929</v>
      </c>
      <c r="LF50" s="34">
        <f t="shared" si="39"/>
        <v>14565</v>
      </c>
      <c r="LG50" s="34">
        <f t="shared" si="21"/>
        <v>12821</v>
      </c>
      <c r="LH50" s="34">
        <f t="shared" si="21"/>
        <v>6525</v>
      </c>
      <c r="LI50" s="34">
        <f t="shared" si="21"/>
        <v>4652</v>
      </c>
      <c r="LJ50" s="34">
        <f t="shared" si="21"/>
        <v>13199</v>
      </c>
      <c r="LK50" s="34">
        <f t="shared" si="21"/>
        <v>14136</v>
      </c>
      <c r="LL50" s="34">
        <f t="shared" si="21"/>
        <v>12781</v>
      </c>
      <c r="LM50" s="34">
        <f t="shared" si="21"/>
        <v>11882</v>
      </c>
      <c r="LN50" s="34">
        <f t="shared" si="21"/>
        <v>12247</v>
      </c>
      <c r="LO50" s="34">
        <f t="shared" si="21"/>
        <v>4140</v>
      </c>
      <c r="LP50" s="34">
        <f t="shared" si="21"/>
        <v>2279</v>
      </c>
      <c r="LQ50" s="34">
        <f t="shared" si="21"/>
        <v>11583</v>
      </c>
      <c r="LR50" s="34">
        <f t="shared" si="21"/>
        <v>13412</v>
      </c>
      <c r="LS50" s="34">
        <f t="shared" si="21"/>
        <v>12378</v>
      </c>
      <c r="LT50" s="34">
        <f t="shared" si="21"/>
        <v>11906</v>
      </c>
      <c r="LU50" s="34">
        <f t="shared" si="21"/>
        <v>12226</v>
      </c>
      <c r="LV50" s="34">
        <f t="shared" si="21"/>
        <v>4024</v>
      </c>
      <c r="LW50" s="34">
        <f t="shared" si="22"/>
        <v>2318</v>
      </c>
      <c r="LX50" s="34">
        <f t="shared" si="22"/>
        <v>11285</v>
      </c>
      <c r="LY50" s="34">
        <f t="shared" si="22"/>
        <v>12572</v>
      </c>
      <c r="LZ50" s="34">
        <f t="shared" si="22"/>
        <v>15284</v>
      </c>
      <c r="MA50" s="34">
        <f t="shared" si="22"/>
        <v>15606</v>
      </c>
      <c r="MB50" s="34">
        <f t="shared" si="22"/>
        <v>13501</v>
      </c>
      <c r="MC50" s="34">
        <f t="shared" si="22"/>
        <v>4859</v>
      </c>
      <c r="MD50" s="34">
        <f t="shared" si="22"/>
        <v>2554</v>
      </c>
      <c r="ME50" s="34">
        <f t="shared" si="22"/>
        <v>14258</v>
      </c>
      <c r="MF50" s="34">
        <f t="shared" si="22"/>
        <v>14943</v>
      </c>
      <c r="MG50" s="34">
        <f t="shared" si="22"/>
        <v>16658</v>
      </c>
      <c r="MH50" s="34">
        <f t="shared" si="22"/>
        <v>14208</v>
      </c>
      <c r="MI50" s="34">
        <f t="shared" si="22"/>
        <v>15802</v>
      </c>
      <c r="MJ50" s="34">
        <f t="shared" si="22"/>
        <v>6484</v>
      </c>
      <c r="MK50" s="34">
        <f t="shared" si="23"/>
        <v>2548</v>
      </c>
      <c r="ML50" s="34">
        <f t="shared" si="23"/>
        <v>13544</v>
      </c>
      <c r="MM50" s="34">
        <f t="shared" si="23"/>
        <v>16498</v>
      </c>
      <c r="MN50" s="34">
        <f t="shared" si="23"/>
        <v>15036</v>
      </c>
      <c r="MO50" s="34">
        <f t="shared" si="23"/>
        <v>13508</v>
      </c>
      <c r="MP50" s="34">
        <f t="shared" si="23"/>
        <v>7048</v>
      </c>
      <c r="MQ50" s="34">
        <f t="shared" si="23"/>
        <v>3913</v>
      </c>
      <c r="MR50" s="34">
        <f t="shared" si="23"/>
        <v>2283</v>
      </c>
      <c r="MS50" s="34">
        <f t="shared" si="23"/>
        <v>12666</v>
      </c>
      <c r="MT50" s="34">
        <f t="shared" si="23"/>
        <v>14256</v>
      </c>
      <c r="MU50" s="34">
        <f t="shared" si="23"/>
        <v>0</v>
      </c>
      <c r="MV50" s="34">
        <f t="shared" si="23"/>
        <v>28018</v>
      </c>
      <c r="MW50" s="34">
        <f t="shared" si="23"/>
        <v>15146</v>
      </c>
      <c r="MX50" s="34">
        <f t="shared" si="23"/>
        <v>7159</v>
      </c>
      <c r="MY50" s="34">
        <f t="shared" si="24"/>
        <v>3165</v>
      </c>
      <c r="MZ50" s="34">
        <f t="shared" si="25"/>
        <v>15495</v>
      </c>
      <c r="NA50" s="34">
        <f t="shared" si="25"/>
        <v>17088</v>
      </c>
      <c r="NB50" s="34">
        <f t="shared" si="25"/>
        <v>8065</v>
      </c>
      <c r="NC50" s="34">
        <f t="shared" si="25"/>
        <v>15057</v>
      </c>
      <c r="ND50" s="34">
        <f t="shared" si="25"/>
        <v>14695</v>
      </c>
      <c r="NE50" s="34">
        <f t="shared" si="25"/>
        <v>7324</v>
      </c>
      <c r="NF50" s="34">
        <f t="shared" si="25"/>
        <v>3999</v>
      </c>
      <c r="NG50" s="34">
        <f t="shared" si="25"/>
        <v>0</v>
      </c>
      <c r="NH50" s="34">
        <f t="shared" si="25"/>
        <v>30861</v>
      </c>
      <c r="NI50" s="34">
        <f t="shared" si="25"/>
        <v>16999</v>
      </c>
      <c r="NJ50" s="34">
        <f t="shared" si="25"/>
        <v>14996</v>
      </c>
      <c r="NK50" s="34">
        <f t="shared" si="25"/>
        <v>16199</v>
      </c>
      <c r="NL50" s="34">
        <f t="shared" si="25"/>
        <v>6549</v>
      </c>
      <c r="NM50" s="34">
        <f t="shared" si="25"/>
        <v>3491</v>
      </c>
      <c r="NN50" s="34">
        <f t="shared" si="26"/>
        <v>14290</v>
      </c>
      <c r="NO50" s="34">
        <f t="shared" si="27"/>
        <v>18118</v>
      </c>
      <c r="NP50" s="34">
        <v>17428</v>
      </c>
      <c r="NQ50" s="34">
        <v>17199</v>
      </c>
      <c r="NR50" s="34">
        <v>13243</v>
      </c>
      <c r="NS50" s="34">
        <v>13508</v>
      </c>
      <c r="NT50" s="34">
        <v>0</v>
      </c>
      <c r="NU50" s="34">
        <v>0</v>
      </c>
      <c r="NV50" s="34">
        <v>27654</v>
      </c>
      <c r="NW50" s="34">
        <v>16323</v>
      </c>
      <c r="NX50">
        <v>15611</v>
      </c>
      <c r="NY50" s="34">
        <v>14416</v>
      </c>
      <c r="NZ50" s="34">
        <v>9094</v>
      </c>
      <c r="OA50" s="34">
        <v>5861</v>
      </c>
      <c r="OB50" s="34">
        <v>14803</v>
      </c>
      <c r="OC50" s="34">
        <v>14385</v>
      </c>
      <c r="OD50" s="34">
        <v>13682</v>
      </c>
      <c r="OE50" s="34">
        <v>0</v>
      </c>
      <c r="OF50" s="34">
        <v>15267</v>
      </c>
      <c r="OG50" s="34">
        <v>21034</v>
      </c>
      <c r="OH50" s="34">
        <v>4275</v>
      </c>
      <c r="OI50" s="34">
        <v>15217</v>
      </c>
      <c r="OJ50" s="34">
        <v>14606</v>
      </c>
      <c r="OK50" s="34">
        <v>0</v>
      </c>
      <c r="OL50" s="34">
        <v>20510</v>
      </c>
      <c r="OM50" s="34">
        <v>12120</v>
      </c>
      <c r="ON50" s="34">
        <v>4007</v>
      </c>
      <c r="OO50" s="34">
        <v>3310</v>
      </c>
      <c r="OP50" s="34">
        <v>11646</v>
      </c>
      <c r="OQ50" s="34">
        <v>13990</v>
      </c>
      <c r="OR50" s="34">
        <v>12225</v>
      </c>
      <c r="OS50" s="34">
        <f t="shared" si="40"/>
        <v>0</v>
      </c>
      <c r="OT50" s="34">
        <f t="shared" si="40"/>
        <v>27676</v>
      </c>
      <c r="OU50" s="34">
        <v>3687</v>
      </c>
      <c r="OV50" s="34">
        <v>1384</v>
      </c>
      <c r="OW50" s="34">
        <v>1636</v>
      </c>
      <c r="OX50" s="34">
        <v>8463</v>
      </c>
      <c r="OY50" s="34">
        <v>10519</v>
      </c>
      <c r="OZ50" s="34">
        <v>9188</v>
      </c>
      <c r="PA50" s="34">
        <v>9631</v>
      </c>
      <c r="PB50" s="34">
        <v>3118</v>
      </c>
      <c r="PC50" s="34">
        <v>3743</v>
      </c>
      <c r="PD50" s="34">
        <v>11613</v>
      </c>
      <c r="PE50" s="34">
        <v>10925</v>
      </c>
      <c r="PF50" s="34">
        <v>9681</v>
      </c>
      <c r="PG50" s="34">
        <v>10471</v>
      </c>
      <c r="PH50" s="34">
        <v>0</v>
      </c>
      <c r="PI50" s="34">
        <v>14610</v>
      </c>
      <c r="PJ50" s="34">
        <v>2894</v>
      </c>
      <c r="PK50" s="34">
        <v>9775</v>
      </c>
      <c r="PL50" s="34">
        <v>8795</v>
      </c>
      <c r="PM50" s="34">
        <v>0</v>
      </c>
      <c r="PN50" s="34">
        <v>17281</v>
      </c>
      <c r="PO50" s="34">
        <v>7298</v>
      </c>
      <c r="PP50" s="34">
        <v>3670</v>
      </c>
      <c r="PQ50" s="34">
        <v>995</v>
      </c>
      <c r="PR50" s="34">
        <v>9629</v>
      </c>
      <c r="PS50" s="34">
        <v>8420</v>
      </c>
      <c r="PT50" s="34">
        <v>8115</v>
      </c>
      <c r="PU50" s="34">
        <v>8422</v>
      </c>
      <c r="PV50" s="34">
        <v>7820</v>
      </c>
      <c r="PW50" s="34">
        <v>3074</v>
      </c>
      <c r="PX50" s="34">
        <v>953</v>
      </c>
      <c r="PY50" s="34">
        <v>8714</v>
      </c>
      <c r="PZ50" s="34">
        <v>8270</v>
      </c>
      <c r="QA50" s="34">
        <v>6293</v>
      </c>
      <c r="QB50" s="34">
        <v>6572</v>
      </c>
      <c r="QC50" s="34">
        <v>6692</v>
      </c>
      <c r="QD50" s="34">
        <v>2401</v>
      </c>
      <c r="QE50" s="34">
        <v>973</v>
      </c>
      <c r="QF50" s="34">
        <v>7520</v>
      </c>
      <c r="QG50" s="34">
        <v>7813</v>
      </c>
      <c r="QH50" s="34">
        <v>7194</v>
      </c>
      <c r="QI50" s="34">
        <v>7067</v>
      </c>
      <c r="QJ50" s="34">
        <v>0</v>
      </c>
      <c r="QK50" s="34">
        <v>5628</v>
      </c>
      <c r="QL50" s="34">
        <v>2843</v>
      </c>
      <c r="QM50" s="34">
        <v>6037</v>
      </c>
      <c r="QN50" s="34">
        <v>6886</v>
      </c>
      <c r="QO50" s="34">
        <v>6458</v>
      </c>
      <c r="QP50" s="34">
        <v>5901</v>
      </c>
      <c r="QQ50" s="34">
        <v>4710</v>
      </c>
      <c r="QR50" s="34">
        <v>0</v>
      </c>
      <c r="QS50" s="34">
        <v>2976</v>
      </c>
      <c r="QT50" s="34">
        <v>6906</v>
      </c>
      <c r="QU50" s="34">
        <v>8556</v>
      </c>
      <c r="QV50" s="34">
        <v>6571</v>
      </c>
      <c r="QW50" s="34">
        <v>2127</v>
      </c>
      <c r="QX50" s="34">
        <v>1158</v>
      </c>
      <c r="QY50" s="34">
        <v>687</v>
      </c>
      <c r="QZ50" s="34">
        <v>1409</v>
      </c>
      <c r="RA50" s="34">
        <v>7311</v>
      </c>
      <c r="RB50" s="34">
        <v>8135</v>
      </c>
      <c r="RC50" s="34">
        <v>7924</v>
      </c>
      <c r="RD50" s="34">
        <v>6046</v>
      </c>
      <c r="RE50" s="34">
        <v>0</v>
      </c>
      <c r="RF50" s="34">
        <v>2850</v>
      </c>
      <c r="RG50" s="34">
        <v>1217</v>
      </c>
      <c r="RH50" s="34">
        <v>7736</v>
      </c>
      <c r="RI50" s="34">
        <v>9676</v>
      </c>
      <c r="RJ50" s="34">
        <v>0</v>
      </c>
      <c r="RK50" s="34">
        <v>24813</v>
      </c>
      <c r="RL50" s="34">
        <v>0</v>
      </c>
      <c r="RM50" s="34">
        <v>15996</v>
      </c>
      <c r="RN50" s="34">
        <v>2640</v>
      </c>
      <c r="RO50" s="34">
        <v>13471</v>
      </c>
      <c r="RP50" s="34">
        <v>0</v>
      </c>
      <c r="RQ50" s="34">
        <v>29393</v>
      </c>
      <c r="RR50" s="34">
        <v>13183</v>
      </c>
      <c r="RS50" s="34">
        <v>0</v>
      </c>
      <c r="RT50" s="34">
        <v>20925</v>
      </c>
      <c r="RU50" s="34">
        <v>3292</v>
      </c>
      <c r="RV50" s="34">
        <v>13848</v>
      </c>
      <c r="RW50" s="34">
        <v>14260</v>
      </c>
      <c r="RX50" s="34">
        <v>13342</v>
      </c>
      <c r="RY50" s="34">
        <v>15664</v>
      </c>
      <c r="RZ50" s="34">
        <v>16715</v>
      </c>
      <c r="SA50" s="34">
        <v>5462</v>
      </c>
      <c r="SB50" s="34">
        <v>6460</v>
      </c>
      <c r="SC50" s="34">
        <v>14842</v>
      </c>
      <c r="SD50" s="34">
        <v>14651</v>
      </c>
      <c r="SE50" s="34">
        <v>14440</v>
      </c>
      <c r="SF50" s="34">
        <v>14385</v>
      </c>
      <c r="SG50" s="34">
        <v>11683</v>
      </c>
      <c r="SH50" s="34">
        <v>5598</v>
      </c>
      <c r="SI50" s="34">
        <v>3534</v>
      </c>
      <c r="SJ50" s="34">
        <v>18159</v>
      </c>
      <c r="SK50" s="34">
        <v>16533</v>
      </c>
      <c r="SL50" s="34">
        <v>13173</v>
      </c>
      <c r="SM50" s="34">
        <v>10977</v>
      </c>
      <c r="SN50" s="34">
        <v>13521</v>
      </c>
      <c r="SO50" s="34">
        <v>0</v>
      </c>
      <c r="SP50" s="34">
        <v>11863</v>
      </c>
      <c r="SQ50" s="34">
        <v>14957</v>
      </c>
      <c r="SR50" s="34">
        <v>17469</v>
      </c>
      <c r="SS50" s="34">
        <v>16755</v>
      </c>
      <c r="ST50" s="34">
        <v>18328</v>
      </c>
      <c r="SU50" s="34">
        <v>15530</v>
      </c>
      <c r="SV50" s="34">
        <v>6319</v>
      </c>
      <c r="SW50" s="34">
        <v>6412</v>
      </c>
      <c r="SX50" s="34">
        <v>16081</v>
      </c>
      <c r="SY50" s="34">
        <v>0</v>
      </c>
      <c r="SZ50" s="34">
        <v>0</v>
      </c>
      <c r="TA50" s="34">
        <v>0</v>
      </c>
      <c r="TB50" s="34">
        <v>60312</v>
      </c>
      <c r="TC50" s="34">
        <v>5347</v>
      </c>
      <c r="TD50" s="34">
        <v>3218</v>
      </c>
      <c r="TE50" s="34">
        <v>0</v>
      </c>
      <c r="TF50" s="34">
        <v>33153</v>
      </c>
      <c r="TG50" s="34">
        <v>14123</v>
      </c>
      <c r="TH50" s="34">
        <v>13845</v>
      </c>
      <c r="TI50" s="34">
        <v>10908</v>
      </c>
      <c r="TJ50" s="34">
        <v>0</v>
      </c>
      <c r="TK50" s="34">
        <v>0</v>
      </c>
      <c r="TL50" s="34">
        <v>0</v>
      </c>
      <c r="TM50" s="34">
        <v>0</v>
      </c>
      <c r="TN50" s="34">
        <v>0</v>
      </c>
      <c r="TO50" s="34">
        <v>63954</v>
      </c>
      <c r="TP50" s="34">
        <v>11140</v>
      </c>
      <c r="TQ50" s="34">
        <v>0</v>
      </c>
      <c r="TR50" s="34">
        <v>7577</v>
      </c>
      <c r="TS50" s="34">
        <v>14410</v>
      </c>
      <c r="TT50" s="34">
        <v>0</v>
      </c>
      <c r="TU50" s="34">
        <v>26077</v>
      </c>
      <c r="TV50" s="34">
        <v>11612</v>
      </c>
      <c r="TW50" s="34">
        <v>10381</v>
      </c>
      <c r="TX50" s="34">
        <v>3251</v>
      </c>
      <c r="TY50" s="34">
        <v>2177</v>
      </c>
      <c r="TZ50" s="34">
        <v>12173</v>
      </c>
      <c r="UA50" s="34">
        <v>13729</v>
      </c>
      <c r="UB50" s="34">
        <v>14644</v>
      </c>
      <c r="UC50" s="34">
        <v>14062</v>
      </c>
      <c r="UD50" s="34">
        <v>0</v>
      </c>
      <c r="UE50" s="34">
        <v>13555</v>
      </c>
      <c r="UF50" s="34">
        <v>2388</v>
      </c>
      <c r="UG50" s="34">
        <v>12226</v>
      </c>
      <c r="UH50" s="34">
        <v>13154</v>
      </c>
      <c r="UI50" s="34">
        <v>11678</v>
      </c>
      <c r="UJ50" s="34">
        <v>10976</v>
      </c>
      <c r="UK50" s="34">
        <v>8565</v>
      </c>
      <c r="UL50" s="34">
        <v>3714</v>
      </c>
      <c r="UM50" s="34">
        <v>2334</v>
      </c>
      <c r="UN50" s="34">
        <v>12481</v>
      </c>
      <c r="UO50" s="34">
        <v>12608</v>
      </c>
      <c r="UP50" s="34">
        <v>0</v>
      </c>
      <c r="UQ50" s="34">
        <v>20776</v>
      </c>
      <c r="UR50" s="34">
        <v>0</v>
      </c>
      <c r="US50" s="34">
        <v>0</v>
      </c>
      <c r="UT50" s="34">
        <v>15209</v>
      </c>
      <c r="UU50" s="34">
        <v>11938</v>
      </c>
      <c r="UV50" s="34">
        <v>10179</v>
      </c>
      <c r="UW50" s="34">
        <v>10202</v>
      </c>
      <c r="UX50" s="34">
        <v>10827</v>
      </c>
      <c r="UY50" s="34">
        <v>8867</v>
      </c>
      <c r="UZ50" s="34">
        <v>3094</v>
      </c>
      <c r="VA50" s="34">
        <v>1954</v>
      </c>
      <c r="VB50" s="34">
        <v>10580</v>
      </c>
      <c r="VC50" s="34">
        <v>13551</v>
      </c>
      <c r="VD50" s="34">
        <v>0</v>
      </c>
      <c r="VE50" s="34">
        <v>2994</v>
      </c>
      <c r="VF50" s="34">
        <v>1203</v>
      </c>
      <c r="VG50" s="34">
        <v>0</v>
      </c>
      <c r="VH50" s="34">
        <v>4238</v>
      </c>
      <c r="VI50" s="34">
        <v>13492</v>
      </c>
      <c r="VJ50" s="34">
        <v>10824</v>
      </c>
      <c r="VK50" s="34">
        <v>10906</v>
      </c>
      <c r="VL50" s="34">
        <v>9981</v>
      </c>
      <c r="VM50" s="34">
        <v>0</v>
      </c>
      <c r="VN50" s="34">
        <v>0</v>
      </c>
      <c r="VO50" s="34">
        <v>15549</v>
      </c>
      <c r="VP50" s="34">
        <v>8560</v>
      </c>
      <c r="VQ50" s="34">
        <v>9028</v>
      </c>
      <c r="VR50" s="34">
        <v>9425</v>
      </c>
      <c r="VS50" s="34">
        <v>9155</v>
      </c>
      <c r="VT50" s="34">
        <v>12296</v>
      </c>
      <c r="VU50" s="34">
        <v>3282</v>
      </c>
      <c r="VV50" s="34">
        <v>0</v>
      </c>
      <c r="VW50" s="34">
        <v>0</v>
      </c>
      <c r="VX50" s="34">
        <v>8095</v>
      </c>
      <c r="VY50" s="34">
        <v>17408</v>
      </c>
      <c r="VZ50" s="34">
        <v>0</v>
      </c>
      <c r="WA50" s="34">
        <v>0</v>
      </c>
      <c r="WB50" s="34">
        <v>0</v>
      </c>
      <c r="WC50" s="34">
        <v>12231</v>
      </c>
      <c r="WD50" s="34">
        <v>9261</v>
      </c>
      <c r="WE50" s="34">
        <v>0</v>
      </c>
      <c r="WF50" s="34">
        <v>17579</v>
      </c>
      <c r="WG50" s="34">
        <v>9348</v>
      </c>
      <c r="WH50" s="34">
        <v>0</v>
      </c>
      <c r="WI50" s="34">
        <v>0</v>
      </c>
      <c r="WJ50" s="34">
        <v>14101</v>
      </c>
      <c r="WK50" s="34">
        <v>8758</v>
      </c>
      <c r="WL50" s="34">
        <v>10115</v>
      </c>
      <c r="WM50">
        <v>9438</v>
      </c>
      <c r="WN50">
        <v>0</v>
      </c>
      <c r="WO50">
        <v>0</v>
      </c>
      <c r="WP50">
        <v>0</v>
      </c>
      <c r="WQ50">
        <v>41486</v>
      </c>
      <c r="WR50">
        <v>0</v>
      </c>
      <c r="WS50">
        <v>0</v>
      </c>
      <c r="WT50">
        <v>0</v>
      </c>
      <c r="WU50">
        <v>17164</v>
      </c>
      <c r="WV50">
        <v>0</v>
      </c>
      <c r="WW50">
        <v>0</v>
      </c>
      <c r="WX50">
        <v>12228</v>
      </c>
      <c r="WY50">
        <v>0</v>
      </c>
      <c r="WZ50">
        <v>17832</v>
      </c>
      <c r="XA50">
        <v>8104</v>
      </c>
      <c r="XB50">
        <v>0</v>
      </c>
      <c r="XC50">
        <v>0</v>
      </c>
      <c r="XD50">
        <v>0</v>
      </c>
      <c r="XE50">
        <v>21392</v>
      </c>
      <c r="XF50">
        <v>37333</v>
      </c>
      <c r="XG50">
        <v>0</v>
      </c>
      <c r="XH50">
        <v>0</v>
      </c>
      <c r="XI50">
        <v>0</v>
      </c>
      <c r="XJ50">
        <v>0</v>
      </c>
      <c r="XK50">
        <v>12936</v>
      </c>
      <c r="XL50">
        <v>1795</v>
      </c>
      <c r="XM50">
        <v>41068</v>
      </c>
      <c r="XN50">
        <v>0</v>
      </c>
      <c r="XO50">
        <v>0</v>
      </c>
      <c r="XP50">
        <v>0</v>
      </c>
      <c r="XQ50">
        <v>0</v>
      </c>
      <c r="XR50">
        <v>63726</v>
      </c>
      <c r="XS50">
        <v>0</v>
      </c>
      <c r="XT50">
        <v>0</v>
      </c>
      <c r="XU50">
        <v>0</v>
      </c>
      <c r="XV50">
        <v>0</v>
      </c>
      <c r="XW50">
        <v>0</v>
      </c>
      <c r="XX50">
        <v>0</v>
      </c>
      <c r="XY50">
        <v>0</v>
      </c>
      <c r="XZ50">
        <v>19022</v>
      </c>
      <c r="YA50">
        <v>12453</v>
      </c>
      <c r="YB50">
        <v>13815</v>
      </c>
      <c r="YC50">
        <v>28266</v>
      </c>
      <c r="YD50">
        <v>0</v>
      </c>
      <c r="YE50">
        <v>20154</v>
      </c>
      <c r="YF50" s="1">
        <v>4984</v>
      </c>
      <c r="YG50" s="1">
        <v>0</v>
      </c>
      <c r="YH50" s="1">
        <v>0</v>
      </c>
      <c r="YI50" s="1">
        <v>14221</v>
      </c>
      <c r="YJ50">
        <v>16908</v>
      </c>
      <c r="YK50">
        <v>19475</v>
      </c>
      <c r="YL50">
        <v>0</v>
      </c>
      <c r="YM50">
        <v>28586</v>
      </c>
      <c r="YN50">
        <v>0</v>
      </c>
      <c r="YO50">
        <v>0</v>
      </c>
      <c r="YP50">
        <v>44448</v>
      </c>
      <c r="YQ50">
        <v>44667</v>
      </c>
      <c r="YR50">
        <v>0</v>
      </c>
      <c r="YS50">
        <v>0</v>
      </c>
      <c r="YT50">
        <v>0</v>
      </c>
      <c r="YU50">
        <v>24427</v>
      </c>
      <c r="YV50">
        <v>17289</v>
      </c>
      <c r="YW50">
        <v>59605</v>
      </c>
      <c r="YX50">
        <v>0</v>
      </c>
      <c r="YY50">
        <v>0</v>
      </c>
      <c r="YZ50">
        <v>0</v>
      </c>
      <c r="ZA50">
        <v>0</v>
      </c>
      <c r="ZB50">
        <v>0</v>
      </c>
      <c r="ZC50">
        <v>40423</v>
      </c>
      <c r="ZD50">
        <v>17040</v>
      </c>
      <c r="ZE50">
        <v>0</v>
      </c>
      <c r="ZF50">
        <v>34138</v>
      </c>
      <c r="ZG50">
        <v>0</v>
      </c>
      <c r="ZH50">
        <v>16998</v>
      </c>
      <c r="ZI50">
        <v>7351</v>
      </c>
      <c r="ZJ50">
        <v>13826</v>
      </c>
      <c r="ZK50">
        <v>15720</v>
      </c>
      <c r="ZL50">
        <v>15890</v>
      </c>
      <c r="ZM50">
        <v>0</v>
      </c>
      <c r="ZN50">
        <v>0</v>
      </c>
      <c r="ZO50">
        <v>18170</v>
      </c>
      <c r="ZP50">
        <v>14052</v>
      </c>
      <c r="ZQ50">
        <v>15110</v>
      </c>
      <c r="ZR50">
        <v>0</v>
      </c>
      <c r="ZS50">
        <v>31407</v>
      </c>
      <c r="ZT50">
        <v>11418</v>
      </c>
      <c r="ZU50">
        <v>0</v>
      </c>
      <c r="ZV50">
        <v>3566</v>
      </c>
      <c r="ZW50">
        <v>8484</v>
      </c>
      <c r="ZX50">
        <v>16228</v>
      </c>
      <c r="ZY50">
        <v>16638</v>
      </c>
      <c r="ZZ50">
        <v>13918</v>
      </c>
      <c r="AAA50">
        <v>0</v>
      </c>
      <c r="AAB50">
        <v>0</v>
      </c>
      <c r="AAC50">
        <v>16602</v>
      </c>
      <c r="AAD50">
        <v>15709</v>
      </c>
      <c r="AAE50">
        <v>14444</v>
      </c>
      <c r="AAF50">
        <v>14131</v>
      </c>
      <c r="AAG50">
        <v>12197</v>
      </c>
      <c r="AAH50">
        <v>0</v>
      </c>
      <c r="AAI50">
        <v>0</v>
      </c>
      <c r="AAJ50">
        <v>16424</v>
      </c>
      <c r="AAK50">
        <v>13466</v>
      </c>
      <c r="AAL50">
        <v>12972</v>
      </c>
      <c r="AAM50">
        <v>10981</v>
      </c>
      <c r="AAN50">
        <v>6765</v>
      </c>
      <c r="AAO50">
        <v>4339</v>
      </c>
      <c r="AAP50">
        <v>0</v>
      </c>
      <c r="AAQ50">
        <v>1009</v>
      </c>
      <c r="AAR50">
        <v>0</v>
      </c>
      <c r="AAS50">
        <v>23348</v>
      </c>
      <c r="AAT50">
        <v>0</v>
      </c>
      <c r="AAU50">
        <v>25489</v>
      </c>
      <c r="AAV50">
        <v>12593</v>
      </c>
      <c r="AAW50">
        <v>0</v>
      </c>
      <c r="AAX50">
        <v>2057</v>
      </c>
      <c r="AAY50">
        <v>13202</v>
      </c>
      <c r="AAZ50">
        <v>12363</v>
      </c>
      <c r="ABA50">
        <v>10537</v>
      </c>
      <c r="ABB50">
        <v>0</v>
      </c>
      <c r="ABC50">
        <v>0</v>
      </c>
      <c r="ABD50">
        <v>0</v>
      </c>
      <c r="ABE50">
        <v>8053</v>
      </c>
      <c r="ABF50">
        <v>11637</v>
      </c>
      <c r="ABG50">
        <v>13295</v>
      </c>
      <c r="ABH50">
        <v>10780</v>
      </c>
      <c r="ABI50">
        <v>12219</v>
      </c>
      <c r="ABJ50">
        <v>0</v>
      </c>
      <c r="ABK50">
        <v>0</v>
      </c>
      <c r="ABL50">
        <v>14461</v>
      </c>
      <c r="ABM50">
        <v>12020</v>
      </c>
      <c r="ABN50">
        <v>0</v>
      </c>
      <c r="ABO50">
        <v>24025</v>
      </c>
      <c r="ABP50">
        <v>13885</v>
      </c>
      <c r="ABQ50">
        <v>0</v>
      </c>
      <c r="ABR50">
        <v>0</v>
      </c>
      <c r="ABS50">
        <v>11436</v>
      </c>
      <c r="ABT50">
        <v>10267</v>
      </c>
      <c r="ABU50">
        <v>9487</v>
      </c>
      <c r="ABV50">
        <v>11108</v>
      </c>
      <c r="ABW50">
        <v>9734</v>
      </c>
      <c r="ABX50">
        <v>0</v>
      </c>
      <c r="ABY50">
        <v>0</v>
      </c>
      <c r="ABZ50">
        <v>0</v>
      </c>
      <c r="ACA50">
        <v>20494</v>
      </c>
      <c r="ACB50">
        <v>31576</v>
      </c>
      <c r="ACC50">
        <v>0</v>
      </c>
      <c r="ACD50">
        <v>0</v>
      </c>
      <c r="ACE50">
        <v>0</v>
      </c>
      <c r="ACF50">
        <v>0</v>
      </c>
      <c r="ACG50">
        <v>16593</v>
      </c>
      <c r="ACH50">
        <v>10296</v>
      </c>
      <c r="ACI50">
        <v>10121</v>
      </c>
      <c r="ACJ50">
        <v>10318</v>
      </c>
      <c r="ACK50">
        <v>0</v>
      </c>
      <c r="ACL50">
        <v>0</v>
      </c>
      <c r="ACM50">
        <v>0</v>
      </c>
      <c r="ACN50">
        <v>23266</v>
      </c>
      <c r="ACO50">
        <v>0</v>
      </c>
      <c r="ACP50">
        <v>19235</v>
      </c>
      <c r="ACQ50">
        <v>0</v>
      </c>
      <c r="ACR50">
        <v>8517</v>
      </c>
      <c r="ACS50">
        <v>0</v>
      </c>
      <c r="ACT50">
        <v>0</v>
      </c>
      <c r="ACU50">
        <v>10329</v>
      </c>
      <c r="ACV50">
        <v>18393</v>
      </c>
      <c r="ACW50">
        <v>0</v>
      </c>
      <c r="ACX50">
        <v>0</v>
      </c>
      <c r="ACY50">
        <v>0</v>
      </c>
      <c r="ACZ50">
        <v>0</v>
      </c>
      <c r="ADA50">
        <v>0</v>
      </c>
      <c r="ADB50">
        <v>11207</v>
      </c>
      <c r="ADC50">
        <v>9787</v>
      </c>
      <c r="ADD50">
        <v>17541</v>
      </c>
      <c r="ADE50">
        <v>0</v>
      </c>
      <c r="ADF50">
        <v>8460</v>
      </c>
      <c r="ADG50">
        <v>0</v>
      </c>
      <c r="ADH50">
        <v>0</v>
      </c>
      <c r="ADI50">
        <v>30613</v>
      </c>
      <c r="ADJ50">
        <v>0</v>
      </c>
      <c r="ADK50">
        <v>0</v>
      </c>
      <c r="ADL50">
        <v>43218</v>
      </c>
      <c r="ADM50">
        <v>0</v>
      </c>
      <c r="ADN50">
        <v>0</v>
      </c>
      <c r="ADO50">
        <v>0</v>
      </c>
      <c r="ADP50">
        <v>0</v>
      </c>
      <c r="ADQ50">
        <v>0</v>
      </c>
      <c r="ADR50">
        <v>34452</v>
      </c>
      <c r="ADS50">
        <v>0</v>
      </c>
      <c r="ADT50">
        <v>0</v>
      </c>
      <c r="ADU50">
        <v>0</v>
      </c>
      <c r="ADV50">
        <v>0</v>
      </c>
      <c r="ADW50">
        <v>21288</v>
      </c>
      <c r="ADX50">
        <v>0</v>
      </c>
      <c r="ADY50">
        <v>29005</v>
      </c>
      <c r="ADZ50">
        <v>0</v>
      </c>
      <c r="AEA50">
        <v>0</v>
      </c>
      <c r="AEB50">
        <v>0</v>
      </c>
      <c r="AEC50">
        <v>0</v>
      </c>
      <c r="AED50">
        <v>68444</v>
      </c>
      <c r="AEE50">
        <v>0</v>
      </c>
      <c r="AEF50">
        <v>0</v>
      </c>
      <c r="AEG50">
        <v>0</v>
      </c>
      <c r="AEH50">
        <v>0</v>
      </c>
      <c r="AEI50">
        <v>0</v>
      </c>
      <c r="AEJ50">
        <v>0</v>
      </c>
      <c r="AEK50">
        <v>47879</v>
      </c>
      <c r="AEL50">
        <v>0</v>
      </c>
      <c r="AEM50">
        <v>0</v>
      </c>
      <c r="AEN50">
        <v>0</v>
      </c>
      <c r="AEO50">
        <v>0</v>
      </c>
      <c r="AEP50">
        <v>0</v>
      </c>
      <c r="AEQ50">
        <v>0</v>
      </c>
      <c r="AER50">
        <v>96988</v>
      </c>
      <c r="AES50">
        <v>0</v>
      </c>
      <c r="AET50">
        <v>0</v>
      </c>
      <c r="AEU50">
        <v>0</v>
      </c>
      <c r="AEV50">
        <v>0</v>
      </c>
      <c r="AEW50">
        <v>0</v>
      </c>
      <c r="AEX50">
        <v>0</v>
      </c>
      <c r="AEY50">
        <v>0</v>
      </c>
      <c r="AEZ50">
        <v>0</v>
      </c>
      <c r="AFA50">
        <v>0</v>
      </c>
      <c r="AFB50">
        <v>0</v>
      </c>
      <c r="AFC50">
        <v>0</v>
      </c>
      <c r="AFD50">
        <v>0</v>
      </c>
      <c r="AFE50">
        <v>51337</v>
      </c>
      <c r="AFF50">
        <v>0</v>
      </c>
      <c r="AFG50">
        <v>0</v>
      </c>
      <c r="AFH50">
        <v>0</v>
      </c>
      <c r="AFI50">
        <v>0</v>
      </c>
      <c r="AFJ50">
        <v>0</v>
      </c>
      <c r="AFK50">
        <v>0</v>
      </c>
      <c r="AFL50">
        <v>0</v>
      </c>
      <c r="AFM50">
        <v>0</v>
      </c>
      <c r="AFN50">
        <v>48580</v>
      </c>
      <c r="AFO50">
        <v>0</v>
      </c>
      <c r="AFP50">
        <v>0</v>
      </c>
      <c r="AFQ50">
        <v>0</v>
      </c>
      <c r="AFR50">
        <v>0</v>
      </c>
      <c r="AFS50">
        <v>0</v>
      </c>
      <c r="AFT50">
        <v>40218</v>
      </c>
      <c r="AFU50">
        <v>0</v>
      </c>
      <c r="AFV50">
        <v>0</v>
      </c>
      <c r="AFW50">
        <v>0</v>
      </c>
      <c r="AFX50">
        <v>0</v>
      </c>
      <c r="AFY50">
        <v>0</v>
      </c>
      <c r="AFZ50">
        <v>0</v>
      </c>
      <c r="AGA50">
        <v>93677</v>
      </c>
      <c r="AGB50">
        <v>0</v>
      </c>
      <c r="AGC50">
        <v>0</v>
      </c>
      <c r="AGD50">
        <v>0</v>
      </c>
      <c r="AGE50">
        <v>0</v>
      </c>
      <c r="AGF50">
        <v>0</v>
      </c>
      <c r="AGG50">
        <v>0</v>
      </c>
      <c r="AGH50">
        <v>0</v>
      </c>
      <c r="AGI50">
        <v>0</v>
      </c>
      <c r="AGJ50">
        <v>0</v>
      </c>
      <c r="AGK50">
        <v>0</v>
      </c>
      <c r="AGL50">
        <v>0</v>
      </c>
      <c r="AGM50">
        <v>0</v>
      </c>
      <c r="AGN50">
        <v>0</v>
      </c>
      <c r="AGO50">
        <v>81889</v>
      </c>
      <c r="AGP50">
        <v>0</v>
      </c>
      <c r="AGQ50">
        <v>0</v>
      </c>
      <c r="AGR50">
        <v>0</v>
      </c>
      <c r="AGS50">
        <v>0</v>
      </c>
      <c r="AGT50">
        <v>0</v>
      </c>
      <c r="AGU50">
        <v>0</v>
      </c>
      <c r="AGV50">
        <v>0</v>
      </c>
      <c r="AGW50">
        <v>0</v>
      </c>
      <c r="AGX50">
        <v>0</v>
      </c>
      <c r="AGY50">
        <v>0</v>
      </c>
      <c r="AGZ50">
        <v>0</v>
      </c>
      <c r="AHA50">
        <v>0</v>
      </c>
      <c r="AHB50">
        <v>0</v>
      </c>
      <c r="AHC50">
        <v>52600</v>
      </c>
      <c r="AHD50">
        <v>0</v>
      </c>
      <c r="AHE50">
        <v>0</v>
      </c>
      <c r="AHF50">
        <v>0</v>
      </c>
      <c r="AHG50">
        <v>0</v>
      </c>
      <c r="AHH50">
        <v>0</v>
      </c>
      <c r="AHI50">
        <v>0</v>
      </c>
      <c r="AHJ50">
        <v>0</v>
      </c>
      <c r="AHK50">
        <v>31373</v>
      </c>
      <c r="AHL50">
        <v>0</v>
      </c>
      <c r="AHM50">
        <v>0</v>
      </c>
      <c r="AHN50">
        <v>0</v>
      </c>
      <c r="AHO50">
        <v>0</v>
      </c>
      <c r="AHP50">
        <v>0</v>
      </c>
      <c r="AHQ50">
        <v>0</v>
      </c>
    </row>
    <row r="51" spans="1:901">
      <c r="A51" s="1" t="s">
        <v>30</v>
      </c>
      <c r="C51" s="34">
        <f t="shared" si="28"/>
        <v>0</v>
      </c>
      <c r="D51" s="34">
        <f t="shared" si="28"/>
        <v>4421</v>
      </c>
      <c r="E51" s="34">
        <f t="shared" si="29"/>
        <v>1199</v>
      </c>
      <c r="F51" s="34">
        <f t="shared" si="30"/>
        <v>2499</v>
      </c>
      <c r="G51" s="34">
        <f t="shared" si="31"/>
        <v>1163</v>
      </c>
      <c r="H51" s="34">
        <f t="shared" si="32"/>
        <v>908</v>
      </c>
      <c r="I51" s="34">
        <f t="shared" si="32"/>
        <v>650</v>
      </c>
      <c r="J51" s="34">
        <f t="shared" si="0"/>
        <v>0</v>
      </c>
      <c r="K51" s="34">
        <f t="shared" si="0"/>
        <v>0</v>
      </c>
      <c r="L51" s="34">
        <f t="shared" si="0"/>
        <v>2730</v>
      </c>
      <c r="M51" s="34">
        <f t="shared" si="0"/>
        <v>1751</v>
      </c>
      <c r="N51" s="34">
        <f t="shared" si="0"/>
        <v>1291</v>
      </c>
      <c r="O51" s="34">
        <f t="shared" si="0"/>
        <v>933</v>
      </c>
      <c r="P51" s="34">
        <f t="shared" si="0"/>
        <v>0</v>
      </c>
      <c r="Q51" s="34">
        <f t="shared" si="0"/>
        <v>2703</v>
      </c>
      <c r="R51" s="34">
        <f t="shared" si="0"/>
        <v>1568</v>
      </c>
      <c r="S51" s="34">
        <f t="shared" si="0"/>
        <v>1663</v>
      </c>
      <c r="T51" s="34">
        <f t="shared" si="0"/>
        <v>1388</v>
      </c>
      <c r="U51" s="34">
        <f t="shared" si="0"/>
        <v>1824</v>
      </c>
      <c r="V51" s="34">
        <f t="shared" si="0"/>
        <v>1002</v>
      </c>
      <c r="W51" s="34">
        <f t="shared" si="0"/>
        <v>1211</v>
      </c>
      <c r="X51" s="34">
        <f t="shared" si="0"/>
        <v>2208</v>
      </c>
      <c r="Y51" s="34">
        <f t="shared" si="0"/>
        <v>1921</v>
      </c>
      <c r="Z51" s="34">
        <f t="shared" si="1"/>
        <v>0</v>
      </c>
      <c r="AA51" s="34">
        <f t="shared" si="1"/>
        <v>3636</v>
      </c>
      <c r="AB51" s="34">
        <f t="shared" si="1"/>
        <v>689</v>
      </c>
      <c r="AC51" s="34">
        <f t="shared" si="1"/>
        <v>1198</v>
      </c>
      <c r="AD51" s="34">
        <f t="shared" si="1"/>
        <v>0</v>
      </c>
      <c r="AE51" s="34">
        <f t="shared" si="1"/>
        <v>3225</v>
      </c>
      <c r="AF51" s="34">
        <f t="shared" si="1"/>
        <v>1994</v>
      </c>
      <c r="AG51" s="34">
        <f t="shared" si="1"/>
        <v>0</v>
      </c>
      <c r="AH51" s="34">
        <f t="shared" si="1"/>
        <v>3912</v>
      </c>
      <c r="AI51" s="34">
        <f t="shared" si="1"/>
        <v>2066</v>
      </c>
      <c r="AJ51" s="34">
        <f t="shared" si="1"/>
        <v>1968</v>
      </c>
      <c r="AK51" s="34">
        <f t="shared" si="1"/>
        <v>0</v>
      </c>
      <c r="AL51" s="34">
        <f t="shared" si="1"/>
        <v>1214</v>
      </c>
      <c r="AM51" s="34">
        <f t="shared" si="1"/>
        <v>3535</v>
      </c>
      <c r="AN51" s="34">
        <f t="shared" si="2"/>
        <v>2469</v>
      </c>
      <c r="AO51" s="34">
        <f t="shared" si="2"/>
        <v>1197</v>
      </c>
      <c r="AP51" s="34">
        <f t="shared" si="2"/>
        <v>1727</v>
      </c>
      <c r="AQ51" s="34">
        <f t="shared" si="2"/>
        <v>2093</v>
      </c>
      <c r="AR51" s="34">
        <f t="shared" si="2"/>
        <v>0</v>
      </c>
      <c r="AS51" s="34">
        <f t="shared" si="2"/>
        <v>0</v>
      </c>
      <c r="AT51" s="34">
        <f t="shared" si="2"/>
        <v>2001</v>
      </c>
      <c r="AU51" s="34">
        <f t="shared" si="2"/>
        <v>1707</v>
      </c>
      <c r="AV51" s="34">
        <f t="shared" si="2"/>
        <v>1858</v>
      </c>
      <c r="AW51" s="34">
        <f t="shared" si="2"/>
        <v>645</v>
      </c>
      <c r="AX51" s="34">
        <f t="shared" si="2"/>
        <v>0</v>
      </c>
      <c r="AY51" s="34">
        <f t="shared" si="2"/>
        <v>0</v>
      </c>
      <c r="AZ51" s="34">
        <f t="shared" si="2"/>
        <v>0</v>
      </c>
      <c r="BA51" s="34">
        <f t="shared" si="2"/>
        <v>0</v>
      </c>
      <c r="BB51" s="34">
        <f t="shared" si="3"/>
        <v>0</v>
      </c>
      <c r="BC51" s="34">
        <f t="shared" si="3"/>
        <v>0</v>
      </c>
      <c r="BD51" s="34">
        <f t="shared" si="3"/>
        <v>10741</v>
      </c>
      <c r="BE51" s="34">
        <f t="shared" si="3"/>
        <v>1334</v>
      </c>
      <c r="BF51" s="34">
        <f t="shared" si="3"/>
        <v>0</v>
      </c>
      <c r="BG51" s="34">
        <f t="shared" si="3"/>
        <v>0</v>
      </c>
      <c r="BH51" s="34">
        <f t="shared" si="3"/>
        <v>2544</v>
      </c>
      <c r="BI51" s="34">
        <f t="shared" si="3"/>
        <v>0</v>
      </c>
      <c r="BJ51" s="34">
        <f t="shared" si="3"/>
        <v>0</v>
      </c>
      <c r="BK51" s="34">
        <f t="shared" si="3"/>
        <v>5557</v>
      </c>
      <c r="BL51" s="34">
        <f t="shared" si="3"/>
        <v>0</v>
      </c>
      <c r="BM51" s="34">
        <f t="shared" si="3"/>
        <v>0</v>
      </c>
      <c r="BN51" s="34">
        <f t="shared" si="3"/>
        <v>1868</v>
      </c>
      <c r="BO51" s="34">
        <f t="shared" si="3"/>
        <v>1724</v>
      </c>
      <c r="BP51" s="34">
        <f t="shared" si="4"/>
        <v>0</v>
      </c>
      <c r="BQ51" s="34">
        <f t="shared" si="4"/>
        <v>0</v>
      </c>
      <c r="BR51" s="34">
        <f t="shared" si="4"/>
        <v>3536</v>
      </c>
      <c r="BS51" s="34">
        <f t="shared" si="4"/>
        <v>1270</v>
      </c>
      <c r="BT51" s="34">
        <f t="shared" si="4"/>
        <v>1414</v>
      </c>
      <c r="BU51" s="34">
        <f t="shared" si="4"/>
        <v>0</v>
      </c>
      <c r="BV51" s="34">
        <f t="shared" si="4"/>
        <v>3260</v>
      </c>
      <c r="BW51" s="34">
        <f t="shared" si="4"/>
        <v>0</v>
      </c>
      <c r="BX51" s="34">
        <f t="shared" si="4"/>
        <v>2718</v>
      </c>
      <c r="BY51" s="34">
        <f t="shared" si="4"/>
        <v>0</v>
      </c>
      <c r="BZ51" s="34">
        <f t="shared" si="4"/>
        <v>2095</v>
      </c>
      <c r="CA51" s="34">
        <f t="shared" si="4"/>
        <v>0</v>
      </c>
      <c r="CB51" s="34">
        <f t="shared" si="4"/>
        <v>1512</v>
      </c>
      <c r="CC51" s="34">
        <f t="shared" si="4"/>
        <v>0</v>
      </c>
      <c r="CD51" s="34">
        <f t="shared" si="4"/>
        <v>0</v>
      </c>
      <c r="CE51" s="34">
        <f t="shared" si="4"/>
        <v>0</v>
      </c>
      <c r="CF51" s="34">
        <f t="shared" si="4"/>
        <v>6127</v>
      </c>
      <c r="CG51" s="34">
        <f t="shared" si="4"/>
        <v>0</v>
      </c>
      <c r="CH51" s="34">
        <f t="shared" si="4"/>
        <v>0</v>
      </c>
      <c r="CI51" s="34">
        <f t="shared" si="4"/>
        <v>4950</v>
      </c>
      <c r="CJ51" s="34">
        <f t="shared" si="4"/>
        <v>0</v>
      </c>
      <c r="CK51" s="34">
        <f t="shared" si="4"/>
        <v>1703</v>
      </c>
      <c r="CL51" s="34">
        <f t="shared" si="4"/>
        <v>0</v>
      </c>
      <c r="CM51" s="34">
        <f t="shared" si="4"/>
        <v>0</v>
      </c>
      <c r="CN51" s="34">
        <f t="shared" si="4"/>
        <v>5439</v>
      </c>
      <c r="CO51" s="34">
        <f t="shared" si="4"/>
        <v>0</v>
      </c>
      <c r="CP51" s="34">
        <f t="shared" si="4"/>
        <v>1913</v>
      </c>
      <c r="CQ51" s="34">
        <f t="shared" si="4"/>
        <v>0</v>
      </c>
      <c r="CR51" s="34">
        <f t="shared" si="4"/>
        <v>0</v>
      </c>
      <c r="CS51" s="34">
        <f t="shared" si="4"/>
        <v>0</v>
      </c>
      <c r="CT51" s="34">
        <f t="shared" si="4"/>
        <v>0</v>
      </c>
      <c r="CU51" s="34">
        <f t="shared" si="4"/>
        <v>3598</v>
      </c>
      <c r="CV51" s="34">
        <f t="shared" si="46"/>
        <v>0</v>
      </c>
      <c r="CW51" s="34">
        <f t="shared" si="46"/>
        <v>5613</v>
      </c>
      <c r="CX51" s="34">
        <f t="shared" si="46"/>
        <v>0</v>
      </c>
      <c r="CY51" s="34">
        <f t="shared" si="46"/>
        <v>0</v>
      </c>
      <c r="CZ51" s="34">
        <f t="shared" si="46"/>
        <v>4409</v>
      </c>
      <c r="DA51" s="34">
        <f t="shared" si="46"/>
        <v>0</v>
      </c>
      <c r="DB51" s="34">
        <f t="shared" si="46"/>
        <v>0</v>
      </c>
      <c r="DC51" s="34">
        <f t="shared" si="46"/>
        <v>1475</v>
      </c>
      <c r="DD51" s="34">
        <f t="shared" si="46"/>
        <v>0</v>
      </c>
      <c r="DE51" s="34">
        <f t="shared" si="46"/>
        <v>924</v>
      </c>
      <c r="DF51" s="34">
        <f t="shared" si="46"/>
        <v>619</v>
      </c>
      <c r="DG51" s="34">
        <f t="shared" si="46"/>
        <v>517</v>
      </c>
      <c r="DH51" s="34">
        <f t="shared" si="46"/>
        <v>217</v>
      </c>
      <c r="DI51" s="34">
        <f t="shared" si="46"/>
        <v>1100</v>
      </c>
      <c r="DJ51" s="34">
        <f t="shared" si="46"/>
        <v>1245</v>
      </c>
      <c r="DK51" s="34">
        <f t="shared" si="46"/>
        <v>0</v>
      </c>
      <c r="DL51" s="34">
        <f t="shared" si="46"/>
        <v>5583</v>
      </c>
      <c r="DM51" s="34">
        <f t="shared" si="46"/>
        <v>1513</v>
      </c>
      <c r="DN51" s="34">
        <f t="shared" si="46"/>
        <v>4362</v>
      </c>
      <c r="DO51" s="34">
        <f t="shared" si="46"/>
        <v>10830</v>
      </c>
      <c r="DP51" s="34">
        <f t="shared" si="46"/>
        <v>3367</v>
      </c>
      <c r="DQ51" s="34">
        <f t="shared" si="46"/>
        <v>0</v>
      </c>
      <c r="DR51" s="34">
        <f t="shared" si="46"/>
        <v>0</v>
      </c>
      <c r="DS51" s="34">
        <f t="shared" si="46"/>
        <v>0</v>
      </c>
      <c r="DT51" s="34">
        <f t="shared" si="46"/>
        <v>0</v>
      </c>
      <c r="DU51" s="34">
        <f t="shared" si="46"/>
        <v>2204</v>
      </c>
      <c r="DV51" s="34">
        <f t="shared" si="46"/>
        <v>2912</v>
      </c>
      <c r="DW51" s="34">
        <f t="shared" si="46"/>
        <v>0</v>
      </c>
      <c r="DX51" s="34">
        <f t="shared" si="46"/>
        <v>2674</v>
      </c>
      <c r="DY51" s="34">
        <f t="shared" si="46"/>
        <v>3259</v>
      </c>
      <c r="DZ51" s="34">
        <f t="shared" si="46"/>
        <v>0</v>
      </c>
      <c r="EA51" s="34">
        <f t="shared" si="46"/>
        <v>2753</v>
      </c>
      <c r="EB51" s="34">
        <f t="shared" si="46"/>
        <v>2505</v>
      </c>
      <c r="EC51" s="34">
        <f t="shared" si="46"/>
        <v>3838</v>
      </c>
      <c r="ED51" s="34">
        <f t="shared" si="46"/>
        <v>3125</v>
      </c>
      <c r="EE51" s="34">
        <f t="shared" si="46"/>
        <v>3420</v>
      </c>
      <c r="EF51" s="34">
        <f t="shared" si="46"/>
        <v>4130</v>
      </c>
      <c r="EG51" s="34">
        <f t="shared" si="46"/>
        <v>3829</v>
      </c>
      <c r="EH51" s="34">
        <f t="shared" si="46"/>
        <v>3841</v>
      </c>
      <c r="EI51" s="34">
        <f t="shared" si="5"/>
        <v>2438</v>
      </c>
      <c r="EJ51" s="34">
        <f t="shared" si="5"/>
        <v>0</v>
      </c>
      <c r="EK51" s="34">
        <f t="shared" si="5"/>
        <v>0</v>
      </c>
      <c r="EL51" s="34">
        <f t="shared" si="5"/>
        <v>3850</v>
      </c>
      <c r="EM51" s="34">
        <f t="shared" si="5"/>
        <v>3523</v>
      </c>
      <c r="EN51" s="34">
        <f t="shared" si="5"/>
        <v>3467</v>
      </c>
      <c r="EO51" s="34">
        <f t="shared" si="5"/>
        <v>2015</v>
      </c>
      <c r="EP51" s="34">
        <f t="shared" si="5"/>
        <v>2122</v>
      </c>
      <c r="EQ51" s="34">
        <f t="shared" si="5"/>
        <v>3070</v>
      </c>
      <c r="ER51" s="34">
        <f t="shared" si="6"/>
        <v>2887</v>
      </c>
      <c r="ES51" s="34">
        <f t="shared" si="6"/>
        <v>2902</v>
      </c>
      <c r="ET51" s="34">
        <f t="shared" si="6"/>
        <v>3116</v>
      </c>
      <c r="EU51" s="34">
        <f t="shared" si="6"/>
        <v>2083</v>
      </c>
      <c r="EV51" s="34">
        <f t="shared" si="6"/>
        <v>2327</v>
      </c>
      <c r="EW51" s="34">
        <f t="shared" si="6"/>
        <v>1503</v>
      </c>
      <c r="EX51" s="34">
        <f t="shared" si="6"/>
        <v>3021</v>
      </c>
      <c r="EY51" s="34">
        <f t="shared" si="6"/>
        <v>2865</v>
      </c>
      <c r="EZ51" s="34">
        <f t="shared" si="6"/>
        <v>2800</v>
      </c>
      <c r="FA51" s="34">
        <f t="shared" si="6"/>
        <v>2732</v>
      </c>
      <c r="FB51" s="34">
        <f t="shared" si="6"/>
        <v>3025</v>
      </c>
      <c r="FC51" s="34">
        <f t="shared" si="6"/>
        <v>1899</v>
      </c>
      <c r="FD51" s="34">
        <f t="shared" si="6"/>
        <v>1932</v>
      </c>
      <c r="FE51" s="34">
        <f t="shared" si="6"/>
        <v>2878</v>
      </c>
      <c r="FF51" s="34">
        <f t="shared" si="6"/>
        <v>2485</v>
      </c>
      <c r="FG51" s="34">
        <f t="shared" si="6"/>
        <v>3757</v>
      </c>
      <c r="FH51" s="34">
        <f t="shared" si="6"/>
        <v>3466</v>
      </c>
      <c r="FI51" s="34">
        <f t="shared" si="6"/>
        <v>2120</v>
      </c>
      <c r="FJ51" s="34">
        <f t="shared" si="6"/>
        <v>2739</v>
      </c>
      <c r="FK51" s="34">
        <f t="shared" si="6"/>
        <v>1680</v>
      </c>
      <c r="FL51" s="34">
        <f t="shared" si="6"/>
        <v>2078</v>
      </c>
      <c r="FM51" s="34">
        <f t="shared" si="6"/>
        <v>3194</v>
      </c>
      <c r="FN51" s="34">
        <v>1714</v>
      </c>
      <c r="FO51" s="34">
        <f t="shared" si="6"/>
        <v>2152</v>
      </c>
      <c r="FP51" s="34">
        <v>1332</v>
      </c>
      <c r="FQ51" s="34">
        <v>0</v>
      </c>
      <c r="FR51" s="34">
        <v>1026</v>
      </c>
      <c r="FS51" s="34">
        <v>2328</v>
      </c>
      <c r="FT51" s="34">
        <f t="shared" si="9"/>
        <v>1558</v>
      </c>
      <c r="FU51" s="34">
        <f t="shared" si="9"/>
        <v>3829</v>
      </c>
      <c r="FV51" s="34">
        <f t="shared" si="9"/>
        <v>3362</v>
      </c>
      <c r="FW51" s="34">
        <f t="shared" si="9"/>
        <v>2159</v>
      </c>
      <c r="FX51" s="34">
        <f t="shared" si="9"/>
        <v>2210</v>
      </c>
      <c r="FY51" s="34">
        <f t="shared" si="9"/>
        <v>1754</v>
      </c>
      <c r="FZ51" s="34">
        <f t="shared" si="9"/>
        <v>2376</v>
      </c>
      <c r="GA51" s="34">
        <f t="shared" si="9"/>
        <v>2076</v>
      </c>
      <c r="GB51" s="34">
        <f t="shared" si="9"/>
        <v>2839</v>
      </c>
      <c r="GC51" s="34">
        <f t="shared" si="9"/>
        <v>2081</v>
      </c>
      <c r="GD51" s="34">
        <f t="shared" si="9"/>
        <v>2279</v>
      </c>
      <c r="GE51" s="34">
        <f t="shared" si="9"/>
        <v>1859</v>
      </c>
      <c r="GF51" s="34">
        <f t="shared" si="9"/>
        <v>1727</v>
      </c>
      <c r="GG51" s="34">
        <f t="shared" si="9"/>
        <v>2652</v>
      </c>
      <c r="GH51" s="34">
        <f t="shared" si="10"/>
        <v>2600</v>
      </c>
      <c r="GI51" s="34">
        <f t="shared" si="10"/>
        <v>2827</v>
      </c>
      <c r="GJ51" s="34">
        <f t="shared" si="10"/>
        <v>2309</v>
      </c>
      <c r="GK51" s="34">
        <f t="shared" si="10"/>
        <v>3658</v>
      </c>
      <c r="GL51" s="34">
        <f t="shared" si="10"/>
        <v>2742</v>
      </c>
      <c r="GM51" s="34">
        <f t="shared" si="10"/>
        <v>2215</v>
      </c>
      <c r="GN51" s="34">
        <f t="shared" si="10"/>
        <v>2181</v>
      </c>
      <c r="GO51" s="34">
        <f t="shared" si="10"/>
        <v>2137</v>
      </c>
      <c r="GP51" s="34">
        <f t="shared" si="10"/>
        <v>1967</v>
      </c>
      <c r="GQ51" s="34">
        <f t="shared" si="10"/>
        <v>2852</v>
      </c>
      <c r="GR51" s="34">
        <f t="shared" si="10"/>
        <v>1338</v>
      </c>
      <c r="GS51" s="34">
        <f t="shared" si="10"/>
        <v>983</v>
      </c>
      <c r="GT51" s="34">
        <f t="shared" si="10"/>
        <v>789</v>
      </c>
      <c r="GU51" s="34">
        <f t="shared" si="10"/>
        <v>2022</v>
      </c>
      <c r="GV51" s="34">
        <f t="shared" si="11"/>
        <v>3846</v>
      </c>
      <c r="GW51" s="34">
        <f t="shared" si="11"/>
        <v>2285</v>
      </c>
      <c r="GX51" s="34">
        <f t="shared" si="11"/>
        <v>2636</v>
      </c>
      <c r="GY51" s="34">
        <f t="shared" si="11"/>
        <v>3072</v>
      </c>
      <c r="GZ51" s="34">
        <f t="shared" si="11"/>
        <v>3029</v>
      </c>
      <c r="HA51" s="34">
        <f t="shared" si="11"/>
        <v>1388</v>
      </c>
      <c r="HB51" s="34">
        <f t="shared" si="12"/>
        <v>2776</v>
      </c>
      <c r="HC51" s="34">
        <f t="shared" si="13"/>
        <v>2674</v>
      </c>
      <c r="HD51" s="34">
        <f t="shared" ref="HD51" si="49">HD30-HC30</f>
        <v>4764</v>
      </c>
      <c r="HE51" s="34">
        <f t="shared" si="13"/>
        <v>3056</v>
      </c>
      <c r="HF51" s="34">
        <f t="shared" si="13"/>
        <v>2608</v>
      </c>
      <c r="HG51" s="34">
        <f t="shared" si="13"/>
        <v>2933</v>
      </c>
      <c r="HH51" s="34">
        <f t="shared" si="13"/>
        <v>2101</v>
      </c>
      <c r="HI51" s="34">
        <f t="shared" si="13"/>
        <v>2019</v>
      </c>
      <c r="HJ51" s="34">
        <f t="shared" si="13"/>
        <v>2070</v>
      </c>
      <c r="HK51" s="34">
        <f t="shared" si="13"/>
        <v>2820</v>
      </c>
      <c r="HL51" s="34">
        <f t="shared" si="13"/>
        <v>31613</v>
      </c>
      <c r="HM51" s="34">
        <f t="shared" si="13"/>
        <v>3004</v>
      </c>
      <c r="HN51" s="34">
        <f t="shared" si="13"/>
        <v>2374</v>
      </c>
      <c r="HO51" s="34">
        <f t="shared" si="13"/>
        <v>2317</v>
      </c>
      <c r="HP51" s="34">
        <f t="shared" si="13"/>
        <v>1828</v>
      </c>
      <c r="HQ51" s="34">
        <f t="shared" si="13"/>
        <v>3763</v>
      </c>
      <c r="HR51" s="34">
        <f t="shared" si="14"/>
        <v>3763</v>
      </c>
      <c r="HS51" s="34">
        <f t="shared" si="14"/>
        <v>5184</v>
      </c>
      <c r="HT51" s="34">
        <f t="shared" si="14"/>
        <v>4225</v>
      </c>
      <c r="HU51" s="34">
        <f t="shared" si="14"/>
        <v>3563</v>
      </c>
      <c r="HV51" s="34">
        <f t="shared" si="14"/>
        <v>2482</v>
      </c>
      <c r="HW51" s="34">
        <f t="shared" si="14"/>
        <v>2325</v>
      </c>
      <c r="HX51" s="34">
        <f t="shared" si="14"/>
        <v>4029</v>
      </c>
      <c r="HY51" s="34">
        <f t="shared" si="14"/>
        <v>3742</v>
      </c>
      <c r="HZ51" s="34">
        <f t="shared" si="14"/>
        <v>3478</v>
      </c>
      <c r="IA51" s="34">
        <f t="shared" si="14"/>
        <v>3200</v>
      </c>
      <c r="IB51" s="34">
        <f t="shared" si="14"/>
        <v>2974</v>
      </c>
      <c r="IC51" s="34">
        <f t="shared" si="14"/>
        <v>2800</v>
      </c>
      <c r="ID51" s="34">
        <f t="shared" si="14"/>
        <v>2489</v>
      </c>
      <c r="IE51" s="34">
        <f t="shared" si="14"/>
        <v>3469</v>
      </c>
      <c r="IF51" s="34">
        <f t="shared" si="15"/>
        <v>3691</v>
      </c>
      <c r="IG51" s="34">
        <f t="shared" si="15"/>
        <v>4766</v>
      </c>
      <c r="IH51" s="34">
        <f t="shared" si="15"/>
        <v>4476</v>
      </c>
      <c r="II51" s="34">
        <f t="shared" si="15"/>
        <v>3255</v>
      </c>
      <c r="IJ51" s="34">
        <f t="shared" si="15"/>
        <v>2385</v>
      </c>
      <c r="IK51" s="34">
        <f t="shared" si="15"/>
        <v>2743</v>
      </c>
      <c r="IL51" s="34">
        <f t="shared" si="15"/>
        <v>2886</v>
      </c>
      <c r="IM51" s="34">
        <f t="shared" si="15"/>
        <v>3221</v>
      </c>
      <c r="IN51" s="34">
        <f t="shared" si="15"/>
        <v>4352</v>
      </c>
      <c r="IO51" s="34">
        <f t="shared" si="15"/>
        <v>4350</v>
      </c>
      <c r="IP51" s="34">
        <f t="shared" si="15"/>
        <v>2114</v>
      </c>
      <c r="IQ51" s="34">
        <f t="shared" si="15"/>
        <v>2051</v>
      </c>
      <c r="IR51" s="34">
        <f t="shared" si="15"/>
        <v>1725</v>
      </c>
      <c r="IS51" s="34">
        <f t="shared" si="15"/>
        <v>2367</v>
      </c>
      <c r="IT51" s="34">
        <f t="shared" si="44"/>
        <v>4044</v>
      </c>
      <c r="IU51" s="34">
        <f t="shared" si="16"/>
        <v>2867</v>
      </c>
      <c r="IV51" s="34">
        <f t="shared" si="16"/>
        <v>3201</v>
      </c>
      <c r="IW51" s="34">
        <f t="shared" si="16"/>
        <v>2068</v>
      </c>
      <c r="IX51" s="34">
        <f t="shared" si="16"/>
        <v>2571</v>
      </c>
      <c r="IY51" s="34">
        <f t="shared" si="16"/>
        <v>2371</v>
      </c>
      <c r="IZ51" s="34">
        <f t="shared" si="16"/>
        <v>2052</v>
      </c>
      <c r="JA51" s="34">
        <f t="shared" si="16"/>
        <v>2274</v>
      </c>
      <c r="JB51" s="34">
        <f t="shared" si="16"/>
        <v>3060</v>
      </c>
      <c r="JC51" s="34">
        <f t="shared" si="16"/>
        <v>2357</v>
      </c>
      <c r="JD51" s="34">
        <f t="shared" si="16"/>
        <v>1911</v>
      </c>
      <c r="JE51" s="34">
        <f t="shared" si="16"/>
        <v>1007</v>
      </c>
      <c r="JF51" s="34">
        <f t="shared" si="16"/>
        <v>1713</v>
      </c>
      <c r="JG51" s="34">
        <f t="shared" si="16"/>
        <v>1835</v>
      </c>
      <c r="JH51" s="34">
        <f t="shared" si="16"/>
        <v>2297</v>
      </c>
      <c r="JI51" s="34">
        <f t="shared" si="17"/>
        <v>2652</v>
      </c>
      <c r="JJ51" s="34">
        <f t="shared" si="17"/>
        <v>3699</v>
      </c>
      <c r="JK51" s="34">
        <f t="shared" si="17"/>
        <v>3928</v>
      </c>
      <c r="JL51" s="34">
        <f t="shared" si="17"/>
        <v>1764</v>
      </c>
      <c r="JM51" s="34">
        <f t="shared" si="17"/>
        <v>1141</v>
      </c>
      <c r="JN51" s="34">
        <f t="shared" si="17"/>
        <v>4003</v>
      </c>
      <c r="JO51" s="34">
        <f t="shared" si="17"/>
        <v>2763</v>
      </c>
      <c r="JP51" s="34">
        <f t="shared" si="17"/>
        <v>3887</v>
      </c>
      <c r="JQ51" s="34">
        <f t="shared" si="17"/>
        <v>2002</v>
      </c>
      <c r="JR51" s="34">
        <f t="shared" si="17"/>
        <v>3679</v>
      </c>
      <c r="JS51" s="34">
        <f t="shared" si="17"/>
        <v>2124</v>
      </c>
      <c r="JT51" s="34">
        <f t="shared" si="17"/>
        <v>1060</v>
      </c>
      <c r="JU51" s="34">
        <f t="shared" si="17"/>
        <v>2966</v>
      </c>
      <c r="JV51" s="34">
        <f t="shared" si="17"/>
        <v>1547</v>
      </c>
      <c r="JW51" s="34">
        <f t="shared" si="18"/>
        <v>3658</v>
      </c>
      <c r="JX51" s="34">
        <f t="shared" si="18"/>
        <v>3955</v>
      </c>
      <c r="JY51" s="34">
        <f t="shared" si="18"/>
        <v>3480</v>
      </c>
      <c r="JZ51" s="34">
        <f t="shared" si="18"/>
        <v>1972</v>
      </c>
      <c r="KA51" s="34">
        <f t="shared" si="18"/>
        <v>0</v>
      </c>
      <c r="KB51" s="34">
        <f t="shared" si="18"/>
        <v>0</v>
      </c>
      <c r="KC51" s="34">
        <f t="shared" si="18"/>
        <v>1877</v>
      </c>
      <c r="KD51" s="34">
        <f t="shared" si="18"/>
        <v>2388</v>
      </c>
      <c r="KE51" s="34">
        <f t="shared" si="18"/>
        <v>4440</v>
      </c>
      <c r="KF51" s="34">
        <f t="shared" si="18"/>
        <v>4313</v>
      </c>
      <c r="KG51" s="34">
        <f t="shared" si="18"/>
        <v>2746</v>
      </c>
      <c r="KH51" s="34">
        <f t="shared" si="18"/>
        <v>2791</v>
      </c>
      <c r="KI51" s="34">
        <f t="shared" si="18"/>
        <v>2757</v>
      </c>
      <c r="KJ51" s="34">
        <f t="shared" si="18"/>
        <v>2221</v>
      </c>
      <c r="KK51" s="34">
        <f t="shared" si="19"/>
        <v>2623</v>
      </c>
      <c r="KL51" s="34">
        <f t="shared" si="19"/>
        <v>3008</v>
      </c>
      <c r="KM51" s="34">
        <f t="shared" si="19"/>
        <v>3025</v>
      </c>
      <c r="KN51" s="34">
        <f t="shared" si="19"/>
        <v>2132</v>
      </c>
      <c r="KO51" s="34">
        <f t="shared" si="19"/>
        <v>1252</v>
      </c>
      <c r="KP51" s="34">
        <f t="shared" si="19"/>
        <v>2090</v>
      </c>
      <c r="KQ51" s="34">
        <f t="shared" si="19"/>
        <v>4014</v>
      </c>
      <c r="KR51" s="34">
        <f t="shared" si="19"/>
        <v>2545</v>
      </c>
      <c r="KS51" s="34">
        <f t="shared" si="19"/>
        <v>0</v>
      </c>
      <c r="KT51" s="34">
        <f t="shared" si="19"/>
        <v>0</v>
      </c>
      <c r="KU51" s="34">
        <f t="shared" si="19"/>
        <v>2545</v>
      </c>
      <c r="KV51" s="34">
        <f t="shared" si="19"/>
        <v>6605</v>
      </c>
      <c r="KW51" s="34">
        <f t="shared" si="19"/>
        <v>3223</v>
      </c>
      <c r="KX51" s="34">
        <f t="shared" si="19"/>
        <v>4619</v>
      </c>
      <c r="KY51" s="34">
        <f t="shared" si="20"/>
        <v>3469</v>
      </c>
      <c r="KZ51" s="34">
        <f t="shared" si="20"/>
        <v>2726</v>
      </c>
      <c r="LA51" s="34">
        <f t="shared" si="34"/>
        <v>0</v>
      </c>
      <c r="LB51" s="34">
        <f t="shared" si="35"/>
        <v>0</v>
      </c>
      <c r="LC51" s="34">
        <f t="shared" si="36"/>
        <v>7650</v>
      </c>
      <c r="LD51" s="34">
        <f t="shared" si="37"/>
        <v>2941</v>
      </c>
      <c r="LE51" s="34">
        <f t="shared" si="38"/>
        <v>2797</v>
      </c>
      <c r="LF51" s="34">
        <f t="shared" si="39"/>
        <v>3342</v>
      </c>
      <c r="LG51" s="34">
        <f t="shared" si="21"/>
        <v>5493</v>
      </c>
      <c r="LH51" s="34">
        <f t="shared" si="21"/>
        <v>0</v>
      </c>
      <c r="LI51" s="34">
        <f t="shared" si="21"/>
        <v>0</v>
      </c>
      <c r="LJ51" s="34">
        <f t="shared" si="21"/>
        <v>7488</v>
      </c>
      <c r="LK51" s="34">
        <f t="shared" si="21"/>
        <v>2482</v>
      </c>
      <c r="LL51" s="34">
        <f t="shared" si="21"/>
        <v>4004</v>
      </c>
      <c r="LM51" s="34">
        <f t="shared" si="21"/>
        <v>1799</v>
      </c>
      <c r="LN51" s="34">
        <f t="shared" si="21"/>
        <v>4241</v>
      </c>
      <c r="LO51" s="34">
        <f t="shared" si="21"/>
        <v>0</v>
      </c>
      <c r="LP51" s="34">
        <f t="shared" si="21"/>
        <v>0</v>
      </c>
      <c r="LQ51" s="34">
        <f t="shared" si="21"/>
        <v>5982</v>
      </c>
      <c r="LR51" s="34">
        <f t="shared" si="21"/>
        <v>3594</v>
      </c>
      <c r="LS51" s="34">
        <f t="shared" si="21"/>
        <v>3328</v>
      </c>
      <c r="LT51" s="34">
        <f t="shared" si="21"/>
        <v>4723</v>
      </c>
      <c r="LU51" s="34">
        <f t="shared" si="21"/>
        <v>3450</v>
      </c>
      <c r="LV51" s="34">
        <f t="shared" si="21"/>
        <v>0</v>
      </c>
      <c r="LW51" s="34">
        <f t="shared" si="22"/>
        <v>0</v>
      </c>
      <c r="LX51" s="34">
        <f t="shared" si="22"/>
        <v>7580</v>
      </c>
      <c r="LY51" s="34">
        <f t="shared" si="22"/>
        <v>3996</v>
      </c>
      <c r="LZ51" s="34">
        <f t="shared" si="22"/>
        <v>5304</v>
      </c>
      <c r="MA51" s="34">
        <f t="shared" si="22"/>
        <v>3595</v>
      </c>
      <c r="MB51" s="34">
        <f t="shared" si="22"/>
        <v>4040</v>
      </c>
      <c r="MC51" s="34">
        <f t="shared" si="22"/>
        <v>0</v>
      </c>
      <c r="MD51" s="34">
        <f t="shared" si="22"/>
        <v>0</v>
      </c>
      <c r="ME51" s="34">
        <f t="shared" si="22"/>
        <v>7021</v>
      </c>
      <c r="MF51" s="34">
        <f t="shared" si="22"/>
        <v>3994</v>
      </c>
      <c r="MG51" s="34">
        <f t="shared" si="22"/>
        <v>4106</v>
      </c>
      <c r="MH51" s="34">
        <f t="shared" si="22"/>
        <v>3063</v>
      </c>
      <c r="MI51" s="34">
        <f t="shared" si="22"/>
        <v>4184</v>
      </c>
      <c r="MJ51" s="34">
        <f t="shared" si="22"/>
        <v>0</v>
      </c>
      <c r="MK51" s="34">
        <f t="shared" si="23"/>
        <v>0</v>
      </c>
      <c r="ML51" s="34">
        <f t="shared" si="23"/>
        <v>8324</v>
      </c>
      <c r="MM51" s="34">
        <f t="shared" si="23"/>
        <v>3162</v>
      </c>
      <c r="MN51" s="34">
        <f t="shared" si="23"/>
        <v>5397</v>
      </c>
      <c r="MO51" s="34">
        <f t="shared" si="23"/>
        <v>2828</v>
      </c>
      <c r="MP51" s="34">
        <f t="shared" si="23"/>
        <v>3405</v>
      </c>
      <c r="MQ51" s="34">
        <f t="shared" si="23"/>
        <v>0</v>
      </c>
      <c r="MR51" s="34">
        <f t="shared" si="23"/>
        <v>0</v>
      </c>
      <c r="MS51" s="34">
        <f t="shared" si="23"/>
        <v>5852</v>
      </c>
      <c r="MT51" s="34">
        <f t="shared" si="23"/>
        <v>3009</v>
      </c>
      <c r="MU51" s="34">
        <f t="shared" si="23"/>
        <v>3579</v>
      </c>
      <c r="MV51" s="34">
        <f t="shared" si="23"/>
        <v>2937</v>
      </c>
      <c r="MW51" s="34">
        <f t="shared" si="23"/>
        <v>2054</v>
      </c>
      <c r="MX51" s="34">
        <f t="shared" si="23"/>
        <v>0</v>
      </c>
      <c r="MY51" s="34">
        <f t="shared" si="24"/>
        <v>0</v>
      </c>
      <c r="MZ51" s="34">
        <f t="shared" si="25"/>
        <v>0</v>
      </c>
      <c r="NA51" s="34">
        <f t="shared" si="25"/>
        <v>3839</v>
      </c>
      <c r="NB51" s="34">
        <f t="shared" si="25"/>
        <v>0</v>
      </c>
      <c r="NC51" s="34">
        <f t="shared" si="25"/>
        <v>0</v>
      </c>
      <c r="ND51" s="34">
        <f t="shared" si="25"/>
        <v>0</v>
      </c>
      <c r="NE51" s="34">
        <f t="shared" si="25"/>
        <v>0</v>
      </c>
      <c r="NF51" s="34">
        <f t="shared" si="25"/>
        <v>0</v>
      </c>
      <c r="NG51" s="34">
        <f t="shared" si="25"/>
        <v>6113</v>
      </c>
      <c r="NH51" s="34">
        <f t="shared" si="25"/>
        <v>2835</v>
      </c>
      <c r="NI51" s="34">
        <f t="shared" si="25"/>
        <v>2665</v>
      </c>
      <c r="NJ51" s="34">
        <f t="shared" si="25"/>
        <v>2980</v>
      </c>
      <c r="NK51" s="34">
        <f t="shared" si="25"/>
        <v>2693</v>
      </c>
      <c r="NL51" s="34">
        <f t="shared" si="25"/>
        <v>0</v>
      </c>
      <c r="NM51" s="34">
        <f t="shared" si="25"/>
        <v>0</v>
      </c>
      <c r="NN51" s="34">
        <f t="shared" si="26"/>
        <v>7134</v>
      </c>
      <c r="NO51" s="34">
        <f t="shared" si="27"/>
        <v>2736</v>
      </c>
      <c r="NP51" s="34">
        <v>2686</v>
      </c>
      <c r="NQ51" s="34">
        <v>3025</v>
      </c>
      <c r="NR51" s="34">
        <v>2151</v>
      </c>
      <c r="NS51" s="34">
        <v>0</v>
      </c>
      <c r="NT51" s="34">
        <v>0</v>
      </c>
      <c r="NU51" s="34">
        <v>4638</v>
      </c>
      <c r="NV51" s="34">
        <v>1520</v>
      </c>
      <c r="NW51" s="34">
        <v>1353</v>
      </c>
      <c r="NX51">
        <v>0</v>
      </c>
      <c r="NY51" s="34">
        <v>0</v>
      </c>
      <c r="NZ51" s="34">
        <v>0</v>
      </c>
      <c r="OA51" s="34">
        <v>0</v>
      </c>
      <c r="OB51" s="34">
        <v>5234</v>
      </c>
      <c r="OC51" s="34">
        <v>3201</v>
      </c>
      <c r="OD51" s="34">
        <v>2398</v>
      </c>
      <c r="OE51" s="34">
        <v>2379</v>
      </c>
      <c r="OF51" s="34">
        <v>1482</v>
      </c>
      <c r="OG51" s="34">
        <v>0</v>
      </c>
      <c r="OH51" s="34">
        <v>0</v>
      </c>
      <c r="OI51" s="34">
        <v>3984</v>
      </c>
      <c r="OJ51" s="34">
        <v>1620</v>
      </c>
      <c r="OK51" s="34">
        <v>1798</v>
      </c>
      <c r="OL51" s="34">
        <v>1393</v>
      </c>
      <c r="OM51" s="34">
        <v>1376</v>
      </c>
      <c r="ON51" s="34">
        <v>0</v>
      </c>
      <c r="OO51" s="34">
        <v>0</v>
      </c>
      <c r="OP51" s="34">
        <v>3232</v>
      </c>
      <c r="OQ51" s="34">
        <v>1412</v>
      </c>
      <c r="OR51" s="34">
        <v>1988</v>
      </c>
      <c r="OS51" s="34">
        <f t="shared" si="40"/>
        <v>0</v>
      </c>
      <c r="OT51" s="34">
        <f t="shared" si="40"/>
        <v>2510</v>
      </c>
      <c r="OU51" s="34">
        <v>0</v>
      </c>
      <c r="OV51" s="34">
        <v>0</v>
      </c>
      <c r="OW51" s="34">
        <v>3502</v>
      </c>
      <c r="OX51" s="34">
        <v>1146</v>
      </c>
      <c r="OY51" s="34">
        <v>714</v>
      </c>
      <c r="OZ51" s="34">
        <v>1882</v>
      </c>
      <c r="PA51" s="34">
        <v>1848</v>
      </c>
      <c r="PB51" s="34">
        <v>0</v>
      </c>
      <c r="PC51" s="34">
        <v>0</v>
      </c>
      <c r="PD51" s="34">
        <v>3243</v>
      </c>
      <c r="PE51" s="34">
        <v>1134</v>
      </c>
      <c r="PF51" s="34">
        <v>1289</v>
      </c>
      <c r="PG51" s="34">
        <v>1240</v>
      </c>
      <c r="PH51" s="34">
        <v>1374</v>
      </c>
      <c r="PI51" s="34">
        <v>0</v>
      </c>
      <c r="PJ51" s="34">
        <v>0</v>
      </c>
      <c r="PK51" s="34">
        <v>2509</v>
      </c>
      <c r="PL51" s="34">
        <v>1292</v>
      </c>
      <c r="PM51" s="34">
        <v>777</v>
      </c>
      <c r="PN51" s="34">
        <v>1208</v>
      </c>
      <c r="PO51" s="34">
        <v>1242</v>
      </c>
      <c r="PP51" s="34">
        <v>0</v>
      </c>
      <c r="PQ51" s="34">
        <v>0</v>
      </c>
      <c r="PR51" s="34">
        <v>2057</v>
      </c>
      <c r="PS51" s="34">
        <v>1033</v>
      </c>
      <c r="PT51" s="34">
        <v>2091</v>
      </c>
      <c r="PU51" s="34">
        <v>2548</v>
      </c>
      <c r="PV51" s="34">
        <v>0</v>
      </c>
      <c r="PW51" s="34">
        <v>0</v>
      </c>
      <c r="PX51" s="34">
        <v>0</v>
      </c>
      <c r="PY51" s="34">
        <v>0</v>
      </c>
      <c r="PZ51" s="34">
        <v>0</v>
      </c>
      <c r="QA51" s="34">
        <v>0</v>
      </c>
      <c r="QB51" s="34">
        <v>0</v>
      </c>
      <c r="QC51" s="34">
        <v>1101</v>
      </c>
      <c r="QD51" s="34">
        <v>0</v>
      </c>
      <c r="QE51" s="34">
        <v>0</v>
      </c>
      <c r="QF51" s="34">
        <v>2091</v>
      </c>
      <c r="QG51" s="34">
        <v>0</v>
      </c>
      <c r="QH51" s="34">
        <v>694</v>
      </c>
      <c r="QI51" s="34">
        <v>1091</v>
      </c>
      <c r="QJ51" s="34">
        <v>595</v>
      </c>
      <c r="QK51" s="34">
        <v>0</v>
      </c>
      <c r="QL51" s="34">
        <v>0</v>
      </c>
      <c r="QM51" s="34">
        <v>1644</v>
      </c>
      <c r="QN51" s="34">
        <v>861</v>
      </c>
      <c r="QO51" s="34">
        <v>1003</v>
      </c>
      <c r="QP51" s="34">
        <v>959</v>
      </c>
      <c r="QQ51" s="34">
        <v>1070</v>
      </c>
      <c r="QR51" s="34">
        <v>0</v>
      </c>
      <c r="QS51" s="34">
        <v>0</v>
      </c>
      <c r="QT51" s="34">
        <v>1727</v>
      </c>
      <c r="QU51" s="34">
        <v>1215</v>
      </c>
      <c r="QV51" s="34">
        <v>0</v>
      </c>
      <c r="QW51" s="34">
        <v>270</v>
      </c>
      <c r="QX51" s="34">
        <v>0</v>
      </c>
      <c r="QY51" s="34">
        <v>0</v>
      </c>
      <c r="QZ51" s="34">
        <v>0</v>
      </c>
      <c r="RA51" s="34">
        <v>2905</v>
      </c>
      <c r="RB51" s="34">
        <v>1370</v>
      </c>
      <c r="RC51" s="34">
        <v>0</v>
      </c>
      <c r="RD51" s="34">
        <v>0</v>
      </c>
      <c r="RE51" s="34">
        <v>0</v>
      </c>
      <c r="RF51" s="34">
        <v>0</v>
      </c>
      <c r="RG51" s="34">
        <v>0</v>
      </c>
      <c r="RH51" s="34">
        <v>0</v>
      </c>
      <c r="RI51" s="34">
        <v>1496</v>
      </c>
      <c r="RJ51" s="34">
        <v>2083</v>
      </c>
      <c r="RK51" s="34">
        <v>3464</v>
      </c>
      <c r="RL51" s="34">
        <v>2612</v>
      </c>
      <c r="RM51" s="34">
        <v>0</v>
      </c>
      <c r="RN51" s="34">
        <v>0</v>
      </c>
      <c r="RO51" s="34">
        <v>3961</v>
      </c>
      <c r="RP51" s="34">
        <v>2526</v>
      </c>
      <c r="RQ51" s="34">
        <v>1954</v>
      </c>
      <c r="RR51" s="34">
        <v>3403</v>
      </c>
      <c r="RS51" s="34">
        <v>2799</v>
      </c>
      <c r="RT51" s="34">
        <v>0</v>
      </c>
      <c r="RU51" s="34">
        <v>0</v>
      </c>
      <c r="RV51" s="34">
        <v>4646</v>
      </c>
      <c r="RW51" s="34">
        <v>2303</v>
      </c>
      <c r="RX51" s="34">
        <v>3407</v>
      </c>
      <c r="RY51" s="34">
        <v>2566</v>
      </c>
      <c r="RZ51" s="34">
        <v>3292</v>
      </c>
      <c r="SA51" s="34">
        <v>0</v>
      </c>
      <c r="SB51" s="34">
        <v>0</v>
      </c>
      <c r="SC51" s="34">
        <v>4811</v>
      </c>
      <c r="SD51" s="34">
        <v>2828</v>
      </c>
      <c r="SE51" s="34">
        <v>1767</v>
      </c>
      <c r="SF51" s="34">
        <v>0</v>
      </c>
      <c r="SG51" s="34">
        <v>0</v>
      </c>
      <c r="SH51" s="34">
        <v>0</v>
      </c>
      <c r="SI51" s="34">
        <v>0</v>
      </c>
      <c r="SJ51" s="34">
        <v>0</v>
      </c>
      <c r="SK51" s="34">
        <v>0</v>
      </c>
      <c r="SL51" s="34">
        <v>0</v>
      </c>
      <c r="SM51" s="34">
        <v>0</v>
      </c>
      <c r="SN51" s="34">
        <v>0</v>
      </c>
      <c r="SO51" s="34">
        <v>0</v>
      </c>
      <c r="SP51" s="34">
        <v>0</v>
      </c>
      <c r="SQ51" s="34">
        <v>70331</v>
      </c>
      <c r="SR51" s="34">
        <v>3102</v>
      </c>
      <c r="SS51" s="34">
        <v>0</v>
      </c>
      <c r="ST51" s="34">
        <v>0</v>
      </c>
      <c r="SU51" s="34">
        <v>0</v>
      </c>
      <c r="SV51" s="34">
        <v>0</v>
      </c>
      <c r="SW51" s="34">
        <v>0</v>
      </c>
      <c r="SX51" s="34">
        <v>0</v>
      </c>
      <c r="SY51" s="34">
        <v>0</v>
      </c>
      <c r="SZ51" s="34">
        <v>0</v>
      </c>
      <c r="TA51" s="34">
        <v>0</v>
      </c>
      <c r="TB51" s="34">
        <v>0</v>
      </c>
      <c r="TC51" s="34">
        <v>0</v>
      </c>
      <c r="TD51" s="34">
        <v>0</v>
      </c>
      <c r="TE51" s="34">
        <v>0</v>
      </c>
      <c r="TF51" s="34">
        <v>0</v>
      </c>
      <c r="TG51" s="34">
        <v>0</v>
      </c>
      <c r="TH51" s="34">
        <v>0</v>
      </c>
      <c r="TI51" s="34">
        <v>0</v>
      </c>
      <c r="TJ51" s="34">
        <v>0</v>
      </c>
      <c r="TK51" s="34">
        <v>0</v>
      </c>
      <c r="TL51" s="34">
        <v>0</v>
      </c>
      <c r="TM51" s="34">
        <v>0</v>
      </c>
      <c r="TN51" s="34">
        <v>0</v>
      </c>
      <c r="TO51" s="34">
        <v>0</v>
      </c>
      <c r="TP51" s="34">
        <v>0</v>
      </c>
      <c r="TQ51" s="34">
        <v>0</v>
      </c>
      <c r="TR51" s="34">
        <v>0</v>
      </c>
      <c r="TS51" s="34">
        <v>0</v>
      </c>
      <c r="TT51" s="34">
        <v>0</v>
      </c>
      <c r="TU51" s="34">
        <v>0</v>
      </c>
      <c r="TV51" s="34">
        <v>0</v>
      </c>
      <c r="TW51" s="34">
        <v>0</v>
      </c>
      <c r="TX51" s="34">
        <v>0</v>
      </c>
      <c r="TY51" s="34">
        <v>0</v>
      </c>
      <c r="TZ51" s="34">
        <v>0</v>
      </c>
      <c r="UA51" s="34">
        <v>0</v>
      </c>
      <c r="UB51" s="34">
        <v>0</v>
      </c>
      <c r="UC51" s="34">
        <v>0</v>
      </c>
      <c r="UD51" s="34">
        <v>0</v>
      </c>
      <c r="UE51" s="34">
        <v>0</v>
      </c>
      <c r="UF51" s="34">
        <v>0</v>
      </c>
      <c r="UG51" s="34">
        <v>0</v>
      </c>
      <c r="UH51" s="34">
        <v>0</v>
      </c>
      <c r="UI51" s="34">
        <v>0</v>
      </c>
      <c r="UJ51" s="34">
        <v>0</v>
      </c>
      <c r="UK51" s="34">
        <v>0</v>
      </c>
      <c r="UL51" s="34">
        <v>0</v>
      </c>
      <c r="UM51" s="34">
        <v>0</v>
      </c>
      <c r="UN51" s="34">
        <v>0</v>
      </c>
      <c r="UO51" s="34">
        <v>0</v>
      </c>
      <c r="UP51" s="34">
        <v>0</v>
      </c>
      <c r="UQ51" s="34">
        <v>0</v>
      </c>
      <c r="UR51" s="34">
        <v>0</v>
      </c>
      <c r="US51" s="34">
        <v>0</v>
      </c>
      <c r="UT51" s="34">
        <v>0</v>
      </c>
      <c r="UU51" s="34">
        <v>0</v>
      </c>
      <c r="UV51" s="34">
        <v>0</v>
      </c>
      <c r="UW51" s="34">
        <v>0</v>
      </c>
      <c r="UX51" s="34">
        <v>0</v>
      </c>
      <c r="UY51" s="34">
        <v>0</v>
      </c>
      <c r="UZ51" s="34">
        <v>0</v>
      </c>
      <c r="VA51" s="34">
        <v>0</v>
      </c>
      <c r="VB51" s="34">
        <v>0</v>
      </c>
      <c r="VC51" s="34">
        <v>0</v>
      </c>
      <c r="VD51" s="34">
        <v>0</v>
      </c>
      <c r="VE51" s="34">
        <v>0</v>
      </c>
      <c r="VF51" s="34">
        <v>0</v>
      </c>
      <c r="VG51" s="34">
        <v>0</v>
      </c>
      <c r="VH51" s="34">
        <v>0</v>
      </c>
      <c r="VI51" s="34">
        <v>0</v>
      </c>
      <c r="VJ51" s="34">
        <v>0</v>
      </c>
      <c r="VK51" s="34">
        <v>0</v>
      </c>
      <c r="VL51" s="34">
        <v>0</v>
      </c>
      <c r="VM51" s="34">
        <v>0</v>
      </c>
      <c r="VN51" s="34">
        <v>0</v>
      </c>
      <c r="VO51" s="34">
        <v>0</v>
      </c>
      <c r="VP51" s="34">
        <v>0</v>
      </c>
      <c r="VQ51" s="34">
        <v>0</v>
      </c>
      <c r="VR51" s="34">
        <v>0</v>
      </c>
      <c r="VS51" s="34">
        <v>0</v>
      </c>
      <c r="VT51" s="34">
        <v>0</v>
      </c>
      <c r="VU51" s="34">
        <v>0</v>
      </c>
      <c r="VV51" s="34">
        <v>0</v>
      </c>
      <c r="VW51" s="34">
        <v>94074</v>
      </c>
      <c r="VX51" s="34">
        <v>1156</v>
      </c>
      <c r="VY51" s="34">
        <v>1310</v>
      </c>
      <c r="VZ51" s="34">
        <v>0</v>
      </c>
      <c r="WA51" s="34">
        <v>0</v>
      </c>
      <c r="WB51" s="34">
        <v>0</v>
      </c>
      <c r="WC51" s="34">
        <v>3453</v>
      </c>
      <c r="WD51" s="34">
        <v>951</v>
      </c>
      <c r="WE51" s="34">
        <v>0</v>
      </c>
      <c r="WF51" s="34">
        <v>783</v>
      </c>
      <c r="WG51" s="34">
        <v>0</v>
      </c>
      <c r="WH51" s="34">
        <v>0</v>
      </c>
      <c r="WI51" s="34">
        <v>0</v>
      </c>
      <c r="WJ51" s="34">
        <v>1367</v>
      </c>
      <c r="WK51" s="34">
        <v>0</v>
      </c>
      <c r="WL51" s="34">
        <v>3393</v>
      </c>
      <c r="WM51">
        <v>0</v>
      </c>
      <c r="WN51">
        <v>0</v>
      </c>
      <c r="WO51">
        <v>0</v>
      </c>
      <c r="WP51">
        <v>0</v>
      </c>
      <c r="WQ51">
        <v>5682</v>
      </c>
      <c r="WR51">
        <v>0</v>
      </c>
      <c r="WS51">
        <v>0</v>
      </c>
      <c r="WT51">
        <v>0</v>
      </c>
      <c r="WU51">
        <v>824</v>
      </c>
      <c r="WV51">
        <v>0</v>
      </c>
      <c r="WW51">
        <v>0</v>
      </c>
      <c r="WX51">
        <v>4880</v>
      </c>
      <c r="WY51">
        <v>0</v>
      </c>
      <c r="WZ51">
        <v>0</v>
      </c>
      <c r="XA51">
        <v>1071</v>
      </c>
      <c r="XB51">
        <v>0</v>
      </c>
      <c r="XC51">
        <v>669</v>
      </c>
      <c r="XD51">
        <v>0</v>
      </c>
      <c r="XE51">
        <v>0</v>
      </c>
      <c r="XF51">
        <v>4171</v>
      </c>
      <c r="XG51">
        <v>0</v>
      </c>
      <c r="XH51">
        <v>0</v>
      </c>
      <c r="XI51">
        <v>0</v>
      </c>
      <c r="XJ51">
        <v>0</v>
      </c>
      <c r="XK51">
        <v>0</v>
      </c>
      <c r="XL51">
        <v>0</v>
      </c>
      <c r="XM51">
        <v>5970</v>
      </c>
      <c r="XN51">
        <v>0</v>
      </c>
      <c r="XO51">
        <v>0</v>
      </c>
      <c r="XP51">
        <v>0</v>
      </c>
      <c r="XQ51">
        <v>0</v>
      </c>
      <c r="XR51">
        <v>3628</v>
      </c>
      <c r="XS51">
        <v>0</v>
      </c>
      <c r="XT51">
        <v>0</v>
      </c>
      <c r="XU51">
        <v>0</v>
      </c>
      <c r="XV51">
        <v>0</v>
      </c>
      <c r="XW51">
        <v>0</v>
      </c>
      <c r="XX51">
        <v>0</v>
      </c>
      <c r="XY51">
        <v>0</v>
      </c>
      <c r="XZ51">
        <v>1890</v>
      </c>
      <c r="YA51">
        <v>0</v>
      </c>
      <c r="YB51">
        <v>2667</v>
      </c>
      <c r="YC51">
        <v>2801</v>
      </c>
      <c r="YD51">
        <v>0</v>
      </c>
      <c r="YE51">
        <v>0</v>
      </c>
      <c r="YF51" s="1">
        <v>0</v>
      </c>
      <c r="YG51" s="1">
        <v>0</v>
      </c>
      <c r="YH51" s="1">
        <v>0</v>
      </c>
      <c r="YI51" s="1">
        <v>0</v>
      </c>
      <c r="YJ51">
        <v>0</v>
      </c>
      <c r="YK51">
        <v>6554</v>
      </c>
      <c r="YL51">
        <v>0</v>
      </c>
      <c r="YM51">
        <v>1789</v>
      </c>
      <c r="YN51">
        <v>2708</v>
      </c>
      <c r="YO51">
        <v>0</v>
      </c>
      <c r="YP51">
        <v>0</v>
      </c>
      <c r="YQ51">
        <v>0</v>
      </c>
      <c r="YR51">
        <v>0</v>
      </c>
      <c r="YS51">
        <v>0</v>
      </c>
      <c r="YT51">
        <v>0</v>
      </c>
      <c r="YU51">
        <v>5191</v>
      </c>
      <c r="YV51">
        <v>0</v>
      </c>
      <c r="YW51">
        <v>13161</v>
      </c>
      <c r="YX51">
        <v>0</v>
      </c>
      <c r="YY51">
        <v>0</v>
      </c>
      <c r="YZ51">
        <v>0</v>
      </c>
      <c r="ZA51">
        <v>0</v>
      </c>
      <c r="ZB51">
        <v>0</v>
      </c>
      <c r="ZC51">
        <v>0</v>
      </c>
      <c r="ZD51">
        <v>5260</v>
      </c>
      <c r="ZE51">
        <v>0</v>
      </c>
      <c r="ZF51">
        <v>6541</v>
      </c>
      <c r="ZG51">
        <v>0</v>
      </c>
      <c r="ZH51">
        <v>0</v>
      </c>
      <c r="ZI51">
        <v>6852</v>
      </c>
      <c r="ZJ51">
        <v>0</v>
      </c>
      <c r="ZK51">
        <v>5928</v>
      </c>
      <c r="ZL51">
        <v>0</v>
      </c>
      <c r="ZM51">
        <v>4265</v>
      </c>
      <c r="ZN51">
        <v>0</v>
      </c>
      <c r="ZO51">
        <v>4265</v>
      </c>
      <c r="ZP51">
        <v>0</v>
      </c>
      <c r="ZQ51">
        <v>5209</v>
      </c>
      <c r="ZR51">
        <v>0</v>
      </c>
      <c r="ZS51">
        <v>4086</v>
      </c>
      <c r="ZT51">
        <v>0</v>
      </c>
      <c r="ZU51">
        <v>0</v>
      </c>
      <c r="ZV51">
        <v>0</v>
      </c>
      <c r="ZW51">
        <v>8257</v>
      </c>
      <c r="ZX51">
        <v>0</v>
      </c>
      <c r="ZY51">
        <v>0</v>
      </c>
      <c r="ZZ51">
        <v>2568</v>
      </c>
      <c r="AAA51">
        <v>0</v>
      </c>
      <c r="AAB51">
        <v>0</v>
      </c>
      <c r="AAC51">
        <v>0</v>
      </c>
      <c r="AAD51">
        <v>0</v>
      </c>
      <c r="AAE51">
        <v>6695</v>
      </c>
      <c r="AAF51">
        <v>4870</v>
      </c>
      <c r="AAG51">
        <v>0</v>
      </c>
      <c r="AAH51">
        <v>0</v>
      </c>
      <c r="AAI51">
        <v>0</v>
      </c>
      <c r="AAJ51">
        <v>5735</v>
      </c>
      <c r="AAK51">
        <v>0</v>
      </c>
      <c r="AAL51">
        <v>0</v>
      </c>
      <c r="AAM51">
        <v>5859</v>
      </c>
      <c r="AAN51">
        <v>4010</v>
      </c>
      <c r="AAO51">
        <v>0</v>
      </c>
      <c r="AAP51">
        <v>0</v>
      </c>
      <c r="AAQ51">
        <v>0</v>
      </c>
      <c r="AAR51">
        <v>0</v>
      </c>
      <c r="AAS51">
        <v>0</v>
      </c>
      <c r="AAT51">
        <v>0</v>
      </c>
      <c r="AAU51">
        <v>2406</v>
      </c>
      <c r="AAV51">
        <v>0</v>
      </c>
      <c r="AAW51">
        <v>0</v>
      </c>
      <c r="AAX51">
        <v>0</v>
      </c>
      <c r="AAY51">
        <v>5812</v>
      </c>
      <c r="AAZ51">
        <v>0</v>
      </c>
      <c r="ABA51">
        <v>0</v>
      </c>
      <c r="ABB51">
        <v>2422</v>
      </c>
      <c r="ABC51">
        <v>0</v>
      </c>
      <c r="ABD51">
        <v>0</v>
      </c>
      <c r="ABE51">
        <v>0</v>
      </c>
      <c r="ABF51">
        <v>2875</v>
      </c>
      <c r="ABG51">
        <v>0</v>
      </c>
      <c r="ABH51">
        <v>1246</v>
      </c>
      <c r="ABI51">
        <v>0</v>
      </c>
      <c r="ABJ51">
        <v>0</v>
      </c>
      <c r="ABK51">
        <v>2996</v>
      </c>
      <c r="ABL51">
        <v>0</v>
      </c>
      <c r="ABM51">
        <v>1167</v>
      </c>
      <c r="ABN51">
        <v>0</v>
      </c>
      <c r="ABO51">
        <v>0</v>
      </c>
      <c r="ABP51">
        <v>0</v>
      </c>
      <c r="ABQ51">
        <v>0</v>
      </c>
      <c r="ABR51">
        <v>0</v>
      </c>
      <c r="ABS51">
        <v>0</v>
      </c>
      <c r="ABT51">
        <v>0</v>
      </c>
      <c r="ABU51">
        <v>0</v>
      </c>
      <c r="ABV51">
        <v>4957</v>
      </c>
      <c r="ABW51">
        <v>0</v>
      </c>
      <c r="ABX51">
        <v>0</v>
      </c>
      <c r="ABY51">
        <v>0</v>
      </c>
      <c r="ABZ51">
        <v>0</v>
      </c>
      <c r="ACA51">
        <v>0</v>
      </c>
      <c r="ACB51">
        <v>0</v>
      </c>
      <c r="ACC51">
        <v>0</v>
      </c>
      <c r="ACD51">
        <v>0</v>
      </c>
      <c r="ACE51">
        <v>0</v>
      </c>
      <c r="ACF51">
        <v>0</v>
      </c>
      <c r="ACG51">
        <v>5400</v>
      </c>
      <c r="ACH51">
        <v>0</v>
      </c>
      <c r="ACI51">
        <v>0</v>
      </c>
      <c r="ACJ51">
        <v>0</v>
      </c>
      <c r="ACK51">
        <v>3139</v>
      </c>
      <c r="ACL51">
        <v>0</v>
      </c>
      <c r="ACM51">
        <v>0</v>
      </c>
      <c r="ACN51">
        <v>0</v>
      </c>
      <c r="ACO51">
        <v>0</v>
      </c>
      <c r="ACP51">
        <v>0</v>
      </c>
      <c r="ACQ51">
        <v>0</v>
      </c>
      <c r="ACR51">
        <v>0</v>
      </c>
      <c r="ACS51">
        <v>0</v>
      </c>
      <c r="ACT51">
        <v>0</v>
      </c>
      <c r="ACU51">
        <v>0</v>
      </c>
      <c r="ACV51">
        <v>7321</v>
      </c>
      <c r="ACW51">
        <v>0</v>
      </c>
      <c r="ACX51">
        <v>0</v>
      </c>
      <c r="ACY51">
        <v>0</v>
      </c>
      <c r="ACZ51">
        <v>0</v>
      </c>
      <c r="ADA51">
        <v>0</v>
      </c>
      <c r="ADB51">
        <v>0</v>
      </c>
      <c r="ADC51">
        <v>0</v>
      </c>
      <c r="ADD51">
        <v>0</v>
      </c>
      <c r="ADE51">
        <v>0</v>
      </c>
      <c r="ADF51">
        <v>5343</v>
      </c>
      <c r="ADG51">
        <v>0</v>
      </c>
      <c r="ADH51">
        <v>0</v>
      </c>
      <c r="ADI51">
        <v>1819</v>
      </c>
      <c r="ADJ51">
        <v>0</v>
      </c>
      <c r="ADK51">
        <v>0</v>
      </c>
      <c r="ADL51">
        <v>3282</v>
      </c>
      <c r="ADM51">
        <v>0</v>
      </c>
      <c r="ADN51">
        <v>0</v>
      </c>
      <c r="ADO51">
        <v>0</v>
      </c>
      <c r="ADP51">
        <v>0</v>
      </c>
      <c r="ADQ51">
        <v>0</v>
      </c>
      <c r="ADR51">
        <v>0</v>
      </c>
      <c r="ADS51">
        <v>0</v>
      </c>
      <c r="ADT51">
        <v>0</v>
      </c>
      <c r="ADU51">
        <v>0</v>
      </c>
      <c r="ADV51">
        <v>0</v>
      </c>
      <c r="ADW51">
        <v>3264</v>
      </c>
      <c r="ADX51">
        <v>0</v>
      </c>
      <c r="ADY51">
        <v>4968</v>
      </c>
      <c r="ADZ51">
        <v>0</v>
      </c>
      <c r="AEA51">
        <v>0</v>
      </c>
      <c r="AEB51">
        <v>0</v>
      </c>
      <c r="AEC51">
        <v>0</v>
      </c>
      <c r="AED51">
        <v>0</v>
      </c>
      <c r="AEE51">
        <v>0</v>
      </c>
      <c r="AEF51">
        <v>0</v>
      </c>
      <c r="AEG51">
        <v>0</v>
      </c>
      <c r="AEH51">
        <v>0</v>
      </c>
      <c r="AEI51">
        <v>0</v>
      </c>
      <c r="AEJ51">
        <v>0</v>
      </c>
      <c r="AEK51">
        <v>11175</v>
      </c>
      <c r="AEL51">
        <v>0</v>
      </c>
      <c r="AEM51">
        <v>0</v>
      </c>
      <c r="AEN51">
        <v>0</v>
      </c>
      <c r="AEO51">
        <v>0</v>
      </c>
      <c r="AEP51">
        <v>0</v>
      </c>
      <c r="AEQ51">
        <v>0</v>
      </c>
      <c r="AER51">
        <v>11231</v>
      </c>
      <c r="AES51">
        <v>0</v>
      </c>
      <c r="AET51">
        <v>0</v>
      </c>
      <c r="AEU51">
        <v>0</v>
      </c>
      <c r="AEV51">
        <v>0</v>
      </c>
      <c r="AEW51">
        <v>0</v>
      </c>
      <c r="AEX51">
        <v>0</v>
      </c>
      <c r="AEY51">
        <v>0</v>
      </c>
      <c r="AEZ51">
        <v>0</v>
      </c>
      <c r="AFA51">
        <v>0</v>
      </c>
      <c r="AFB51">
        <v>0</v>
      </c>
      <c r="AFC51">
        <v>0</v>
      </c>
      <c r="AFD51">
        <v>0</v>
      </c>
      <c r="AFE51">
        <v>11995</v>
      </c>
      <c r="AFF51">
        <v>0</v>
      </c>
      <c r="AFG51">
        <v>0</v>
      </c>
      <c r="AFH51">
        <v>0</v>
      </c>
      <c r="AFI51">
        <v>0</v>
      </c>
      <c r="AFJ51">
        <v>0</v>
      </c>
      <c r="AFK51">
        <v>0</v>
      </c>
      <c r="AFL51">
        <v>0</v>
      </c>
      <c r="AFM51">
        <v>0</v>
      </c>
      <c r="AFN51">
        <v>6564</v>
      </c>
      <c r="AFO51">
        <v>0</v>
      </c>
      <c r="AFP51">
        <v>0</v>
      </c>
      <c r="AFQ51">
        <v>0</v>
      </c>
      <c r="AFR51">
        <v>0</v>
      </c>
      <c r="AFS51">
        <v>0</v>
      </c>
      <c r="AFT51">
        <v>5673</v>
      </c>
      <c r="AFU51">
        <v>0</v>
      </c>
      <c r="AFV51">
        <v>0</v>
      </c>
      <c r="AFW51">
        <v>0</v>
      </c>
      <c r="AFX51">
        <v>0</v>
      </c>
      <c r="AFY51">
        <v>0</v>
      </c>
      <c r="AFZ51">
        <v>0</v>
      </c>
      <c r="AGA51">
        <v>6134</v>
      </c>
      <c r="AGB51">
        <v>0</v>
      </c>
      <c r="AGC51">
        <v>0</v>
      </c>
      <c r="AGD51">
        <v>0</v>
      </c>
      <c r="AGE51">
        <v>0</v>
      </c>
      <c r="AGF51">
        <v>0</v>
      </c>
      <c r="AGG51">
        <v>0</v>
      </c>
      <c r="AGH51">
        <v>0</v>
      </c>
      <c r="AGI51">
        <v>0</v>
      </c>
      <c r="AGJ51">
        <v>0</v>
      </c>
      <c r="AGK51">
        <v>0</v>
      </c>
      <c r="AGL51">
        <v>0</v>
      </c>
      <c r="AGM51">
        <v>0</v>
      </c>
      <c r="AGN51">
        <v>0</v>
      </c>
      <c r="AGO51">
        <v>5820</v>
      </c>
      <c r="AGP51">
        <v>0</v>
      </c>
      <c r="AGQ51">
        <v>0</v>
      </c>
      <c r="AGR51">
        <v>0</v>
      </c>
      <c r="AGS51">
        <v>0</v>
      </c>
      <c r="AGT51">
        <v>0</v>
      </c>
      <c r="AGU51">
        <v>0</v>
      </c>
      <c r="AGV51">
        <v>0</v>
      </c>
      <c r="AGW51">
        <v>0</v>
      </c>
      <c r="AGX51">
        <v>0</v>
      </c>
      <c r="AGY51">
        <v>0</v>
      </c>
      <c r="AGZ51">
        <v>0</v>
      </c>
      <c r="AHA51">
        <v>0</v>
      </c>
      <c r="AHB51">
        <v>0</v>
      </c>
      <c r="AHC51">
        <v>6606</v>
      </c>
      <c r="AHD51">
        <v>0</v>
      </c>
      <c r="AHE51">
        <v>0</v>
      </c>
      <c r="AHF51">
        <v>0</v>
      </c>
      <c r="AHG51">
        <v>0</v>
      </c>
      <c r="AHH51">
        <v>0</v>
      </c>
      <c r="AHI51">
        <v>0</v>
      </c>
      <c r="AHJ51">
        <v>0</v>
      </c>
      <c r="AHK51">
        <v>2011</v>
      </c>
      <c r="AHL51">
        <v>0</v>
      </c>
      <c r="AHM51">
        <v>0</v>
      </c>
      <c r="AHN51">
        <v>0</v>
      </c>
      <c r="AHO51">
        <v>0</v>
      </c>
      <c r="AHP51">
        <v>0</v>
      </c>
      <c r="AHQ51">
        <v>0</v>
      </c>
    </row>
    <row r="52" spans="1:901">
      <c r="A52" s="1" t="s">
        <v>44</v>
      </c>
      <c r="C52" s="34">
        <f t="shared" si="28"/>
        <v>25109</v>
      </c>
      <c r="D52" s="34">
        <f t="shared" si="28"/>
        <v>4071</v>
      </c>
      <c r="E52" s="34">
        <f t="shared" si="29"/>
        <v>15809</v>
      </c>
      <c r="F52" s="34">
        <f t="shared" si="30"/>
        <v>14925</v>
      </c>
      <c r="G52" s="34">
        <f t="shared" si="31"/>
        <v>5814</v>
      </c>
      <c r="H52" s="34">
        <f t="shared" si="32"/>
        <v>3784</v>
      </c>
      <c r="I52" s="34">
        <f t="shared" si="32"/>
        <v>14870</v>
      </c>
      <c r="J52" s="34">
        <f t="shared" si="0"/>
        <v>16033</v>
      </c>
      <c r="K52" s="34">
        <f t="shared" si="0"/>
        <v>14912</v>
      </c>
      <c r="L52" s="34">
        <f t="shared" si="0"/>
        <v>29267</v>
      </c>
      <c r="M52" s="34">
        <f t="shared" si="0"/>
        <v>6132</v>
      </c>
      <c r="N52" s="34">
        <f t="shared" si="0"/>
        <v>247611</v>
      </c>
      <c r="O52" s="34">
        <f t="shared" si="0"/>
        <v>16534</v>
      </c>
      <c r="P52" s="34">
        <f t="shared" si="0"/>
        <v>16887</v>
      </c>
      <c r="Q52" s="34">
        <f t="shared" si="0"/>
        <v>16335</v>
      </c>
      <c r="R52" s="34">
        <f t="shared" si="0"/>
        <v>14601</v>
      </c>
      <c r="S52" s="34">
        <f t="shared" si="0"/>
        <v>14218</v>
      </c>
      <c r="T52" s="34">
        <f t="shared" si="0"/>
        <v>5766</v>
      </c>
      <c r="U52" s="34">
        <f t="shared" si="0"/>
        <v>4061</v>
      </c>
      <c r="V52" s="34">
        <f t="shared" si="0"/>
        <v>14053</v>
      </c>
      <c r="W52" s="34">
        <f t="shared" si="0"/>
        <v>16158</v>
      </c>
      <c r="X52" s="34">
        <f t="shared" si="0"/>
        <v>15869</v>
      </c>
      <c r="Y52" s="34">
        <f t="shared" si="0"/>
        <v>15365</v>
      </c>
      <c r="Z52" s="34">
        <f t="shared" si="1"/>
        <v>15980</v>
      </c>
      <c r="AA52" s="34">
        <f t="shared" si="1"/>
        <v>4314</v>
      </c>
      <c r="AB52" s="34">
        <f t="shared" si="1"/>
        <v>4467</v>
      </c>
      <c r="AC52" s="34">
        <f t="shared" si="1"/>
        <v>16048</v>
      </c>
      <c r="AD52" s="34">
        <f t="shared" si="1"/>
        <v>18211</v>
      </c>
      <c r="AE52" s="34">
        <f t="shared" si="1"/>
        <v>16774</v>
      </c>
      <c r="AF52" s="34">
        <f t="shared" si="1"/>
        <v>15698</v>
      </c>
      <c r="AG52" s="34">
        <f t="shared" si="1"/>
        <v>16383</v>
      </c>
      <c r="AH52" s="34">
        <f t="shared" si="1"/>
        <v>6750</v>
      </c>
      <c r="AI52" s="34">
        <f t="shared" si="1"/>
        <v>4713</v>
      </c>
      <c r="AJ52" s="34">
        <f t="shared" si="1"/>
        <v>19852</v>
      </c>
      <c r="AK52" s="34">
        <f t="shared" si="1"/>
        <v>21375</v>
      </c>
      <c r="AL52" s="34">
        <f t="shared" si="1"/>
        <v>20407</v>
      </c>
      <c r="AM52" s="34">
        <f t="shared" ref="AM52:AM62" si="50">AM31-AL31</f>
        <v>20214</v>
      </c>
      <c r="AN52" s="34">
        <f t="shared" si="2"/>
        <v>18756</v>
      </c>
      <c r="AO52" s="34">
        <f t="shared" si="2"/>
        <v>7089</v>
      </c>
      <c r="AP52" s="34">
        <f t="shared" si="2"/>
        <v>5951</v>
      </c>
      <c r="AQ52" s="34">
        <f t="shared" si="2"/>
        <v>21385</v>
      </c>
      <c r="AR52" s="34">
        <f t="shared" si="2"/>
        <v>21791</v>
      </c>
      <c r="AS52" s="34">
        <f t="shared" si="2"/>
        <v>20779</v>
      </c>
      <c r="AT52" s="34">
        <f t="shared" si="2"/>
        <v>20700</v>
      </c>
      <c r="AU52" s="34">
        <f t="shared" si="2"/>
        <v>17215</v>
      </c>
      <c r="AV52" s="34">
        <f t="shared" si="2"/>
        <v>6807</v>
      </c>
      <c r="AW52" s="34">
        <f t="shared" si="2"/>
        <v>4576</v>
      </c>
      <c r="AX52" s="34">
        <f t="shared" si="2"/>
        <v>10671</v>
      </c>
      <c r="AY52" s="34">
        <f t="shared" si="2"/>
        <v>20156</v>
      </c>
      <c r="AZ52" s="34">
        <f t="shared" si="2"/>
        <v>19990</v>
      </c>
      <c r="BA52" s="34">
        <f t="shared" ref="BA52:BA62" si="51">BA31-AZ31</f>
        <v>19444</v>
      </c>
      <c r="BB52" s="34">
        <f t="shared" si="3"/>
        <v>18421</v>
      </c>
      <c r="BC52" s="34">
        <f t="shared" si="3"/>
        <v>7643</v>
      </c>
      <c r="BD52" s="34">
        <f t="shared" si="3"/>
        <v>5206</v>
      </c>
      <c r="BE52" s="34">
        <f t="shared" si="3"/>
        <v>20633</v>
      </c>
      <c r="BF52" s="34">
        <f t="shared" si="3"/>
        <v>21395</v>
      </c>
      <c r="BG52" s="34">
        <f t="shared" si="3"/>
        <v>15366</v>
      </c>
      <c r="BH52" s="34">
        <f t="shared" si="3"/>
        <v>15701</v>
      </c>
      <c r="BI52" s="34">
        <f t="shared" si="3"/>
        <v>15151</v>
      </c>
      <c r="BJ52" s="34">
        <f t="shared" si="3"/>
        <v>5889</v>
      </c>
      <c r="BK52" s="34">
        <f t="shared" si="3"/>
        <v>3996</v>
      </c>
      <c r="BL52" s="34">
        <f t="shared" si="3"/>
        <v>3819</v>
      </c>
      <c r="BM52" s="34">
        <f t="shared" si="3"/>
        <v>14312</v>
      </c>
      <c r="BN52" s="34">
        <f t="shared" si="3"/>
        <v>16325</v>
      </c>
      <c r="BO52" s="34">
        <f t="shared" ref="BO52:CL62" si="52">BO31-BN31</f>
        <v>16407</v>
      </c>
      <c r="BP52" s="34">
        <f t="shared" si="52"/>
        <v>19373</v>
      </c>
      <c r="BQ52" s="34">
        <f t="shared" si="52"/>
        <v>16954</v>
      </c>
      <c r="BR52" s="34">
        <f t="shared" si="52"/>
        <v>14581</v>
      </c>
      <c r="BS52" s="34">
        <f t="shared" si="52"/>
        <v>26681</v>
      </c>
      <c r="BT52" s="34">
        <f t="shared" si="52"/>
        <v>28892</v>
      </c>
      <c r="BU52" s="34">
        <f t="shared" si="52"/>
        <v>26511</v>
      </c>
      <c r="BV52" s="34">
        <f t="shared" si="52"/>
        <v>26631</v>
      </c>
      <c r="BW52" s="34">
        <f t="shared" si="52"/>
        <v>24277</v>
      </c>
      <c r="BX52" s="34">
        <f t="shared" si="52"/>
        <v>9932</v>
      </c>
      <c r="BY52" s="34">
        <f t="shared" si="52"/>
        <v>6986</v>
      </c>
      <c r="BZ52" s="34">
        <f t="shared" si="52"/>
        <v>26224</v>
      </c>
      <c r="CA52" s="34">
        <f t="shared" si="52"/>
        <v>27430</v>
      </c>
      <c r="CB52" s="34">
        <f t="shared" si="52"/>
        <v>28637</v>
      </c>
      <c r="CC52" s="34">
        <f t="shared" si="52"/>
        <v>28486</v>
      </c>
      <c r="CD52" s="34">
        <f t="shared" si="52"/>
        <v>28226</v>
      </c>
      <c r="CE52" s="34">
        <f t="shared" si="52"/>
        <v>10814</v>
      </c>
      <c r="CF52" s="34">
        <f t="shared" si="52"/>
        <v>7185</v>
      </c>
      <c r="CG52" s="34">
        <f t="shared" si="52"/>
        <v>30486</v>
      </c>
      <c r="CH52" s="34">
        <f t="shared" si="52"/>
        <v>32797</v>
      </c>
      <c r="CI52" s="34">
        <f t="shared" si="52"/>
        <v>31727</v>
      </c>
      <c r="CJ52" s="34">
        <f t="shared" si="52"/>
        <v>32567</v>
      </c>
      <c r="CK52" s="34">
        <f t="shared" si="52"/>
        <v>31512</v>
      </c>
      <c r="CL52" s="34">
        <f t="shared" si="52"/>
        <v>11948</v>
      </c>
      <c r="CM52" s="34">
        <f t="shared" si="4"/>
        <v>8063</v>
      </c>
      <c r="CN52" s="34">
        <f t="shared" si="4"/>
        <v>33563</v>
      </c>
      <c r="CO52" s="34">
        <f t="shared" si="4"/>
        <v>33244</v>
      </c>
      <c r="CP52" s="34">
        <f t="shared" si="4"/>
        <v>32302</v>
      </c>
      <c r="CQ52" s="34">
        <f t="shared" si="4"/>
        <v>32432</v>
      </c>
      <c r="CR52" s="34">
        <f t="shared" si="4"/>
        <v>31167</v>
      </c>
      <c r="CS52" s="34">
        <f t="shared" si="4"/>
        <v>12482</v>
      </c>
      <c r="CT52" s="34">
        <f t="shared" si="4"/>
        <v>8678</v>
      </c>
      <c r="CU52" s="34">
        <f t="shared" si="4"/>
        <v>34020</v>
      </c>
      <c r="CV52" s="34">
        <f t="shared" si="46"/>
        <v>32588</v>
      </c>
      <c r="CW52" s="34">
        <f t="shared" si="46"/>
        <v>30769</v>
      </c>
      <c r="CX52" s="34">
        <f t="shared" si="46"/>
        <v>23264</v>
      </c>
      <c r="CY52" s="34">
        <f t="shared" si="46"/>
        <v>4698</v>
      </c>
      <c r="CZ52" s="34">
        <f t="shared" si="46"/>
        <v>0</v>
      </c>
      <c r="DA52" s="34">
        <f t="shared" si="46"/>
        <v>19755</v>
      </c>
      <c r="DB52" s="34">
        <f t="shared" si="46"/>
        <v>31668</v>
      </c>
      <c r="DC52" s="34">
        <f t="shared" si="46"/>
        <v>33978</v>
      </c>
      <c r="DD52" s="34">
        <f t="shared" si="46"/>
        <v>32016</v>
      </c>
      <c r="DE52" s="34">
        <f t="shared" si="46"/>
        <v>24646</v>
      </c>
      <c r="DF52" s="34">
        <f t="shared" si="46"/>
        <v>8642</v>
      </c>
      <c r="DG52" s="34">
        <f t="shared" si="46"/>
        <v>8561</v>
      </c>
      <c r="DH52" s="34">
        <f t="shared" si="46"/>
        <v>9571</v>
      </c>
      <c r="DI52" s="34">
        <f t="shared" si="46"/>
        <v>31406</v>
      </c>
      <c r="DJ52" s="34">
        <f t="shared" si="46"/>
        <v>35540</v>
      </c>
      <c r="DK52" s="34">
        <f t="shared" si="46"/>
        <v>34308</v>
      </c>
      <c r="DL52" s="34">
        <f t="shared" si="46"/>
        <v>36917</v>
      </c>
      <c r="DM52" s="34">
        <f t="shared" si="46"/>
        <v>35535</v>
      </c>
      <c r="DN52" s="34">
        <f t="shared" si="46"/>
        <v>14884</v>
      </c>
      <c r="DO52" s="34">
        <f t="shared" si="46"/>
        <v>10668</v>
      </c>
      <c r="DP52" s="34">
        <f t="shared" si="46"/>
        <v>38765</v>
      </c>
      <c r="DQ52" s="34">
        <f t="shared" si="46"/>
        <v>41550</v>
      </c>
      <c r="DR52" s="34">
        <f t="shared" si="46"/>
        <v>39463</v>
      </c>
      <c r="DS52" s="34">
        <f t="shared" si="46"/>
        <v>52736</v>
      </c>
      <c r="DT52" s="34">
        <f t="shared" si="46"/>
        <v>47968</v>
      </c>
      <c r="DU52" s="34">
        <f t="shared" si="46"/>
        <v>21818</v>
      </c>
      <c r="DV52" s="34">
        <f t="shared" si="46"/>
        <v>17092</v>
      </c>
      <c r="DW52" s="34">
        <f t="shared" si="46"/>
        <v>51164</v>
      </c>
      <c r="DX52" s="34">
        <f t="shared" si="46"/>
        <v>54770</v>
      </c>
      <c r="DY52" s="34">
        <f t="shared" si="46"/>
        <v>54269</v>
      </c>
      <c r="DZ52" s="34">
        <f t="shared" si="46"/>
        <v>53848</v>
      </c>
      <c r="EA52" s="34">
        <f t="shared" si="46"/>
        <v>51844</v>
      </c>
      <c r="EB52" s="34">
        <f t="shared" si="46"/>
        <v>21752</v>
      </c>
      <c r="EC52" s="34">
        <f t="shared" si="46"/>
        <v>17272</v>
      </c>
      <c r="ED52" s="34">
        <f t="shared" si="46"/>
        <v>48330</v>
      </c>
      <c r="EE52" s="34">
        <f t="shared" si="46"/>
        <v>52052</v>
      </c>
      <c r="EF52" s="34">
        <f t="shared" si="46"/>
        <v>50987</v>
      </c>
      <c r="EG52" s="34">
        <f t="shared" si="46"/>
        <v>47230</v>
      </c>
      <c r="EH52" s="34">
        <f t="shared" si="46"/>
        <v>41734</v>
      </c>
      <c r="EI52" s="34">
        <f t="shared" si="5"/>
        <v>16190</v>
      </c>
      <c r="EJ52" s="34">
        <f t="shared" si="5"/>
        <v>10734</v>
      </c>
      <c r="EK52" s="34">
        <f t="shared" si="5"/>
        <v>10800</v>
      </c>
      <c r="EL52" s="34">
        <f t="shared" si="5"/>
        <v>40397</v>
      </c>
      <c r="EM52" s="34">
        <f t="shared" si="5"/>
        <v>42801</v>
      </c>
      <c r="EN52" s="34">
        <f t="shared" si="5"/>
        <v>38107</v>
      </c>
      <c r="EO52" s="34">
        <f t="shared" si="5"/>
        <v>36730</v>
      </c>
      <c r="EP52" s="34">
        <f t="shared" si="5"/>
        <v>13797</v>
      </c>
      <c r="EQ52" s="34">
        <f t="shared" ref="EQ52:FM59" si="53">EQ31-EP31</f>
        <v>8571</v>
      </c>
      <c r="ER52" s="34">
        <f t="shared" si="53"/>
        <v>37371</v>
      </c>
      <c r="ES52" s="34">
        <f t="shared" si="53"/>
        <v>39100</v>
      </c>
      <c r="ET52" s="34">
        <f t="shared" si="53"/>
        <v>37292</v>
      </c>
      <c r="EU52" s="34">
        <f t="shared" si="53"/>
        <v>35238</v>
      </c>
      <c r="EV52" s="34">
        <f t="shared" si="53"/>
        <v>33914</v>
      </c>
      <c r="EW52" s="34">
        <f t="shared" si="53"/>
        <v>12351</v>
      </c>
      <c r="EX52" s="34">
        <f t="shared" si="53"/>
        <v>7098</v>
      </c>
      <c r="EY52" s="34">
        <f t="shared" si="53"/>
        <v>33498</v>
      </c>
      <c r="EZ52" s="34">
        <f t="shared" si="53"/>
        <v>33095</v>
      </c>
      <c r="FA52" s="34">
        <f t="shared" si="53"/>
        <v>32490</v>
      </c>
      <c r="FB52" s="34">
        <f t="shared" si="53"/>
        <v>32582</v>
      </c>
      <c r="FC52" s="34">
        <f t="shared" si="53"/>
        <v>29986</v>
      </c>
      <c r="FD52" s="34">
        <f t="shared" si="53"/>
        <v>11281</v>
      </c>
      <c r="FE52" s="34">
        <f t="shared" si="53"/>
        <v>7427</v>
      </c>
      <c r="FF52" s="34">
        <f t="shared" si="53"/>
        <v>33882</v>
      </c>
      <c r="FG52" s="34">
        <f t="shared" si="53"/>
        <v>33870</v>
      </c>
      <c r="FH52" s="34">
        <f t="shared" si="53"/>
        <v>31689</v>
      </c>
      <c r="FI52" s="34">
        <f t="shared" si="53"/>
        <v>29448</v>
      </c>
      <c r="FJ52" s="34">
        <f t="shared" si="53"/>
        <v>29155</v>
      </c>
      <c r="FK52" s="34">
        <f t="shared" si="53"/>
        <v>10155</v>
      </c>
      <c r="FL52" s="34">
        <f t="shared" si="53"/>
        <v>7370</v>
      </c>
      <c r="FM52" s="34">
        <f t="shared" si="53"/>
        <v>32747</v>
      </c>
      <c r="FN52" s="34">
        <v>31185</v>
      </c>
      <c r="FO52" s="34">
        <f t="shared" si="6"/>
        <v>31075</v>
      </c>
      <c r="FP52" s="34">
        <v>27500</v>
      </c>
      <c r="FQ52" s="34">
        <v>25762</v>
      </c>
      <c r="FR52" s="34">
        <v>10695</v>
      </c>
      <c r="FS52" s="34">
        <v>7083</v>
      </c>
      <c r="FT52" s="34">
        <f t="shared" si="9"/>
        <v>30146</v>
      </c>
      <c r="FU52" s="34">
        <f t="shared" si="9"/>
        <v>28167</v>
      </c>
      <c r="FV52" s="34">
        <f t="shared" si="9"/>
        <v>25997</v>
      </c>
      <c r="FW52" s="34">
        <f t="shared" si="9"/>
        <v>26034</v>
      </c>
      <c r="FX52" s="34">
        <f t="shared" si="9"/>
        <v>25528</v>
      </c>
      <c r="FY52" s="34">
        <f t="shared" si="9"/>
        <v>8758</v>
      </c>
      <c r="FZ52" s="34">
        <f t="shared" si="9"/>
        <v>4872</v>
      </c>
      <c r="GA52" s="34">
        <f t="shared" si="9"/>
        <v>5772</v>
      </c>
      <c r="GB52" s="34">
        <f t="shared" si="9"/>
        <v>29629</v>
      </c>
      <c r="GC52" s="34">
        <f t="shared" si="9"/>
        <v>27886</v>
      </c>
      <c r="GD52" s="34">
        <f t="shared" si="9"/>
        <v>25751</v>
      </c>
      <c r="GE52" s="34">
        <f t="shared" si="9"/>
        <v>24039</v>
      </c>
      <c r="GF52" s="34">
        <f t="shared" si="9"/>
        <v>7447</v>
      </c>
      <c r="GG52" s="34">
        <f t="shared" si="9"/>
        <v>5556</v>
      </c>
      <c r="GH52" s="34">
        <f t="shared" si="10"/>
        <v>28942</v>
      </c>
      <c r="GI52" s="34">
        <f t="shared" si="10"/>
        <v>26368</v>
      </c>
      <c r="GJ52" s="34">
        <f t="shared" si="10"/>
        <v>25513</v>
      </c>
      <c r="GK52" s="34">
        <f t="shared" si="10"/>
        <v>23805</v>
      </c>
      <c r="GL52" s="34">
        <f t="shared" si="10"/>
        <v>20664</v>
      </c>
      <c r="GM52" s="34">
        <f t="shared" si="10"/>
        <v>7326</v>
      </c>
      <c r="GN52" s="34">
        <f t="shared" si="10"/>
        <v>5191</v>
      </c>
      <c r="GO52" s="34">
        <f t="shared" si="10"/>
        <v>24778</v>
      </c>
      <c r="GP52" s="34">
        <f t="shared" si="10"/>
        <v>24723</v>
      </c>
      <c r="GQ52" s="34">
        <f t="shared" si="10"/>
        <v>21184</v>
      </c>
      <c r="GR52" s="34">
        <f t="shared" si="10"/>
        <v>13459</v>
      </c>
      <c r="GS52" s="34">
        <f t="shared" si="10"/>
        <v>9285</v>
      </c>
      <c r="GT52" s="34">
        <f t="shared" si="10"/>
        <v>4715</v>
      </c>
      <c r="GU52" s="34">
        <f t="shared" ref="GU52:GU62" si="54">GU31-GT31</f>
        <v>5000</v>
      </c>
      <c r="GV52" s="34">
        <f t="shared" si="11"/>
        <v>24981</v>
      </c>
      <c r="GW52" s="34">
        <f t="shared" si="11"/>
        <v>23424</v>
      </c>
      <c r="GX52" s="34">
        <f t="shared" si="11"/>
        <v>24635</v>
      </c>
      <c r="GY52" s="34">
        <f t="shared" si="11"/>
        <v>25297</v>
      </c>
      <c r="GZ52" s="34">
        <f t="shared" si="11"/>
        <v>23650</v>
      </c>
      <c r="HA52" s="34">
        <f t="shared" si="11"/>
        <v>7133</v>
      </c>
      <c r="HB52" s="34">
        <f t="shared" si="12"/>
        <v>14266</v>
      </c>
      <c r="HC52" s="34">
        <f t="shared" si="13"/>
        <v>25667</v>
      </c>
      <c r="HD52" s="34">
        <f t="shared" ref="HD52" si="55">HD31-HC31</f>
        <v>26958</v>
      </c>
      <c r="HE52" s="34">
        <f t="shared" si="13"/>
        <v>23229</v>
      </c>
      <c r="HF52" s="34">
        <f t="shared" si="13"/>
        <v>23382</v>
      </c>
      <c r="HG52" s="34">
        <f t="shared" si="13"/>
        <v>21553</v>
      </c>
      <c r="HH52" s="34">
        <f t="shared" si="13"/>
        <v>6932</v>
      </c>
      <c r="HI52" s="34">
        <f t="shared" si="13"/>
        <v>5429</v>
      </c>
      <c r="HJ52" s="34">
        <f t="shared" si="13"/>
        <v>25590</v>
      </c>
      <c r="HK52" s="34">
        <f t="shared" si="13"/>
        <v>25124</v>
      </c>
      <c r="HL52" s="34">
        <f t="shared" si="13"/>
        <v>23616</v>
      </c>
      <c r="HM52" s="34">
        <f t="shared" si="13"/>
        <v>22949</v>
      </c>
      <c r="HN52" s="34">
        <f t="shared" si="13"/>
        <v>21979</v>
      </c>
      <c r="HO52" s="34">
        <f t="shared" si="13"/>
        <v>6740</v>
      </c>
      <c r="HP52" s="34">
        <f t="shared" si="13"/>
        <v>5746</v>
      </c>
      <c r="HQ52" s="34">
        <f t="shared" si="13"/>
        <v>22649</v>
      </c>
      <c r="HR52" s="34">
        <f t="shared" si="14"/>
        <v>22893</v>
      </c>
      <c r="HS52" s="34">
        <f t="shared" si="14"/>
        <v>22487</v>
      </c>
      <c r="HT52" s="34">
        <f t="shared" si="14"/>
        <v>20488</v>
      </c>
      <c r="HU52" s="34">
        <f t="shared" si="14"/>
        <v>17186</v>
      </c>
      <c r="HV52" s="34">
        <f t="shared" si="14"/>
        <v>4589</v>
      </c>
      <c r="HW52" s="34">
        <f t="shared" si="14"/>
        <v>4471</v>
      </c>
      <c r="HX52" s="34">
        <f t="shared" si="14"/>
        <v>19086</v>
      </c>
      <c r="HY52" s="34">
        <f t="shared" si="14"/>
        <v>19466</v>
      </c>
      <c r="HZ52" s="34">
        <f t="shared" si="14"/>
        <v>17116</v>
      </c>
      <c r="IA52" s="34">
        <f t="shared" si="14"/>
        <v>19397</v>
      </c>
      <c r="IB52" s="34">
        <f t="shared" si="14"/>
        <v>17227</v>
      </c>
      <c r="IC52" s="34">
        <f t="shared" si="14"/>
        <v>5884</v>
      </c>
      <c r="ID52" s="34">
        <f t="shared" si="14"/>
        <v>3819</v>
      </c>
      <c r="IE52" s="34">
        <f t="shared" si="14"/>
        <v>12910</v>
      </c>
      <c r="IF52" s="34">
        <f t="shared" si="15"/>
        <v>17824</v>
      </c>
      <c r="IG52" s="34">
        <f t="shared" si="15"/>
        <v>19450</v>
      </c>
      <c r="IH52" s="34">
        <f t="shared" si="15"/>
        <v>18114</v>
      </c>
      <c r="II52" s="34">
        <f t="shared" si="15"/>
        <v>16633</v>
      </c>
      <c r="IJ52" s="34">
        <f t="shared" si="15"/>
        <v>5972</v>
      </c>
      <c r="IK52" s="34">
        <f t="shared" si="15"/>
        <v>4185</v>
      </c>
      <c r="IL52" s="34">
        <f t="shared" si="15"/>
        <v>18435</v>
      </c>
      <c r="IM52" s="34">
        <f t="shared" si="15"/>
        <v>11468</v>
      </c>
      <c r="IN52" s="34">
        <f t="shared" si="15"/>
        <v>18928</v>
      </c>
      <c r="IO52" s="34">
        <f t="shared" si="15"/>
        <v>15804</v>
      </c>
      <c r="IP52" s="34">
        <f t="shared" si="15"/>
        <v>16581</v>
      </c>
      <c r="IQ52" s="34">
        <f t="shared" si="15"/>
        <v>5627</v>
      </c>
      <c r="IR52" s="34">
        <f t="shared" si="15"/>
        <v>3707</v>
      </c>
      <c r="IS52" s="34">
        <f t="shared" ref="IS52:IS62" si="56">IS31-IR31</f>
        <v>18198</v>
      </c>
      <c r="IT52" s="34">
        <f t="shared" si="44"/>
        <v>18426</v>
      </c>
      <c r="IU52" s="34">
        <f t="shared" si="16"/>
        <v>17515</v>
      </c>
      <c r="IV52" s="34">
        <f t="shared" si="16"/>
        <v>16650</v>
      </c>
      <c r="IW52" s="34">
        <f t="shared" si="16"/>
        <v>16289</v>
      </c>
      <c r="IX52" s="34">
        <f t="shared" si="16"/>
        <v>5122</v>
      </c>
      <c r="IY52" s="34">
        <f t="shared" si="16"/>
        <v>3799</v>
      </c>
      <c r="IZ52" s="34">
        <f t="shared" si="16"/>
        <v>18094</v>
      </c>
      <c r="JA52" s="34">
        <f t="shared" si="16"/>
        <v>17827</v>
      </c>
      <c r="JB52" s="34">
        <f t="shared" si="16"/>
        <v>16677</v>
      </c>
      <c r="JC52" s="34">
        <f t="shared" si="16"/>
        <v>15904</v>
      </c>
      <c r="JD52" s="34">
        <f t="shared" si="16"/>
        <v>15486</v>
      </c>
      <c r="JE52" s="34">
        <f t="shared" si="16"/>
        <v>4563</v>
      </c>
      <c r="JF52" s="34">
        <f t="shared" si="16"/>
        <v>2887</v>
      </c>
      <c r="JG52" s="34">
        <f t="shared" si="16"/>
        <v>17920</v>
      </c>
      <c r="JH52" s="34">
        <f t="shared" si="16"/>
        <v>19203</v>
      </c>
      <c r="JI52" s="34">
        <f t="shared" si="17"/>
        <v>18449</v>
      </c>
      <c r="JJ52" s="34">
        <f t="shared" si="17"/>
        <v>16843</v>
      </c>
      <c r="JK52" s="34">
        <f t="shared" si="17"/>
        <v>16696</v>
      </c>
      <c r="JL52" s="34">
        <f t="shared" si="17"/>
        <v>5577</v>
      </c>
      <c r="JM52" s="34">
        <f t="shared" si="17"/>
        <v>4315</v>
      </c>
      <c r="JN52" s="34">
        <f t="shared" si="17"/>
        <v>18913</v>
      </c>
      <c r="JO52" s="34">
        <f t="shared" si="17"/>
        <v>18199</v>
      </c>
      <c r="JP52" s="34">
        <f t="shared" si="17"/>
        <v>19237</v>
      </c>
      <c r="JQ52" s="34">
        <f t="shared" si="17"/>
        <v>18751</v>
      </c>
      <c r="JR52" s="34">
        <f t="shared" si="17"/>
        <v>18168</v>
      </c>
      <c r="JS52" s="34">
        <f t="shared" si="17"/>
        <v>6227</v>
      </c>
      <c r="JT52" s="34">
        <f t="shared" si="17"/>
        <v>4973</v>
      </c>
      <c r="JU52" s="34">
        <f t="shared" si="17"/>
        <v>20079</v>
      </c>
      <c r="JV52" s="34">
        <f t="shared" ref="JV52:JV62" si="57">JV31-JU31</f>
        <v>22562</v>
      </c>
      <c r="JW52" s="34">
        <f t="shared" si="18"/>
        <v>22592</v>
      </c>
      <c r="JX52" s="34">
        <f t="shared" si="18"/>
        <v>22476</v>
      </c>
      <c r="JY52" s="34">
        <f t="shared" si="18"/>
        <v>21532</v>
      </c>
      <c r="JZ52" s="34">
        <f t="shared" si="18"/>
        <v>7405</v>
      </c>
      <c r="KA52" s="34">
        <f t="shared" si="18"/>
        <v>5332</v>
      </c>
      <c r="KB52" s="34">
        <f t="shared" si="18"/>
        <v>24076</v>
      </c>
      <c r="KC52" s="34">
        <f t="shared" si="18"/>
        <v>23951</v>
      </c>
      <c r="KD52" s="34">
        <f t="shared" si="18"/>
        <v>22458</v>
      </c>
      <c r="KE52" s="34">
        <f t="shared" si="18"/>
        <v>21477</v>
      </c>
      <c r="KF52" s="34">
        <f t="shared" si="18"/>
        <v>21714</v>
      </c>
      <c r="KG52" s="34">
        <f t="shared" si="18"/>
        <v>7235</v>
      </c>
      <c r="KH52" s="34">
        <f t="shared" si="18"/>
        <v>5504</v>
      </c>
      <c r="KI52" s="34">
        <f t="shared" si="18"/>
        <v>27476</v>
      </c>
      <c r="KJ52" s="34">
        <f t="shared" ref="KJ52:KJ62" si="58">KJ31-KI31</f>
        <v>28743</v>
      </c>
      <c r="KK52" s="34">
        <f t="shared" si="19"/>
        <v>29441</v>
      </c>
      <c r="KL52" s="34">
        <f t="shared" si="19"/>
        <v>30451</v>
      </c>
      <c r="KM52" s="34">
        <f t="shared" si="19"/>
        <v>30465</v>
      </c>
      <c r="KN52" s="34">
        <f t="shared" si="19"/>
        <v>9251</v>
      </c>
      <c r="KO52" s="34">
        <f t="shared" si="19"/>
        <v>7592</v>
      </c>
      <c r="KP52" s="34">
        <f t="shared" si="19"/>
        <v>35458</v>
      </c>
      <c r="KQ52" s="34">
        <f t="shared" si="19"/>
        <v>39078</v>
      </c>
      <c r="KR52" s="34">
        <f t="shared" si="19"/>
        <v>37895</v>
      </c>
      <c r="KS52" s="34">
        <f t="shared" si="19"/>
        <v>38378</v>
      </c>
      <c r="KT52" s="34">
        <f t="shared" si="19"/>
        <v>37603</v>
      </c>
      <c r="KU52" s="34">
        <f t="shared" si="19"/>
        <v>12281</v>
      </c>
      <c r="KV52" s="34">
        <f t="shared" si="19"/>
        <v>10709</v>
      </c>
      <c r="KW52" s="34">
        <f t="shared" si="19"/>
        <v>42839</v>
      </c>
      <c r="KX52" s="34">
        <f t="shared" ref="KX52:KX62" si="59">KX31-KW31</f>
        <v>44958</v>
      </c>
      <c r="KY52" s="34">
        <f t="shared" si="20"/>
        <v>46595</v>
      </c>
      <c r="KZ52" s="34">
        <f t="shared" si="20"/>
        <v>48153</v>
      </c>
      <c r="LA52" s="34">
        <f t="shared" si="34"/>
        <v>44883</v>
      </c>
      <c r="LB52" s="34">
        <f t="shared" si="35"/>
        <v>15485</v>
      </c>
      <c r="LC52" s="34">
        <f t="shared" si="36"/>
        <v>13200</v>
      </c>
      <c r="LD52" s="34">
        <f t="shared" si="37"/>
        <v>48053</v>
      </c>
      <c r="LE52" s="34">
        <f t="shared" si="38"/>
        <v>52065</v>
      </c>
      <c r="LF52" s="34">
        <f t="shared" si="39"/>
        <v>52294</v>
      </c>
      <c r="LG52" s="34">
        <f t="shared" si="21"/>
        <v>51889</v>
      </c>
      <c r="LH52" s="34">
        <f t="shared" si="21"/>
        <v>48893</v>
      </c>
      <c r="LI52" s="34">
        <f t="shared" si="21"/>
        <v>14338</v>
      </c>
      <c r="LJ52" s="34">
        <f t="shared" si="21"/>
        <v>13771</v>
      </c>
      <c r="LK52" s="34">
        <f t="shared" si="21"/>
        <v>50726</v>
      </c>
      <c r="LL52" s="34">
        <f t="shared" si="21"/>
        <v>54218</v>
      </c>
      <c r="LM52" s="34">
        <f t="shared" si="21"/>
        <v>54118</v>
      </c>
      <c r="LN52" s="34">
        <f t="shared" si="21"/>
        <v>54179</v>
      </c>
      <c r="LO52" s="34">
        <f t="shared" si="21"/>
        <v>50353</v>
      </c>
      <c r="LP52" s="34">
        <f t="shared" si="21"/>
        <v>16036</v>
      </c>
      <c r="LQ52" s="34">
        <f t="shared" si="21"/>
        <v>13143</v>
      </c>
      <c r="LR52" s="34">
        <f t="shared" si="21"/>
        <v>51778</v>
      </c>
      <c r="LS52" s="34">
        <f t="shared" si="21"/>
        <v>58044</v>
      </c>
      <c r="LT52" s="34">
        <f t="shared" si="21"/>
        <v>62287</v>
      </c>
      <c r="LU52" s="34">
        <f t="shared" si="21"/>
        <v>59627</v>
      </c>
      <c r="LV52" s="34">
        <f t="shared" si="21"/>
        <v>59428</v>
      </c>
      <c r="LW52" s="34">
        <f t="shared" si="22"/>
        <v>16720</v>
      </c>
      <c r="LX52" s="34">
        <f t="shared" si="22"/>
        <v>14580</v>
      </c>
      <c r="LY52" s="34">
        <f t="shared" si="22"/>
        <v>0</v>
      </c>
      <c r="LZ52" s="34">
        <f t="shared" si="22"/>
        <v>116569</v>
      </c>
      <c r="MA52" s="34">
        <f t="shared" si="22"/>
        <v>60761</v>
      </c>
      <c r="MB52" s="34">
        <f t="shared" si="22"/>
        <v>58447</v>
      </c>
      <c r="MC52" s="34">
        <f t="shared" si="22"/>
        <v>54918</v>
      </c>
      <c r="MD52" s="34">
        <f t="shared" si="22"/>
        <v>15773</v>
      </c>
      <c r="ME52" s="34">
        <f t="shared" si="22"/>
        <v>15001</v>
      </c>
      <c r="MF52" s="34">
        <f t="shared" si="22"/>
        <v>52480</v>
      </c>
      <c r="MG52" s="34">
        <f t="shared" si="22"/>
        <v>57766</v>
      </c>
      <c r="MH52" s="34">
        <f t="shared" si="22"/>
        <v>54220</v>
      </c>
      <c r="MI52" s="34">
        <f t="shared" si="22"/>
        <v>51737</v>
      </c>
      <c r="MJ52" s="34">
        <f t="shared" ref="MJ52:MJ62" si="60">MJ31-MI31</f>
        <v>47388</v>
      </c>
      <c r="MK52" s="34">
        <f t="shared" si="23"/>
        <v>13581</v>
      </c>
      <c r="ML52" s="34">
        <f t="shared" si="23"/>
        <v>11183</v>
      </c>
      <c r="MM52" s="34">
        <f t="shared" si="23"/>
        <v>34824</v>
      </c>
      <c r="MN52" s="34">
        <f t="shared" si="23"/>
        <v>45488</v>
      </c>
      <c r="MO52" s="34">
        <f t="shared" si="23"/>
        <v>48556</v>
      </c>
      <c r="MP52" s="34">
        <f t="shared" si="23"/>
        <v>45627</v>
      </c>
      <c r="MQ52" s="34">
        <f t="shared" si="23"/>
        <v>45921</v>
      </c>
      <c r="MR52" s="34">
        <f t="shared" si="23"/>
        <v>15661</v>
      </c>
      <c r="MS52" s="34">
        <f t="shared" si="23"/>
        <v>11881</v>
      </c>
      <c r="MT52" s="34">
        <f t="shared" si="23"/>
        <v>47677</v>
      </c>
      <c r="MU52" s="34">
        <f t="shared" si="23"/>
        <v>45389</v>
      </c>
      <c r="MV52" s="34">
        <f t="shared" si="23"/>
        <v>39894</v>
      </c>
      <c r="MW52" s="34">
        <f t="shared" si="23"/>
        <v>40405</v>
      </c>
      <c r="MX52" s="34">
        <f t="shared" ref="MX52:MX62" si="61">MX31-MW31</f>
        <v>36938</v>
      </c>
      <c r="MY52" s="34">
        <f t="shared" si="24"/>
        <v>11128</v>
      </c>
      <c r="MZ52" s="34">
        <f t="shared" si="25"/>
        <v>8742</v>
      </c>
      <c r="NA52" s="34">
        <f t="shared" si="25"/>
        <v>41800</v>
      </c>
      <c r="NB52" s="34">
        <f t="shared" si="25"/>
        <v>38576</v>
      </c>
      <c r="NC52" s="34">
        <f t="shared" si="25"/>
        <v>20229</v>
      </c>
      <c r="ND52" s="34">
        <f t="shared" si="25"/>
        <v>9029</v>
      </c>
      <c r="NE52" s="34">
        <f t="shared" si="25"/>
        <v>36565</v>
      </c>
      <c r="NF52" s="34">
        <f t="shared" si="25"/>
        <v>11448</v>
      </c>
      <c r="NG52" s="34">
        <f t="shared" si="25"/>
        <v>9160</v>
      </c>
      <c r="NH52" s="34">
        <f t="shared" si="25"/>
        <v>40247</v>
      </c>
      <c r="NI52" s="34">
        <f t="shared" si="25"/>
        <v>37076</v>
      </c>
      <c r="NJ52" s="34">
        <f t="shared" si="25"/>
        <v>36452</v>
      </c>
      <c r="NK52" s="34">
        <f t="shared" si="25"/>
        <v>34105</v>
      </c>
      <c r="NL52" s="34">
        <f t="shared" si="25"/>
        <v>31923</v>
      </c>
      <c r="NM52" s="34">
        <f t="shared" ref="NM52:NM62" si="62">NM31-NL31</f>
        <v>11423</v>
      </c>
      <c r="NN52" s="34">
        <f t="shared" si="26"/>
        <v>9402</v>
      </c>
      <c r="NO52" s="34">
        <f t="shared" si="27"/>
        <v>36475</v>
      </c>
      <c r="NP52" s="34">
        <v>35303</v>
      </c>
      <c r="NQ52" s="34">
        <v>33472</v>
      </c>
      <c r="NR52" s="34">
        <v>28120</v>
      </c>
      <c r="NS52" s="34">
        <v>25918</v>
      </c>
      <c r="NT52" s="34">
        <v>8834</v>
      </c>
      <c r="NU52" s="34">
        <v>7334</v>
      </c>
      <c r="NV52" s="34">
        <v>31779</v>
      </c>
      <c r="NW52" s="34">
        <v>30934</v>
      </c>
      <c r="NX52">
        <v>31546</v>
      </c>
      <c r="NY52" s="34">
        <v>30750</v>
      </c>
      <c r="NZ52" s="34">
        <v>27136</v>
      </c>
      <c r="OA52" s="34">
        <v>8407</v>
      </c>
      <c r="OB52" s="34">
        <v>7286</v>
      </c>
      <c r="OC52" s="34">
        <v>34094</v>
      </c>
      <c r="OD52" s="34">
        <v>31028</v>
      </c>
      <c r="OE52" s="34">
        <v>29899</v>
      </c>
      <c r="OF52" s="34">
        <v>28222</v>
      </c>
      <c r="OG52" s="34">
        <v>27145</v>
      </c>
      <c r="OH52" s="34">
        <v>7728</v>
      </c>
      <c r="OI52" s="34">
        <v>6009</v>
      </c>
      <c r="OJ52" s="34">
        <v>29167</v>
      </c>
      <c r="OK52" s="34">
        <v>26762</v>
      </c>
      <c r="OL52" s="34">
        <v>26116</v>
      </c>
      <c r="OM52" s="34">
        <v>24583</v>
      </c>
      <c r="ON52" s="34">
        <v>24912</v>
      </c>
      <c r="OO52" s="34">
        <v>7940</v>
      </c>
      <c r="OP52" s="34">
        <v>6518</v>
      </c>
      <c r="OQ52" s="34">
        <v>28037</v>
      </c>
      <c r="OR52" s="34">
        <v>25397</v>
      </c>
      <c r="OS52" s="34">
        <f t="shared" si="40"/>
        <v>0</v>
      </c>
      <c r="OT52" s="34">
        <f t="shared" si="40"/>
        <v>47170</v>
      </c>
      <c r="OU52" s="34">
        <v>20252</v>
      </c>
      <c r="OV52" s="34">
        <v>3387</v>
      </c>
      <c r="OW52" s="34">
        <v>8023</v>
      </c>
      <c r="OX52" s="34">
        <v>20404</v>
      </c>
      <c r="OY52" s="34">
        <v>15959</v>
      </c>
      <c r="OZ52" s="34">
        <v>23045</v>
      </c>
      <c r="PA52" s="34">
        <v>23391</v>
      </c>
      <c r="PB52" s="34">
        <v>22191</v>
      </c>
      <c r="PC52" s="34">
        <v>6305</v>
      </c>
      <c r="PD52" s="34">
        <v>5088</v>
      </c>
      <c r="PE52" s="34">
        <v>27250</v>
      </c>
      <c r="PF52" s="34">
        <v>24614</v>
      </c>
      <c r="PG52" s="34">
        <v>23637</v>
      </c>
      <c r="PH52" s="34">
        <v>22261</v>
      </c>
      <c r="PI52" s="34">
        <v>22861</v>
      </c>
      <c r="PJ52" s="34">
        <v>4967</v>
      </c>
      <c r="PK52" s="34">
        <v>3746</v>
      </c>
      <c r="PL52" s="34">
        <v>4350</v>
      </c>
      <c r="PM52" s="34">
        <v>25541</v>
      </c>
      <c r="PN52" s="34">
        <v>23912</v>
      </c>
      <c r="PO52" s="34">
        <v>23441</v>
      </c>
      <c r="PP52" s="34">
        <v>21757</v>
      </c>
      <c r="PQ52" s="34">
        <v>5248</v>
      </c>
      <c r="PR52" s="34">
        <v>4848</v>
      </c>
      <c r="PS52" s="34">
        <v>24888</v>
      </c>
      <c r="PT52" s="34">
        <v>26253</v>
      </c>
      <c r="PU52" s="34">
        <v>25597</v>
      </c>
      <c r="PV52" s="34">
        <v>22380</v>
      </c>
      <c r="PW52" s="34">
        <v>20051</v>
      </c>
      <c r="PX52" s="34">
        <v>5495</v>
      </c>
      <c r="PY52" s="34">
        <v>4479</v>
      </c>
      <c r="PZ52" s="34">
        <v>22562</v>
      </c>
      <c r="QA52" s="34">
        <v>22031</v>
      </c>
      <c r="QB52" s="34">
        <v>20794</v>
      </c>
      <c r="QC52" s="34">
        <v>21701</v>
      </c>
      <c r="QD52" s="34">
        <v>18913</v>
      </c>
      <c r="QE52" s="34">
        <v>5167</v>
      </c>
      <c r="QF52" s="34">
        <v>4561</v>
      </c>
      <c r="QG52" s="34">
        <v>22196</v>
      </c>
      <c r="QH52" s="34">
        <v>23968</v>
      </c>
      <c r="QI52" s="34">
        <v>23597</v>
      </c>
      <c r="QJ52" s="34">
        <v>22166</v>
      </c>
      <c r="QK52" s="34">
        <v>18753</v>
      </c>
      <c r="QL52" s="34">
        <v>4800</v>
      </c>
      <c r="QM52" s="34">
        <v>4328</v>
      </c>
      <c r="QN52" s="34">
        <v>20219</v>
      </c>
      <c r="QO52" s="34">
        <v>20272</v>
      </c>
      <c r="QP52" s="34">
        <v>18878</v>
      </c>
      <c r="QQ52" s="34">
        <v>18520</v>
      </c>
      <c r="QR52" s="34">
        <v>17256</v>
      </c>
      <c r="QS52" s="34">
        <v>4057</v>
      </c>
      <c r="QT52" s="34">
        <v>3700</v>
      </c>
      <c r="QU52" s="34">
        <v>19649</v>
      </c>
      <c r="QV52" s="34">
        <v>19872</v>
      </c>
      <c r="QW52" s="34">
        <v>20499</v>
      </c>
      <c r="QX52" s="34">
        <v>20695</v>
      </c>
      <c r="QY52" s="34">
        <v>14750</v>
      </c>
      <c r="QZ52" s="34">
        <v>2151</v>
      </c>
      <c r="RA52" s="34">
        <v>4631</v>
      </c>
      <c r="RB52" s="34">
        <v>23350</v>
      </c>
      <c r="RC52" s="34">
        <v>25798</v>
      </c>
      <c r="RD52" s="34">
        <v>29929</v>
      </c>
      <c r="RE52" s="34">
        <v>31272</v>
      </c>
      <c r="RF52" s="34">
        <v>24444</v>
      </c>
      <c r="RG52" s="34">
        <v>3729</v>
      </c>
      <c r="RH52" s="34">
        <v>7347</v>
      </c>
      <c r="RI52" s="34">
        <v>40620</v>
      </c>
      <c r="RJ52" s="34">
        <v>49378</v>
      </c>
      <c r="RK52" s="34">
        <v>55638</v>
      </c>
      <c r="RL52" s="34">
        <v>59730</v>
      </c>
      <c r="RM52" s="34">
        <v>63276</v>
      </c>
      <c r="RN52" s="34">
        <v>20754</v>
      </c>
      <c r="RO52" s="34">
        <v>18767</v>
      </c>
      <c r="RP52" s="34">
        <v>69053</v>
      </c>
      <c r="RQ52" s="34">
        <v>81397</v>
      </c>
      <c r="RR52" s="34">
        <v>77683</v>
      </c>
      <c r="RS52" s="34">
        <v>75050</v>
      </c>
      <c r="RT52" s="34">
        <v>76499</v>
      </c>
      <c r="RU52" s="34">
        <v>27015</v>
      </c>
      <c r="RV52" s="34">
        <v>23893</v>
      </c>
      <c r="RW52" s="34">
        <v>80875</v>
      </c>
      <c r="RX52" s="34">
        <v>153823</v>
      </c>
      <c r="RY52" s="34">
        <v>79575</v>
      </c>
      <c r="RZ52" s="34">
        <v>75254</v>
      </c>
      <c r="SA52" s="34">
        <v>77675</v>
      </c>
      <c r="SB52" s="34">
        <v>29116</v>
      </c>
      <c r="SC52" s="34">
        <v>23444</v>
      </c>
      <c r="SD52" s="34">
        <v>73988</v>
      </c>
      <c r="SE52" s="34">
        <v>75625</v>
      </c>
      <c r="SF52" s="34">
        <v>78181</v>
      </c>
      <c r="SG52" s="34">
        <v>70683</v>
      </c>
      <c r="SH52" s="34">
        <v>67575</v>
      </c>
      <c r="SI52" s="34">
        <v>19730</v>
      </c>
      <c r="SJ52" s="34">
        <v>37763</v>
      </c>
      <c r="SK52" s="34">
        <v>69149</v>
      </c>
      <c r="SL52" s="34">
        <v>66963</v>
      </c>
      <c r="SM52" s="34">
        <v>62637</v>
      </c>
      <c r="SN52" s="34">
        <v>61488</v>
      </c>
      <c r="SO52" s="34">
        <v>56532</v>
      </c>
      <c r="SP52" s="34">
        <v>16677</v>
      </c>
      <c r="SQ52" s="34">
        <v>16413</v>
      </c>
      <c r="SR52" s="34">
        <v>12454</v>
      </c>
      <c r="SS52" s="34">
        <v>44491</v>
      </c>
      <c r="ST52" s="34">
        <v>54819</v>
      </c>
      <c r="SU52" s="34">
        <v>52672</v>
      </c>
      <c r="SV52" s="34">
        <v>45687</v>
      </c>
      <c r="SW52" s="34">
        <v>14516</v>
      </c>
      <c r="SX52" s="34">
        <v>12148</v>
      </c>
      <c r="SY52" s="34">
        <v>39732</v>
      </c>
      <c r="SZ52" s="34">
        <v>41147</v>
      </c>
      <c r="TA52" s="34">
        <v>41340</v>
      </c>
      <c r="TB52" s="34">
        <v>40790</v>
      </c>
      <c r="TC52" s="34">
        <v>37339</v>
      </c>
      <c r="TD52" s="34">
        <v>11923</v>
      </c>
      <c r="TE52" s="34">
        <v>9047</v>
      </c>
      <c r="TF52" s="34">
        <v>40965</v>
      </c>
      <c r="TG52" s="34">
        <v>38352</v>
      </c>
      <c r="TH52" s="34">
        <v>37238</v>
      </c>
      <c r="TI52" s="34">
        <v>32589</v>
      </c>
      <c r="TJ52" s="34">
        <v>30379</v>
      </c>
      <c r="TK52" s="34">
        <v>9441</v>
      </c>
      <c r="TL52" s="34">
        <v>4918</v>
      </c>
      <c r="TM52" s="34">
        <v>31593</v>
      </c>
      <c r="TN52" s="34">
        <v>26448</v>
      </c>
      <c r="TO52" s="34">
        <v>24477</v>
      </c>
      <c r="TP52" s="34">
        <v>26922</v>
      </c>
      <c r="TQ52" s="34">
        <v>26262</v>
      </c>
      <c r="TR52" s="34">
        <v>7568</v>
      </c>
      <c r="TS52" s="34">
        <v>5542</v>
      </c>
      <c r="TT52" s="34">
        <v>27441</v>
      </c>
      <c r="TU52" s="34">
        <v>22054</v>
      </c>
      <c r="TV52" s="34">
        <v>21102</v>
      </c>
      <c r="TW52" s="34">
        <v>19406</v>
      </c>
      <c r="TX52" s="34">
        <v>17952</v>
      </c>
      <c r="TY52" s="34">
        <v>5368</v>
      </c>
      <c r="TZ52" s="34">
        <v>3618</v>
      </c>
      <c r="UA52" s="34">
        <v>21439</v>
      </c>
      <c r="UB52" s="34">
        <v>19768</v>
      </c>
      <c r="UC52" s="34">
        <v>34293</v>
      </c>
      <c r="UD52" s="34">
        <v>0</v>
      </c>
      <c r="UE52" s="34">
        <v>15130</v>
      </c>
      <c r="UF52" s="34">
        <v>5072</v>
      </c>
      <c r="UG52" s="34">
        <v>3148</v>
      </c>
      <c r="UH52" s="34">
        <v>3555</v>
      </c>
      <c r="UI52" s="34">
        <v>17725</v>
      </c>
      <c r="UJ52" s="34">
        <v>15227</v>
      </c>
      <c r="UK52" s="34">
        <v>14800</v>
      </c>
      <c r="UL52" s="34">
        <v>14125</v>
      </c>
      <c r="UM52" s="34">
        <v>5044</v>
      </c>
      <c r="UN52" s="34">
        <v>3381</v>
      </c>
      <c r="UO52" s="34">
        <v>15615</v>
      </c>
      <c r="UP52" s="34">
        <v>13780</v>
      </c>
      <c r="UQ52" s="34">
        <v>25292</v>
      </c>
      <c r="UR52" s="34">
        <v>12635</v>
      </c>
      <c r="US52" s="34">
        <v>0</v>
      </c>
      <c r="UT52" s="34">
        <v>4548</v>
      </c>
      <c r="UU52" s="34">
        <v>2923</v>
      </c>
      <c r="UV52" s="34">
        <v>15335</v>
      </c>
      <c r="UW52" s="34">
        <v>14191</v>
      </c>
      <c r="UX52" s="34">
        <v>13537</v>
      </c>
      <c r="UY52" s="34">
        <v>14023</v>
      </c>
      <c r="UZ52" s="34">
        <v>10238</v>
      </c>
      <c r="VA52" s="34">
        <v>4115</v>
      </c>
      <c r="VB52" s="34">
        <v>1542</v>
      </c>
      <c r="VC52" s="34">
        <v>15904</v>
      </c>
      <c r="VD52" s="34">
        <v>0</v>
      </c>
      <c r="VE52" s="34">
        <v>0</v>
      </c>
      <c r="VF52" s="34">
        <v>14091</v>
      </c>
      <c r="VG52" s="34">
        <v>0</v>
      </c>
      <c r="VH52" s="34">
        <v>9283</v>
      </c>
      <c r="VI52" s="34">
        <v>2436</v>
      </c>
      <c r="VJ52" s="34">
        <v>11193</v>
      </c>
      <c r="VK52" s="34">
        <v>9273</v>
      </c>
      <c r="VL52" s="34">
        <v>18044</v>
      </c>
      <c r="VM52" s="34">
        <v>7076</v>
      </c>
      <c r="VN52" s="34">
        <v>0</v>
      </c>
      <c r="VO52" s="34">
        <v>3285</v>
      </c>
      <c r="VP52" s="34">
        <v>1702</v>
      </c>
      <c r="VQ52" s="34">
        <v>9888</v>
      </c>
      <c r="VR52" s="34">
        <v>8253</v>
      </c>
      <c r="VS52" s="34">
        <v>15658</v>
      </c>
      <c r="VT52" s="34">
        <v>0</v>
      </c>
      <c r="VU52" s="34">
        <v>0</v>
      </c>
      <c r="VV52" s="34">
        <v>0</v>
      </c>
      <c r="VW52" s="34">
        <v>0</v>
      </c>
      <c r="VX52" s="34">
        <v>0</v>
      </c>
      <c r="VY52" s="34">
        <v>0</v>
      </c>
      <c r="VZ52" s="34">
        <v>0</v>
      </c>
      <c r="WA52" s="34">
        <v>0</v>
      </c>
      <c r="WB52" s="34">
        <v>0</v>
      </c>
      <c r="WC52" s="34">
        <v>53815</v>
      </c>
      <c r="WD52" s="34">
        <v>0</v>
      </c>
      <c r="WE52" s="34">
        <v>0</v>
      </c>
      <c r="WF52" s="34">
        <v>0</v>
      </c>
      <c r="WG52" s="34">
        <v>0</v>
      </c>
      <c r="WH52" s="34">
        <v>0</v>
      </c>
      <c r="WI52" s="34">
        <v>0</v>
      </c>
      <c r="WJ52" s="34">
        <v>42314</v>
      </c>
      <c r="WK52" s="34">
        <v>0</v>
      </c>
      <c r="WL52" s="34">
        <v>0</v>
      </c>
      <c r="WM52">
        <v>0</v>
      </c>
      <c r="WN52">
        <v>0</v>
      </c>
      <c r="WO52">
        <v>0</v>
      </c>
      <c r="WP52">
        <v>0</v>
      </c>
      <c r="WQ52">
        <v>52408</v>
      </c>
      <c r="WR52">
        <v>0</v>
      </c>
      <c r="WS52">
        <v>0</v>
      </c>
      <c r="WT52">
        <v>0</v>
      </c>
      <c r="WU52">
        <v>0</v>
      </c>
      <c r="WV52">
        <v>0</v>
      </c>
      <c r="WW52">
        <v>0</v>
      </c>
      <c r="WX52">
        <v>55428</v>
      </c>
      <c r="WY52">
        <v>0</v>
      </c>
      <c r="WZ52">
        <v>0</v>
      </c>
      <c r="XA52">
        <v>0</v>
      </c>
      <c r="XB52">
        <v>0</v>
      </c>
      <c r="XC52">
        <v>0</v>
      </c>
      <c r="XD52">
        <v>0</v>
      </c>
      <c r="XE52">
        <v>0</v>
      </c>
      <c r="XF52">
        <v>138111</v>
      </c>
      <c r="XG52">
        <v>0</v>
      </c>
      <c r="XH52">
        <v>0</v>
      </c>
      <c r="XI52">
        <v>0</v>
      </c>
      <c r="XJ52">
        <v>0</v>
      </c>
      <c r="XK52">
        <v>0</v>
      </c>
      <c r="XL52">
        <v>23521</v>
      </c>
      <c r="XM52">
        <v>87556</v>
      </c>
      <c r="XN52">
        <v>0</v>
      </c>
      <c r="XO52">
        <v>0</v>
      </c>
      <c r="XP52">
        <v>0</v>
      </c>
      <c r="XQ52">
        <v>0</v>
      </c>
      <c r="XR52">
        <v>145728</v>
      </c>
      <c r="XS52">
        <v>0</v>
      </c>
      <c r="XT52">
        <v>0</v>
      </c>
      <c r="XU52">
        <v>0</v>
      </c>
      <c r="XV52">
        <v>0</v>
      </c>
      <c r="XW52">
        <v>0</v>
      </c>
      <c r="XX52">
        <v>0</v>
      </c>
      <c r="XY52">
        <v>28344</v>
      </c>
      <c r="XZ52">
        <v>11523</v>
      </c>
      <c r="YA52">
        <v>5964</v>
      </c>
      <c r="YB52">
        <v>37771</v>
      </c>
      <c r="YC52">
        <v>115869</v>
      </c>
      <c r="YD52">
        <v>38827</v>
      </c>
      <c r="YE52">
        <v>11294</v>
      </c>
      <c r="YF52" s="1">
        <v>6561</v>
      </c>
      <c r="YG52" s="1">
        <v>0</v>
      </c>
      <c r="YH52" s="1">
        <v>0</v>
      </c>
      <c r="YI52" s="1">
        <v>45268</v>
      </c>
      <c r="YJ52">
        <v>48244</v>
      </c>
      <c r="YK52">
        <v>98949</v>
      </c>
      <c r="YL52">
        <v>49386</v>
      </c>
      <c r="YM52">
        <v>14608</v>
      </c>
      <c r="YN52">
        <v>9090</v>
      </c>
      <c r="YO52">
        <v>0</v>
      </c>
      <c r="YP52">
        <v>56180</v>
      </c>
      <c r="YQ52">
        <v>106482</v>
      </c>
      <c r="YR52">
        <v>52620</v>
      </c>
      <c r="YS52">
        <v>0</v>
      </c>
      <c r="YT52">
        <v>46821</v>
      </c>
      <c r="YU52">
        <v>13409</v>
      </c>
      <c r="YV52">
        <v>8559</v>
      </c>
      <c r="YW52">
        <v>204072</v>
      </c>
      <c r="YX52">
        <v>0</v>
      </c>
      <c r="YY52">
        <v>0</v>
      </c>
      <c r="YZ52">
        <v>0</v>
      </c>
      <c r="ZA52">
        <v>43553</v>
      </c>
      <c r="ZB52">
        <v>12024</v>
      </c>
      <c r="ZC52">
        <v>6675</v>
      </c>
      <c r="ZD52">
        <v>47234</v>
      </c>
      <c r="ZE52">
        <v>42441</v>
      </c>
      <c r="ZF52">
        <v>74007</v>
      </c>
      <c r="ZG52">
        <v>30188</v>
      </c>
      <c r="ZH52">
        <v>7636</v>
      </c>
      <c r="ZI52">
        <v>4605</v>
      </c>
      <c r="ZJ52">
        <v>36743</v>
      </c>
      <c r="ZK52">
        <v>32547</v>
      </c>
      <c r="ZL52">
        <v>29912</v>
      </c>
      <c r="ZM52">
        <v>29035</v>
      </c>
      <c r="ZN52">
        <v>24558</v>
      </c>
      <c r="ZO52">
        <v>59759</v>
      </c>
      <c r="ZP52">
        <v>3964</v>
      </c>
      <c r="ZQ52">
        <v>28484</v>
      </c>
      <c r="ZR52">
        <v>25271</v>
      </c>
      <c r="ZS52">
        <v>23140</v>
      </c>
      <c r="ZT52">
        <v>21816</v>
      </c>
      <c r="ZU52">
        <v>18801</v>
      </c>
      <c r="ZV52">
        <v>5158</v>
      </c>
      <c r="ZW52">
        <v>2749</v>
      </c>
      <c r="ZX52">
        <v>20854</v>
      </c>
      <c r="ZY52">
        <v>18656</v>
      </c>
      <c r="ZZ52">
        <v>18082</v>
      </c>
      <c r="AAA52">
        <v>32057</v>
      </c>
      <c r="AAB52">
        <v>0</v>
      </c>
      <c r="AAC52">
        <v>3782</v>
      </c>
      <c r="AAD52">
        <v>2442</v>
      </c>
      <c r="AAE52">
        <v>17978</v>
      </c>
      <c r="AAF52">
        <v>16196</v>
      </c>
      <c r="AAG52">
        <v>16708</v>
      </c>
      <c r="AAH52">
        <v>13372</v>
      </c>
      <c r="AAI52">
        <v>25947</v>
      </c>
      <c r="AAJ52">
        <v>3456</v>
      </c>
      <c r="AAK52">
        <v>1920</v>
      </c>
      <c r="AAL52">
        <v>16425</v>
      </c>
      <c r="AAM52">
        <v>14470</v>
      </c>
      <c r="AAN52">
        <v>24832</v>
      </c>
      <c r="AAO52">
        <v>11329</v>
      </c>
      <c r="AAP52">
        <v>0</v>
      </c>
      <c r="AAQ52">
        <v>3328</v>
      </c>
      <c r="AAR52">
        <v>2061</v>
      </c>
      <c r="AAS52">
        <v>15884</v>
      </c>
      <c r="AAT52">
        <v>12765</v>
      </c>
      <c r="AAU52">
        <v>11599</v>
      </c>
      <c r="AAV52">
        <v>21489</v>
      </c>
      <c r="AAW52">
        <v>0</v>
      </c>
      <c r="AAX52">
        <v>3456</v>
      </c>
      <c r="AAY52">
        <v>2432</v>
      </c>
      <c r="AAZ52">
        <v>13891</v>
      </c>
      <c r="ABA52">
        <v>12056</v>
      </c>
      <c r="ABB52">
        <v>17176</v>
      </c>
      <c r="ABC52">
        <v>2983</v>
      </c>
      <c r="ABD52">
        <v>0</v>
      </c>
      <c r="ABE52">
        <v>2163</v>
      </c>
      <c r="ABF52">
        <v>12723</v>
      </c>
      <c r="ABG52">
        <v>0</v>
      </c>
      <c r="ABH52">
        <v>0</v>
      </c>
      <c r="ABI52">
        <v>0</v>
      </c>
      <c r="ABJ52">
        <v>0</v>
      </c>
      <c r="ABK52">
        <v>0</v>
      </c>
      <c r="ABL52">
        <v>0</v>
      </c>
      <c r="ABM52">
        <v>46967</v>
      </c>
      <c r="ABN52">
        <v>0</v>
      </c>
      <c r="ABO52">
        <v>0</v>
      </c>
      <c r="ABP52">
        <v>0</v>
      </c>
      <c r="ABQ52">
        <v>0</v>
      </c>
      <c r="ABR52">
        <v>0</v>
      </c>
      <c r="ABS52">
        <v>0</v>
      </c>
      <c r="ABT52">
        <v>49029</v>
      </c>
      <c r="ABU52">
        <v>0</v>
      </c>
      <c r="ABV52">
        <v>0</v>
      </c>
      <c r="ABW52">
        <v>0</v>
      </c>
      <c r="ABX52">
        <v>0</v>
      </c>
      <c r="ABY52">
        <v>0</v>
      </c>
      <c r="ABZ52">
        <v>0</v>
      </c>
      <c r="ACA52">
        <v>42486</v>
      </c>
      <c r="ACB52">
        <v>38691</v>
      </c>
      <c r="ACC52">
        <v>0</v>
      </c>
      <c r="ACD52">
        <v>0</v>
      </c>
      <c r="ACE52">
        <v>0</v>
      </c>
      <c r="ACF52">
        <v>0</v>
      </c>
      <c r="ACG52">
        <v>0</v>
      </c>
      <c r="ACH52">
        <v>0</v>
      </c>
      <c r="ACI52">
        <v>0</v>
      </c>
      <c r="ACJ52">
        <v>0</v>
      </c>
      <c r="ACK52">
        <v>0</v>
      </c>
      <c r="ACL52">
        <v>0</v>
      </c>
      <c r="ACM52">
        <v>0</v>
      </c>
      <c r="ACN52">
        <v>40874</v>
      </c>
      <c r="ACO52">
        <v>0</v>
      </c>
      <c r="ACP52">
        <v>0</v>
      </c>
      <c r="ACQ52">
        <v>0</v>
      </c>
      <c r="ACR52">
        <v>0</v>
      </c>
      <c r="ACS52">
        <v>0</v>
      </c>
      <c r="ACT52">
        <v>0</v>
      </c>
      <c r="ACU52">
        <v>36380</v>
      </c>
      <c r="ACV52">
        <v>0</v>
      </c>
      <c r="ACW52">
        <v>0</v>
      </c>
      <c r="ACX52">
        <v>0</v>
      </c>
      <c r="ACY52">
        <v>0</v>
      </c>
      <c r="ACZ52">
        <v>0</v>
      </c>
      <c r="ADA52">
        <v>0</v>
      </c>
      <c r="ADB52">
        <v>0</v>
      </c>
      <c r="ADC52">
        <v>0</v>
      </c>
      <c r="ADD52">
        <v>0</v>
      </c>
      <c r="ADE52">
        <v>0</v>
      </c>
      <c r="ADF52">
        <v>56729</v>
      </c>
      <c r="ADG52">
        <v>0</v>
      </c>
      <c r="ADH52">
        <v>0</v>
      </c>
      <c r="ADI52">
        <v>17746</v>
      </c>
      <c r="ADJ52">
        <v>0</v>
      </c>
      <c r="ADK52">
        <v>0</v>
      </c>
      <c r="ADL52">
        <v>41662</v>
      </c>
      <c r="ADM52">
        <v>0</v>
      </c>
      <c r="ADN52">
        <v>0</v>
      </c>
      <c r="ADO52">
        <v>0</v>
      </c>
      <c r="ADP52">
        <v>0</v>
      </c>
      <c r="ADQ52">
        <v>0</v>
      </c>
      <c r="ADR52">
        <v>0</v>
      </c>
      <c r="ADS52">
        <v>0</v>
      </c>
      <c r="ADT52">
        <v>0</v>
      </c>
      <c r="ADU52">
        <v>0</v>
      </c>
      <c r="ADV52">
        <v>0</v>
      </c>
      <c r="ADW52">
        <v>0</v>
      </c>
      <c r="ADX52">
        <v>0</v>
      </c>
      <c r="ADY52">
        <v>41019</v>
      </c>
      <c r="ADZ52">
        <v>0</v>
      </c>
      <c r="AEA52">
        <v>0</v>
      </c>
      <c r="AEB52">
        <v>0</v>
      </c>
      <c r="AEC52">
        <v>0</v>
      </c>
      <c r="AED52">
        <v>91792</v>
      </c>
      <c r="AEE52">
        <v>0</v>
      </c>
      <c r="AEF52">
        <v>0</v>
      </c>
      <c r="AEG52">
        <v>0</v>
      </c>
      <c r="AEH52">
        <v>0</v>
      </c>
      <c r="AEI52">
        <v>0</v>
      </c>
      <c r="AEJ52">
        <v>0</v>
      </c>
      <c r="AEK52">
        <v>88758</v>
      </c>
      <c r="AEL52">
        <v>0</v>
      </c>
      <c r="AEM52">
        <v>0</v>
      </c>
      <c r="AEN52">
        <v>0</v>
      </c>
      <c r="AEO52">
        <v>0</v>
      </c>
      <c r="AEP52">
        <v>0</v>
      </c>
      <c r="AEQ52">
        <v>0</v>
      </c>
      <c r="AER52">
        <v>104307</v>
      </c>
      <c r="AES52">
        <v>0</v>
      </c>
      <c r="AET52">
        <v>0</v>
      </c>
      <c r="AEU52">
        <v>0</v>
      </c>
      <c r="AEV52">
        <v>0</v>
      </c>
      <c r="AEW52">
        <v>0</v>
      </c>
      <c r="AEX52">
        <v>0</v>
      </c>
      <c r="AEY52">
        <v>0</v>
      </c>
      <c r="AEZ52">
        <v>0</v>
      </c>
      <c r="AFA52">
        <v>0</v>
      </c>
      <c r="AFB52">
        <v>0</v>
      </c>
      <c r="AFC52">
        <v>0</v>
      </c>
      <c r="AFD52">
        <v>0</v>
      </c>
      <c r="AFE52">
        <v>109778</v>
      </c>
      <c r="AFF52">
        <v>0</v>
      </c>
      <c r="AFG52">
        <v>0</v>
      </c>
      <c r="AFH52">
        <v>0</v>
      </c>
      <c r="AFI52">
        <v>0</v>
      </c>
      <c r="AFJ52">
        <v>0</v>
      </c>
      <c r="AFK52">
        <v>0</v>
      </c>
      <c r="AFL52">
        <v>0</v>
      </c>
      <c r="AFM52">
        <v>0</v>
      </c>
      <c r="AFN52">
        <v>45690</v>
      </c>
      <c r="AFO52">
        <v>0</v>
      </c>
      <c r="AFP52">
        <v>0</v>
      </c>
      <c r="AFQ52">
        <v>0</v>
      </c>
      <c r="AFR52">
        <v>0</v>
      </c>
      <c r="AFS52">
        <v>0</v>
      </c>
      <c r="AFT52">
        <v>91256</v>
      </c>
      <c r="AFU52">
        <v>0</v>
      </c>
      <c r="AFV52">
        <v>0</v>
      </c>
      <c r="AFW52">
        <v>0</v>
      </c>
      <c r="AFX52">
        <v>0</v>
      </c>
      <c r="AFY52">
        <v>0</v>
      </c>
      <c r="AFZ52">
        <v>0</v>
      </c>
      <c r="AGA52">
        <v>66787</v>
      </c>
      <c r="AGB52">
        <v>0</v>
      </c>
      <c r="AGC52">
        <v>0</v>
      </c>
      <c r="AGD52">
        <v>0</v>
      </c>
      <c r="AGE52">
        <v>0</v>
      </c>
      <c r="AGF52">
        <v>0</v>
      </c>
      <c r="AGG52">
        <v>0</v>
      </c>
      <c r="AGH52">
        <v>0</v>
      </c>
      <c r="AGI52">
        <v>0</v>
      </c>
      <c r="AGJ52">
        <v>0</v>
      </c>
      <c r="AGK52">
        <v>0</v>
      </c>
      <c r="AGL52">
        <v>0</v>
      </c>
      <c r="AGM52">
        <v>0</v>
      </c>
      <c r="AGN52">
        <v>0</v>
      </c>
      <c r="AGO52">
        <v>109353</v>
      </c>
      <c r="AGP52">
        <v>0</v>
      </c>
      <c r="AGQ52">
        <v>0</v>
      </c>
      <c r="AGR52">
        <v>0</v>
      </c>
      <c r="AGS52">
        <v>0</v>
      </c>
      <c r="AGT52">
        <v>0</v>
      </c>
      <c r="AGU52">
        <v>0</v>
      </c>
      <c r="AGV52">
        <v>0</v>
      </c>
      <c r="AGW52">
        <v>0</v>
      </c>
      <c r="AGX52">
        <v>0</v>
      </c>
      <c r="AGY52">
        <v>0</v>
      </c>
      <c r="AGZ52">
        <v>0</v>
      </c>
      <c r="AHA52">
        <v>0</v>
      </c>
      <c r="AHB52">
        <v>0</v>
      </c>
      <c r="AHC52">
        <v>105644</v>
      </c>
      <c r="AHD52">
        <v>0</v>
      </c>
      <c r="AHE52">
        <v>0</v>
      </c>
      <c r="AHF52">
        <v>0</v>
      </c>
      <c r="AHG52">
        <v>0</v>
      </c>
      <c r="AHH52">
        <v>0</v>
      </c>
      <c r="AHI52">
        <v>0</v>
      </c>
      <c r="AHJ52">
        <v>0</v>
      </c>
      <c r="AHK52">
        <v>1133</v>
      </c>
      <c r="AHL52">
        <v>0</v>
      </c>
      <c r="AHM52">
        <v>0</v>
      </c>
      <c r="AHN52">
        <v>0</v>
      </c>
      <c r="AHO52">
        <v>0</v>
      </c>
      <c r="AHP52">
        <v>0</v>
      </c>
      <c r="AHQ52">
        <v>0</v>
      </c>
    </row>
    <row r="53" spans="1:901">
      <c r="A53" s="1" t="s">
        <v>71</v>
      </c>
      <c r="C53" s="34">
        <f t="shared" si="28"/>
        <v>5355</v>
      </c>
      <c r="D53" s="34">
        <f t="shared" si="28"/>
        <v>5434</v>
      </c>
      <c r="E53" s="34">
        <f t="shared" si="29"/>
        <v>5788</v>
      </c>
      <c r="F53" s="34">
        <f t="shared" si="30"/>
        <v>4966</v>
      </c>
      <c r="G53" s="34">
        <f t="shared" si="31"/>
        <v>3898</v>
      </c>
      <c r="H53" s="34">
        <f t="shared" si="32"/>
        <v>4543</v>
      </c>
      <c r="I53" s="34">
        <f t="shared" si="32"/>
        <v>5520</v>
      </c>
      <c r="J53" s="34">
        <f t="shared" si="0"/>
        <v>6150</v>
      </c>
      <c r="K53" s="34">
        <f t="shared" si="0"/>
        <v>5532</v>
      </c>
      <c r="L53" s="34">
        <f t="shared" si="0"/>
        <v>8872</v>
      </c>
      <c r="M53" s="34">
        <f t="shared" si="0"/>
        <v>4476</v>
      </c>
      <c r="N53" s="34">
        <f t="shared" si="0"/>
        <v>4234</v>
      </c>
      <c r="O53" s="34">
        <f t="shared" si="0"/>
        <v>5212</v>
      </c>
      <c r="P53" s="34">
        <f t="shared" si="0"/>
        <v>5803</v>
      </c>
      <c r="Q53" s="34">
        <f t="shared" si="0"/>
        <v>5437</v>
      </c>
      <c r="R53" s="34">
        <f t="shared" si="0"/>
        <v>5565</v>
      </c>
      <c r="S53" s="34">
        <f t="shared" si="0"/>
        <v>5249</v>
      </c>
      <c r="T53" s="34">
        <f t="shared" si="0"/>
        <v>4143</v>
      </c>
      <c r="U53" s="34">
        <f t="shared" si="0"/>
        <v>5925</v>
      </c>
      <c r="V53" s="34">
        <f t="shared" si="0"/>
        <v>6215</v>
      </c>
      <c r="W53" s="34">
        <f t="shared" si="0"/>
        <v>5836</v>
      </c>
      <c r="X53" s="34">
        <f t="shared" si="0"/>
        <v>6728</v>
      </c>
      <c r="Y53" s="34">
        <f t="shared" ref="Y53:Y62" si="63">Y32-X32</f>
        <v>7029</v>
      </c>
      <c r="Z53" s="34">
        <f t="shared" si="1"/>
        <v>4560</v>
      </c>
      <c r="AA53" s="34">
        <f t="shared" si="1"/>
        <v>4072</v>
      </c>
      <c r="AB53" s="34">
        <f t="shared" si="1"/>
        <v>5135</v>
      </c>
      <c r="AC53" s="34">
        <f t="shared" si="1"/>
        <v>6622</v>
      </c>
      <c r="AD53" s="34">
        <f t="shared" si="1"/>
        <v>6976</v>
      </c>
      <c r="AE53" s="34">
        <f t="shared" si="1"/>
        <v>6472</v>
      </c>
      <c r="AF53" s="34">
        <f t="shared" si="1"/>
        <v>4188</v>
      </c>
      <c r="AG53" s="34">
        <f t="shared" si="1"/>
        <v>4774</v>
      </c>
      <c r="AH53" s="34">
        <f t="shared" si="1"/>
        <v>2847</v>
      </c>
      <c r="AI53" s="34">
        <f t="shared" si="1"/>
        <v>5683</v>
      </c>
      <c r="AJ53" s="34">
        <f t="shared" si="1"/>
        <v>8514</v>
      </c>
      <c r="AK53" s="34">
        <f t="shared" si="1"/>
        <v>7748</v>
      </c>
      <c r="AL53" s="34">
        <f t="shared" si="1"/>
        <v>6909</v>
      </c>
      <c r="AM53" s="34">
        <f t="shared" si="50"/>
        <v>6443</v>
      </c>
      <c r="AN53" s="34">
        <f t="shared" si="2"/>
        <v>6657</v>
      </c>
      <c r="AO53" s="34">
        <f t="shared" si="2"/>
        <v>3655</v>
      </c>
      <c r="AP53" s="34">
        <f t="shared" si="2"/>
        <v>6999</v>
      </c>
      <c r="AQ53" s="34">
        <f t="shared" si="2"/>
        <v>7896</v>
      </c>
      <c r="AR53" s="34">
        <f t="shared" si="2"/>
        <v>7939</v>
      </c>
      <c r="AS53" s="34">
        <f t="shared" si="2"/>
        <v>8103</v>
      </c>
      <c r="AT53" s="34">
        <f t="shared" si="2"/>
        <v>7446</v>
      </c>
      <c r="AU53" s="34">
        <f t="shared" si="2"/>
        <v>6482</v>
      </c>
      <c r="AV53" s="34">
        <f t="shared" si="2"/>
        <v>4613</v>
      </c>
      <c r="AW53" s="34">
        <f t="shared" si="2"/>
        <v>5790</v>
      </c>
      <c r="AX53" s="34">
        <f t="shared" si="2"/>
        <v>3201</v>
      </c>
      <c r="AY53" s="34">
        <f t="shared" si="2"/>
        <v>4329</v>
      </c>
      <c r="AZ53" s="34">
        <f t="shared" si="2"/>
        <v>7409</v>
      </c>
      <c r="BA53" s="34">
        <f t="shared" si="51"/>
        <v>6448</v>
      </c>
      <c r="BB53" s="34">
        <f t="shared" si="3"/>
        <v>7009</v>
      </c>
      <c r="BC53" s="34">
        <f t="shared" si="3"/>
        <v>5347</v>
      </c>
      <c r="BD53" s="34">
        <f t="shared" si="3"/>
        <v>7079</v>
      </c>
      <c r="BE53" s="34">
        <f t="shared" si="3"/>
        <v>6288</v>
      </c>
      <c r="BF53" s="34">
        <f t="shared" si="3"/>
        <v>7093</v>
      </c>
      <c r="BG53" s="34">
        <f t="shared" si="3"/>
        <v>9154</v>
      </c>
      <c r="BH53" s="34">
        <f t="shared" si="3"/>
        <v>5521</v>
      </c>
      <c r="BI53" s="34">
        <f t="shared" si="3"/>
        <v>9906</v>
      </c>
      <c r="BJ53" s="34">
        <f t="shared" si="3"/>
        <v>7220</v>
      </c>
      <c r="BK53" s="34">
        <f t="shared" si="3"/>
        <v>8948</v>
      </c>
      <c r="BL53" s="34">
        <f t="shared" si="3"/>
        <v>9205</v>
      </c>
      <c r="BM53" s="34">
        <f t="shared" si="3"/>
        <v>10615</v>
      </c>
      <c r="BN53" s="34">
        <f t="shared" si="3"/>
        <v>9853</v>
      </c>
      <c r="BO53" s="34">
        <f t="shared" si="52"/>
        <v>11090</v>
      </c>
      <c r="BP53" s="34">
        <f t="shared" si="52"/>
        <v>9666</v>
      </c>
      <c r="BQ53" s="34">
        <f t="shared" si="52"/>
        <v>6902</v>
      </c>
      <c r="BR53" s="34">
        <f t="shared" si="52"/>
        <v>9620</v>
      </c>
      <c r="BS53" s="34">
        <f t="shared" si="52"/>
        <v>9978</v>
      </c>
      <c r="BT53" s="34">
        <f t="shared" si="52"/>
        <v>10973</v>
      </c>
      <c r="BU53" s="34">
        <f t="shared" si="52"/>
        <v>11038</v>
      </c>
      <c r="BV53" s="34">
        <f t="shared" si="52"/>
        <v>10936</v>
      </c>
      <c r="BW53" s="34">
        <f t="shared" si="52"/>
        <v>8698</v>
      </c>
      <c r="BX53" s="34">
        <f t="shared" si="52"/>
        <v>7061</v>
      </c>
      <c r="BY53" s="34">
        <f t="shared" si="52"/>
        <v>9138</v>
      </c>
      <c r="BZ53" s="34">
        <f t="shared" si="52"/>
        <v>10892</v>
      </c>
      <c r="CA53" s="34">
        <f t="shared" si="52"/>
        <v>14947</v>
      </c>
      <c r="CB53" s="34">
        <f t="shared" si="52"/>
        <v>13402</v>
      </c>
      <c r="CC53" s="34">
        <f t="shared" si="52"/>
        <v>14927</v>
      </c>
      <c r="CD53" s="34">
        <f t="shared" si="52"/>
        <v>9498</v>
      </c>
      <c r="CE53" s="34">
        <f t="shared" si="52"/>
        <v>7970</v>
      </c>
      <c r="CF53" s="34">
        <f t="shared" si="52"/>
        <v>11254</v>
      </c>
      <c r="CG53" s="34">
        <f t="shared" si="52"/>
        <v>8286</v>
      </c>
      <c r="CH53" s="34">
        <f t="shared" si="52"/>
        <v>13299</v>
      </c>
      <c r="CI53" s="34">
        <f t="shared" si="52"/>
        <v>13769</v>
      </c>
      <c r="CJ53" s="34">
        <f t="shared" si="52"/>
        <v>16400</v>
      </c>
      <c r="CK53" s="34">
        <f t="shared" si="52"/>
        <v>12032</v>
      </c>
      <c r="CL53" s="34">
        <f t="shared" si="52"/>
        <v>9570</v>
      </c>
      <c r="CM53" s="34">
        <f t="shared" si="4"/>
        <v>13424</v>
      </c>
      <c r="CN53" s="34">
        <f t="shared" si="4"/>
        <v>13981</v>
      </c>
      <c r="CO53" s="34">
        <f t="shared" si="4"/>
        <v>16162</v>
      </c>
      <c r="CP53" s="34">
        <f t="shared" si="4"/>
        <v>16263</v>
      </c>
      <c r="CQ53" s="34">
        <f t="shared" si="4"/>
        <v>17484</v>
      </c>
      <c r="CR53" s="34">
        <f t="shared" si="4"/>
        <v>13830</v>
      </c>
      <c r="CS53" s="34">
        <f t="shared" si="4"/>
        <v>10346</v>
      </c>
      <c r="CT53" s="34">
        <f t="shared" si="4"/>
        <v>16341</v>
      </c>
      <c r="CU53" s="34">
        <f t="shared" si="4"/>
        <v>14239</v>
      </c>
      <c r="CV53" s="34">
        <f t="shared" si="46"/>
        <v>16375</v>
      </c>
      <c r="CW53" s="34">
        <f t="shared" si="46"/>
        <v>11380</v>
      </c>
      <c r="CX53" s="34">
        <f t="shared" si="46"/>
        <v>9781</v>
      </c>
      <c r="CY53" s="34">
        <f t="shared" si="46"/>
        <v>9831</v>
      </c>
      <c r="CZ53" s="34">
        <f t="shared" si="46"/>
        <v>7722</v>
      </c>
      <c r="DA53" s="34">
        <f t="shared" si="46"/>
        <v>15991</v>
      </c>
      <c r="DB53" s="34">
        <f t="shared" si="46"/>
        <v>15791</v>
      </c>
      <c r="DC53" s="34">
        <f t="shared" si="46"/>
        <v>14423</v>
      </c>
      <c r="DD53" s="34">
        <f t="shared" si="46"/>
        <v>11297</v>
      </c>
      <c r="DE53" s="34">
        <f t="shared" si="46"/>
        <v>6855</v>
      </c>
      <c r="DF53" s="34">
        <f t="shared" si="46"/>
        <v>7838</v>
      </c>
      <c r="DG53" s="34">
        <f t="shared" si="46"/>
        <v>11022</v>
      </c>
      <c r="DH53" s="34">
        <f t="shared" si="46"/>
        <v>12268</v>
      </c>
      <c r="DI53" s="34">
        <f t="shared" si="46"/>
        <v>19830</v>
      </c>
      <c r="DJ53" s="34">
        <f t="shared" si="46"/>
        <v>16136</v>
      </c>
      <c r="DK53" s="34">
        <f t="shared" si="46"/>
        <v>16170</v>
      </c>
      <c r="DL53" s="34">
        <f t="shared" si="46"/>
        <v>16825</v>
      </c>
      <c r="DM53" s="34">
        <f t="shared" si="46"/>
        <v>10389</v>
      </c>
      <c r="DN53" s="34">
        <f t="shared" si="46"/>
        <v>9112</v>
      </c>
      <c r="DO53" s="34">
        <f t="shared" si="46"/>
        <v>17137</v>
      </c>
      <c r="DP53" s="34">
        <f t="shared" si="46"/>
        <v>16267</v>
      </c>
      <c r="DQ53" s="34">
        <f t="shared" si="46"/>
        <v>13269</v>
      </c>
      <c r="DR53" s="34">
        <f t="shared" si="46"/>
        <v>13111</v>
      </c>
      <c r="DS53" s="34">
        <f t="shared" si="46"/>
        <v>16130</v>
      </c>
      <c r="DT53" s="34">
        <f t="shared" si="46"/>
        <v>9663</v>
      </c>
      <c r="DU53" s="34">
        <f t="shared" si="46"/>
        <v>7703</v>
      </c>
      <c r="DV53" s="34">
        <f t="shared" si="46"/>
        <v>13046</v>
      </c>
      <c r="DW53" s="34">
        <f t="shared" si="46"/>
        <v>13584</v>
      </c>
      <c r="DX53" s="34">
        <f t="shared" si="46"/>
        <v>13197</v>
      </c>
      <c r="DY53" s="34">
        <f t="shared" si="46"/>
        <v>13302</v>
      </c>
      <c r="DZ53" s="34">
        <f t="shared" si="46"/>
        <v>13177</v>
      </c>
      <c r="EA53" s="34">
        <f t="shared" si="46"/>
        <v>9279</v>
      </c>
      <c r="EB53" s="34">
        <f t="shared" si="46"/>
        <v>6385</v>
      </c>
      <c r="EC53" s="34">
        <f t="shared" si="46"/>
        <v>10790</v>
      </c>
      <c r="ED53" s="34">
        <f t="shared" si="46"/>
        <v>11277</v>
      </c>
      <c r="EE53" s="34">
        <f t="shared" si="46"/>
        <v>11030</v>
      </c>
      <c r="EF53" s="34">
        <f t="shared" si="46"/>
        <v>11985</v>
      </c>
      <c r="EG53" s="34">
        <f t="shared" si="46"/>
        <v>9916</v>
      </c>
      <c r="EH53" s="34">
        <f t="shared" si="46"/>
        <v>6692</v>
      </c>
      <c r="EI53" s="34">
        <f t="shared" si="5"/>
        <v>5057</v>
      </c>
      <c r="EJ53" s="34">
        <f t="shared" si="5"/>
        <v>9005</v>
      </c>
      <c r="EK53" s="34">
        <f t="shared" si="5"/>
        <v>9879</v>
      </c>
      <c r="EL53" s="34">
        <f t="shared" si="5"/>
        <v>9759</v>
      </c>
      <c r="EM53" s="34">
        <f t="shared" si="5"/>
        <v>9789</v>
      </c>
      <c r="EN53" s="34">
        <f t="shared" si="5"/>
        <v>9446</v>
      </c>
      <c r="EO53" s="34">
        <f t="shared" si="5"/>
        <v>6316</v>
      </c>
      <c r="EP53" s="34">
        <f t="shared" si="5"/>
        <v>5521</v>
      </c>
      <c r="EQ53" s="34">
        <f t="shared" si="53"/>
        <v>8030</v>
      </c>
      <c r="ER53" s="34">
        <f t="shared" si="53"/>
        <v>8983</v>
      </c>
      <c r="ES53" s="34">
        <f t="shared" si="53"/>
        <v>8293</v>
      </c>
      <c r="ET53" s="34">
        <f t="shared" si="53"/>
        <v>11625</v>
      </c>
      <c r="EU53" s="34">
        <f t="shared" si="53"/>
        <v>8955</v>
      </c>
      <c r="EV53" s="34">
        <f t="shared" si="53"/>
        <v>5034</v>
      </c>
      <c r="EW53" s="34">
        <f t="shared" si="53"/>
        <v>4164</v>
      </c>
      <c r="EX53" s="34">
        <f t="shared" si="53"/>
        <v>7239</v>
      </c>
      <c r="EY53" s="34">
        <f t="shared" si="53"/>
        <v>4113</v>
      </c>
      <c r="EZ53" s="34">
        <f t="shared" si="53"/>
        <v>8758</v>
      </c>
      <c r="FA53" s="34">
        <f t="shared" si="53"/>
        <v>10649</v>
      </c>
      <c r="FB53" s="34">
        <f t="shared" si="53"/>
        <v>9031</v>
      </c>
      <c r="FC53" s="34">
        <f t="shared" si="53"/>
        <v>5881</v>
      </c>
      <c r="FD53" s="34">
        <f t="shared" si="53"/>
        <v>10191</v>
      </c>
      <c r="FE53" s="34">
        <f t="shared" si="53"/>
        <v>9276</v>
      </c>
      <c r="FF53" s="34">
        <f t="shared" si="53"/>
        <v>10078</v>
      </c>
      <c r="FG53" s="34">
        <f t="shared" si="53"/>
        <v>9909</v>
      </c>
      <c r="FH53" s="34">
        <f t="shared" si="53"/>
        <v>5942</v>
      </c>
      <c r="FI53" s="34">
        <f t="shared" si="53"/>
        <v>11701</v>
      </c>
      <c r="FJ53" s="34">
        <f t="shared" si="53"/>
        <v>5109</v>
      </c>
      <c r="FK53" s="34">
        <f t="shared" si="53"/>
        <v>5121</v>
      </c>
      <c r="FL53" s="34">
        <f t="shared" si="53"/>
        <v>8418</v>
      </c>
      <c r="FM53" s="34">
        <f t="shared" si="53"/>
        <v>10080</v>
      </c>
      <c r="FN53" s="34">
        <v>8505</v>
      </c>
      <c r="FO53" s="34">
        <f t="shared" si="6"/>
        <v>8900</v>
      </c>
      <c r="FP53" s="34">
        <v>9594</v>
      </c>
      <c r="FQ53" s="34">
        <v>4905</v>
      </c>
      <c r="FR53" s="34">
        <v>4225</v>
      </c>
      <c r="FS53" s="34">
        <v>9002</v>
      </c>
      <c r="FT53" s="34">
        <f t="shared" si="9"/>
        <v>8897</v>
      </c>
      <c r="FU53" s="34">
        <f t="shared" si="9"/>
        <v>9275</v>
      </c>
      <c r="FV53" s="34">
        <f t="shared" si="9"/>
        <v>8431</v>
      </c>
      <c r="FW53" s="34">
        <f t="shared" si="9"/>
        <v>8310</v>
      </c>
      <c r="FX53" s="34">
        <f t="shared" si="9"/>
        <v>5220</v>
      </c>
      <c r="FY53" s="34">
        <f t="shared" si="9"/>
        <v>3574</v>
      </c>
      <c r="FZ53" s="34">
        <f t="shared" si="9"/>
        <v>9148</v>
      </c>
      <c r="GA53" s="34">
        <f t="shared" si="9"/>
        <v>8707</v>
      </c>
      <c r="GB53" s="34">
        <f t="shared" si="9"/>
        <v>8946</v>
      </c>
      <c r="GC53" s="34">
        <f t="shared" si="9"/>
        <v>10580</v>
      </c>
      <c r="GD53" s="34">
        <f t="shared" si="9"/>
        <v>8829</v>
      </c>
      <c r="GE53" s="34">
        <f t="shared" si="9"/>
        <v>5029</v>
      </c>
      <c r="GF53" s="34">
        <f t="shared" si="9"/>
        <v>4486</v>
      </c>
      <c r="GG53" s="34">
        <f t="shared" ref="GG53:GG62" si="64">GG32-GF32</f>
        <v>8987</v>
      </c>
      <c r="GH53" s="34">
        <f t="shared" si="10"/>
        <v>9599</v>
      </c>
      <c r="GI53" s="34">
        <f t="shared" si="10"/>
        <v>9692</v>
      </c>
      <c r="GJ53" s="34">
        <f t="shared" si="10"/>
        <v>9140</v>
      </c>
      <c r="GK53" s="34">
        <f t="shared" si="10"/>
        <v>8961</v>
      </c>
      <c r="GL53" s="34">
        <f t="shared" si="10"/>
        <v>5923</v>
      </c>
      <c r="GM53" s="34">
        <f t="shared" si="10"/>
        <v>4491</v>
      </c>
      <c r="GN53" s="34">
        <f t="shared" si="10"/>
        <v>10218</v>
      </c>
      <c r="GO53" s="34">
        <f t="shared" si="10"/>
        <v>11314</v>
      </c>
      <c r="GP53" s="34">
        <f t="shared" si="10"/>
        <v>9733</v>
      </c>
      <c r="GQ53" s="34">
        <f t="shared" si="10"/>
        <v>6887</v>
      </c>
      <c r="GR53" s="34">
        <f t="shared" si="10"/>
        <v>3876</v>
      </c>
      <c r="GS53" s="34">
        <f t="shared" si="10"/>
        <v>4934</v>
      </c>
      <c r="GT53" s="34">
        <f t="shared" si="10"/>
        <v>4856</v>
      </c>
      <c r="GU53" s="34">
        <f t="shared" si="54"/>
        <v>10381</v>
      </c>
      <c r="GV53" s="34">
        <f t="shared" si="11"/>
        <v>9981</v>
      </c>
      <c r="GW53" s="34">
        <f t="shared" si="11"/>
        <v>9237</v>
      </c>
      <c r="GX53" s="34">
        <f t="shared" si="11"/>
        <v>10369</v>
      </c>
      <c r="GY53" s="34">
        <f t="shared" si="11"/>
        <v>8872</v>
      </c>
      <c r="GZ53" s="34">
        <f t="shared" si="11"/>
        <v>5445</v>
      </c>
      <c r="HA53" s="34">
        <f t="shared" si="11"/>
        <v>6708.5</v>
      </c>
      <c r="HB53" s="34">
        <f t="shared" si="12"/>
        <v>13417</v>
      </c>
      <c r="HC53" s="34">
        <f t="shared" si="13"/>
        <v>9084</v>
      </c>
      <c r="HD53" s="34">
        <f t="shared" ref="HD53" si="65">HD32-HC32</f>
        <v>10840</v>
      </c>
      <c r="HE53" s="34">
        <f t="shared" si="13"/>
        <v>10727</v>
      </c>
      <c r="HF53" s="34">
        <f t="shared" si="13"/>
        <v>9345</v>
      </c>
      <c r="HG53" s="34">
        <f t="shared" si="13"/>
        <v>6092</v>
      </c>
      <c r="HH53" s="34">
        <f t="shared" si="13"/>
        <v>4554</v>
      </c>
      <c r="HI53" s="34">
        <f t="shared" si="13"/>
        <v>8778</v>
      </c>
      <c r="HJ53" s="34">
        <f t="shared" si="13"/>
        <v>9072</v>
      </c>
      <c r="HK53" s="34">
        <f t="shared" si="13"/>
        <v>9021</v>
      </c>
      <c r="HL53" s="34">
        <f t="shared" si="13"/>
        <v>9036</v>
      </c>
      <c r="HM53" s="34">
        <f t="shared" si="13"/>
        <v>8769</v>
      </c>
      <c r="HN53" s="34">
        <f t="shared" si="13"/>
        <v>5634</v>
      </c>
      <c r="HO53" s="34">
        <f t="shared" si="13"/>
        <v>3988</v>
      </c>
      <c r="HP53" s="34">
        <f t="shared" si="13"/>
        <v>9059</v>
      </c>
      <c r="HQ53" s="34">
        <f t="shared" si="13"/>
        <v>9134</v>
      </c>
      <c r="HR53" s="34">
        <f t="shared" si="14"/>
        <v>8556</v>
      </c>
      <c r="HS53" s="34">
        <f t="shared" si="14"/>
        <v>10128</v>
      </c>
      <c r="HT53" s="34">
        <f t="shared" si="14"/>
        <v>7979</v>
      </c>
      <c r="HU53" s="34">
        <f t="shared" si="14"/>
        <v>5698</v>
      </c>
      <c r="HV53" s="34">
        <f t="shared" si="14"/>
        <v>4243</v>
      </c>
      <c r="HW53" s="34">
        <f t="shared" si="14"/>
        <v>9224</v>
      </c>
      <c r="HX53" s="34">
        <f t="shared" si="14"/>
        <v>8724</v>
      </c>
      <c r="HY53" s="34">
        <f t="shared" si="14"/>
        <v>8708</v>
      </c>
      <c r="HZ53" s="34">
        <f t="shared" si="14"/>
        <v>8806</v>
      </c>
      <c r="IA53" s="34">
        <f t="shared" si="14"/>
        <v>9992</v>
      </c>
      <c r="IB53" s="34">
        <f t="shared" si="14"/>
        <v>6015</v>
      </c>
      <c r="IC53" s="34">
        <f t="shared" si="14"/>
        <v>4586</v>
      </c>
      <c r="ID53" s="34">
        <f t="shared" si="14"/>
        <v>8616</v>
      </c>
      <c r="IE53" s="34">
        <f t="shared" ref="IE53:IE62" si="66">IE32-ID32</f>
        <v>9659</v>
      </c>
      <c r="IF53" s="34">
        <f t="shared" si="15"/>
        <v>10115</v>
      </c>
      <c r="IG53" s="34">
        <f t="shared" si="15"/>
        <v>10155</v>
      </c>
      <c r="IH53" s="34">
        <f t="shared" si="15"/>
        <v>8742</v>
      </c>
      <c r="II53" s="34">
        <f t="shared" si="15"/>
        <v>8742</v>
      </c>
      <c r="IJ53" s="34">
        <f t="shared" si="15"/>
        <v>3242</v>
      </c>
      <c r="IK53" s="34">
        <f t="shared" si="15"/>
        <v>9839</v>
      </c>
      <c r="IL53" s="34">
        <f t="shared" si="15"/>
        <v>10382</v>
      </c>
      <c r="IM53" s="34">
        <f t="shared" si="15"/>
        <v>10038</v>
      </c>
      <c r="IN53" s="34">
        <f t="shared" si="15"/>
        <v>10038</v>
      </c>
      <c r="IO53" s="34">
        <f t="shared" si="15"/>
        <v>9485</v>
      </c>
      <c r="IP53" s="34">
        <f t="shared" si="15"/>
        <v>6466</v>
      </c>
      <c r="IQ53" s="34">
        <f t="shared" si="15"/>
        <v>4820</v>
      </c>
      <c r="IR53" s="34">
        <f t="shared" si="15"/>
        <v>11858</v>
      </c>
      <c r="IS53" s="34">
        <f t="shared" si="56"/>
        <v>9638</v>
      </c>
      <c r="IT53" s="34">
        <f t="shared" si="44"/>
        <v>11010</v>
      </c>
      <c r="IU53" s="34">
        <f t="shared" si="16"/>
        <v>11342</v>
      </c>
      <c r="IV53" s="34">
        <f t="shared" si="16"/>
        <v>10130</v>
      </c>
      <c r="IW53" s="34">
        <f t="shared" si="16"/>
        <v>7311</v>
      </c>
      <c r="IX53" s="34">
        <f t="shared" si="16"/>
        <v>5345</v>
      </c>
      <c r="IY53" s="34">
        <f t="shared" si="16"/>
        <v>10968</v>
      </c>
      <c r="IZ53" s="34">
        <f t="shared" si="16"/>
        <v>10866</v>
      </c>
      <c r="JA53" s="34">
        <f t="shared" si="16"/>
        <v>11638</v>
      </c>
      <c r="JB53" s="34">
        <f t="shared" si="16"/>
        <v>12561</v>
      </c>
      <c r="JC53" s="34">
        <f t="shared" si="16"/>
        <v>12239</v>
      </c>
      <c r="JD53" s="34">
        <f t="shared" si="16"/>
        <v>8167</v>
      </c>
      <c r="JE53" s="34">
        <f t="shared" si="16"/>
        <v>5789</v>
      </c>
      <c r="JF53" s="34">
        <f t="shared" si="16"/>
        <v>11596</v>
      </c>
      <c r="JG53" s="34">
        <f t="shared" si="16"/>
        <v>12119</v>
      </c>
      <c r="JH53" s="34">
        <f t="shared" ref="JH53:JH62" si="67">JH32-JG32</f>
        <v>11591</v>
      </c>
      <c r="JI53" s="34">
        <f t="shared" si="17"/>
        <v>12855</v>
      </c>
      <c r="JJ53" s="34">
        <f t="shared" si="17"/>
        <v>14027</v>
      </c>
      <c r="JK53" s="34">
        <f t="shared" si="17"/>
        <v>8802</v>
      </c>
      <c r="JL53" s="34">
        <f t="shared" si="17"/>
        <v>6287</v>
      </c>
      <c r="JM53" s="34">
        <f t="shared" si="17"/>
        <v>12659</v>
      </c>
      <c r="JN53" s="34">
        <f t="shared" si="17"/>
        <v>13943</v>
      </c>
      <c r="JO53" s="34">
        <f t="shared" si="17"/>
        <v>11807</v>
      </c>
      <c r="JP53" s="34">
        <f t="shared" si="17"/>
        <v>13811</v>
      </c>
      <c r="JQ53" s="34">
        <f t="shared" si="17"/>
        <v>13076</v>
      </c>
      <c r="JR53" s="34">
        <f t="shared" si="17"/>
        <v>7416</v>
      </c>
      <c r="JS53" s="34">
        <f t="shared" si="17"/>
        <v>5965</v>
      </c>
      <c r="JT53" s="34">
        <f t="shared" si="17"/>
        <v>14219</v>
      </c>
      <c r="JU53" s="34">
        <f t="shared" si="17"/>
        <v>14117</v>
      </c>
      <c r="JV53" s="34">
        <f t="shared" si="57"/>
        <v>13947</v>
      </c>
      <c r="JW53" s="34">
        <f t="shared" si="18"/>
        <v>12704</v>
      </c>
      <c r="JX53" s="34">
        <f t="shared" si="18"/>
        <v>13826</v>
      </c>
      <c r="JY53" s="34">
        <f t="shared" si="18"/>
        <v>9466</v>
      </c>
      <c r="JZ53" s="34">
        <f t="shared" si="18"/>
        <v>7442</v>
      </c>
      <c r="KA53" s="34">
        <f t="shared" si="18"/>
        <v>14244</v>
      </c>
      <c r="KB53" s="34">
        <f t="shared" si="18"/>
        <v>14290</v>
      </c>
      <c r="KC53" s="34">
        <f t="shared" si="18"/>
        <v>14234</v>
      </c>
      <c r="KD53" s="34">
        <f t="shared" si="18"/>
        <v>14694</v>
      </c>
      <c r="KE53" s="34">
        <f t="shared" si="18"/>
        <v>14113</v>
      </c>
      <c r="KF53" s="34">
        <f t="shared" si="18"/>
        <v>9160</v>
      </c>
      <c r="KG53" s="34">
        <f t="shared" si="18"/>
        <v>6707</v>
      </c>
      <c r="KH53" s="34">
        <f t="shared" si="18"/>
        <v>14262</v>
      </c>
      <c r="KI53" s="34">
        <f t="shared" si="18"/>
        <v>13898</v>
      </c>
      <c r="KJ53" s="34">
        <f t="shared" si="58"/>
        <v>13616</v>
      </c>
      <c r="KK53" s="34">
        <f t="shared" si="19"/>
        <v>14363</v>
      </c>
      <c r="KL53" s="34">
        <f t="shared" si="19"/>
        <v>13936</v>
      </c>
      <c r="KM53" s="34">
        <f t="shared" si="19"/>
        <v>9107</v>
      </c>
      <c r="KN53" s="34">
        <f t="shared" si="19"/>
        <v>7445</v>
      </c>
      <c r="KO53" s="34">
        <f t="shared" si="19"/>
        <v>9916</v>
      </c>
      <c r="KP53" s="34">
        <f t="shared" si="19"/>
        <v>15602</v>
      </c>
      <c r="KQ53" s="34">
        <f t="shared" si="19"/>
        <v>15503</v>
      </c>
      <c r="KR53" s="34">
        <f t="shared" si="19"/>
        <v>12974</v>
      </c>
      <c r="KS53" s="34">
        <f t="shared" si="19"/>
        <v>13696</v>
      </c>
      <c r="KT53" s="34">
        <f t="shared" si="19"/>
        <v>9963</v>
      </c>
      <c r="KU53" s="34">
        <f t="shared" si="19"/>
        <v>6576</v>
      </c>
      <c r="KV53" s="34">
        <f t="shared" si="19"/>
        <v>13496</v>
      </c>
      <c r="KW53" s="34">
        <f t="shared" si="19"/>
        <v>13888</v>
      </c>
      <c r="KX53" s="34">
        <f t="shared" si="59"/>
        <v>13420</v>
      </c>
      <c r="KY53" s="34">
        <f t="shared" si="20"/>
        <v>14218</v>
      </c>
      <c r="KZ53" s="34">
        <f t="shared" si="20"/>
        <v>12515</v>
      </c>
      <c r="LA53" s="34">
        <f t="shared" si="34"/>
        <v>9523</v>
      </c>
      <c r="LB53" s="34">
        <f t="shared" si="35"/>
        <v>5939</v>
      </c>
      <c r="LC53" s="34">
        <f t="shared" si="36"/>
        <v>12524</v>
      </c>
      <c r="LD53" s="34">
        <f t="shared" si="37"/>
        <v>10375</v>
      </c>
      <c r="LE53" s="34">
        <f t="shared" si="38"/>
        <v>12646</v>
      </c>
      <c r="LF53" s="34">
        <f t="shared" si="39"/>
        <v>10854</v>
      </c>
      <c r="LG53" s="34">
        <f t="shared" si="21"/>
        <v>13106</v>
      </c>
      <c r="LH53" s="34">
        <f t="shared" si="21"/>
        <v>10305</v>
      </c>
      <c r="LI53" s="34">
        <f t="shared" si="21"/>
        <v>3603</v>
      </c>
      <c r="LJ53" s="34">
        <f t="shared" si="21"/>
        <v>10805</v>
      </c>
      <c r="LK53" s="34">
        <f t="shared" si="21"/>
        <v>12477</v>
      </c>
      <c r="LL53" s="34">
        <f t="shared" si="21"/>
        <v>10169</v>
      </c>
      <c r="LM53" s="34">
        <f t="shared" si="21"/>
        <v>9815</v>
      </c>
      <c r="LN53" s="34">
        <f t="shared" si="21"/>
        <v>10269</v>
      </c>
      <c r="LO53" s="34">
        <f t="shared" si="21"/>
        <v>0</v>
      </c>
      <c r="LP53" s="34">
        <f t="shared" si="21"/>
        <v>16768</v>
      </c>
      <c r="LQ53" s="34">
        <f t="shared" si="21"/>
        <v>11588</v>
      </c>
      <c r="LR53" s="34">
        <f t="shared" si="21"/>
        <v>11724</v>
      </c>
      <c r="LS53" s="34">
        <f t="shared" si="21"/>
        <v>11353</v>
      </c>
      <c r="LT53" s="34">
        <f t="shared" si="21"/>
        <v>9926</v>
      </c>
      <c r="LU53" s="34">
        <f t="shared" si="21"/>
        <v>12317</v>
      </c>
      <c r="LV53" s="34">
        <f t="shared" ref="LV53:LV62" si="68">LV32-LU32</f>
        <v>8231</v>
      </c>
      <c r="LW53" s="34">
        <f t="shared" si="22"/>
        <v>5481</v>
      </c>
      <c r="LX53" s="34">
        <f t="shared" si="22"/>
        <v>10287</v>
      </c>
      <c r="LY53" s="34">
        <f t="shared" si="22"/>
        <v>11486</v>
      </c>
      <c r="LZ53" s="34">
        <f t="shared" si="22"/>
        <v>11014</v>
      </c>
      <c r="MA53" s="34">
        <f t="shared" si="22"/>
        <v>10350</v>
      </c>
      <c r="MB53" s="34">
        <f t="shared" si="22"/>
        <v>10775</v>
      </c>
      <c r="MC53" s="34">
        <f t="shared" si="22"/>
        <v>7955</v>
      </c>
      <c r="MD53" s="34">
        <f t="shared" si="22"/>
        <v>5428</v>
      </c>
      <c r="ME53" s="34">
        <f t="shared" si="22"/>
        <v>8866</v>
      </c>
      <c r="MF53" s="34">
        <f t="shared" si="22"/>
        <v>11937</v>
      </c>
      <c r="MG53" s="34">
        <f t="shared" si="22"/>
        <v>10247</v>
      </c>
      <c r="MH53" s="34">
        <f t="shared" si="22"/>
        <v>11516</v>
      </c>
      <c r="MI53" s="34">
        <f t="shared" si="22"/>
        <v>10388</v>
      </c>
      <c r="MJ53" s="34">
        <f t="shared" si="60"/>
        <v>7195</v>
      </c>
      <c r="MK53" s="34">
        <f t="shared" si="23"/>
        <v>5033</v>
      </c>
      <c r="ML53" s="34">
        <f t="shared" si="23"/>
        <v>9423</v>
      </c>
      <c r="MM53" s="34">
        <f t="shared" si="23"/>
        <v>10203</v>
      </c>
      <c r="MN53" s="34">
        <f t="shared" si="23"/>
        <v>8673</v>
      </c>
      <c r="MO53" s="34">
        <f t="shared" si="23"/>
        <v>8501</v>
      </c>
      <c r="MP53" s="34">
        <f t="shared" si="23"/>
        <v>8834</v>
      </c>
      <c r="MQ53" s="34">
        <f t="shared" si="23"/>
        <v>5575</v>
      </c>
      <c r="MR53" s="34">
        <f t="shared" si="23"/>
        <v>3634</v>
      </c>
      <c r="MS53" s="34">
        <f t="shared" si="23"/>
        <v>8531</v>
      </c>
      <c r="MT53" s="34">
        <f t="shared" si="23"/>
        <v>7233</v>
      </c>
      <c r="MU53" s="34">
        <f t="shared" si="23"/>
        <v>7304</v>
      </c>
      <c r="MV53" s="34">
        <f t="shared" si="23"/>
        <v>7916</v>
      </c>
      <c r="MW53" s="34">
        <f t="shared" si="23"/>
        <v>7252</v>
      </c>
      <c r="MX53" s="34">
        <f t="shared" si="61"/>
        <v>5046</v>
      </c>
      <c r="MY53" s="34">
        <f t="shared" si="24"/>
        <v>4029</v>
      </c>
      <c r="MZ53" s="34">
        <f t="shared" si="25"/>
        <v>7792</v>
      </c>
      <c r="NA53" s="34">
        <f t="shared" si="25"/>
        <v>7991</v>
      </c>
      <c r="NB53" s="34">
        <f t="shared" si="25"/>
        <v>7615</v>
      </c>
      <c r="NC53" s="34">
        <f t="shared" si="25"/>
        <v>7231</v>
      </c>
      <c r="ND53" s="34">
        <f t="shared" si="25"/>
        <v>0</v>
      </c>
      <c r="NE53" s="34">
        <f t="shared" si="25"/>
        <v>0</v>
      </c>
      <c r="NF53" s="34">
        <f t="shared" si="25"/>
        <v>15985</v>
      </c>
      <c r="NG53" s="34">
        <f t="shared" si="25"/>
        <v>8427</v>
      </c>
      <c r="NH53" s="34">
        <f t="shared" si="25"/>
        <v>10515</v>
      </c>
      <c r="NI53" s="34">
        <f t="shared" si="25"/>
        <v>8413</v>
      </c>
      <c r="NJ53" s="34">
        <f t="shared" si="25"/>
        <v>7368</v>
      </c>
      <c r="NK53" s="34">
        <f t="shared" si="25"/>
        <v>8409</v>
      </c>
      <c r="NL53" s="34">
        <f t="shared" si="25"/>
        <v>5280</v>
      </c>
      <c r="NM53" s="34">
        <f t="shared" si="62"/>
        <v>3465</v>
      </c>
      <c r="NN53" s="34">
        <f t="shared" si="26"/>
        <v>7242</v>
      </c>
      <c r="NO53" s="34">
        <f t="shared" si="27"/>
        <v>7366</v>
      </c>
      <c r="NP53" s="34">
        <v>7648</v>
      </c>
      <c r="NQ53" s="34">
        <v>8001</v>
      </c>
      <c r="NR53" s="34">
        <v>7280</v>
      </c>
      <c r="NS53" s="34">
        <v>4455</v>
      </c>
      <c r="NT53" s="34">
        <v>3005</v>
      </c>
      <c r="NU53" s="34">
        <v>6894</v>
      </c>
      <c r="NV53" s="34">
        <v>7545</v>
      </c>
      <c r="NW53" s="34">
        <v>7386</v>
      </c>
      <c r="NX53">
        <v>7244</v>
      </c>
      <c r="NY53" s="34">
        <v>6353</v>
      </c>
      <c r="NZ53" s="34">
        <v>4103</v>
      </c>
      <c r="OA53" s="34">
        <v>3172</v>
      </c>
      <c r="OB53" s="34">
        <v>7186</v>
      </c>
      <c r="OC53" s="34">
        <v>5176</v>
      </c>
      <c r="OD53" s="34">
        <v>8393</v>
      </c>
      <c r="OE53" s="34">
        <v>0</v>
      </c>
      <c r="OF53" s="34">
        <v>6420</v>
      </c>
      <c r="OG53" s="34">
        <v>11401</v>
      </c>
      <c r="OH53" s="34">
        <v>3096</v>
      </c>
      <c r="OI53" s="34">
        <v>7246</v>
      </c>
      <c r="OJ53" s="34">
        <v>9177</v>
      </c>
      <c r="OK53" s="34">
        <v>6869</v>
      </c>
      <c r="OL53" s="34">
        <v>7637</v>
      </c>
      <c r="OM53" s="34">
        <v>6562</v>
      </c>
      <c r="ON53" s="34">
        <v>4492</v>
      </c>
      <c r="OO53" s="34">
        <v>3326</v>
      </c>
      <c r="OP53" s="34">
        <v>6958</v>
      </c>
      <c r="OQ53" s="34">
        <v>7733</v>
      </c>
      <c r="OR53" s="34">
        <v>7051</v>
      </c>
      <c r="OS53" s="34">
        <f t="shared" si="40"/>
        <v>7996</v>
      </c>
      <c r="OT53" s="34">
        <f t="shared" si="40"/>
        <v>7412</v>
      </c>
      <c r="OU53" s="34">
        <v>4820</v>
      </c>
      <c r="OV53" s="34">
        <v>3252</v>
      </c>
      <c r="OW53" s="34">
        <v>7330</v>
      </c>
      <c r="OX53" s="34">
        <v>5119</v>
      </c>
      <c r="OY53" s="34">
        <v>3014</v>
      </c>
      <c r="OZ53" s="34">
        <v>3025</v>
      </c>
      <c r="PA53" s="34">
        <v>3046</v>
      </c>
      <c r="PB53" s="34">
        <v>3692</v>
      </c>
      <c r="PC53" s="34">
        <v>2796</v>
      </c>
      <c r="PD53" s="34">
        <v>6809</v>
      </c>
      <c r="PE53" s="34">
        <v>6748</v>
      </c>
      <c r="PF53" s="34">
        <v>3520</v>
      </c>
      <c r="PG53" s="34">
        <v>6027</v>
      </c>
      <c r="PH53" s="34">
        <v>6531</v>
      </c>
      <c r="PI53" s="34">
        <v>4560</v>
      </c>
      <c r="PJ53" s="34">
        <v>3059</v>
      </c>
      <c r="PK53" s="34">
        <v>7396</v>
      </c>
      <c r="PL53" s="34">
        <v>8095</v>
      </c>
      <c r="PM53" s="34">
        <v>7104</v>
      </c>
      <c r="PN53" s="34">
        <v>7000</v>
      </c>
      <c r="PO53" s="34">
        <v>6496</v>
      </c>
      <c r="PP53" s="34">
        <v>4702</v>
      </c>
      <c r="PQ53" s="34">
        <v>3590</v>
      </c>
      <c r="PR53" s="34">
        <v>7136</v>
      </c>
      <c r="PS53" s="34">
        <v>7700</v>
      </c>
      <c r="PT53" s="34">
        <v>7695</v>
      </c>
      <c r="PU53" s="34">
        <v>7185</v>
      </c>
      <c r="PV53" s="34">
        <v>6686</v>
      </c>
      <c r="PW53" s="34">
        <v>4862</v>
      </c>
      <c r="PX53" s="34">
        <v>3373</v>
      </c>
      <c r="PY53" s="34">
        <v>4060</v>
      </c>
      <c r="PZ53" s="34">
        <v>7716</v>
      </c>
      <c r="QA53" s="34">
        <v>7345</v>
      </c>
      <c r="QB53" s="34">
        <v>6680</v>
      </c>
      <c r="QC53" s="34">
        <v>7088</v>
      </c>
      <c r="QD53" s="34">
        <v>4864</v>
      </c>
      <c r="QE53" s="34">
        <v>0</v>
      </c>
      <c r="QF53" s="34">
        <v>11030</v>
      </c>
      <c r="QG53" s="34">
        <v>7904</v>
      </c>
      <c r="QH53" s="34">
        <v>4032</v>
      </c>
      <c r="QI53" s="34">
        <v>3443</v>
      </c>
      <c r="QJ53" s="34">
        <v>7682</v>
      </c>
      <c r="QK53" s="34">
        <v>5697</v>
      </c>
      <c r="QL53" s="34">
        <v>4415</v>
      </c>
      <c r="QM53" s="34">
        <v>9535</v>
      </c>
      <c r="QN53" s="34">
        <v>9014</v>
      </c>
      <c r="QO53" s="34">
        <v>8943</v>
      </c>
      <c r="QP53" s="34">
        <v>9355</v>
      </c>
      <c r="QQ53" s="34">
        <v>0</v>
      </c>
      <c r="QR53" s="34">
        <v>14810</v>
      </c>
      <c r="QS53" s="34">
        <v>4898</v>
      </c>
      <c r="QT53" s="34">
        <v>8714</v>
      </c>
      <c r="QU53" s="34">
        <v>10688</v>
      </c>
      <c r="QV53" s="34">
        <v>10707</v>
      </c>
      <c r="QW53" s="34">
        <v>0</v>
      </c>
      <c r="QX53" s="34">
        <v>11945</v>
      </c>
      <c r="QY53" s="34">
        <v>19259</v>
      </c>
      <c r="QZ53" s="34">
        <v>6388</v>
      </c>
      <c r="RA53" s="34">
        <v>12350</v>
      </c>
      <c r="RB53" s="34">
        <v>11733</v>
      </c>
      <c r="RC53" s="34">
        <v>25679</v>
      </c>
      <c r="RD53" s="34">
        <v>21282</v>
      </c>
      <c r="RE53" s="34">
        <v>14778</v>
      </c>
      <c r="RF53" s="34">
        <v>7356</v>
      </c>
      <c r="RG53" s="34">
        <v>9290</v>
      </c>
      <c r="RH53" s="34">
        <v>19521</v>
      </c>
      <c r="RI53" s="34">
        <v>21991</v>
      </c>
      <c r="RJ53" s="34">
        <v>21466</v>
      </c>
      <c r="RK53" s="34">
        <v>24475</v>
      </c>
      <c r="RL53" s="34">
        <v>23789</v>
      </c>
      <c r="RM53" s="34">
        <v>17792</v>
      </c>
      <c r="RN53" s="34">
        <v>13851</v>
      </c>
      <c r="RO53" s="34">
        <v>16502</v>
      </c>
      <c r="RP53" s="34">
        <v>23611</v>
      </c>
      <c r="RQ53" s="34">
        <v>0</v>
      </c>
      <c r="RR53" s="34">
        <v>56221</v>
      </c>
      <c r="RS53" s="34">
        <v>25191</v>
      </c>
      <c r="RT53" s="34">
        <v>20309</v>
      </c>
      <c r="RU53" s="34">
        <v>14606</v>
      </c>
      <c r="RV53" s="34">
        <v>34739</v>
      </c>
      <c r="RW53" s="34">
        <v>29685</v>
      </c>
      <c r="RX53" s="34">
        <v>36057</v>
      </c>
      <c r="RY53" s="34">
        <v>32909</v>
      </c>
      <c r="RZ53" s="34">
        <v>29282</v>
      </c>
      <c r="SA53" s="34">
        <v>19745</v>
      </c>
      <c r="SB53" s="34">
        <v>14472</v>
      </c>
      <c r="SC53" s="34">
        <v>0</v>
      </c>
      <c r="SD53" s="34">
        <v>55051</v>
      </c>
      <c r="SE53" s="34">
        <v>26744</v>
      </c>
      <c r="SF53" s="34">
        <v>24691</v>
      </c>
      <c r="SG53" s="34">
        <v>24221</v>
      </c>
      <c r="SH53" s="34">
        <v>16514</v>
      </c>
      <c r="SI53" s="34">
        <v>11832</v>
      </c>
      <c r="SJ53" s="34">
        <v>37678</v>
      </c>
      <c r="SK53" s="34">
        <v>23137</v>
      </c>
      <c r="SL53" s="34">
        <v>21520</v>
      </c>
      <c r="SM53" s="34">
        <v>17873</v>
      </c>
      <c r="SN53" s="34">
        <v>17061</v>
      </c>
      <c r="SO53" s="34">
        <v>11083</v>
      </c>
      <c r="SP53" s="34">
        <v>8099</v>
      </c>
      <c r="SQ53" s="34">
        <v>17789</v>
      </c>
      <c r="SR53" s="34">
        <v>15109</v>
      </c>
      <c r="SS53" s="34">
        <v>12701</v>
      </c>
      <c r="ST53" s="34">
        <v>12056</v>
      </c>
      <c r="SU53" s="34">
        <v>11758</v>
      </c>
      <c r="SV53" s="34">
        <v>8276</v>
      </c>
      <c r="SW53" s="34">
        <v>5755</v>
      </c>
      <c r="SX53" s="34">
        <v>12815</v>
      </c>
      <c r="SY53" s="34">
        <v>10645</v>
      </c>
      <c r="SZ53" s="34">
        <v>9749</v>
      </c>
      <c r="TA53" s="34">
        <v>8963</v>
      </c>
      <c r="TB53" s="34">
        <v>8378</v>
      </c>
      <c r="TC53" s="34">
        <v>6377</v>
      </c>
      <c r="TD53" s="34">
        <v>4505</v>
      </c>
      <c r="TE53" s="34">
        <v>10122</v>
      </c>
      <c r="TF53" s="34">
        <v>8948</v>
      </c>
      <c r="TG53" s="34">
        <v>8631</v>
      </c>
      <c r="TH53" s="34">
        <v>8229</v>
      </c>
      <c r="TI53" s="34">
        <v>7059</v>
      </c>
      <c r="TJ53" s="34">
        <v>4593</v>
      </c>
      <c r="TK53" s="34">
        <v>4217</v>
      </c>
      <c r="TL53" s="34">
        <v>5501</v>
      </c>
      <c r="TM53" s="34">
        <v>3528</v>
      </c>
      <c r="TN53" s="34">
        <v>7215</v>
      </c>
      <c r="TO53" s="34">
        <v>7319</v>
      </c>
      <c r="TP53" s="34">
        <v>6496</v>
      </c>
      <c r="TQ53" s="34">
        <v>1731</v>
      </c>
      <c r="TR53" s="34">
        <v>6662</v>
      </c>
      <c r="TS53" s="34">
        <v>7350</v>
      </c>
      <c r="TT53" s="34">
        <v>6476</v>
      </c>
      <c r="TU53" s="34">
        <v>6875</v>
      </c>
      <c r="TV53" s="34">
        <v>6008</v>
      </c>
      <c r="TW53" s="34">
        <v>5540</v>
      </c>
      <c r="TX53" s="34">
        <v>4240</v>
      </c>
      <c r="TY53" s="34">
        <v>3668</v>
      </c>
      <c r="TZ53" s="34">
        <v>6915</v>
      </c>
      <c r="UA53" s="34">
        <v>6608</v>
      </c>
      <c r="UB53" s="34">
        <v>6480</v>
      </c>
      <c r="UC53" s="34">
        <v>6182</v>
      </c>
      <c r="UD53" s="34">
        <v>6602</v>
      </c>
      <c r="UE53" s="34">
        <v>5416</v>
      </c>
      <c r="UF53" s="34">
        <v>3676</v>
      </c>
      <c r="UG53" s="34">
        <v>7450</v>
      </c>
      <c r="UH53" s="34">
        <v>7029</v>
      </c>
      <c r="UI53" s="34">
        <v>7089</v>
      </c>
      <c r="UJ53" s="34">
        <v>6743</v>
      </c>
      <c r="UK53" s="34">
        <v>6924</v>
      </c>
      <c r="UL53" s="34">
        <v>5113</v>
      </c>
      <c r="UM53" s="34">
        <v>3661</v>
      </c>
      <c r="UN53" s="34">
        <v>7696</v>
      </c>
      <c r="UO53" s="34">
        <v>6873</v>
      </c>
      <c r="UP53" s="34">
        <v>6079</v>
      </c>
      <c r="UQ53" s="34">
        <v>11729</v>
      </c>
      <c r="UR53" s="34">
        <v>4641</v>
      </c>
      <c r="US53" s="34">
        <v>0</v>
      </c>
      <c r="UT53" s="34">
        <v>3519</v>
      </c>
      <c r="UU53" s="34">
        <v>6730</v>
      </c>
      <c r="UV53" s="34">
        <v>6250</v>
      </c>
      <c r="UW53" s="34">
        <v>5785</v>
      </c>
      <c r="UX53" s="34">
        <v>6023</v>
      </c>
      <c r="UY53" s="34">
        <v>5283</v>
      </c>
      <c r="UZ53" s="34">
        <v>4098</v>
      </c>
      <c r="VA53" s="34">
        <v>3406</v>
      </c>
      <c r="VB53" s="34">
        <v>6785</v>
      </c>
      <c r="VC53" s="34">
        <v>6554</v>
      </c>
      <c r="VD53" s="34">
        <v>5767</v>
      </c>
      <c r="VE53" s="34">
        <v>6837</v>
      </c>
      <c r="VF53" s="34">
        <v>0</v>
      </c>
      <c r="VG53" s="34">
        <v>0</v>
      </c>
      <c r="VH53" s="34">
        <v>7336</v>
      </c>
      <c r="VI53" s="34">
        <v>7176</v>
      </c>
      <c r="VJ53" s="34">
        <v>6991</v>
      </c>
      <c r="VK53" s="34">
        <v>6132</v>
      </c>
      <c r="VL53" s="34">
        <v>6484</v>
      </c>
      <c r="VM53" s="34">
        <v>11550</v>
      </c>
      <c r="VN53" s="34">
        <v>0</v>
      </c>
      <c r="VO53" s="34">
        <v>3771</v>
      </c>
      <c r="VP53" s="34">
        <v>7515</v>
      </c>
      <c r="VQ53" s="34">
        <v>7557</v>
      </c>
      <c r="VR53" s="34">
        <v>7156</v>
      </c>
      <c r="VS53" s="34">
        <v>15349</v>
      </c>
      <c r="VT53" s="34">
        <v>9793</v>
      </c>
      <c r="VU53" s="34">
        <v>4645</v>
      </c>
      <c r="VV53" s="34">
        <v>0</v>
      </c>
      <c r="VW53" s="34">
        <v>0</v>
      </c>
      <c r="VX53" s="34">
        <v>10144</v>
      </c>
      <c r="VY53" s="34">
        <v>20865</v>
      </c>
      <c r="VZ53" s="34">
        <v>12361</v>
      </c>
      <c r="WA53" s="34">
        <v>0</v>
      </c>
      <c r="WB53" s="34">
        <v>7655</v>
      </c>
      <c r="WC53" s="34">
        <v>6080</v>
      </c>
      <c r="WD53" s="34">
        <v>15357</v>
      </c>
      <c r="WE53" s="34">
        <v>15473</v>
      </c>
      <c r="WF53" s="34">
        <v>16230</v>
      </c>
      <c r="WG53" s="34">
        <v>27950</v>
      </c>
      <c r="WH53" s="34">
        <v>0</v>
      </c>
      <c r="WI53" s="34">
        <v>0</v>
      </c>
      <c r="WJ53" s="34">
        <v>18797</v>
      </c>
      <c r="WK53" s="34">
        <v>17618</v>
      </c>
      <c r="WL53" s="34">
        <v>16964</v>
      </c>
      <c r="WM53">
        <v>17541</v>
      </c>
      <c r="WN53">
        <v>41701</v>
      </c>
      <c r="WO53">
        <v>0</v>
      </c>
      <c r="WP53">
        <v>0</v>
      </c>
      <c r="WQ53">
        <v>41287</v>
      </c>
      <c r="WR53">
        <v>0</v>
      </c>
      <c r="WS53">
        <v>0</v>
      </c>
      <c r="WT53">
        <v>0</v>
      </c>
      <c r="WU53">
        <v>45349</v>
      </c>
      <c r="WV53">
        <v>0</v>
      </c>
      <c r="WW53">
        <v>0</v>
      </c>
      <c r="WX53">
        <v>35250</v>
      </c>
      <c r="WY53">
        <v>0</v>
      </c>
      <c r="WZ53">
        <v>0</v>
      </c>
      <c r="XA53">
        <v>60762</v>
      </c>
      <c r="XB53">
        <v>0</v>
      </c>
      <c r="XC53">
        <v>9484</v>
      </c>
      <c r="XD53">
        <v>0</v>
      </c>
      <c r="XE53">
        <v>8233</v>
      </c>
      <c r="XF53">
        <v>70400</v>
      </c>
      <c r="XG53">
        <v>0</v>
      </c>
      <c r="XH53">
        <v>0</v>
      </c>
      <c r="XI53">
        <v>0</v>
      </c>
      <c r="XJ53">
        <v>0</v>
      </c>
      <c r="XK53">
        <v>7609</v>
      </c>
      <c r="XL53">
        <v>5963</v>
      </c>
      <c r="XM53">
        <v>54091</v>
      </c>
      <c r="XN53">
        <v>0</v>
      </c>
      <c r="XO53">
        <v>0</v>
      </c>
      <c r="XP53">
        <v>0</v>
      </c>
      <c r="XQ53">
        <v>0</v>
      </c>
      <c r="XR53">
        <v>60894</v>
      </c>
      <c r="XS53">
        <v>0</v>
      </c>
      <c r="XT53">
        <v>0</v>
      </c>
      <c r="XU53">
        <v>0</v>
      </c>
      <c r="XV53">
        <v>0</v>
      </c>
      <c r="XW53">
        <v>0</v>
      </c>
      <c r="XX53">
        <v>0</v>
      </c>
      <c r="XY53">
        <v>5950</v>
      </c>
      <c r="XZ53">
        <v>0</v>
      </c>
      <c r="YA53">
        <v>15381</v>
      </c>
      <c r="YB53">
        <v>10012</v>
      </c>
      <c r="YC53">
        <v>28436</v>
      </c>
      <c r="YD53">
        <v>5476</v>
      </c>
      <c r="YE53">
        <v>0</v>
      </c>
      <c r="YF53" s="1">
        <v>0</v>
      </c>
      <c r="YG53" s="1">
        <v>0</v>
      </c>
      <c r="YH53" s="1">
        <v>0</v>
      </c>
      <c r="YI53" s="1">
        <v>0</v>
      </c>
      <c r="YJ53">
        <v>0</v>
      </c>
      <c r="YK53">
        <v>40740</v>
      </c>
      <c r="YL53">
        <v>0</v>
      </c>
      <c r="YM53">
        <v>0</v>
      </c>
      <c r="YN53">
        <v>0</v>
      </c>
      <c r="YO53">
        <v>0</v>
      </c>
      <c r="YP53">
        <v>0</v>
      </c>
      <c r="YQ53">
        <v>0</v>
      </c>
      <c r="YR53">
        <v>0</v>
      </c>
      <c r="YS53">
        <v>0</v>
      </c>
      <c r="YT53">
        <v>0</v>
      </c>
      <c r="YU53">
        <v>57245</v>
      </c>
      <c r="YV53">
        <v>0</v>
      </c>
      <c r="YW53">
        <v>0</v>
      </c>
      <c r="YX53">
        <v>0</v>
      </c>
      <c r="YY53">
        <v>0</v>
      </c>
      <c r="YZ53">
        <v>0</v>
      </c>
      <c r="ZA53">
        <v>0</v>
      </c>
      <c r="ZB53">
        <v>0</v>
      </c>
      <c r="ZC53">
        <v>0</v>
      </c>
      <c r="ZD53">
        <v>0</v>
      </c>
      <c r="ZE53">
        <v>0</v>
      </c>
      <c r="ZF53">
        <v>0</v>
      </c>
      <c r="ZG53">
        <v>0</v>
      </c>
      <c r="ZH53">
        <v>77584</v>
      </c>
      <c r="ZI53">
        <v>0</v>
      </c>
      <c r="ZJ53">
        <v>0</v>
      </c>
      <c r="ZK53">
        <v>0</v>
      </c>
      <c r="ZL53">
        <v>0</v>
      </c>
      <c r="ZM53">
        <v>0</v>
      </c>
      <c r="ZN53">
        <v>0</v>
      </c>
      <c r="ZO53">
        <v>40565</v>
      </c>
      <c r="ZP53">
        <v>0</v>
      </c>
      <c r="ZQ53">
        <v>0</v>
      </c>
      <c r="ZR53">
        <v>0</v>
      </c>
      <c r="ZS53">
        <v>0</v>
      </c>
      <c r="ZT53">
        <v>0</v>
      </c>
      <c r="ZU53">
        <v>0</v>
      </c>
      <c r="ZV53">
        <v>42756</v>
      </c>
      <c r="ZW53">
        <v>0</v>
      </c>
      <c r="ZX53">
        <v>0</v>
      </c>
      <c r="ZY53">
        <v>0</v>
      </c>
      <c r="ZZ53">
        <v>0</v>
      </c>
      <c r="AAA53">
        <v>0</v>
      </c>
      <c r="AAB53">
        <v>0</v>
      </c>
      <c r="AAC53">
        <v>42449</v>
      </c>
      <c r="AAD53">
        <v>0</v>
      </c>
      <c r="AAE53">
        <v>0</v>
      </c>
      <c r="AAF53">
        <v>0</v>
      </c>
      <c r="AAG53">
        <v>0</v>
      </c>
      <c r="AAH53">
        <v>0</v>
      </c>
      <c r="AAI53">
        <v>0</v>
      </c>
      <c r="AAJ53">
        <v>41560</v>
      </c>
      <c r="AAK53">
        <v>0</v>
      </c>
      <c r="AAL53">
        <v>0</v>
      </c>
      <c r="AAM53">
        <v>0</v>
      </c>
      <c r="AAN53">
        <v>0</v>
      </c>
      <c r="AAO53">
        <v>0</v>
      </c>
      <c r="AAP53">
        <v>0</v>
      </c>
      <c r="AAQ53">
        <v>36965</v>
      </c>
      <c r="AAR53">
        <v>0</v>
      </c>
      <c r="AAS53">
        <v>0</v>
      </c>
      <c r="AAT53">
        <v>0</v>
      </c>
      <c r="AAU53">
        <v>0</v>
      </c>
      <c r="AAV53">
        <v>0</v>
      </c>
      <c r="AAW53">
        <v>0</v>
      </c>
      <c r="AAX53">
        <v>32931</v>
      </c>
      <c r="AAY53">
        <v>0</v>
      </c>
      <c r="AAZ53">
        <v>0</v>
      </c>
      <c r="ABA53">
        <v>0</v>
      </c>
      <c r="ABB53">
        <v>0</v>
      </c>
      <c r="ABC53">
        <v>0</v>
      </c>
      <c r="ABD53">
        <v>0</v>
      </c>
      <c r="ABE53">
        <v>27550</v>
      </c>
      <c r="ABF53">
        <v>0</v>
      </c>
      <c r="ABG53">
        <v>0</v>
      </c>
      <c r="ABH53">
        <v>0</v>
      </c>
      <c r="ABI53">
        <v>0</v>
      </c>
      <c r="ABJ53">
        <v>0</v>
      </c>
      <c r="ABK53">
        <v>0</v>
      </c>
      <c r="ABL53">
        <v>24561</v>
      </c>
      <c r="ABM53">
        <v>0</v>
      </c>
      <c r="ABN53">
        <v>0</v>
      </c>
      <c r="ABO53">
        <v>0</v>
      </c>
      <c r="ABP53">
        <v>0</v>
      </c>
      <c r="ABQ53">
        <v>0</v>
      </c>
      <c r="ABR53">
        <v>0</v>
      </c>
      <c r="ABS53">
        <v>21977</v>
      </c>
      <c r="ABT53">
        <v>0</v>
      </c>
      <c r="ABU53">
        <v>0</v>
      </c>
      <c r="ABV53">
        <v>0</v>
      </c>
      <c r="ABW53">
        <v>0</v>
      </c>
      <c r="ABX53">
        <v>0</v>
      </c>
      <c r="ABY53">
        <v>0</v>
      </c>
      <c r="ABZ53">
        <v>0</v>
      </c>
      <c r="ACA53">
        <v>20709</v>
      </c>
      <c r="ACB53">
        <v>0</v>
      </c>
      <c r="ACC53">
        <v>0</v>
      </c>
      <c r="ACD53">
        <v>0</v>
      </c>
      <c r="ACE53">
        <v>0</v>
      </c>
      <c r="ACF53">
        <v>0</v>
      </c>
      <c r="ACG53">
        <v>0</v>
      </c>
      <c r="ACH53">
        <v>21422</v>
      </c>
      <c r="ACI53">
        <v>0</v>
      </c>
      <c r="ACJ53">
        <v>0</v>
      </c>
      <c r="ACK53">
        <v>0</v>
      </c>
      <c r="ACL53">
        <v>0</v>
      </c>
      <c r="ACM53">
        <v>0</v>
      </c>
      <c r="ACN53">
        <v>19095</v>
      </c>
      <c r="ACO53">
        <v>0</v>
      </c>
      <c r="ACP53">
        <v>0</v>
      </c>
      <c r="ACQ53">
        <v>0</v>
      </c>
      <c r="ACR53">
        <v>0</v>
      </c>
      <c r="ACS53">
        <v>0</v>
      </c>
      <c r="ACT53">
        <v>0</v>
      </c>
      <c r="ACU53">
        <v>19425</v>
      </c>
      <c r="ACV53">
        <v>0</v>
      </c>
      <c r="ACW53">
        <v>0</v>
      </c>
      <c r="ACX53">
        <v>0</v>
      </c>
      <c r="ACY53">
        <v>0</v>
      </c>
      <c r="ACZ53">
        <v>0</v>
      </c>
      <c r="ADA53">
        <v>0</v>
      </c>
      <c r="ADB53">
        <v>14260</v>
      </c>
      <c r="ADC53">
        <v>0</v>
      </c>
      <c r="ADD53">
        <v>0</v>
      </c>
      <c r="ADE53">
        <v>0</v>
      </c>
      <c r="ADF53">
        <v>0</v>
      </c>
      <c r="ADG53">
        <v>0</v>
      </c>
      <c r="ADH53">
        <v>0</v>
      </c>
      <c r="ADI53">
        <v>17968</v>
      </c>
      <c r="ADJ53">
        <v>0</v>
      </c>
      <c r="ADK53">
        <v>0</v>
      </c>
      <c r="ADL53">
        <v>25103</v>
      </c>
      <c r="ADM53">
        <v>0</v>
      </c>
      <c r="ADN53">
        <v>0</v>
      </c>
      <c r="ADO53">
        <v>0</v>
      </c>
      <c r="ADP53">
        <v>0</v>
      </c>
      <c r="ADQ53">
        <v>0</v>
      </c>
      <c r="ADR53">
        <v>0</v>
      </c>
      <c r="ADS53">
        <v>0</v>
      </c>
      <c r="ADT53">
        <v>0</v>
      </c>
      <c r="ADU53">
        <v>0</v>
      </c>
      <c r="ADV53">
        <v>0</v>
      </c>
      <c r="ADW53">
        <v>34258</v>
      </c>
      <c r="ADX53">
        <v>0</v>
      </c>
      <c r="ADY53">
        <v>0</v>
      </c>
      <c r="ADZ53">
        <v>0</v>
      </c>
      <c r="AEA53">
        <v>0</v>
      </c>
      <c r="AEB53">
        <v>0</v>
      </c>
      <c r="AEC53">
        <v>0</v>
      </c>
      <c r="AED53">
        <v>35845</v>
      </c>
      <c r="AEE53">
        <v>0</v>
      </c>
      <c r="AEF53">
        <v>0</v>
      </c>
      <c r="AEG53">
        <v>0</v>
      </c>
      <c r="AEH53">
        <v>0</v>
      </c>
      <c r="AEI53">
        <v>0</v>
      </c>
      <c r="AEJ53">
        <v>0</v>
      </c>
      <c r="AEK53">
        <v>36070</v>
      </c>
      <c r="AEL53">
        <v>0</v>
      </c>
      <c r="AEM53">
        <v>0</v>
      </c>
      <c r="AEN53">
        <v>0</v>
      </c>
      <c r="AEO53">
        <v>0</v>
      </c>
      <c r="AEP53">
        <v>0</v>
      </c>
      <c r="AEQ53">
        <v>0</v>
      </c>
      <c r="AER53">
        <v>56959</v>
      </c>
      <c r="AES53">
        <v>0</v>
      </c>
      <c r="AET53">
        <v>0</v>
      </c>
      <c r="AEU53">
        <v>0</v>
      </c>
      <c r="AEV53">
        <v>0</v>
      </c>
      <c r="AEW53">
        <v>0</v>
      </c>
      <c r="AEX53">
        <v>0</v>
      </c>
      <c r="AEY53">
        <v>0</v>
      </c>
      <c r="AEZ53">
        <v>0</v>
      </c>
      <c r="AFA53">
        <v>0</v>
      </c>
      <c r="AFB53">
        <v>0</v>
      </c>
      <c r="AFC53">
        <v>0</v>
      </c>
      <c r="AFD53">
        <v>0</v>
      </c>
      <c r="AFE53">
        <v>19665</v>
      </c>
      <c r="AFF53">
        <v>0</v>
      </c>
      <c r="AFG53">
        <v>0</v>
      </c>
      <c r="AFH53">
        <v>0</v>
      </c>
      <c r="AFI53">
        <v>0</v>
      </c>
      <c r="AFJ53">
        <v>0</v>
      </c>
      <c r="AFK53">
        <v>0</v>
      </c>
      <c r="AFL53">
        <v>0</v>
      </c>
      <c r="AFM53">
        <v>0</v>
      </c>
      <c r="AFN53">
        <v>17839</v>
      </c>
      <c r="AFO53">
        <v>0</v>
      </c>
      <c r="AFP53">
        <v>0</v>
      </c>
      <c r="AFQ53">
        <v>0</v>
      </c>
      <c r="AFR53">
        <v>0</v>
      </c>
      <c r="AFS53">
        <v>0</v>
      </c>
      <c r="AFT53">
        <v>18798</v>
      </c>
      <c r="AFU53">
        <v>0</v>
      </c>
      <c r="AFV53">
        <v>0</v>
      </c>
      <c r="AFW53">
        <v>0</v>
      </c>
      <c r="AFX53">
        <v>0</v>
      </c>
      <c r="AFY53">
        <v>0</v>
      </c>
      <c r="AFZ53">
        <v>0</v>
      </c>
      <c r="AGA53">
        <v>33596</v>
      </c>
      <c r="AGB53">
        <v>0</v>
      </c>
      <c r="AGC53">
        <v>0</v>
      </c>
      <c r="AGD53">
        <v>0</v>
      </c>
      <c r="AGE53">
        <v>0</v>
      </c>
      <c r="AGF53">
        <v>0</v>
      </c>
      <c r="AGG53">
        <v>0</v>
      </c>
      <c r="AGH53">
        <v>0</v>
      </c>
      <c r="AGI53">
        <v>0</v>
      </c>
      <c r="AGJ53">
        <v>0</v>
      </c>
      <c r="AGK53">
        <v>0</v>
      </c>
      <c r="AGL53">
        <v>0</v>
      </c>
      <c r="AGM53">
        <v>0</v>
      </c>
      <c r="AGN53">
        <v>0</v>
      </c>
      <c r="AGO53">
        <v>16962</v>
      </c>
      <c r="AGP53">
        <v>0</v>
      </c>
      <c r="AGQ53">
        <v>0</v>
      </c>
      <c r="AGR53">
        <v>0</v>
      </c>
      <c r="AGS53">
        <v>0</v>
      </c>
      <c r="AGT53">
        <v>0</v>
      </c>
      <c r="AGU53">
        <v>0</v>
      </c>
      <c r="AGV53">
        <v>0</v>
      </c>
      <c r="AGW53">
        <v>0</v>
      </c>
      <c r="AGX53">
        <v>0</v>
      </c>
      <c r="AGY53">
        <v>0</v>
      </c>
      <c r="AGZ53">
        <v>0</v>
      </c>
      <c r="AHA53">
        <v>0</v>
      </c>
      <c r="AHB53">
        <v>0</v>
      </c>
      <c r="AHC53">
        <v>40293</v>
      </c>
      <c r="AHD53">
        <v>0</v>
      </c>
      <c r="AHE53">
        <v>0</v>
      </c>
      <c r="AHF53">
        <v>0</v>
      </c>
      <c r="AHG53">
        <v>0</v>
      </c>
      <c r="AHH53">
        <v>0</v>
      </c>
      <c r="AHI53">
        <v>0</v>
      </c>
      <c r="AHJ53">
        <v>0</v>
      </c>
      <c r="AHK53">
        <v>16075</v>
      </c>
      <c r="AHL53">
        <v>0</v>
      </c>
      <c r="AHM53">
        <v>0</v>
      </c>
      <c r="AHN53">
        <v>0</v>
      </c>
      <c r="AHO53">
        <v>0</v>
      </c>
      <c r="AHP53">
        <v>0</v>
      </c>
      <c r="AHQ53">
        <v>0</v>
      </c>
    </row>
    <row r="54" spans="1:901">
      <c r="A54" s="1" t="s">
        <v>45</v>
      </c>
      <c r="C54" s="34">
        <f t="shared" si="28"/>
        <v>22517</v>
      </c>
      <c r="D54" s="34">
        <f t="shared" si="28"/>
        <v>26125</v>
      </c>
      <c r="E54" s="34">
        <f t="shared" si="29"/>
        <v>27105</v>
      </c>
      <c r="F54" s="34">
        <f t="shared" si="30"/>
        <v>25845</v>
      </c>
      <c r="G54" s="34">
        <f t="shared" si="31"/>
        <v>16881</v>
      </c>
      <c r="H54" s="34">
        <f t="shared" si="32"/>
        <v>14178</v>
      </c>
      <c r="I54" s="34">
        <f t="shared" si="32"/>
        <v>26711</v>
      </c>
      <c r="J54" s="34">
        <f t="shared" si="0"/>
        <v>27065</v>
      </c>
      <c r="K54" s="34">
        <f t="shared" si="0"/>
        <v>25692</v>
      </c>
      <c r="L54" s="34">
        <f t="shared" si="0"/>
        <v>45782</v>
      </c>
      <c r="M54" s="34">
        <f t="shared" si="0"/>
        <v>15238</v>
      </c>
      <c r="N54" s="34">
        <f t="shared" si="0"/>
        <v>12963</v>
      </c>
      <c r="O54" s="34">
        <f t="shared" si="0"/>
        <v>14030</v>
      </c>
      <c r="P54" s="34">
        <f t="shared" si="0"/>
        <v>15772</v>
      </c>
      <c r="Q54" s="34">
        <f t="shared" si="0"/>
        <v>14442</v>
      </c>
      <c r="R54" s="34">
        <f t="shared" si="0"/>
        <v>17306</v>
      </c>
      <c r="S54" s="34">
        <f t="shared" si="0"/>
        <v>12425</v>
      </c>
      <c r="T54" s="34">
        <f t="shared" si="0"/>
        <v>9047</v>
      </c>
      <c r="U54" s="34">
        <f t="shared" si="0"/>
        <v>13662</v>
      </c>
      <c r="V54" s="34">
        <f t="shared" si="0"/>
        <v>13063</v>
      </c>
      <c r="W54" s="34">
        <f t="shared" si="0"/>
        <v>15293</v>
      </c>
      <c r="X54" s="34">
        <f t="shared" si="0"/>
        <v>24228</v>
      </c>
      <c r="Y54" s="34">
        <f t="shared" si="63"/>
        <v>23090</v>
      </c>
      <c r="Z54" s="34">
        <f t="shared" si="1"/>
        <v>26676</v>
      </c>
      <c r="AA54" s="34">
        <f t="shared" si="1"/>
        <v>15209</v>
      </c>
      <c r="AB54" s="34">
        <f t="shared" si="1"/>
        <v>19385</v>
      </c>
      <c r="AC54" s="34">
        <f t="shared" si="1"/>
        <v>23272</v>
      </c>
      <c r="AD54" s="34">
        <f t="shared" si="1"/>
        <v>23136</v>
      </c>
      <c r="AE54" s="34">
        <f t="shared" si="1"/>
        <v>23617</v>
      </c>
      <c r="AF54" s="34">
        <f t="shared" si="1"/>
        <v>24395</v>
      </c>
      <c r="AG54" s="34">
        <f t="shared" si="1"/>
        <v>23982</v>
      </c>
      <c r="AH54" s="34">
        <f t="shared" si="1"/>
        <v>19105</v>
      </c>
      <c r="AI54" s="34">
        <f t="shared" si="1"/>
        <v>21342</v>
      </c>
      <c r="AJ54" s="34">
        <f t="shared" si="1"/>
        <v>22948</v>
      </c>
      <c r="AK54" s="34">
        <f t="shared" si="1"/>
        <v>23131</v>
      </c>
      <c r="AL54" s="34">
        <f t="shared" si="1"/>
        <v>26668</v>
      </c>
      <c r="AM54" s="34">
        <f t="shared" si="50"/>
        <v>24422</v>
      </c>
      <c r="AN54" s="34">
        <f t="shared" si="2"/>
        <v>22433</v>
      </c>
      <c r="AO54" s="34">
        <f t="shared" si="2"/>
        <v>16891</v>
      </c>
      <c r="AP54" s="34">
        <f t="shared" si="2"/>
        <v>20458</v>
      </c>
      <c r="AQ54" s="34">
        <f t="shared" si="2"/>
        <v>22234</v>
      </c>
      <c r="AR54" s="34">
        <f t="shared" si="2"/>
        <v>23498</v>
      </c>
      <c r="AS54" s="34">
        <f t="shared" si="2"/>
        <v>16389</v>
      </c>
      <c r="AT54" s="34">
        <f t="shared" si="2"/>
        <v>27712</v>
      </c>
      <c r="AU54" s="34">
        <f t="shared" si="2"/>
        <v>19956</v>
      </c>
      <c r="AV54" s="34">
        <f t="shared" si="2"/>
        <v>13645</v>
      </c>
      <c r="AW54" s="34">
        <f t="shared" si="2"/>
        <v>17164</v>
      </c>
      <c r="AX54" s="34">
        <f t="shared" si="2"/>
        <v>23058</v>
      </c>
      <c r="AY54" s="34">
        <f t="shared" si="2"/>
        <v>19973</v>
      </c>
      <c r="AZ54" s="34">
        <f t="shared" si="2"/>
        <v>23868</v>
      </c>
      <c r="BA54" s="34">
        <f t="shared" si="51"/>
        <v>20170</v>
      </c>
      <c r="BB54" s="34">
        <f t="shared" si="3"/>
        <v>18845</v>
      </c>
      <c r="BC54" s="34">
        <f t="shared" si="3"/>
        <v>10554</v>
      </c>
      <c r="BD54" s="34">
        <f t="shared" si="3"/>
        <v>15672</v>
      </c>
      <c r="BE54" s="34">
        <f t="shared" si="3"/>
        <v>20690</v>
      </c>
      <c r="BF54" s="34">
        <f t="shared" si="3"/>
        <v>19487</v>
      </c>
      <c r="BG54" s="34">
        <f t="shared" si="3"/>
        <v>20874</v>
      </c>
      <c r="BH54" s="34">
        <f t="shared" si="3"/>
        <v>23438</v>
      </c>
      <c r="BI54" s="34">
        <f t="shared" si="3"/>
        <v>17613</v>
      </c>
      <c r="BJ54" s="34">
        <f t="shared" si="3"/>
        <v>13237</v>
      </c>
      <c r="BK54" s="34">
        <f t="shared" si="3"/>
        <v>15319</v>
      </c>
      <c r="BL54" s="34">
        <f t="shared" si="3"/>
        <v>21327</v>
      </c>
      <c r="BM54" s="34">
        <f t="shared" si="3"/>
        <v>22239</v>
      </c>
      <c r="BN54" s="34">
        <f t="shared" si="3"/>
        <v>22126</v>
      </c>
      <c r="BO54" s="34">
        <f t="shared" si="52"/>
        <v>19325</v>
      </c>
      <c r="BP54" s="34">
        <f t="shared" si="52"/>
        <v>18873</v>
      </c>
      <c r="BQ54" s="34">
        <f t="shared" si="52"/>
        <v>10128</v>
      </c>
      <c r="BR54" s="34">
        <f t="shared" si="52"/>
        <v>16328</v>
      </c>
      <c r="BS54" s="34">
        <f t="shared" si="52"/>
        <v>21285</v>
      </c>
      <c r="BT54" s="34">
        <f t="shared" si="52"/>
        <v>17178</v>
      </c>
      <c r="BU54" s="34">
        <f t="shared" si="52"/>
        <v>19652</v>
      </c>
      <c r="BV54" s="34">
        <f t="shared" si="52"/>
        <v>20348</v>
      </c>
      <c r="BW54" s="34">
        <f t="shared" si="52"/>
        <v>19223</v>
      </c>
      <c r="BX54" s="34">
        <f t="shared" si="52"/>
        <v>10519</v>
      </c>
      <c r="BY54" s="34">
        <f t="shared" si="52"/>
        <v>16077</v>
      </c>
      <c r="BZ54" s="34">
        <f t="shared" si="52"/>
        <v>17626</v>
      </c>
      <c r="CA54" s="34">
        <f t="shared" si="52"/>
        <v>15844</v>
      </c>
      <c r="CB54" s="34">
        <f t="shared" si="52"/>
        <v>17145</v>
      </c>
      <c r="CC54" s="34">
        <f t="shared" si="52"/>
        <v>18529</v>
      </c>
      <c r="CD54" s="34">
        <f t="shared" si="52"/>
        <v>12547</v>
      </c>
      <c r="CE54" s="34">
        <f t="shared" si="52"/>
        <v>11865</v>
      </c>
      <c r="CF54" s="34">
        <f t="shared" si="52"/>
        <v>16168</v>
      </c>
      <c r="CG54" s="34">
        <f t="shared" si="52"/>
        <v>8800</v>
      </c>
      <c r="CH54" s="34">
        <f t="shared" si="52"/>
        <v>12787</v>
      </c>
      <c r="CI54" s="34">
        <f t="shared" si="52"/>
        <v>15399</v>
      </c>
      <c r="CJ54" s="34">
        <f t="shared" si="52"/>
        <v>16347</v>
      </c>
      <c r="CK54" s="34">
        <f t="shared" si="52"/>
        <v>15623</v>
      </c>
      <c r="CL54" s="34">
        <f t="shared" ref="CL54:DN62" si="69">CL33-CK33</f>
        <v>8786</v>
      </c>
      <c r="CM54" s="34">
        <f t="shared" si="69"/>
        <v>11051</v>
      </c>
      <c r="CN54" s="34">
        <f t="shared" si="69"/>
        <v>16892</v>
      </c>
      <c r="CO54" s="34">
        <f t="shared" si="69"/>
        <v>17108</v>
      </c>
      <c r="CP54" s="34">
        <f t="shared" si="69"/>
        <v>27509</v>
      </c>
      <c r="CQ54" s="34">
        <f t="shared" si="69"/>
        <v>15631</v>
      </c>
      <c r="CR54" s="34">
        <f t="shared" si="69"/>
        <v>13454</v>
      </c>
      <c r="CS54" s="34">
        <f t="shared" si="69"/>
        <v>8381</v>
      </c>
      <c r="CT54" s="34">
        <f t="shared" si="69"/>
        <v>14594</v>
      </c>
      <c r="CU54" s="34">
        <f t="shared" si="69"/>
        <v>18365</v>
      </c>
      <c r="CV54" s="34">
        <f t="shared" si="69"/>
        <v>16942</v>
      </c>
      <c r="CW54" s="34">
        <f t="shared" si="69"/>
        <v>13759</v>
      </c>
      <c r="CX54" s="34">
        <f t="shared" si="69"/>
        <v>6164</v>
      </c>
      <c r="CY54" s="34">
        <f t="shared" si="69"/>
        <v>10486</v>
      </c>
      <c r="CZ54" s="34">
        <f t="shared" si="69"/>
        <v>9978</v>
      </c>
      <c r="DA54" s="34">
        <f t="shared" si="69"/>
        <v>12452</v>
      </c>
      <c r="DB54" s="34">
        <f t="shared" si="69"/>
        <v>16877</v>
      </c>
      <c r="DC54" s="34">
        <f t="shared" si="69"/>
        <v>19629</v>
      </c>
      <c r="DD54" s="34">
        <f t="shared" si="69"/>
        <v>15217</v>
      </c>
      <c r="DE54" s="34">
        <f t="shared" si="69"/>
        <v>5636</v>
      </c>
      <c r="DF54" s="34">
        <f t="shared" si="69"/>
        <v>12225</v>
      </c>
      <c r="DG54" s="34">
        <f t="shared" si="69"/>
        <v>12206</v>
      </c>
      <c r="DH54" s="34">
        <f t="shared" si="69"/>
        <v>13871</v>
      </c>
      <c r="DI54" s="34">
        <f t="shared" si="69"/>
        <v>19951</v>
      </c>
      <c r="DJ54" s="34">
        <f t="shared" si="69"/>
        <v>15261</v>
      </c>
      <c r="DK54" s="34">
        <f t="shared" si="69"/>
        <v>14535</v>
      </c>
      <c r="DL54" s="34">
        <f t="shared" si="69"/>
        <v>19698</v>
      </c>
      <c r="DM54" s="34">
        <f t="shared" si="69"/>
        <v>16766</v>
      </c>
      <c r="DN54" s="34">
        <f t="shared" si="69"/>
        <v>13159</v>
      </c>
      <c r="DO54" s="34">
        <f t="shared" si="46"/>
        <v>16145</v>
      </c>
      <c r="DP54" s="34">
        <f t="shared" si="46"/>
        <v>35354</v>
      </c>
      <c r="DQ54" s="34">
        <f t="shared" si="46"/>
        <v>35104</v>
      </c>
      <c r="DR54" s="34">
        <f t="shared" si="46"/>
        <v>48029</v>
      </c>
      <c r="DS54" s="34">
        <f t="shared" si="46"/>
        <v>28613</v>
      </c>
      <c r="DT54" s="34">
        <f t="shared" si="46"/>
        <v>31734</v>
      </c>
      <c r="DU54" s="34">
        <f t="shared" si="46"/>
        <v>25792</v>
      </c>
      <c r="DV54" s="34">
        <f t="shared" si="46"/>
        <v>26196</v>
      </c>
      <c r="DW54" s="34">
        <f t="shared" si="46"/>
        <v>30855</v>
      </c>
      <c r="DX54" s="34">
        <f t="shared" si="46"/>
        <v>30254</v>
      </c>
      <c r="DY54" s="34">
        <f t="shared" si="46"/>
        <v>38916</v>
      </c>
      <c r="DZ54" s="34">
        <f t="shared" si="46"/>
        <v>32672</v>
      </c>
      <c r="EA54" s="34">
        <f t="shared" si="46"/>
        <v>32738</v>
      </c>
      <c r="EB54" s="34">
        <f t="shared" si="46"/>
        <v>0</v>
      </c>
      <c r="EC54" s="34">
        <f t="shared" si="46"/>
        <v>48781</v>
      </c>
      <c r="ED54" s="34">
        <f t="shared" si="46"/>
        <v>34276</v>
      </c>
      <c r="EE54" s="34">
        <f t="shared" si="46"/>
        <v>36602</v>
      </c>
      <c r="EF54" s="34">
        <f t="shared" si="46"/>
        <v>37293</v>
      </c>
      <c r="EG54" s="34">
        <f t="shared" si="46"/>
        <v>49789</v>
      </c>
      <c r="EH54" s="34">
        <f t="shared" si="46"/>
        <v>33493</v>
      </c>
      <c r="EI54" s="34">
        <f t="shared" si="5"/>
        <v>20566</v>
      </c>
      <c r="EJ54" s="34">
        <f t="shared" si="5"/>
        <v>40779</v>
      </c>
      <c r="EK54" s="34">
        <f t="shared" si="5"/>
        <v>45545</v>
      </c>
      <c r="EL54" s="34">
        <f t="shared" si="5"/>
        <v>50557</v>
      </c>
      <c r="EM54" s="34">
        <f t="shared" si="5"/>
        <v>42662</v>
      </c>
      <c r="EN54" s="34">
        <f t="shared" si="5"/>
        <v>47433</v>
      </c>
      <c r="EO54" s="34">
        <f t="shared" si="5"/>
        <v>26847</v>
      </c>
      <c r="EP54" s="34">
        <f t="shared" si="5"/>
        <v>28070</v>
      </c>
      <c r="EQ54" s="34">
        <f t="shared" si="53"/>
        <v>31113</v>
      </c>
      <c r="ER54" s="34">
        <f t="shared" si="53"/>
        <v>40541</v>
      </c>
      <c r="ES54" s="34">
        <f t="shared" si="53"/>
        <v>60006</v>
      </c>
      <c r="ET54" s="34">
        <f t="shared" si="53"/>
        <v>57760</v>
      </c>
      <c r="EU54" s="34">
        <f t="shared" si="53"/>
        <v>53872</v>
      </c>
      <c r="EV54" s="34">
        <f t="shared" si="53"/>
        <v>48322</v>
      </c>
      <c r="EW54" s="34">
        <f t="shared" si="53"/>
        <v>22988</v>
      </c>
      <c r="EX54" s="34">
        <f t="shared" si="53"/>
        <v>42411</v>
      </c>
      <c r="EY54" s="34">
        <f t="shared" si="53"/>
        <v>57134</v>
      </c>
      <c r="EZ54" s="34">
        <f t="shared" si="53"/>
        <v>58877</v>
      </c>
      <c r="FA54" s="34">
        <f t="shared" si="53"/>
        <v>53615</v>
      </c>
      <c r="FB54" s="34">
        <f t="shared" si="53"/>
        <v>51406</v>
      </c>
      <c r="FC54" s="34">
        <f t="shared" si="53"/>
        <v>45109</v>
      </c>
      <c r="FD54" s="34">
        <f t="shared" si="53"/>
        <v>22460</v>
      </c>
      <c r="FE54" s="34">
        <f t="shared" si="53"/>
        <v>50331</v>
      </c>
      <c r="FF54" s="34">
        <f t="shared" si="53"/>
        <v>49196</v>
      </c>
      <c r="FG54" s="34">
        <f t="shared" si="53"/>
        <v>53944</v>
      </c>
      <c r="FH54" s="34">
        <f t="shared" si="53"/>
        <v>53878</v>
      </c>
      <c r="FI54" s="34">
        <f t="shared" si="53"/>
        <v>52863</v>
      </c>
      <c r="FJ54" s="34">
        <f t="shared" si="53"/>
        <v>42740</v>
      </c>
      <c r="FK54" s="34">
        <f t="shared" si="53"/>
        <v>19815</v>
      </c>
      <c r="FL54" s="34">
        <f t="shared" si="53"/>
        <v>43982</v>
      </c>
      <c r="FM54" s="34">
        <f t="shared" si="53"/>
        <v>53423</v>
      </c>
      <c r="FN54" s="34">
        <v>55257</v>
      </c>
      <c r="FO54" s="34">
        <f t="shared" si="6"/>
        <v>55656</v>
      </c>
      <c r="FP54" s="34">
        <v>55466</v>
      </c>
      <c r="FQ54" s="34">
        <v>48986</v>
      </c>
      <c r="FR54" s="34">
        <v>23151</v>
      </c>
      <c r="FS54" s="34">
        <v>45817</v>
      </c>
      <c r="FT54" s="34">
        <f t="shared" si="9"/>
        <v>59941</v>
      </c>
      <c r="FU54" s="34">
        <f t="shared" si="9"/>
        <v>59737</v>
      </c>
      <c r="FV54" s="34">
        <f t="shared" si="9"/>
        <v>66808</v>
      </c>
      <c r="FW54" s="34">
        <f t="shared" si="9"/>
        <v>61663</v>
      </c>
      <c r="FX54" s="34">
        <f t="shared" si="9"/>
        <v>50224</v>
      </c>
      <c r="FY54" s="34">
        <f t="shared" si="9"/>
        <v>44826</v>
      </c>
      <c r="FZ54" s="34">
        <f t="shared" si="9"/>
        <v>65982</v>
      </c>
      <c r="GA54" s="34">
        <f t="shared" si="9"/>
        <v>70750</v>
      </c>
      <c r="GB54" s="34">
        <f t="shared" si="9"/>
        <v>63640</v>
      </c>
      <c r="GC54" s="34">
        <f t="shared" si="9"/>
        <v>62451</v>
      </c>
      <c r="GD54" s="34">
        <f t="shared" si="9"/>
        <v>67567</v>
      </c>
      <c r="GE54" s="34">
        <f t="shared" si="9"/>
        <v>51956</v>
      </c>
      <c r="GF54" s="34">
        <f t="shared" si="9"/>
        <v>37102</v>
      </c>
      <c r="GG54" s="34">
        <f t="shared" si="64"/>
        <v>61247</v>
      </c>
      <c r="GH54" s="34">
        <f t="shared" si="10"/>
        <v>71448</v>
      </c>
      <c r="GI54" s="34">
        <f t="shared" si="10"/>
        <v>68437</v>
      </c>
      <c r="GJ54" s="34">
        <f t="shared" si="10"/>
        <v>63987</v>
      </c>
      <c r="GK54" s="34">
        <f t="shared" si="10"/>
        <v>75456</v>
      </c>
      <c r="GL54" s="34">
        <f t="shared" si="10"/>
        <v>71077</v>
      </c>
      <c r="GM54" s="34">
        <f t="shared" si="10"/>
        <v>29563</v>
      </c>
      <c r="GN54" s="34">
        <f t="shared" si="10"/>
        <v>53431</v>
      </c>
      <c r="GO54" s="34">
        <f t="shared" si="10"/>
        <v>71402</v>
      </c>
      <c r="GP54" s="34">
        <f t="shared" si="10"/>
        <v>79552</v>
      </c>
      <c r="GQ54" s="34">
        <f t="shared" si="10"/>
        <v>50857</v>
      </c>
      <c r="GR54" s="34">
        <f t="shared" si="10"/>
        <v>37874</v>
      </c>
      <c r="GS54" s="34">
        <f t="shared" si="10"/>
        <v>54897</v>
      </c>
      <c r="GT54" s="34">
        <f t="shared" si="10"/>
        <v>41313</v>
      </c>
      <c r="GU54" s="34">
        <f t="shared" si="54"/>
        <v>61591</v>
      </c>
      <c r="GV54" s="34">
        <f t="shared" si="11"/>
        <v>68012</v>
      </c>
      <c r="GW54" s="34">
        <f t="shared" si="11"/>
        <v>81701</v>
      </c>
      <c r="GX54" s="34">
        <f t="shared" si="11"/>
        <v>85678</v>
      </c>
      <c r="GY54" s="34">
        <f t="shared" si="11"/>
        <v>69310</v>
      </c>
      <c r="GZ54" s="34">
        <f t="shared" si="11"/>
        <v>56100</v>
      </c>
      <c r="HA54" s="34">
        <f t="shared" si="11"/>
        <v>42085</v>
      </c>
      <c r="HB54" s="34">
        <f t="shared" si="12"/>
        <v>84170</v>
      </c>
      <c r="HC54" s="34">
        <f t="shared" si="13"/>
        <v>72841</v>
      </c>
      <c r="HD54" s="34">
        <f t="shared" ref="HD54" si="70">HD33-HC33</f>
        <v>67551</v>
      </c>
      <c r="HE54" s="34">
        <f t="shared" si="13"/>
        <v>69165</v>
      </c>
      <c r="HF54" s="34">
        <f t="shared" si="13"/>
        <v>78756</v>
      </c>
      <c r="HG54" s="34">
        <f t="shared" si="13"/>
        <v>61126</v>
      </c>
      <c r="HH54" s="34">
        <f t="shared" si="13"/>
        <v>26034</v>
      </c>
      <c r="HI54" s="34">
        <f t="shared" si="13"/>
        <v>62944</v>
      </c>
      <c r="HJ54" s="34">
        <f t="shared" si="13"/>
        <v>58043</v>
      </c>
      <c r="HK54" s="34">
        <f t="shared" si="13"/>
        <v>68385</v>
      </c>
      <c r="HL54" s="34">
        <f t="shared" si="13"/>
        <v>72517</v>
      </c>
      <c r="HM54" s="34">
        <f t="shared" si="13"/>
        <v>74934</v>
      </c>
      <c r="HN54" s="34">
        <f t="shared" si="13"/>
        <v>63721</v>
      </c>
      <c r="HO54" s="34">
        <f t="shared" si="13"/>
        <v>37172</v>
      </c>
      <c r="HP54" s="34">
        <f t="shared" si="13"/>
        <v>65567</v>
      </c>
      <c r="HQ54" s="34">
        <f t="shared" si="13"/>
        <v>72844</v>
      </c>
      <c r="HR54" s="34">
        <f t="shared" si="14"/>
        <v>58783</v>
      </c>
      <c r="HS54" s="34">
        <f t="shared" si="14"/>
        <v>73145</v>
      </c>
      <c r="HT54" s="34">
        <f t="shared" si="14"/>
        <v>56394</v>
      </c>
      <c r="HU54" s="34">
        <f t="shared" si="14"/>
        <v>43810</v>
      </c>
      <c r="HV54" s="34">
        <f t="shared" si="14"/>
        <v>23374</v>
      </c>
      <c r="HW54" s="34">
        <f t="shared" si="14"/>
        <v>55303</v>
      </c>
      <c r="HX54" s="34">
        <f t="shared" si="14"/>
        <v>62947</v>
      </c>
      <c r="HY54" s="34">
        <f t="shared" si="14"/>
        <v>72240</v>
      </c>
      <c r="HZ54" s="34">
        <f t="shared" si="14"/>
        <v>72090</v>
      </c>
      <c r="IA54" s="34">
        <f t="shared" si="14"/>
        <v>68359</v>
      </c>
      <c r="IB54" s="34">
        <f t="shared" si="14"/>
        <v>58135</v>
      </c>
      <c r="IC54" s="34">
        <f t="shared" si="14"/>
        <v>23076</v>
      </c>
      <c r="ID54" s="34">
        <f t="shared" si="14"/>
        <v>55826</v>
      </c>
      <c r="IE54" s="34">
        <f t="shared" si="66"/>
        <v>71498</v>
      </c>
      <c r="IF54" s="34">
        <f t="shared" si="15"/>
        <v>68939</v>
      </c>
      <c r="IG54" s="34">
        <f t="shared" si="15"/>
        <v>70855</v>
      </c>
      <c r="IH54" s="34">
        <f t="shared" si="15"/>
        <v>62056</v>
      </c>
      <c r="II54" s="34">
        <f t="shared" si="15"/>
        <v>57388</v>
      </c>
      <c r="IJ54" s="34">
        <f t="shared" si="15"/>
        <v>27108</v>
      </c>
      <c r="IK54" s="34">
        <f t="shared" si="15"/>
        <v>54104</v>
      </c>
      <c r="IL54" s="34">
        <f t="shared" si="15"/>
        <v>67628</v>
      </c>
      <c r="IM54" s="34">
        <f t="shared" si="15"/>
        <v>65954</v>
      </c>
      <c r="IN54" s="34">
        <f t="shared" si="15"/>
        <v>64189</v>
      </c>
      <c r="IO54" s="34">
        <f t="shared" si="15"/>
        <v>61518</v>
      </c>
      <c r="IP54" s="34">
        <f t="shared" si="15"/>
        <v>50555</v>
      </c>
      <c r="IQ54" s="34">
        <f t="shared" si="15"/>
        <v>23624</v>
      </c>
      <c r="IR54" s="34">
        <f t="shared" si="15"/>
        <v>47799</v>
      </c>
      <c r="IS54" s="34">
        <f t="shared" si="56"/>
        <v>60462</v>
      </c>
      <c r="IT54" s="34">
        <f t="shared" si="44"/>
        <v>61004</v>
      </c>
      <c r="IU54" s="34">
        <f t="shared" si="16"/>
        <v>57466</v>
      </c>
      <c r="IV54" s="34">
        <f t="shared" si="16"/>
        <v>56845</v>
      </c>
      <c r="IW54" s="34">
        <f t="shared" si="16"/>
        <v>49421</v>
      </c>
      <c r="IX54" s="34">
        <f t="shared" si="16"/>
        <v>0</v>
      </c>
      <c r="IY54" s="34">
        <f t="shared" si="16"/>
        <v>72354</v>
      </c>
      <c r="IZ54" s="34">
        <f t="shared" si="16"/>
        <v>57454</v>
      </c>
      <c r="JA54" s="34">
        <f t="shared" si="16"/>
        <v>55835</v>
      </c>
      <c r="JB54" s="34">
        <f t="shared" si="16"/>
        <v>50994</v>
      </c>
      <c r="JC54" s="34">
        <f t="shared" si="16"/>
        <v>56104</v>
      </c>
      <c r="JD54" s="34">
        <f t="shared" si="16"/>
        <v>41222</v>
      </c>
      <c r="JE54" s="34">
        <f t="shared" si="16"/>
        <v>15215</v>
      </c>
      <c r="JF54" s="34">
        <f t="shared" si="16"/>
        <v>41423</v>
      </c>
      <c r="JG54" s="34">
        <f t="shared" si="16"/>
        <v>44186</v>
      </c>
      <c r="JH54" s="34">
        <f t="shared" si="67"/>
        <v>50958</v>
      </c>
      <c r="JI54" s="34">
        <f t="shared" si="17"/>
        <v>45874</v>
      </c>
      <c r="JJ54" s="34">
        <f t="shared" si="17"/>
        <v>47173</v>
      </c>
      <c r="JK54" s="34">
        <f t="shared" si="17"/>
        <v>36305</v>
      </c>
      <c r="JL54" s="34">
        <f t="shared" si="17"/>
        <v>16516</v>
      </c>
      <c r="JM54" s="34">
        <f t="shared" si="17"/>
        <v>38953</v>
      </c>
      <c r="JN54" s="34">
        <f t="shared" si="17"/>
        <v>54499</v>
      </c>
      <c r="JO54" s="34">
        <f t="shared" si="17"/>
        <v>56375</v>
      </c>
      <c r="JP54" s="34">
        <f t="shared" si="17"/>
        <v>52614</v>
      </c>
      <c r="JQ54" s="34">
        <f t="shared" si="17"/>
        <v>56801</v>
      </c>
      <c r="JR54" s="34">
        <f t="shared" si="17"/>
        <v>43148</v>
      </c>
      <c r="JS54" s="34">
        <f t="shared" si="17"/>
        <v>17563</v>
      </c>
      <c r="JT54" s="34">
        <f t="shared" si="17"/>
        <v>45367</v>
      </c>
      <c r="JU54" s="34">
        <f t="shared" si="17"/>
        <v>50557</v>
      </c>
      <c r="JV54" s="34">
        <f t="shared" si="57"/>
        <v>52305</v>
      </c>
      <c r="JW54" s="34">
        <f t="shared" si="18"/>
        <v>53288</v>
      </c>
      <c r="JX54" s="34">
        <f t="shared" si="18"/>
        <v>50226</v>
      </c>
      <c r="JY54" s="34">
        <f t="shared" si="18"/>
        <v>41342</v>
      </c>
      <c r="JZ54" s="34">
        <f t="shared" si="18"/>
        <v>17889</v>
      </c>
      <c r="KA54" s="34">
        <f t="shared" si="18"/>
        <v>0</v>
      </c>
      <c r="KB54" s="34">
        <f t="shared" si="18"/>
        <v>44949</v>
      </c>
      <c r="KC54" s="34">
        <f t="shared" si="18"/>
        <v>77150</v>
      </c>
      <c r="KD54" s="34">
        <f t="shared" si="18"/>
        <v>52339</v>
      </c>
      <c r="KE54" s="34">
        <f t="shared" si="18"/>
        <v>54998</v>
      </c>
      <c r="KF54" s="34">
        <f t="shared" si="18"/>
        <v>42458</v>
      </c>
      <c r="KG54" s="34">
        <f t="shared" si="18"/>
        <v>19033</v>
      </c>
      <c r="KH54" s="34">
        <f t="shared" si="18"/>
        <v>44248</v>
      </c>
      <c r="KI54" s="34">
        <f t="shared" si="18"/>
        <v>49138</v>
      </c>
      <c r="KJ54" s="34">
        <f t="shared" si="58"/>
        <v>54363</v>
      </c>
      <c r="KK54" s="34">
        <f t="shared" si="19"/>
        <v>56235</v>
      </c>
      <c r="KL54" s="34">
        <f t="shared" si="19"/>
        <v>45621</v>
      </c>
      <c r="KM54" s="34">
        <f t="shared" si="19"/>
        <v>47003</v>
      </c>
      <c r="KN54" s="34">
        <f t="shared" si="19"/>
        <v>22938</v>
      </c>
      <c r="KO54" s="34">
        <f t="shared" si="19"/>
        <v>48175</v>
      </c>
      <c r="KP54" s="34">
        <f t="shared" si="19"/>
        <v>54934</v>
      </c>
      <c r="KQ54" s="34">
        <f t="shared" si="19"/>
        <v>53502</v>
      </c>
      <c r="KR54" s="34">
        <f t="shared" si="19"/>
        <v>48669</v>
      </c>
      <c r="KS54" s="34">
        <f t="shared" si="19"/>
        <v>49911</v>
      </c>
      <c r="KT54" s="34">
        <f t="shared" si="19"/>
        <v>44200</v>
      </c>
      <c r="KU54" s="34">
        <f t="shared" si="19"/>
        <v>20557</v>
      </c>
      <c r="KV54" s="34">
        <f t="shared" si="19"/>
        <v>40760</v>
      </c>
      <c r="KW54" s="34">
        <f t="shared" si="19"/>
        <v>49503</v>
      </c>
      <c r="KX54" s="34">
        <f t="shared" si="59"/>
        <v>46717</v>
      </c>
      <c r="KY54" s="34">
        <f t="shared" si="20"/>
        <v>51670</v>
      </c>
      <c r="KZ54" s="34">
        <f t="shared" si="20"/>
        <v>51708</v>
      </c>
      <c r="LA54" s="34">
        <f t="shared" si="34"/>
        <v>43079</v>
      </c>
      <c r="LB54" s="34">
        <f t="shared" si="35"/>
        <v>21672</v>
      </c>
      <c r="LC54" s="34">
        <f t="shared" si="36"/>
        <v>43108</v>
      </c>
      <c r="LD54" s="34">
        <f t="shared" si="37"/>
        <v>51881</v>
      </c>
      <c r="LE54" s="34">
        <f t="shared" si="38"/>
        <v>24750</v>
      </c>
      <c r="LF54" s="34">
        <f t="shared" si="39"/>
        <v>19166</v>
      </c>
      <c r="LG54" s="34">
        <f t="shared" si="21"/>
        <v>38825</v>
      </c>
      <c r="LH54" s="34">
        <f t="shared" si="21"/>
        <v>36925</v>
      </c>
      <c r="LI54" s="34">
        <f t="shared" si="21"/>
        <v>20957</v>
      </c>
      <c r="LJ54" s="34">
        <f t="shared" si="21"/>
        <v>44686</v>
      </c>
      <c r="LK54" s="34">
        <f t="shared" si="21"/>
        <v>51730</v>
      </c>
      <c r="LL54" s="34">
        <f t="shared" si="21"/>
        <v>46142</v>
      </c>
      <c r="LM54" s="34">
        <f t="shared" si="21"/>
        <v>47046</v>
      </c>
      <c r="LN54" s="34">
        <f t="shared" si="21"/>
        <v>44953</v>
      </c>
      <c r="LO54" s="34">
        <f t="shared" si="21"/>
        <v>35992</v>
      </c>
      <c r="LP54" s="34">
        <f t="shared" si="21"/>
        <v>17283</v>
      </c>
      <c r="LQ54" s="34">
        <f t="shared" si="21"/>
        <v>37557</v>
      </c>
      <c r="LR54" s="34">
        <f t="shared" si="21"/>
        <v>49643</v>
      </c>
      <c r="LS54" s="34">
        <f t="shared" si="21"/>
        <v>48063</v>
      </c>
      <c r="LT54" s="34">
        <f t="shared" si="21"/>
        <v>50839</v>
      </c>
      <c r="LU54" s="34">
        <f t="shared" si="21"/>
        <v>46073</v>
      </c>
      <c r="LV54" s="34">
        <f t="shared" si="68"/>
        <v>36482</v>
      </c>
      <c r="LW54" s="34">
        <f t="shared" si="22"/>
        <v>16117</v>
      </c>
      <c r="LX54" s="34">
        <f t="shared" si="22"/>
        <v>0</v>
      </c>
      <c r="LY54" s="34">
        <f t="shared" si="22"/>
        <v>90013</v>
      </c>
      <c r="LZ54" s="34">
        <f t="shared" si="22"/>
        <v>48370</v>
      </c>
      <c r="MA54" s="34">
        <f t="shared" si="22"/>
        <v>47985</v>
      </c>
      <c r="MB54" s="34">
        <f t="shared" si="22"/>
        <v>51184</v>
      </c>
      <c r="MC54" s="34">
        <f t="shared" si="22"/>
        <v>42186</v>
      </c>
      <c r="MD54" s="34">
        <f t="shared" si="22"/>
        <v>17194</v>
      </c>
      <c r="ME54" s="34">
        <f t="shared" si="22"/>
        <v>41351</v>
      </c>
      <c r="MF54" s="34">
        <f t="shared" si="22"/>
        <v>51911</v>
      </c>
      <c r="MG54" s="34">
        <f t="shared" si="22"/>
        <v>50678</v>
      </c>
      <c r="MH54" s="34">
        <f t="shared" si="22"/>
        <v>48089</v>
      </c>
      <c r="MI54" s="34">
        <f t="shared" si="22"/>
        <v>47344</v>
      </c>
      <c r="MJ54" s="34">
        <f t="shared" si="60"/>
        <v>0</v>
      </c>
      <c r="MK54" s="34">
        <f t="shared" si="23"/>
        <v>51336</v>
      </c>
      <c r="ML54" s="34">
        <f t="shared" si="23"/>
        <v>18603</v>
      </c>
      <c r="MM54" s="34">
        <f t="shared" si="23"/>
        <v>41770</v>
      </c>
      <c r="MN54" s="34">
        <f t="shared" si="23"/>
        <v>47107</v>
      </c>
      <c r="MO54" s="34">
        <f t="shared" si="23"/>
        <v>45488</v>
      </c>
      <c r="MP54" s="34">
        <f t="shared" si="23"/>
        <v>44440</v>
      </c>
      <c r="MQ54" s="34">
        <f t="shared" si="23"/>
        <v>37256</v>
      </c>
      <c r="MR54" s="34">
        <f t="shared" si="23"/>
        <v>20033</v>
      </c>
      <c r="MS54" s="34">
        <f t="shared" si="23"/>
        <v>38701</v>
      </c>
      <c r="MT54" s="34">
        <f t="shared" si="23"/>
        <v>45319</v>
      </c>
      <c r="MU54" s="34">
        <f t="shared" si="23"/>
        <v>37910</v>
      </c>
      <c r="MV54" s="34">
        <f t="shared" si="23"/>
        <v>36850</v>
      </c>
      <c r="MW54" s="34">
        <f t="shared" si="23"/>
        <v>44127</v>
      </c>
      <c r="MX54" s="34">
        <f t="shared" si="61"/>
        <v>39290</v>
      </c>
      <c r="MY54" s="34">
        <f t="shared" si="24"/>
        <v>18093</v>
      </c>
      <c r="MZ54" s="34">
        <f t="shared" si="25"/>
        <v>37375</v>
      </c>
      <c r="NA54" s="34">
        <f t="shared" si="25"/>
        <v>45295</v>
      </c>
      <c r="NB54" s="34">
        <f t="shared" si="25"/>
        <v>46114</v>
      </c>
      <c r="NC54" s="34">
        <f t="shared" si="25"/>
        <v>44342</v>
      </c>
      <c r="ND54" s="34">
        <f t="shared" si="25"/>
        <v>41852</v>
      </c>
      <c r="NE54" s="34">
        <f t="shared" si="25"/>
        <v>37433</v>
      </c>
      <c r="NF54" s="34">
        <f t="shared" si="25"/>
        <v>20915</v>
      </c>
      <c r="NG54" s="34">
        <f t="shared" si="25"/>
        <v>34289</v>
      </c>
      <c r="NH54" s="34">
        <f t="shared" si="25"/>
        <v>43751</v>
      </c>
      <c r="NI54" s="34">
        <f t="shared" si="25"/>
        <v>43409</v>
      </c>
      <c r="NJ54" s="34">
        <f t="shared" si="25"/>
        <v>45212</v>
      </c>
      <c r="NK54" s="34">
        <f t="shared" si="25"/>
        <v>40352</v>
      </c>
      <c r="NL54" s="34">
        <f t="shared" si="25"/>
        <v>36711</v>
      </c>
      <c r="NM54" s="34">
        <f t="shared" si="62"/>
        <v>16633</v>
      </c>
      <c r="NN54" s="34">
        <f t="shared" si="26"/>
        <v>35156</v>
      </c>
      <c r="NO54" s="34">
        <f t="shared" si="27"/>
        <v>44680</v>
      </c>
      <c r="NP54" s="34">
        <v>43067</v>
      </c>
      <c r="NQ54" s="34">
        <v>45694</v>
      </c>
      <c r="NR54" s="34">
        <v>0</v>
      </c>
      <c r="NS54" s="34">
        <v>81144</v>
      </c>
      <c r="NT54" s="34">
        <v>19473</v>
      </c>
      <c r="NU54" s="34">
        <v>36704</v>
      </c>
      <c r="NV54" s="34">
        <v>44266</v>
      </c>
      <c r="NW54" s="34">
        <v>41014</v>
      </c>
      <c r="NX54">
        <v>44763</v>
      </c>
      <c r="NY54" s="34">
        <v>22965</v>
      </c>
      <c r="NZ54" s="34">
        <v>32283</v>
      </c>
      <c r="OA54" s="34">
        <v>16012</v>
      </c>
      <c r="OB54" s="34">
        <v>35150</v>
      </c>
      <c r="OC54" s="34">
        <v>42850</v>
      </c>
      <c r="OD54" s="34">
        <v>44760</v>
      </c>
      <c r="OE54" s="34">
        <v>45938</v>
      </c>
      <c r="OF54" s="34">
        <v>43164</v>
      </c>
      <c r="OG54" s="34">
        <v>37371</v>
      </c>
      <c r="OH54" s="34">
        <v>19839</v>
      </c>
      <c r="OI54" s="34">
        <v>36564</v>
      </c>
      <c r="OJ54" s="34">
        <v>45798</v>
      </c>
      <c r="OK54" s="34">
        <v>0</v>
      </c>
      <c r="OL54" s="34">
        <v>87976</v>
      </c>
      <c r="OM54" s="34">
        <v>42880</v>
      </c>
      <c r="ON54" s="34">
        <v>40262</v>
      </c>
      <c r="OO54" s="34">
        <v>21413</v>
      </c>
      <c r="OP54" s="34">
        <v>34140</v>
      </c>
      <c r="OQ54" s="34">
        <v>43346</v>
      </c>
      <c r="OR54" s="34">
        <v>44385</v>
      </c>
      <c r="OS54" s="34">
        <f t="shared" si="40"/>
        <v>0</v>
      </c>
      <c r="OT54" s="34">
        <f t="shared" si="40"/>
        <v>88447</v>
      </c>
      <c r="OU54" s="34">
        <v>43567</v>
      </c>
      <c r="OV54" s="34">
        <v>20612</v>
      </c>
      <c r="OW54" s="34">
        <v>20003</v>
      </c>
      <c r="OX54" s="34">
        <v>34868</v>
      </c>
      <c r="OY54" s="34">
        <v>43508</v>
      </c>
      <c r="OZ54" s="34">
        <v>47404</v>
      </c>
      <c r="PA54" s="34">
        <v>47083</v>
      </c>
      <c r="PB54" s="34">
        <v>44918</v>
      </c>
      <c r="PC54" s="34">
        <v>18817</v>
      </c>
      <c r="PD54" s="34">
        <v>41485</v>
      </c>
      <c r="PE54" s="34">
        <v>49882</v>
      </c>
      <c r="PF54" s="34">
        <v>47838</v>
      </c>
      <c r="PG54" s="34">
        <v>49014</v>
      </c>
      <c r="PH54" s="34">
        <v>47216</v>
      </c>
      <c r="PI54" s="34">
        <v>41474</v>
      </c>
      <c r="PJ54" s="34">
        <v>23601</v>
      </c>
      <c r="PK54" s="34">
        <v>42150</v>
      </c>
      <c r="PL54" s="34">
        <v>45700</v>
      </c>
      <c r="PM54" s="34">
        <v>45282</v>
      </c>
      <c r="PN54" s="34">
        <v>48181</v>
      </c>
      <c r="PO54" s="34">
        <v>48171</v>
      </c>
      <c r="PP54" s="34">
        <v>44960</v>
      </c>
      <c r="PQ54" s="34">
        <v>24992</v>
      </c>
      <c r="PR54" s="34">
        <v>43874</v>
      </c>
      <c r="PS54" s="34">
        <v>51523</v>
      </c>
      <c r="PT54" s="34">
        <v>49742</v>
      </c>
      <c r="PU54" s="34">
        <v>0</v>
      </c>
      <c r="PV54" s="34">
        <v>95194</v>
      </c>
      <c r="PW54" s="34">
        <v>44415</v>
      </c>
      <c r="PX54" s="34">
        <v>24318</v>
      </c>
      <c r="PY54" s="34">
        <v>40697</v>
      </c>
      <c r="PZ54" s="34">
        <v>0</v>
      </c>
      <c r="QA54" s="34">
        <v>99983</v>
      </c>
      <c r="QB54" s="34">
        <v>49152</v>
      </c>
      <c r="QC54" s="34">
        <v>48478</v>
      </c>
      <c r="QD54" s="34">
        <v>43742</v>
      </c>
      <c r="QE54" s="34">
        <v>25221</v>
      </c>
      <c r="QF54" s="34">
        <v>42742</v>
      </c>
      <c r="QG54" s="34">
        <v>51038</v>
      </c>
      <c r="QH54" s="34">
        <v>33618</v>
      </c>
      <c r="QI54" s="34">
        <v>45518</v>
      </c>
      <c r="QJ54" s="34">
        <v>0</v>
      </c>
      <c r="QK54" s="34">
        <v>0</v>
      </c>
      <c r="QL54" s="34">
        <v>125673</v>
      </c>
      <c r="QM54" s="34">
        <v>42240</v>
      </c>
      <c r="QN54" s="34">
        <v>47732</v>
      </c>
      <c r="QO54" s="34">
        <v>52953</v>
      </c>
      <c r="QP54" s="34">
        <v>52368</v>
      </c>
      <c r="QQ54" s="34">
        <v>50854</v>
      </c>
      <c r="QR54" s="34">
        <v>44354</v>
      </c>
      <c r="QS54" s="34">
        <v>23238</v>
      </c>
      <c r="QT54" s="34">
        <v>38959</v>
      </c>
      <c r="QU54" s="34">
        <v>48520</v>
      </c>
      <c r="QV54" s="34">
        <v>53120</v>
      </c>
      <c r="QW54" s="34">
        <v>19110</v>
      </c>
      <c r="QX54" s="34">
        <v>154839</v>
      </c>
      <c r="QY54" s="34">
        <v>17195</v>
      </c>
      <c r="QZ54" s="34">
        <v>25503</v>
      </c>
      <c r="RA54" s="34">
        <v>41579</v>
      </c>
      <c r="RB54" s="34">
        <v>64301</v>
      </c>
      <c r="RC54" s="34">
        <v>69510</v>
      </c>
      <c r="RD54" s="34">
        <v>64660</v>
      </c>
      <c r="RE54" s="34">
        <v>0</v>
      </c>
      <c r="RF54" s="34">
        <v>53356</v>
      </c>
      <c r="RG54" s="34">
        <v>37908</v>
      </c>
      <c r="RH54" s="34">
        <v>48046</v>
      </c>
      <c r="RI54" s="34">
        <v>69819</v>
      </c>
      <c r="RJ54" s="34">
        <v>87343</v>
      </c>
      <c r="RK54" s="34">
        <v>87126</v>
      </c>
      <c r="RL54" s="34">
        <v>96410</v>
      </c>
      <c r="RM54" s="34">
        <v>0</v>
      </c>
      <c r="RN54" s="34">
        <v>160266</v>
      </c>
      <c r="RO54" s="34">
        <v>113469</v>
      </c>
      <c r="RP54" s="34">
        <v>130705</v>
      </c>
      <c r="RQ54" s="34">
        <v>149272</v>
      </c>
      <c r="RR54" s="34">
        <v>150440</v>
      </c>
      <c r="RS54" s="34">
        <v>159004</v>
      </c>
      <c r="RT54" s="34">
        <v>0</v>
      </c>
      <c r="RU54" s="34">
        <v>239225</v>
      </c>
      <c r="RV54" s="34">
        <v>116225</v>
      </c>
      <c r="RW54" s="34">
        <v>167253</v>
      </c>
      <c r="RX54" s="34">
        <v>169199</v>
      </c>
      <c r="RY54" s="34">
        <v>170098</v>
      </c>
      <c r="RZ54" s="34">
        <v>170573</v>
      </c>
      <c r="SA54" s="34">
        <v>159847</v>
      </c>
      <c r="SB54" s="34">
        <v>87476</v>
      </c>
      <c r="SC54" s="34">
        <v>133768</v>
      </c>
      <c r="SD54" s="34">
        <v>165746</v>
      </c>
      <c r="SE54" s="34">
        <v>175438</v>
      </c>
      <c r="SF54" s="34">
        <v>147395</v>
      </c>
      <c r="SG54" s="34">
        <v>0</v>
      </c>
      <c r="SH54" s="34">
        <v>247604</v>
      </c>
      <c r="SI54" s="34">
        <v>55542</v>
      </c>
      <c r="SJ54" s="34">
        <v>153329</v>
      </c>
      <c r="SK54" s="34">
        <v>107755</v>
      </c>
      <c r="SL54" s="34">
        <v>107993</v>
      </c>
      <c r="SM54" s="34">
        <v>106953</v>
      </c>
      <c r="SN54" s="34">
        <v>94995</v>
      </c>
      <c r="SO54" s="34">
        <v>79089</v>
      </c>
      <c r="SP54" s="34">
        <v>49591</v>
      </c>
      <c r="SQ54" s="34">
        <v>92025</v>
      </c>
      <c r="SR54" s="34">
        <v>96593</v>
      </c>
      <c r="SS54" s="34">
        <v>0</v>
      </c>
      <c r="ST54" s="34">
        <v>191740</v>
      </c>
      <c r="SU54" s="34">
        <v>84238</v>
      </c>
      <c r="SV54" s="34">
        <v>75793</v>
      </c>
      <c r="SW54" s="34">
        <v>33497</v>
      </c>
      <c r="SX54" s="34">
        <v>63514</v>
      </c>
      <c r="SY54" s="34">
        <v>77517</v>
      </c>
      <c r="SZ54" s="34">
        <v>79878</v>
      </c>
      <c r="TA54" s="34">
        <v>66130</v>
      </c>
      <c r="TB54" s="34">
        <v>65859</v>
      </c>
      <c r="TC54" s="34">
        <v>59918</v>
      </c>
      <c r="TD54" s="34">
        <v>28030</v>
      </c>
      <c r="TE54" s="34">
        <v>52048</v>
      </c>
      <c r="TF54" s="34">
        <v>61195</v>
      </c>
      <c r="TG54" s="34">
        <v>55399</v>
      </c>
      <c r="TH54" s="34">
        <v>58119</v>
      </c>
      <c r="TI54" s="34">
        <v>61717</v>
      </c>
      <c r="TJ54" s="34">
        <v>54621</v>
      </c>
      <c r="TK54" s="34">
        <v>23224</v>
      </c>
      <c r="TL54" s="34">
        <v>43003</v>
      </c>
      <c r="TM54" s="34">
        <v>53321</v>
      </c>
      <c r="TN54" s="34">
        <v>50385</v>
      </c>
      <c r="TO54" s="34">
        <v>47056</v>
      </c>
      <c r="TP54" s="34">
        <v>0</v>
      </c>
      <c r="TQ54" s="34">
        <v>89911</v>
      </c>
      <c r="TR54" s="34">
        <v>18114</v>
      </c>
      <c r="TS54" s="34">
        <v>3708</v>
      </c>
      <c r="TT54" s="34">
        <v>70792</v>
      </c>
      <c r="TU54" s="34">
        <v>45314</v>
      </c>
      <c r="TV54" s="34">
        <v>65807</v>
      </c>
      <c r="TW54" s="34">
        <v>46736</v>
      </c>
      <c r="TX54" s="34">
        <v>43318</v>
      </c>
      <c r="TY54" s="34">
        <v>18833</v>
      </c>
      <c r="TZ54" s="34">
        <v>41338</v>
      </c>
      <c r="UA54" s="34">
        <v>0</v>
      </c>
      <c r="UB54" s="34">
        <v>106180</v>
      </c>
      <c r="UC54" s="34">
        <v>50169</v>
      </c>
      <c r="UD54" s="34">
        <v>40986</v>
      </c>
      <c r="UE54" s="34">
        <v>39762</v>
      </c>
      <c r="UF54" s="34">
        <v>20214</v>
      </c>
      <c r="UG54" s="34">
        <v>41958</v>
      </c>
      <c r="UH54" s="34">
        <v>0</v>
      </c>
      <c r="UI54" s="34">
        <v>98263</v>
      </c>
      <c r="UJ54" s="34">
        <v>59896</v>
      </c>
      <c r="UK54" s="34">
        <v>52681</v>
      </c>
      <c r="UL54" s="34">
        <v>55186</v>
      </c>
      <c r="UM54" s="34">
        <v>47637</v>
      </c>
      <c r="UN54" s="34">
        <v>0</v>
      </c>
      <c r="UO54" s="34">
        <v>61281</v>
      </c>
      <c r="UP54" s="34">
        <v>60433</v>
      </c>
      <c r="UQ54" s="34">
        <v>124591</v>
      </c>
      <c r="UR54" s="34">
        <v>43366</v>
      </c>
      <c r="US54" s="34">
        <v>0</v>
      </c>
      <c r="UT54" s="34">
        <v>32772</v>
      </c>
      <c r="UU54" s="34">
        <v>34045</v>
      </c>
      <c r="UV54" s="34">
        <v>31022</v>
      </c>
      <c r="UW54" s="34">
        <v>41454</v>
      </c>
      <c r="UX54" s="34">
        <v>62643</v>
      </c>
      <c r="UY54" s="34">
        <v>65525</v>
      </c>
      <c r="UZ54" s="34">
        <v>33186</v>
      </c>
      <c r="VA54" s="34">
        <v>17681</v>
      </c>
      <c r="VB54" s="34">
        <v>32390</v>
      </c>
      <c r="VC54" s="34">
        <v>41612</v>
      </c>
      <c r="VD54" s="34">
        <v>41457</v>
      </c>
      <c r="VE54" s="34">
        <v>42183</v>
      </c>
      <c r="VF54" s="34">
        <v>0</v>
      </c>
      <c r="VG54" s="34">
        <v>22125</v>
      </c>
      <c r="VH54" s="34">
        <v>45120</v>
      </c>
      <c r="VI54" s="34">
        <v>6051</v>
      </c>
      <c r="VJ54" s="34">
        <v>56182</v>
      </c>
      <c r="VK54" s="34">
        <v>40679</v>
      </c>
      <c r="VL54" s="34">
        <v>76914</v>
      </c>
      <c r="VM54" s="34">
        <v>0</v>
      </c>
      <c r="VN54" s="34">
        <v>32145</v>
      </c>
      <c r="VO54" s="34">
        <v>14058</v>
      </c>
      <c r="VP54" s="34">
        <v>28866</v>
      </c>
      <c r="VQ54" s="34">
        <v>36394</v>
      </c>
      <c r="VR54" s="34">
        <v>40136</v>
      </c>
      <c r="VS54" s="34">
        <v>67880</v>
      </c>
      <c r="VT54" s="34">
        <v>39878</v>
      </c>
      <c r="VU54" s="34">
        <v>25324</v>
      </c>
      <c r="VV54" s="34">
        <v>0</v>
      </c>
      <c r="VW54" s="34">
        <v>0</v>
      </c>
      <c r="VX54" s="34">
        <v>34913</v>
      </c>
      <c r="VY54" s="34">
        <v>65142</v>
      </c>
      <c r="VZ54" s="34">
        <v>27282</v>
      </c>
      <c r="WA54" s="34">
        <v>0</v>
      </c>
      <c r="WB54" s="34">
        <v>26103</v>
      </c>
      <c r="WC54" s="34">
        <v>10168</v>
      </c>
      <c r="WD54" s="34">
        <v>24831</v>
      </c>
      <c r="WE54" s="34">
        <v>33904</v>
      </c>
      <c r="WF54" s="34">
        <v>32382</v>
      </c>
      <c r="WG54" s="34">
        <v>60122</v>
      </c>
      <c r="WH54" s="34">
        <v>0</v>
      </c>
      <c r="WI54" s="34">
        <v>0</v>
      </c>
      <c r="WJ54" s="34">
        <v>38804</v>
      </c>
      <c r="WK54" s="34">
        <v>25281</v>
      </c>
      <c r="WL54" s="34">
        <v>36561</v>
      </c>
      <c r="WM54">
        <v>31334</v>
      </c>
      <c r="WN54">
        <v>89773</v>
      </c>
      <c r="WO54">
        <v>0</v>
      </c>
      <c r="WP54">
        <v>0</v>
      </c>
      <c r="WQ54">
        <v>65679</v>
      </c>
      <c r="WR54">
        <v>0</v>
      </c>
      <c r="WS54">
        <v>0</v>
      </c>
      <c r="WT54">
        <v>0</v>
      </c>
      <c r="WU54">
        <v>98940</v>
      </c>
      <c r="WV54">
        <v>0</v>
      </c>
      <c r="WW54">
        <v>0</v>
      </c>
      <c r="WX54">
        <v>60584</v>
      </c>
      <c r="WY54">
        <v>0</v>
      </c>
      <c r="WZ54">
        <v>30587</v>
      </c>
      <c r="XA54">
        <v>90599</v>
      </c>
      <c r="XB54">
        <v>0</v>
      </c>
      <c r="XC54">
        <v>23278</v>
      </c>
      <c r="XD54">
        <v>0</v>
      </c>
      <c r="XE54">
        <v>12378</v>
      </c>
      <c r="XF54">
        <v>148120</v>
      </c>
      <c r="XG54">
        <v>0</v>
      </c>
      <c r="XH54">
        <v>0</v>
      </c>
      <c r="XI54">
        <v>0</v>
      </c>
      <c r="XJ54">
        <v>0</v>
      </c>
      <c r="XK54">
        <v>27877</v>
      </c>
      <c r="XL54">
        <v>13585</v>
      </c>
      <c r="XM54">
        <v>144723</v>
      </c>
      <c r="XN54">
        <v>0</v>
      </c>
      <c r="XO54">
        <v>0</v>
      </c>
      <c r="XP54">
        <v>0</v>
      </c>
      <c r="XQ54">
        <v>0</v>
      </c>
      <c r="XR54">
        <v>211617</v>
      </c>
      <c r="XS54">
        <v>0</v>
      </c>
      <c r="XT54">
        <v>0</v>
      </c>
      <c r="XU54">
        <v>0</v>
      </c>
      <c r="XV54">
        <v>0</v>
      </c>
      <c r="XW54">
        <v>0</v>
      </c>
      <c r="XX54">
        <v>0</v>
      </c>
      <c r="XY54">
        <v>26779</v>
      </c>
      <c r="XZ54">
        <v>12192</v>
      </c>
      <c r="YA54">
        <v>0</v>
      </c>
      <c r="YB54">
        <v>35586</v>
      </c>
      <c r="YC54">
        <v>148002</v>
      </c>
      <c r="YD54">
        <v>36163</v>
      </c>
      <c r="YE54">
        <v>19562</v>
      </c>
      <c r="YF54" s="1">
        <v>34152</v>
      </c>
      <c r="YG54" s="1">
        <v>0</v>
      </c>
      <c r="YH54" s="1">
        <v>0</v>
      </c>
      <c r="YI54" s="1">
        <v>50921</v>
      </c>
      <c r="YJ54">
        <v>46044</v>
      </c>
      <c r="YK54">
        <v>96587</v>
      </c>
      <c r="YL54">
        <v>45607</v>
      </c>
      <c r="YM54">
        <v>24828</v>
      </c>
      <c r="YN54">
        <v>45543</v>
      </c>
      <c r="YO54">
        <v>0</v>
      </c>
      <c r="YP54">
        <v>69793</v>
      </c>
      <c r="YQ54">
        <v>132017</v>
      </c>
      <c r="YR54">
        <v>0</v>
      </c>
      <c r="YS54">
        <v>62211</v>
      </c>
      <c r="YT54">
        <v>51729</v>
      </c>
      <c r="YU54">
        <v>28031</v>
      </c>
      <c r="YV54">
        <v>59206</v>
      </c>
      <c r="YW54">
        <v>290656</v>
      </c>
      <c r="YX54">
        <v>0</v>
      </c>
      <c r="YY54">
        <v>0</v>
      </c>
      <c r="YZ54">
        <v>0</v>
      </c>
      <c r="ZA54">
        <v>50890</v>
      </c>
      <c r="ZB54">
        <v>28032</v>
      </c>
      <c r="ZC54">
        <v>61424</v>
      </c>
      <c r="ZD54">
        <v>68481</v>
      </c>
      <c r="ZE54">
        <v>72249</v>
      </c>
      <c r="ZF54">
        <v>52330</v>
      </c>
      <c r="ZG54">
        <v>33218</v>
      </c>
      <c r="ZH54">
        <v>23881</v>
      </c>
      <c r="ZI54">
        <v>48502</v>
      </c>
      <c r="ZJ54">
        <v>54129</v>
      </c>
      <c r="ZK54">
        <v>47114</v>
      </c>
      <c r="ZL54">
        <v>61388</v>
      </c>
      <c r="ZM54">
        <v>0</v>
      </c>
      <c r="ZN54">
        <v>81663</v>
      </c>
      <c r="ZO54">
        <v>98193</v>
      </c>
      <c r="ZP54">
        <v>0</v>
      </c>
      <c r="ZQ54">
        <v>112631</v>
      </c>
      <c r="ZR54">
        <v>56172</v>
      </c>
      <c r="ZS54">
        <v>63595</v>
      </c>
      <c r="ZT54">
        <v>54615</v>
      </c>
      <c r="ZU54">
        <v>37101</v>
      </c>
      <c r="ZV54">
        <v>17419</v>
      </c>
      <c r="ZW54">
        <v>41955</v>
      </c>
      <c r="ZX54">
        <v>61626</v>
      </c>
      <c r="ZY54">
        <v>60633</v>
      </c>
      <c r="ZZ54">
        <v>0</v>
      </c>
      <c r="AAA54">
        <v>91137</v>
      </c>
      <c r="AAB54">
        <v>31689</v>
      </c>
      <c r="AAC54">
        <v>0</v>
      </c>
      <c r="AAD54">
        <v>15565</v>
      </c>
      <c r="AAE54">
        <v>91501</v>
      </c>
      <c r="AAF54">
        <v>48025</v>
      </c>
      <c r="AAG54">
        <v>37010</v>
      </c>
      <c r="AAH54">
        <v>32284</v>
      </c>
      <c r="AAI54">
        <v>58914</v>
      </c>
      <c r="AAJ54">
        <v>10715</v>
      </c>
      <c r="AAK54">
        <v>21397</v>
      </c>
      <c r="AAL54">
        <v>16091</v>
      </c>
      <c r="AAM54">
        <v>42949</v>
      </c>
      <c r="AAN54">
        <v>48759</v>
      </c>
      <c r="AAO54">
        <v>35328</v>
      </c>
      <c r="AAP54">
        <v>25764</v>
      </c>
      <c r="AAQ54">
        <v>13274</v>
      </c>
      <c r="AAR54">
        <v>22356</v>
      </c>
      <c r="AAS54">
        <v>30933</v>
      </c>
      <c r="AAT54">
        <v>0</v>
      </c>
      <c r="AAU54">
        <v>80271</v>
      </c>
      <c r="AAV54">
        <v>33522</v>
      </c>
      <c r="AAW54">
        <v>20253</v>
      </c>
      <c r="AAX54">
        <v>9744</v>
      </c>
      <c r="AAY54">
        <v>25851</v>
      </c>
      <c r="AAZ54">
        <v>25755</v>
      </c>
      <c r="ABA54">
        <v>33768</v>
      </c>
      <c r="ABB54">
        <v>28483</v>
      </c>
      <c r="ABC54">
        <v>26318</v>
      </c>
      <c r="ABD54">
        <v>19035</v>
      </c>
      <c r="ABE54">
        <v>7318</v>
      </c>
      <c r="ABF54">
        <v>47062</v>
      </c>
      <c r="ABG54">
        <v>58260</v>
      </c>
      <c r="ABH54">
        <v>29543</v>
      </c>
      <c r="ABI54">
        <v>30538</v>
      </c>
      <c r="ABJ54">
        <v>25283</v>
      </c>
      <c r="ABK54">
        <v>17623</v>
      </c>
      <c r="ABL54">
        <v>8926</v>
      </c>
      <c r="ABM54">
        <v>25284</v>
      </c>
      <c r="ABN54">
        <v>34363</v>
      </c>
      <c r="ABO54">
        <v>0</v>
      </c>
      <c r="ABP54">
        <v>50152</v>
      </c>
      <c r="ABQ54">
        <v>37407</v>
      </c>
      <c r="ABR54">
        <v>0</v>
      </c>
      <c r="ABS54">
        <v>6970</v>
      </c>
      <c r="ABT54">
        <v>22947</v>
      </c>
      <c r="ABU54">
        <v>30522</v>
      </c>
      <c r="ABV54">
        <v>30918</v>
      </c>
      <c r="ABW54">
        <v>42863</v>
      </c>
      <c r="ABX54">
        <v>0</v>
      </c>
      <c r="ABY54">
        <v>0</v>
      </c>
      <c r="ABZ54">
        <v>0</v>
      </c>
      <c r="ACA54">
        <v>30979</v>
      </c>
      <c r="ACB54">
        <v>82889</v>
      </c>
      <c r="ACC54">
        <v>0</v>
      </c>
      <c r="ACD54">
        <v>0</v>
      </c>
      <c r="ACE54">
        <v>0</v>
      </c>
      <c r="ACF54">
        <v>0</v>
      </c>
      <c r="ACG54">
        <v>18656</v>
      </c>
      <c r="ACH54">
        <v>13700</v>
      </c>
      <c r="ACI54">
        <v>21004</v>
      </c>
      <c r="ACJ54">
        <v>16582</v>
      </c>
      <c r="ACK54">
        <v>78239</v>
      </c>
      <c r="ACL54">
        <v>0</v>
      </c>
      <c r="ACM54">
        <v>0</v>
      </c>
      <c r="ACN54">
        <v>17218</v>
      </c>
      <c r="ACO54">
        <v>0</v>
      </c>
      <c r="ACP54">
        <v>49789</v>
      </c>
      <c r="ACQ54">
        <v>0</v>
      </c>
      <c r="ACR54">
        <v>49785</v>
      </c>
      <c r="ACS54">
        <v>0</v>
      </c>
      <c r="ACT54">
        <v>0</v>
      </c>
      <c r="ACU54">
        <v>28878</v>
      </c>
      <c r="ACV54">
        <v>88285</v>
      </c>
      <c r="ACW54">
        <v>0</v>
      </c>
      <c r="ACX54">
        <v>0</v>
      </c>
      <c r="ACY54">
        <v>0</v>
      </c>
      <c r="ACZ54">
        <v>0</v>
      </c>
      <c r="ADA54">
        <v>0</v>
      </c>
      <c r="ADB54">
        <v>7241</v>
      </c>
      <c r="ADC54">
        <v>28008</v>
      </c>
      <c r="ADD54">
        <v>59195</v>
      </c>
      <c r="ADE54">
        <v>0</v>
      </c>
      <c r="ADF54">
        <v>67107</v>
      </c>
      <c r="ADG54">
        <v>0</v>
      </c>
      <c r="ADH54">
        <v>0</v>
      </c>
      <c r="ADI54">
        <v>68052</v>
      </c>
      <c r="ADJ54">
        <v>0</v>
      </c>
      <c r="ADK54">
        <v>0</v>
      </c>
      <c r="ADL54">
        <v>136901</v>
      </c>
      <c r="ADM54">
        <v>0</v>
      </c>
      <c r="ADN54">
        <v>0</v>
      </c>
      <c r="ADO54">
        <v>0</v>
      </c>
      <c r="ADP54">
        <v>0</v>
      </c>
      <c r="ADQ54">
        <v>0</v>
      </c>
      <c r="ADR54">
        <v>165375</v>
      </c>
      <c r="ADS54">
        <v>0</v>
      </c>
      <c r="ADT54">
        <v>0</v>
      </c>
      <c r="ADU54">
        <v>0</v>
      </c>
      <c r="ADV54">
        <v>0</v>
      </c>
      <c r="ADW54">
        <v>39279</v>
      </c>
      <c r="ADX54">
        <v>0</v>
      </c>
      <c r="ADY54">
        <v>226043</v>
      </c>
      <c r="ADZ54">
        <v>0</v>
      </c>
      <c r="AEA54">
        <v>0</v>
      </c>
      <c r="AEB54">
        <v>0</v>
      </c>
      <c r="AEC54">
        <v>0</v>
      </c>
      <c r="AED54">
        <v>192693</v>
      </c>
      <c r="AEE54">
        <v>0</v>
      </c>
      <c r="AEF54">
        <v>0</v>
      </c>
      <c r="AEG54">
        <v>0</v>
      </c>
      <c r="AEH54">
        <v>0</v>
      </c>
      <c r="AEI54">
        <v>0</v>
      </c>
      <c r="AEJ54">
        <v>0</v>
      </c>
      <c r="AEK54">
        <v>261942</v>
      </c>
      <c r="AEL54">
        <v>0</v>
      </c>
      <c r="AEM54">
        <v>0</v>
      </c>
      <c r="AEN54">
        <v>0</v>
      </c>
      <c r="AEO54">
        <v>0</v>
      </c>
      <c r="AEP54">
        <v>0</v>
      </c>
      <c r="AEQ54">
        <v>0</v>
      </c>
      <c r="AER54">
        <v>260670</v>
      </c>
      <c r="AES54">
        <v>0</v>
      </c>
      <c r="AET54">
        <v>0</v>
      </c>
      <c r="AEU54">
        <v>0</v>
      </c>
      <c r="AEV54">
        <v>0</v>
      </c>
      <c r="AEW54">
        <v>0</v>
      </c>
      <c r="AEX54">
        <v>0</v>
      </c>
      <c r="AEY54">
        <v>0</v>
      </c>
      <c r="AEZ54">
        <v>0</v>
      </c>
      <c r="AFA54">
        <v>0</v>
      </c>
      <c r="AFB54">
        <v>0</v>
      </c>
      <c r="AFC54">
        <v>0</v>
      </c>
      <c r="AFD54">
        <v>0</v>
      </c>
      <c r="AFE54">
        <v>124921</v>
      </c>
      <c r="AFF54">
        <v>0</v>
      </c>
      <c r="AFG54">
        <v>0</v>
      </c>
      <c r="AFH54">
        <v>0</v>
      </c>
      <c r="AFI54">
        <v>0</v>
      </c>
      <c r="AFJ54">
        <v>0</v>
      </c>
      <c r="AFK54">
        <v>0</v>
      </c>
      <c r="AFL54">
        <v>0</v>
      </c>
      <c r="AFM54">
        <v>0</v>
      </c>
      <c r="AFN54">
        <v>93022</v>
      </c>
      <c r="AFO54">
        <v>0</v>
      </c>
      <c r="AFP54">
        <v>0</v>
      </c>
      <c r="AFQ54">
        <v>0</v>
      </c>
      <c r="AFR54">
        <v>0</v>
      </c>
      <c r="AFS54">
        <v>0</v>
      </c>
      <c r="AFT54">
        <v>84812</v>
      </c>
      <c r="AFU54">
        <v>0</v>
      </c>
      <c r="AFV54">
        <v>0</v>
      </c>
      <c r="AFW54">
        <v>0</v>
      </c>
      <c r="AFX54">
        <v>0</v>
      </c>
      <c r="AFY54">
        <v>0</v>
      </c>
      <c r="AFZ54">
        <v>0</v>
      </c>
      <c r="AGA54">
        <v>146813</v>
      </c>
      <c r="AGB54">
        <v>0</v>
      </c>
      <c r="AGC54">
        <v>0</v>
      </c>
      <c r="AGD54">
        <v>0</v>
      </c>
      <c r="AGE54">
        <v>0</v>
      </c>
      <c r="AGF54">
        <v>0</v>
      </c>
      <c r="AGG54">
        <v>0</v>
      </c>
      <c r="AGH54">
        <v>0</v>
      </c>
      <c r="AGI54">
        <v>0</v>
      </c>
      <c r="AGJ54">
        <v>0</v>
      </c>
      <c r="AGK54">
        <v>0</v>
      </c>
      <c r="AGL54">
        <v>0</v>
      </c>
      <c r="AGM54">
        <v>0</v>
      </c>
      <c r="AGN54">
        <v>0</v>
      </c>
      <c r="AGO54">
        <v>141943</v>
      </c>
      <c r="AGP54">
        <v>0</v>
      </c>
      <c r="AGQ54">
        <v>0</v>
      </c>
      <c r="AGR54">
        <v>0</v>
      </c>
      <c r="AGS54">
        <v>0</v>
      </c>
      <c r="AGT54">
        <v>0</v>
      </c>
      <c r="AGU54">
        <v>0</v>
      </c>
      <c r="AGV54">
        <v>0</v>
      </c>
      <c r="AGW54">
        <v>0</v>
      </c>
      <c r="AGX54">
        <v>0</v>
      </c>
      <c r="AGY54">
        <v>0</v>
      </c>
      <c r="AGZ54">
        <v>0</v>
      </c>
      <c r="AHA54">
        <v>0</v>
      </c>
      <c r="AHB54">
        <v>0</v>
      </c>
      <c r="AHC54">
        <v>49509</v>
      </c>
      <c r="AHD54">
        <v>0</v>
      </c>
      <c r="AHE54">
        <v>0</v>
      </c>
      <c r="AHF54">
        <v>0</v>
      </c>
      <c r="AHG54">
        <v>0</v>
      </c>
      <c r="AHH54">
        <v>0</v>
      </c>
      <c r="AHI54">
        <v>0</v>
      </c>
      <c r="AHJ54">
        <v>0</v>
      </c>
      <c r="AHK54">
        <v>91823</v>
      </c>
      <c r="AHL54">
        <v>0</v>
      </c>
      <c r="AHM54">
        <v>0</v>
      </c>
      <c r="AHN54">
        <v>0</v>
      </c>
      <c r="AHO54">
        <v>0</v>
      </c>
      <c r="AHP54">
        <v>0</v>
      </c>
      <c r="AHQ54">
        <v>0</v>
      </c>
    </row>
    <row r="55" spans="1:901">
      <c r="A55" s="1" t="s">
        <v>99</v>
      </c>
      <c r="C55" s="34">
        <f t="shared" si="28"/>
        <v>4930</v>
      </c>
      <c r="D55" s="34">
        <f t="shared" si="28"/>
        <v>2456</v>
      </c>
      <c r="E55" s="34">
        <f t="shared" si="29"/>
        <v>2264</v>
      </c>
      <c r="F55" s="34">
        <f t="shared" si="30"/>
        <v>2464</v>
      </c>
      <c r="G55" s="34">
        <f t="shared" si="31"/>
        <v>3427</v>
      </c>
      <c r="H55" s="34">
        <f t="shared" si="32"/>
        <v>3467</v>
      </c>
      <c r="I55" s="34">
        <f t="shared" si="32"/>
        <v>0</v>
      </c>
      <c r="J55" s="34">
        <f t="shared" si="0"/>
        <v>3434</v>
      </c>
      <c r="K55" s="34">
        <f t="shared" si="0"/>
        <v>3452</v>
      </c>
      <c r="L55" s="34">
        <f t="shared" si="0"/>
        <v>5498</v>
      </c>
      <c r="M55" s="34">
        <f t="shared" si="0"/>
        <v>7280</v>
      </c>
      <c r="N55" s="34">
        <f t="shared" si="0"/>
        <v>2421</v>
      </c>
      <c r="O55" s="34">
        <f t="shared" si="0"/>
        <v>2449</v>
      </c>
      <c r="P55" s="34">
        <f t="shared" si="0"/>
        <v>2480</v>
      </c>
      <c r="Q55" s="34">
        <f t="shared" si="0"/>
        <v>0</v>
      </c>
      <c r="R55" s="34">
        <f t="shared" si="0"/>
        <v>4944</v>
      </c>
      <c r="S55" s="34">
        <f t="shared" si="0"/>
        <v>2462</v>
      </c>
      <c r="T55" s="34">
        <f t="shared" si="0"/>
        <v>2405</v>
      </c>
      <c r="U55" s="34">
        <f t="shared" si="0"/>
        <v>2410</v>
      </c>
      <c r="V55" s="34">
        <f t="shared" si="0"/>
        <v>2414</v>
      </c>
      <c r="W55" s="34">
        <f t="shared" si="0"/>
        <v>2403</v>
      </c>
      <c r="X55" s="34">
        <f t="shared" si="0"/>
        <v>2441</v>
      </c>
      <c r="Y55" s="34">
        <f t="shared" si="63"/>
        <v>2483</v>
      </c>
      <c r="Z55" s="34">
        <f t="shared" si="1"/>
        <v>2495</v>
      </c>
      <c r="AA55" s="34">
        <f t="shared" si="1"/>
        <v>2437</v>
      </c>
      <c r="AB55" s="34">
        <f t="shared" si="1"/>
        <v>2414</v>
      </c>
      <c r="AC55" s="34">
        <f t="shared" si="1"/>
        <v>2409</v>
      </c>
      <c r="AD55" s="34">
        <f t="shared" si="1"/>
        <v>2463</v>
      </c>
      <c r="AE55" s="34">
        <f t="shared" si="1"/>
        <v>5438</v>
      </c>
      <c r="AF55" s="34">
        <f t="shared" si="1"/>
        <v>3471</v>
      </c>
      <c r="AG55" s="34">
        <f t="shared" si="1"/>
        <v>2433</v>
      </c>
      <c r="AH55" s="34">
        <f t="shared" si="1"/>
        <v>2420</v>
      </c>
      <c r="AI55" s="34">
        <f t="shared" si="1"/>
        <v>2459</v>
      </c>
      <c r="AJ55" s="34">
        <f t="shared" si="1"/>
        <v>2482</v>
      </c>
      <c r="AK55" s="34">
        <f t="shared" si="1"/>
        <v>2442</v>
      </c>
      <c r="AL55" s="34">
        <f t="shared" si="1"/>
        <v>2476</v>
      </c>
      <c r="AM55" s="34">
        <f t="shared" si="50"/>
        <v>2428</v>
      </c>
      <c r="AN55" s="34">
        <f t="shared" si="2"/>
        <v>2450</v>
      </c>
      <c r="AO55" s="34">
        <f t="shared" si="2"/>
        <v>2465</v>
      </c>
      <c r="AP55" s="34">
        <f t="shared" si="2"/>
        <v>0</v>
      </c>
      <c r="AQ55" s="34">
        <f t="shared" si="2"/>
        <v>4937</v>
      </c>
      <c r="AR55" s="34">
        <f t="shared" si="2"/>
        <v>2431</v>
      </c>
      <c r="AS55" s="34">
        <f t="shared" si="2"/>
        <v>0</v>
      </c>
      <c r="AT55" s="34">
        <f t="shared" si="2"/>
        <v>4889</v>
      </c>
      <c r="AU55" s="34">
        <f t="shared" si="2"/>
        <v>2421</v>
      </c>
      <c r="AV55" s="34">
        <f t="shared" si="2"/>
        <v>0</v>
      </c>
      <c r="AW55" s="34">
        <f t="shared" si="2"/>
        <v>0</v>
      </c>
      <c r="AX55" s="34">
        <f t="shared" si="2"/>
        <v>7151</v>
      </c>
      <c r="AY55" s="34">
        <f t="shared" si="2"/>
        <v>2408</v>
      </c>
      <c r="AZ55" s="34">
        <f t="shared" si="2"/>
        <v>2430</v>
      </c>
      <c r="BA55" s="34">
        <f t="shared" si="51"/>
        <v>2414</v>
      </c>
      <c r="BB55" s="34">
        <f t="shared" si="3"/>
        <v>0</v>
      </c>
      <c r="BC55" s="34">
        <f t="shared" si="3"/>
        <v>0</v>
      </c>
      <c r="BD55" s="34">
        <f t="shared" si="3"/>
        <v>0</v>
      </c>
      <c r="BE55" s="34">
        <f t="shared" si="3"/>
        <v>0</v>
      </c>
      <c r="BF55" s="34">
        <f t="shared" si="3"/>
        <v>12332</v>
      </c>
      <c r="BG55" s="34">
        <f t="shared" si="3"/>
        <v>2438</v>
      </c>
      <c r="BH55" s="34">
        <f t="shared" si="3"/>
        <v>2431</v>
      </c>
      <c r="BI55" s="34">
        <f t="shared" si="3"/>
        <v>2461</v>
      </c>
      <c r="BJ55" s="34">
        <f t="shared" si="3"/>
        <v>2420</v>
      </c>
      <c r="BK55" s="34">
        <f t="shared" si="3"/>
        <v>0</v>
      </c>
      <c r="BL55" s="34">
        <f t="shared" si="3"/>
        <v>4904</v>
      </c>
      <c r="BM55" s="34">
        <f t="shared" si="3"/>
        <v>2452</v>
      </c>
      <c r="BN55" s="34">
        <f t="shared" si="3"/>
        <v>2444</v>
      </c>
      <c r="BO55" s="34">
        <f t="shared" si="52"/>
        <v>2453</v>
      </c>
      <c r="BP55" s="34">
        <f t="shared" si="52"/>
        <v>2469</v>
      </c>
      <c r="BQ55" s="34">
        <f t="shared" si="52"/>
        <v>3455</v>
      </c>
      <c r="BR55" s="34">
        <f t="shared" si="52"/>
        <v>2460</v>
      </c>
      <c r="BS55" s="34">
        <f t="shared" si="52"/>
        <v>0</v>
      </c>
      <c r="BT55" s="34">
        <f t="shared" si="52"/>
        <v>4913</v>
      </c>
      <c r="BU55" s="34">
        <f t="shared" si="52"/>
        <v>2499</v>
      </c>
      <c r="BV55" s="34">
        <f t="shared" si="52"/>
        <v>0</v>
      </c>
      <c r="BW55" s="34">
        <f t="shared" si="52"/>
        <v>0</v>
      </c>
      <c r="BX55" s="34">
        <f t="shared" si="52"/>
        <v>0</v>
      </c>
      <c r="BY55" s="34">
        <f t="shared" si="52"/>
        <v>9851</v>
      </c>
      <c r="BZ55" s="34">
        <f t="shared" si="52"/>
        <v>0</v>
      </c>
      <c r="CA55" s="34">
        <f t="shared" si="52"/>
        <v>4936</v>
      </c>
      <c r="CB55" s="34">
        <f t="shared" si="52"/>
        <v>2474</v>
      </c>
      <c r="CC55" s="34">
        <f t="shared" si="52"/>
        <v>2414</v>
      </c>
      <c r="CD55" s="34">
        <f t="shared" si="52"/>
        <v>2474</v>
      </c>
      <c r="CE55" s="34">
        <f t="shared" si="52"/>
        <v>2405</v>
      </c>
      <c r="CF55" s="34">
        <f t="shared" si="52"/>
        <v>2463</v>
      </c>
      <c r="CG55" s="34">
        <f t="shared" si="52"/>
        <v>2492</v>
      </c>
      <c r="CH55" s="34">
        <f t="shared" si="52"/>
        <v>0</v>
      </c>
      <c r="CI55" s="34">
        <f t="shared" si="52"/>
        <v>0</v>
      </c>
      <c r="CJ55" s="34">
        <f t="shared" si="52"/>
        <v>7424</v>
      </c>
      <c r="CK55" s="34">
        <f t="shared" si="52"/>
        <v>2471</v>
      </c>
      <c r="CL55" s="34">
        <f t="shared" si="69"/>
        <v>2470</v>
      </c>
      <c r="CM55" s="34">
        <f t="shared" si="69"/>
        <v>2435</v>
      </c>
      <c r="CN55" s="34">
        <f t="shared" si="69"/>
        <v>2462</v>
      </c>
      <c r="CO55" s="34">
        <f t="shared" si="69"/>
        <v>0</v>
      </c>
      <c r="CP55" s="34">
        <f t="shared" si="69"/>
        <v>5092</v>
      </c>
      <c r="CQ55" s="34">
        <f t="shared" si="69"/>
        <v>2427</v>
      </c>
      <c r="CR55" s="34">
        <f t="shared" si="69"/>
        <v>2422</v>
      </c>
      <c r="CS55" s="34">
        <f t="shared" si="69"/>
        <v>2453</v>
      </c>
      <c r="CT55" s="34">
        <f t="shared" si="69"/>
        <v>0</v>
      </c>
      <c r="CU55" s="34">
        <f t="shared" si="69"/>
        <v>0</v>
      </c>
      <c r="CV55" s="34">
        <f t="shared" si="69"/>
        <v>7476</v>
      </c>
      <c r="CW55" s="34">
        <f t="shared" si="69"/>
        <v>0</v>
      </c>
      <c r="CX55" s="34">
        <f t="shared" si="69"/>
        <v>0</v>
      </c>
      <c r="CY55" s="34">
        <f t="shared" si="69"/>
        <v>0</v>
      </c>
      <c r="CZ55" s="34">
        <f t="shared" si="69"/>
        <v>7340</v>
      </c>
      <c r="DA55" s="34">
        <f t="shared" si="69"/>
        <v>2470</v>
      </c>
      <c r="DB55" s="34">
        <f t="shared" si="69"/>
        <v>2416</v>
      </c>
      <c r="DC55" s="34">
        <f t="shared" si="69"/>
        <v>0</v>
      </c>
      <c r="DD55" s="34">
        <f t="shared" si="69"/>
        <v>2404</v>
      </c>
      <c r="DE55" s="34">
        <f t="shared" si="69"/>
        <v>2441</v>
      </c>
      <c r="DF55" s="34">
        <f t="shared" si="69"/>
        <v>2487</v>
      </c>
      <c r="DG55" s="34">
        <f t="shared" si="69"/>
        <v>2224</v>
      </c>
      <c r="DH55" s="34">
        <f t="shared" si="69"/>
        <v>2428</v>
      </c>
      <c r="DI55" s="34">
        <f t="shared" si="69"/>
        <v>2416</v>
      </c>
      <c r="DJ55" s="34">
        <f t="shared" si="69"/>
        <v>2439</v>
      </c>
      <c r="DK55" s="34">
        <f t="shared" si="69"/>
        <v>2445</v>
      </c>
      <c r="DL55" s="34">
        <f t="shared" si="69"/>
        <v>2412</v>
      </c>
      <c r="DM55" s="34">
        <f t="shared" si="69"/>
        <v>2433</v>
      </c>
      <c r="DN55" s="34">
        <f t="shared" si="69"/>
        <v>0</v>
      </c>
      <c r="DO55" s="34">
        <f t="shared" si="46"/>
        <v>4905</v>
      </c>
      <c r="DP55" s="34">
        <f t="shared" si="46"/>
        <v>2449</v>
      </c>
      <c r="DQ55" s="34">
        <f t="shared" si="46"/>
        <v>2484</v>
      </c>
      <c r="DR55" s="34">
        <f t="shared" si="46"/>
        <v>0</v>
      </c>
      <c r="DS55" s="34">
        <f t="shared" si="46"/>
        <v>4928</v>
      </c>
      <c r="DT55" s="34">
        <f t="shared" si="46"/>
        <v>2405</v>
      </c>
      <c r="DU55" s="34">
        <f t="shared" si="46"/>
        <v>2417</v>
      </c>
      <c r="DV55" s="34">
        <f t="shared" si="46"/>
        <v>0</v>
      </c>
      <c r="DW55" s="34">
        <f t="shared" si="46"/>
        <v>0</v>
      </c>
      <c r="DX55" s="34">
        <f t="shared" si="46"/>
        <v>7285</v>
      </c>
      <c r="DY55" s="34">
        <f t="shared" si="46"/>
        <v>2422</v>
      </c>
      <c r="DZ55" s="34">
        <f t="shared" si="46"/>
        <v>2486</v>
      </c>
      <c r="EA55" s="34">
        <f t="shared" si="46"/>
        <v>2430</v>
      </c>
      <c r="EB55" s="34">
        <f t="shared" si="46"/>
        <v>2418</v>
      </c>
      <c r="EC55" s="34">
        <f t="shared" si="46"/>
        <v>2458</v>
      </c>
      <c r="ED55" s="34">
        <f t="shared" si="46"/>
        <v>2463</v>
      </c>
      <c r="EE55" s="34">
        <f t="shared" si="46"/>
        <v>0</v>
      </c>
      <c r="EF55" s="34">
        <f t="shared" si="46"/>
        <v>0</v>
      </c>
      <c r="EG55" s="34">
        <f t="shared" si="46"/>
        <v>0</v>
      </c>
      <c r="EH55" s="34">
        <f t="shared" si="46"/>
        <v>9883</v>
      </c>
      <c r="EI55" s="34">
        <f t="shared" si="5"/>
        <v>3447</v>
      </c>
      <c r="EJ55" s="34">
        <f t="shared" si="5"/>
        <v>0</v>
      </c>
      <c r="EK55" s="34">
        <f t="shared" si="5"/>
        <v>4845</v>
      </c>
      <c r="EL55" s="34">
        <f t="shared" si="5"/>
        <v>2418</v>
      </c>
      <c r="EM55" s="34">
        <f t="shared" si="5"/>
        <v>2500</v>
      </c>
      <c r="EN55" s="34">
        <f t="shared" si="5"/>
        <v>2519</v>
      </c>
      <c r="EO55" s="34">
        <f t="shared" si="5"/>
        <v>2496</v>
      </c>
      <c r="EP55" s="34">
        <f t="shared" si="5"/>
        <v>2471</v>
      </c>
      <c r="EQ55" s="34">
        <f t="shared" si="53"/>
        <v>0</v>
      </c>
      <c r="ER55" s="34">
        <f t="shared" si="53"/>
        <v>0</v>
      </c>
      <c r="ES55" s="34">
        <f t="shared" si="53"/>
        <v>0</v>
      </c>
      <c r="ET55" s="34">
        <f t="shared" si="53"/>
        <v>0</v>
      </c>
      <c r="EU55" s="34">
        <f t="shared" si="53"/>
        <v>0</v>
      </c>
      <c r="EV55" s="34">
        <f t="shared" si="53"/>
        <v>0</v>
      </c>
      <c r="EW55" s="34">
        <f t="shared" si="53"/>
        <v>17084</v>
      </c>
      <c r="EX55" s="34">
        <f t="shared" si="53"/>
        <v>0</v>
      </c>
      <c r="EY55" s="34">
        <f t="shared" si="53"/>
        <v>0</v>
      </c>
      <c r="EZ55" s="34">
        <f t="shared" si="53"/>
        <v>7308</v>
      </c>
      <c r="FA55" s="34">
        <f t="shared" si="53"/>
        <v>0</v>
      </c>
      <c r="FB55" s="34">
        <f t="shared" si="53"/>
        <v>0</v>
      </c>
      <c r="FC55" s="34">
        <f t="shared" si="53"/>
        <v>0</v>
      </c>
      <c r="FD55" s="34">
        <f t="shared" si="53"/>
        <v>9753</v>
      </c>
      <c r="FE55" s="34">
        <f t="shared" si="53"/>
        <v>0</v>
      </c>
      <c r="FF55" s="34">
        <f t="shared" si="53"/>
        <v>0</v>
      </c>
      <c r="FG55" s="34">
        <f t="shared" si="53"/>
        <v>7381</v>
      </c>
      <c r="FH55" s="34">
        <f t="shared" si="53"/>
        <v>2450</v>
      </c>
      <c r="FI55" s="34">
        <f t="shared" si="53"/>
        <v>0</v>
      </c>
      <c r="FJ55" s="34">
        <f t="shared" si="53"/>
        <v>0</v>
      </c>
      <c r="FK55" s="34">
        <f>FK34-FJ34</f>
        <v>0</v>
      </c>
      <c r="FL55" s="34">
        <f t="shared" si="53"/>
        <v>0</v>
      </c>
      <c r="FM55" s="34">
        <f t="shared" si="53"/>
        <v>0</v>
      </c>
      <c r="FN55" s="34">
        <v>14838</v>
      </c>
      <c r="FO55" s="34">
        <f t="shared" si="6"/>
        <v>0</v>
      </c>
      <c r="FP55" s="34">
        <v>0</v>
      </c>
      <c r="FQ55" s="34">
        <v>0</v>
      </c>
      <c r="FR55" s="34">
        <v>0</v>
      </c>
      <c r="FS55" s="34">
        <v>12820</v>
      </c>
      <c r="FT55" s="34">
        <f t="shared" si="9"/>
        <v>2515</v>
      </c>
      <c r="FU55" s="34">
        <f t="shared" si="9"/>
        <v>2495</v>
      </c>
      <c r="FV55" s="34">
        <f t="shared" si="9"/>
        <v>2506</v>
      </c>
      <c r="FW55" s="34">
        <f t="shared" si="9"/>
        <v>2478</v>
      </c>
      <c r="FX55" s="34">
        <f t="shared" si="9"/>
        <v>2608</v>
      </c>
      <c r="FY55" s="34">
        <f t="shared" si="9"/>
        <v>2440</v>
      </c>
      <c r="FZ55" s="34">
        <f t="shared" si="9"/>
        <v>2457</v>
      </c>
      <c r="GA55" s="34">
        <f t="shared" si="9"/>
        <v>0</v>
      </c>
      <c r="GB55" s="34">
        <f t="shared" si="9"/>
        <v>0</v>
      </c>
      <c r="GC55" s="34">
        <f t="shared" si="9"/>
        <v>0</v>
      </c>
      <c r="GD55" s="34">
        <f t="shared" si="9"/>
        <v>10098</v>
      </c>
      <c r="GE55" s="34">
        <f t="shared" si="9"/>
        <v>2469</v>
      </c>
      <c r="GF55" s="34">
        <f t="shared" si="9"/>
        <v>0</v>
      </c>
      <c r="GG55" s="34">
        <f t="shared" si="64"/>
        <v>0</v>
      </c>
      <c r="GH55" s="34">
        <f t="shared" si="10"/>
        <v>7547</v>
      </c>
      <c r="GI55" s="34">
        <f t="shared" si="10"/>
        <v>0</v>
      </c>
      <c r="GJ55" s="34">
        <f t="shared" si="10"/>
        <v>0</v>
      </c>
      <c r="GK55" s="34">
        <f t="shared" si="10"/>
        <v>0</v>
      </c>
      <c r="GL55" s="34">
        <f t="shared" si="10"/>
        <v>0</v>
      </c>
      <c r="GM55" s="34">
        <f t="shared" si="10"/>
        <v>12279</v>
      </c>
      <c r="GN55" s="34">
        <f t="shared" si="10"/>
        <v>0</v>
      </c>
      <c r="GO55" s="34">
        <f t="shared" si="10"/>
        <v>0</v>
      </c>
      <c r="GP55" s="34">
        <f t="shared" si="10"/>
        <v>0</v>
      </c>
      <c r="GQ55" s="34">
        <f t="shared" si="10"/>
        <v>0</v>
      </c>
      <c r="GR55" s="34">
        <f t="shared" si="10"/>
        <v>0</v>
      </c>
      <c r="GS55" s="34">
        <f t="shared" si="10"/>
        <v>0</v>
      </c>
      <c r="GT55" s="34">
        <f t="shared" si="10"/>
        <v>17250</v>
      </c>
      <c r="GU55" s="34">
        <f t="shared" si="54"/>
        <v>0</v>
      </c>
      <c r="GV55" s="34">
        <f t="shared" si="11"/>
        <v>0</v>
      </c>
      <c r="GW55" s="34">
        <f t="shared" si="11"/>
        <v>0</v>
      </c>
      <c r="GX55" s="34">
        <f t="shared" si="11"/>
        <v>0</v>
      </c>
      <c r="GY55" s="34">
        <f t="shared" si="11"/>
        <v>0</v>
      </c>
      <c r="GZ55" s="34">
        <f t="shared" si="11"/>
        <v>14725</v>
      </c>
      <c r="HA55" s="34">
        <f t="shared" si="11"/>
        <v>1245</v>
      </c>
      <c r="HB55" s="34">
        <f t="shared" si="12"/>
        <v>2490</v>
      </c>
      <c r="HC55" s="34">
        <f t="shared" si="13"/>
        <v>2505</v>
      </c>
      <c r="HD55" s="34">
        <f t="shared" ref="HD55:HD56" si="71">HD34-HC34</f>
        <v>2415</v>
      </c>
      <c r="HE55" s="34">
        <f t="shared" si="13"/>
        <v>4997</v>
      </c>
      <c r="HF55" s="34">
        <f t="shared" si="13"/>
        <v>2433</v>
      </c>
      <c r="HG55" s="34">
        <f t="shared" si="13"/>
        <v>2410</v>
      </c>
      <c r="HH55" s="34">
        <f t="shared" si="13"/>
        <v>0</v>
      </c>
      <c r="HI55" s="34">
        <f t="shared" si="13"/>
        <v>3871</v>
      </c>
      <c r="HJ55" s="34">
        <f t="shared" si="13"/>
        <v>2484</v>
      </c>
      <c r="HK55" s="34">
        <f t="shared" si="13"/>
        <v>2468</v>
      </c>
      <c r="HL55" s="34">
        <f t="shared" si="13"/>
        <v>0</v>
      </c>
      <c r="HM55" s="34">
        <f t="shared" si="13"/>
        <v>4970</v>
      </c>
      <c r="HN55" s="34">
        <f t="shared" si="13"/>
        <v>0</v>
      </c>
      <c r="HO55" s="34">
        <f t="shared" si="13"/>
        <v>4869</v>
      </c>
      <c r="HP55" s="34">
        <f t="shared" si="13"/>
        <v>2451</v>
      </c>
      <c r="HQ55" s="34">
        <f t="shared" si="13"/>
        <v>0</v>
      </c>
      <c r="HR55" s="34">
        <f t="shared" si="14"/>
        <v>4928</v>
      </c>
      <c r="HS55" s="34">
        <f t="shared" si="14"/>
        <v>0</v>
      </c>
      <c r="HT55" s="34">
        <f t="shared" si="14"/>
        <v>0</v>
      </c>
      <c r="HU55" s="34">
        <f t="shared" si="14"/>
        <v>2414</v>
      </c>
      <c r="HV55" s="34">
        <f t="shared" si="14"/>
        <v>2478</v>
      </c>
      <c r="HW55" s="34">
        <f t="shared" si="14"/>
        <v>4915</v>
      </c>
      <c r="HX55" s="34">
        <f t="shared" si="14"/>
        <v>4928</v>
      </c>
      <c r="HY55" s="34">
        <f t="shared" si="14"/>
        <v>2478</v>
      </c>
      <c r="HZ55" s="34">
        <f t="shared" si="14"/>
        <v>2470</v>
      </c>
      <c r="IA55" s="34">
        <f t="shared" si="14"/>
        <v>2436</v>
      </c>
      <c r="IB55" s="34">
        <f t="shared" si="14"/>
        <v>0</v>
      </c>
      <c r="IC55" s="34">
        <f t="shared" si="14"/>
        <v>0</v>
      </c>
      <c r="ID55" s="34">
        <f t="shared" si="14"/>
        <v>0</v>
      </c>
      <c r="IE55" s="34">
        <f t="shared" si="66"/>
        <v>9834</v>
      </c>
      <c r="IF55" s="34">
        <f t="shared" si="15"/>
        <v>0</v>
      </c>
      <c r="IG55" s="34">
        <f t="shared" si="15"/>
        <v>0</v>
      </c>
      <c r="IH55" s="34">
        <f t="shared" si="15"/>
        <v>7352</v>
      </c>
      <c r="II55" s="34">
        <f t="shared" si="15"/>
        <v>2479</v>
      </c>
      <c r="IJ55" s="34">
        <f t="shared" si="15"/>
        <v>0</v>
      </c>
      <c r="IK55" s="34">
        <f t="shared" si="15"/>
        <v>0</v>
      </c>
      <c r="IL55" s="34">
        <f t="shared" si="15"/>
        <v>0</v>
      </c>
      <c r="IM55" s="34">
        <f t="shared" si="15"/>
        <v>9801</v>
      </c>
      <c r="IN55" s="34">
        <f t="shared" si="15"/>
        <v>2496</v>
      </c>
      <c r="IO55" s="34">
        <f t="shared" si="15"/>
        <v>0</v>
      </c>
      <c r="IP55" s="34">
        <f t="shared" si="15"/>
        <v>0</v>
      </c>
      <c r="IQ55" s="34">
        <f t="shared" si="15"/>
        <v>0</v>
      </c>
      <c r="IR55" s="34">
        <f t="shared" si="15"/>
        <v>9837</v>
      </c>
      <c r="IS55" s="34">
        <f t="shared" si="56"/>
        <v>0</v>
      </c>
      <c r="IT55" s="34">
        <f t="shared" si="44"/>
        <v>0</v>
      </c>
      <c r="IU55" s="34">
        <f t="shared" si="16"/>
        <v>4908</v>
      </c>
      <c r="IV55" s="34">
        <f t="shared" si="16"/>
        <v>2487</v>
      </c>
      <c r="IW55" s="34">
        <f t="shared" si="16"/>
        <v>0</v>
      </c>
      <c r="IX55" s="34">
        <f t="shared" si="16"/>
        <v>0</v>
      </c>
      <c r="IY55" s="34">
        <f t="shared" si="16"/>
        <v>7315</v>
      </c>
      <c r="IZ55" s="34">
        <f t="shared" si="16"/>
        <v>0</v>
      </c>
      <c r="JA55" s="34">
        <f t="shared" si="16"/>
        <v>7467</v>
      </c>
      <c r="JB55" s="34">
        <f t="shared" si="16"/>
        <v>0</v>
      </c>
      <c r="JC55" s="34">
        <f t="shared" si="16"/>
        <v>0</v>
      </c>
      <c r="JD55" s="34">
        <f t="shared" si="16"/>
        <v>0</v>
      </c>
      <c r="JE55" s="34">
        <f t="shared" si="16"/>
        <v>0</v>
      </c>
      <c r="JF55" s="34">
        <f t="shared" si="16"/>
        <v>12247</v>
      </c>
      <c r="JG55" s="34">
        <f t="shared" si="16"/>
        <v>0</v>
      </c>
      <c r="JH55" s="34">
        <f t="shared" si="67"/>
        <v>4886</v>
      </c>
      <c r="JI55" s="34">
        <f t="shared" si="17"/>
        <v>0</v>
      </c>
      <c r="JJ55" s="34">
        <f t="shared" si="17"/>
        <v>0</v>
      </c>
      <c r="JK55" s="34">
        <f t="shared" si="17"/>
        <v>0</v>
      </c>
      <c r="JL55" s="34">
        <f t="shared" si="17"/>
        <v>0</v>
      </c>
      <c r="JM55" s="34">
        <f t="shared" si="17"/>
        <v>12321</v>
      </c>
      <c r="JN55" s="34">
        <f t="shared" si="17"/>
        <v>2437</v>
      </c>
      <c r="JO55" s="34">
        <f t="shared" si="17"/>
        <v>0</v>
      </c>
      <c r="JP55" s="34">
        <f t="shared" si="17"/>
        <v>0</v>
      </c>
      <c r="JQ55" s="34">
        <f t="shared" si="17"/>
        <v>2401</v>
      </c>
      <c r="JR55" s="34">
        <f t="shared" si="17"/>
        <v>4879</v>
      </c>
      <c r="JS55" s="34">
        <f t="shared" si="17"/>
        <v>4901</v>
      </c>
      <c r="JT55" s="34">
        <f t="shared" si="17"/>
        <v>0</v>
      </c>
      <c r="JU55" s="34">
        <f t="shared" si="17"/>
        <v>0</v>
      </c>
      <c r="JV55" s="34">
        <f t="shared" si="57"/>
        <v>0</v>
      </c>
      <c r="JW55" s="34">
        <f t="shared" si="18"/>
        <v>0</v>
      </c>
      <c r="JX55" s="34">
        <f t="shared" si="18"/>
        <v>0</v>
      </c>
      <c r="JY55" s="34">
        <f t="shared" si="18"/>
        <v>14800</v>
      </c>
      <c r="JZ55" s="34">
        <f t="shared" si="18"/>
        <v>2425</v>
      </c>
      <c r="KA55" s="34">
        <f t="shared" si="18"/>
        <v>0</v>
      </c>
      <c r="KB55" s="34">
        <f t="shared" si="18"/>
        <v>0</v>
      </c>
      <c r="KC55" s="34">
        <f t="shared" si="18"/>
        <v>0</v>
      </c>
      <c r="KD55" s="34">
        <f t="shared" si="18"/>
        <v>0</v>
      </c>
      <c r="KE55" s="34">
        <f t="shared" si="18"/>
        <v>12417</v>
      </c>
      <c r="KF55" s="34">
        <f t="shared" si="18"/>
        <v>0</v>
      </c>
      <c r="KG55" s="34">
        <f t="shared" si="18"/>
        <v>4934</v>
      </c>
      <c r="KH55" s="34">
        <f t="shared" si="18"/>
        <v>0</v>
      </c>
      <c r="KI55" s="34">
        <f t="shared" si="18"/>
        <v>0</v>
      </c>
      <c r="KJ55" s="34">
        <f t="shared" si="58"/>
        <v>7271</v>
      </c>
      <c r="KK55" s="34">
        <f t="shared" si="19"/>
        <v>0</v>
      </c>
      <c r="KL55" s="34">
        <f t="shared" si="19"/>
        <v>0</v>
      </c>
      <c r="KM55" s="34">
        <f t="shared" si="19"/>
        <v>7321</v>
      </c>
      <c r="KN55" s="34">
        <f t="shared" si="19"/>
        <v>0</v>
      </c>
      <c r="KO55" s="34">
        <f t="shared" si="19"/>
        <v>4920</v>
      </c>
      <c r="KP55" s="34">
        <f t="shared" si="19"/>
        <v>2493</v>
      </c>
      <c r="KQ55" s="34">
        <f t="shared" si="19"/>
        <v>2439</v>
      </c>
      <c r="KR55" s="34">
        <f t="shared" si="19"/>
        <v>2491</v>
      </c>
      <c r="KS55" s="34">
        <f t="shared" si="19"/>
        <v>0</v>
      </c>
      <c r="KT55" s="34">
        <f t="shared" si="19"/>
        <v>0</v>
      </c>
      <c r="KU55" s="34">
        <f t="shared" si="19"/>
        <v>0</v>
      </c>
      <c r="KV55" s="34">
        <f t="shared" si="19"/>
        <v>0</v>
      </c>
      <c r="KW55" s="34">
        <f t="shared" si="19"/>
        <v>12269</v>
      </c>
      <c r="KX55" s="34">
        <f t="shared" si="59"/>
        <v>0</v>
      </c>
      <c r="KY55" s="34">
        <f t="shared" si="20"/>
        <v>4939</v>
      </c>
      <c r="KZ55" s="34">
        <f t="shared" si="20"/>
        <v>0</v>
      </c>
      <c r="LA55" s="34">
        <f t="shared" si="34"/>
        <v>0</v>
      </c>
      <c r="LB55" s="34">
        <f t="shared" si="35"/>
        <v>0</v>
      </c>
      <c r="LC55" s="34">
        <f t="shared" si="36"/>
        <v>9852</v>
      </c>
      <c r="LD55" s="34">
        <f t="shared" si="37"/>
        <v>2518</v>
      </c>
      <c r="LE55" s="34">
        <f t="shared" si="38"/>
        <v>2524</v>
      </c>
      <c r="LF55" s="34">
        <f t="shared" si="39"/>
        <v>2504</v>
      </c>
      <c r="LG55" s="34">
        <f t="shared" si="21"/>
        <v>0</v>
      </c>
      <c r="LH55" s="34">
        <f t="shared" si="21"/>
        <v>0</v>
      </c>
      <c r="LI55" s="34">
        <f t="shared" si="21"/>
        <v>7284</v>
      </c>
      <c r="LJ55" s="34">
        <f t="shared" si="21"/>
        <v>0</v>
      </c>
      <c r="LK55" s="34">
        <f t="shared" si="21"/>
        <v>0</v>
      </c>
      <c r="LL55" s="34">
        <f t="shared" si="21"/>
        <v>7392</v>
      </c>
      <c r="LM55" s="34">
        <f t="shared" si="21"/>
        <v>0</v>
      </c>
      <c r="LN55" s="34">
        <f t="shared" si="21"/>
        <v>0</v>
      </c>
      <c r="LO55" s="34">
        <f t="shared" si="21"/>
        <v>0</v>
      </c>
      <c r="LP55" s="34">
        <f t="shared" si="21"/>
        <v>0</v>
      </c>
      <c r="LQ55" s="34">
        <f t="shared" si="21"/>
        <v>12234</v>
      </c>
      <c r="LR55" s="34">
        <f t="shared" si="21"/>
        <v>2462</v>
      </c>
      <c r="LS55" s="34">
        <f t="shared" si="21"/>
        <v>0</v>
      </c>
      <c r="LT55" s="34">
        <f t="shared" si="21"/>
        <v>0</v>
      </c>
      <c r="LU55" s="34">
        <f t="shared" si="21"/>
        <v>0</v>
      </c>
      <c r="LV55" s="34">
        <f t="shared" si="68"/>
        <v>0</v>
      </c>
      <c r="LW55" s="34">
        <f t="shared" si="22"/>
        <v>0</v>
      </c>
      <c r="LX55" s="34">
        <f t="shared" si="22"/>
        <v>0</v>
      </c>
      <c r="LY55" s="34">
        <f t="shared" si="22"/>
        <v>17080</v>
      </c>
      <c r="LZ55" s="34">
        <f t="shared" si="22"/>
        <v>2472</v>
      </c>
      <c r="MA55" s="34">
        <f t="shared" si="22"/>
        <v>0</v>
      </c>
      <c r="MB55" s="34">
        <f t="shared" si="22"/>
        <v>2520</v>
      </c>
      <c r="MC55" s="34">
        <f t="shared" si="22"/>
        <v>0</v>
      </c>
      <c r="MD55" s="34">
        <f t="shared" si="22"/>
        <v>0</v>
      </c>
      <c r="ME55" s="34">
        <f t="shared" si="22"/>
        <v>9945</v>
      </c>
      <c r="MF55" s="34">
        <f t="shared" si="22"/>
        <v>2487</v>
      </c>
      <c r="MG55" s="34">
        <f t="shared" si="22"/>
        <v>0</v>
      </c>
      <c r="MH55" s="34">
        <f t="shared" si="22"/>
        <v>0</v>
      </c>
      <c r="MI55" s="34">
        <f t="shared" si="22"/>
        <v>0</v>
      </c>
      <c r="MJ55" s="34">
        <f t="shared" si="60"/>
        <v>0</v>
      </c>
      <c r="MK55" s="34">
        <f t="shared" si="23"/>
        <v>0</v>
      </c>
      <c r="ML55" s="34">
        <f t="shared" si="23"/>
        <v>0</v>
      </c>
      <c r="MM55" s="34">
        <f t="shared" si="23"/>
        <v>16612</v>
      </c>
      <c r="MN55" s="34">
        <f t="shared" si="23"/>
        <v>0</v>
      </c>
      <c r="MO55" s="34">
        <f t="shared" si="23"/>
        <v>0</v>
      </c>
      <c r="MP55" s="34">
        <f t="shared" si="23"/>
        <v>0</v>
      </c>
      <c r="MQ55" s="34">
        <f t="shared" si="23"/>
        <v>0</v>
      </c>
      <c r="MR55" s="34">
        <f t="shared" si="23"/>
        <v>0</v>
      </c>
      <c r="MS55" s="34">
        <f t="shared" si="23"/>
        <v>0</v>
      </c>
      <c r="MT55" s="34">
        <f t="shared" si="23"/>
        <v>17078</v>
      </c>
      <c r="MU55" s="34">
        <f t="shared" si="23"/>
        <v>0</v>
      </c>
      <c r="MV55" s="34">
        <f t="shared" si="23"/>
        <v>0</v>
      </c>
      <c r="MW55" s="34">
        <f t="shared" si="23"/>
        <v>0</v>
      </c>
      <c r="MX55" s="34">
        <f t="shared" si="61"/>
        <v>9920</v>
      </c>
      <c r="MY55" s="34">
        <f t="shared" si="24"/>
        <v>2456</v>
      </c>
      <c r="MZ55" s="34">
        <f t="shared" si="25"/>
        <v>0</v>
      </c>
      <c r="NA55" s="34">
        <f t="shared" si="25"/>
        <v>0</v>
      </c>
      <c r="NB55" s="34">
        <f t="shared" si="25"/>
        <v>0</v>
      </c>
      <c r="NC55" s="34">
        <f t="shared" si="25"/>
        <v>0</v>
      </c>
      <c r="ND55" s="34">
        <f t="shared" si="25"/>
        <v>0</v>
      </c>
      <c r="NE55" s="34">
        <f t="shared" si="25"/>
        <v>0</v>
      </c>
      <c r="NF55" s="34">
        <f t="shared" si="25"/>
        <v>17190</v>
      </c>
      <c r="NG55" s="34">
        <f t="shared" si="25"/>
        <v>0</v>
      </c>
      <c r="NH55" s="34">
        <f t="shared" si="25"/>
        <v>0</v>
      </c>
      <c r="NI55" s="34">
        <f t="shared" si="25"/>
        <v>0</v>
      </c>
      <c r="NJ55" s="34">
        <f t="shared" si="25"/>
        <v>0</v>
      </c>
      <c r="NK55" s="34">
        <f t="shared" si="25"/>
        <v>0</v>
      </c>
      <c r="NL55" s="34">
        <f t="shared" si="25"/>
        <v>0</v>
      </c>
      <c r="NM55" s="34">
        <f t="shared" si="62"/>
        <v>17022</v>
      </c>
      <c r="NN55" s="34">
        <f t="shared" si="26"/>
        <v>0</v>
      </c>
      <c r="NO55" s="34">
        <f t="shared" si="27"/>
        <v>0</v>
      </c>
      <c r="NP55" s="34">
        <v>0</v>
      </c>
      <c r="NQ55" s="34">
        <v>0</v>
      </c>
      <c r="NR55" s="34">
        <v>0</v>
      </c>
      <c r="NS55" s="34">
        <v>0</v>
      </c>
      <c r="NT55" s="34">
        <v>0</v>
      </c>
      <c r="NU55" s="34">
        <v>0</v>
      </c>
      <c r="NV55" s="34">
        <v>22026</v>
      </c>
      <c r="NW55" s="34">
        <v>2506</v>
      </c>
      <c r="NX55">
        <v>0</v>
      </c>
      <c r="NY55" s="34">
        <v>0</v>
      </c>
      <c r="NZ55" s="34">
        <v>0</v>
      </c>
      <c r="OA55" s="34">
        <v>0</v>
      </c>
      <c r="OB55" s="34">
        <v>0</v>
      </c>
      <c r="OC55" s="34">
        <v>0</v>
      </c>
      <c r="OD55" s="34">
        <v>17455</v>
      </c>
      <c r="OE55" s="34">
        <v>2466</v>
      </c>
      <c r="OF55" s="34">
        <v>0</v>
      </c>
      <c r="OG55" s="34">
        <v>0</v>
      </c>
      <c r="OH55" s="34">
        <v>0</v>
      </c>
      <c r="OI55" s="34">
        <v>0</v>
      </c>
      <c r="OJ55" s="34">
        <v>0</v>
      </c>
      <c r="OK55" s="34">
        <v>15138</v>
      </c>
      <c r="OL55" s="34">
        <v>2486</v>
      </c>
      <c r="OM55" s="34">
        <v>0</v>
      </c>
      <c r="ON55" s="34">
        <v>0</v>
      </c>
      <c r="OO55" s="34">
        <v>0</v>
      </c>
      <c r="OP55" s="34">
        <v>10599</v>
      </c>
      <c r="OQ55" s="34">
        <v>0</v>
      </c>
      <c r="OR55" s="34">
        <v>0</v>
      </c>
      <c r="OS55" s="34">
        <f t="shared" si="40"/>
        <v>0</v>
      </c>
      <c r="OT55" s="34">
        <f t="shared" si="40"/>
        <v>0</v>
      </c>
      <c r="OU55" s="34">
        <v>0</v>
      </c>
      <c r="OV55" s="34">
        <v>0</v>
      </c>
      <c r="OW55" s="34">
        <v>0</v>
      </c>
      <c r="OX55" s="34">
        <v>0</v>
      </c>
      <c r="OY55" s="34">
        <v>0</v>
      </c>
      <c r="OZ55" s="34">
        <v>0</v>
      </c>
      <c r="PA55" s="34">
        <v>27222</v>
      </c>
      <c r="PB55" s="34">
        <v>0</v>
      </c>
      <c r="PC55" s="34">
        <v>0</v>
      </c>
      <c r="PD55" s="34">
        <v>0</v>
      </c>
      <c r="PE55" s="34">
        <v>0</v>
      </c>
      <c r="PF55" s="34">
        <v>12800</v>
      </c>
      <c r="PG55" s="34">
        <v>2567</v>
      </c>
      <c r="PH55" s="34">
        <v>2795</v>
      </c>
      <c r="PI55" s="34">
        <v>2512</v>
      </c>
      <c r="PJ55" s="34">
        <v>2530</v>
      </c>
      <c r="PK55" s="34">
        <v>0</v>
      </c>
      <c r="PL55" s="34">
        <v>0</v>
      </c>
      <c r="PM55" s="34">
        <v>0</v>
      </c>
      <c r="PN55" s="34">
        <v>0</v>
      </c>
      <c r="PO55" s="34">
        <v>0</v>
      </c>
      <c r="PP55" s="34">
        <v>0</v>
      </c>
      <c r="PQ55" s="34">
        <v>0</v>
      </c>
      <c r="PR55" s="34">
        <v>0</v>
      </c>
      <c r="PS55" s="34">
        <v>0</v>
      </c>
      <c r="PT55" s="34">
        <v>0</v>
      </c>
      <c r="PU55" s="34">
        <v>0</v>
      </c>
      <c r="PV55" s="34">
        <v>0</v>
      </c>
      <c r="PW55" s="34">
        <v>32528</v>
      </c>
      <c r="PX55" s="34">
        <v>0</v>
      </c>
      <c r="PY55" s="34">
        <v>0</v>
      </c>
      <c r="PZ55" s="34">
        <v>0</v>
      </c>
      <c r="QA55" s="34">
        <v>0</v>
      </c>
      <c r="QB55" s="34">
        <v>0</v>
      </c>
      <c r="QC55" s="34">
        <v>0</v>
      </c>
      <c r="QD55" s="34">
        <v>0</v>
      </c>
      <c r="QE55" s="34">
        <v>0</v>
      </c>
      <c r="QF55" s="34">
        <v>0</v>
      </c>
      <c r="QG55" s="34">
        <v>0</v>
      </c>
      <c r="QH55" s="34">
        <v>0</v>
      </c>
      <c r="QI55" s="34">
        <v>0</v>
      </c>
      <c r="QJ55" s="34">
        <v>0</v>
      </c>
      <c r="QK55" s="34">
        <v>32394</v>
      </c>
      <c r="QL55" s="34">
        <v>2545</v>
      </c>
      <c r="QM55" s="34">
        <v>5019</v>
      </c>
      <c r="QN55" s="34">
        <v>0</v>
      </c>
      <c r="QO55" s="34">
        <v>0</v>
      </c>
      <c r="QP55" s="34">
        <v>7516</v>
      </c>
      <c r="QQ55" s="34">
        <v>2541</v>
      </c>
      <c r="QR55" s="34">
        <v>2476</v>
      </c>
      <c r="QS55" s="34">
        <v>0</v>
      </c>
      <c r="QT55" s="34">
        <v>4918</v>
      </c>
      <c r="QU55" s="34">
        <v>0</v>
      </c>
      <c r="QV55" s="34">
        <v>5019</v>
      </c>
      <c r="QW55" s="34">
        <v>2451</v>
      </c>
      <c r="QX55" s="34">
        <v>0</v>
      </c>
      <c r="QY55" s="34">
        <v>0</v>
      </c>
      <c r="QZ55" s="34">
        <v>0</v>
      </c>
      <c r="RA55" s="34">
        <v>0</v>
      </c>
      <c r="RB55" s="34">
        <v>0</v>
      </c>
      <c r="RC55" s="34">
        <v>14762</v>
      </c>
      <c r="RD55" s="34">
        <v>0</v>
      </c>
      <c r="RE55" s="34">
        <v>0</v>
      </c>
      <c r="RF55" s="34">
        <v>7436</v>
      </c>
      <c r="RG55" s="34">
        <v>2453</v>
      </c>
      <c r="RH55" s="34">
        <v>0</v>
      </c>
      <c r="RI55" s="34">
        <v>0</v>
      </c>
      <c r="RJ55" s="34">
        <v>7313</v>
      </c>
      <c r="RK55" s="34">
        <v>2471</v>
      </c>
      <c r="RL55" s="34">
        <v>0</v>
      </c>
      <c r="RM55" s="34">
        <v>4947</v>
      </c>
      <c r="RN55" s="34">
        <v>2461</v>
      </c>
      <c r="RO55" s="34">
        <v>2412</v>
      </c>
      <c r="RP55" s="34">
        <v>2455</v>
      </c>
      <c r="RQ55" s="34">
        <v>0</v>
      </c>
      <c r="RR55" s="34">
        <v>4926</v>
      </c>
      <c r="RS55" s="34">
        <v>0</v>
      </c>
      <c r="RT55" s="34">
        <v>0</v>
      </c>
      <c r="RU55" s="34">
        <v>0</v>
      </c>
      <c r="RV55" s="34">
        <v>0</v>
      </c>
      <c r="RW55" s="34">
        <v>0</v>
      </c>
      <c r="RX55" s="34">
        <v>0</v>
      </c>
      <c r="RY55" s="34">
        <v>23738</v>
      </c>
      <c r="RZ55" s="34">
        <v>0</v>
      </c>
      <c r="SA55" s="34">
        <v>0</v>
      </c>
      <c r="SB55" s="34">
        <v>0</v>
      </c>
      <c r="SC55" s="34">
        <v>0</v>
      </c>
      <c r="SD55" s="34">
        <v>0</v>
      </c>
      <c r="SE55" s="34">
        <v>0</v>
      </c>
      <c r="SF55" s="34">
        <v>32814</v>
      </c>
      <c r="SG55" s="34">
        <v>4664</v>
      </c>
      <c r="SH55" s="34">
        <v>4720</v>
      </c>
      <c r="SI55" s="34">
        <v>0</v>
      </c>
      <c r="SJ55" s="34">
        <v>4697</v>
      </c>
      <c r="SK55" s="34">
        <v>0</v>
      </c>
      <c r="SL55" s="34">
        <v>0</v>
      </c>
      <c r="SM55" s="34">
        <v>0</v>
      </c>
      <c r="SN55" s="34">
        <v>0</v>
      </c>
      <c r="SO55" s="34">
        <v>0</v>
      </c>
      <c r="SP55" s="34">
        <v>0</v>
      </c>
      <c r="SQ55" s="34">
        <v>0</v>
      </c>
      <c r="SR55" s="34">
        <v>0</v>
      </c>
      <c r="SS55" s="34">
        <v>0</v>
      </c>
      <c r="ST55" s="34">
        <v>0</v>
      </c>
      <c r="SU55" s="34">
        <v>0</v>
      </c>
      <c r="SV55" s="34">
        <v>56177</v>
      </c>
      <c r="SW55" s="34">
        <v>9397</v>
      </c>
      <c r="SX55" s="34">
        <v>0</v>
      </c>
      <c r="SY55" s="34">
        <v>0</v>
      </c>
      <c r="SZ55" s="34">
        <v>0</v>
      </c>
      <c r="TA55" s="34">
        <v>0</v>
      </c>
      <c r="TB55" s="34">
        <v>0</v>
      </c>
      <c r="TC55" s="34">
        <v>0</v>
      </c>
      <c r="TD55" s="34">
        <v>0</v>
      </c>
      <c r="TE55" s="34">
        <v>0</v>
      </c>
      <c r="TF55" s="34">
        <v>0</v>
      </c>
      <c r="TG55" s="34">
        <v>0</v>
      </c>
      <c r="TH55" s="34">
        <v>0</v>
      </c>
      <c r="TI55" s="34">
        <v>0</v>
      </c>
      <c r="TJ55" s="34">
        <v>0</v>
      </c>
      <c r="TK55" s="34">
        <v>65475</v>
      </c>
      <c r="TL55" s="34">
        <v>0</v>
      </c>
      <c r="TM55" s="34">
        <v>0</v>
      </c>
      <c r="TN55" s="34">
        <v>0</v>
      </c>
      <c r="TO55" s="34">
        <v>0</v>
      </c>
      <c r="TP55" s="34">
        <v>0</v>
      </c>
      <c r="TQ55" s="34">
        <v>0</v>
      </c>
      <c r="TR55" s="34">
        <v>0</v>
      </c>
      <c r="TS55" s="34">
        <v>0</v>
      </c>
      <c r="TT55" s="34">
        <v>0</v>
      </c>
      <c r="TU55" s="34">
        <v>0</v>
      </c>
      <c r="TV55" s="34">
        <v>0</v>
      </c>
      <c r="TW55" s="34">
        <v>0</v>
      </c>
      <c r="TX55" s="34">
        <v>0</v>
      </c>
      <c r="TY55" s="34">
        <v>0</v>
      </c>
      <c r="TZ55" s="34">
        <v>0</v>
      </c>
      <c r="UA55" s="34">
        <v>0</v>
      </c>
      <c r="UB55" s="34">
        <v>0</v>
      </c>
      <c r="UC55" s="34">
        <v>88922</v>
      </c>
      <c r="UD55" s="34">
        <v>0</v>
      </c>
      <c r="UE55" s="34">
        <v>0</v>
      </c>
      <c r="UF55" s="34">
        <v>0</v>
      </c>
      <c r="UG55" s="34">
        <v>0</v>
      </c>
      <c r="UH55" s="34">
        <v>0</v>
      </c>
      <c r="UI55" s="34">
        <v>0</v>
      </c>
      <c r="UJ55" s="34">
        <v>0</v>
      </c>
      <c r="UK55" s="34">
        <v>0</v>
      </c>
      <c r="UL55" s="34">
        <v>0</v>
      </c>
      <c r="UM55" s="34">
        <v>0</v>
      </c>
      <c r="UN55" s="34">
        <v>0</v>
      </c>
      <c r="UO55" s="34">
        <v>0</v>
      </c>
      <c r="UP55" s="34">
        <v>0</v>
      </c>
      <c r="UQ55" s="34">
        <v>27924</v>
      </c>
      <c r="UR55" s="34">
        <v>0</v>
      </c>
      <c r="US55" s="34">
        <v>0</v>
      </c>
      <c r="UT55" s="34">
        <v>0</v>
      </c>
      <c r="UU55" s="34">
        <v>0</v>
      </c>
      <c r="UV55" s="34">
        <v>0</v>
      </c>
      <c r="UW55" s="34">
        <v>0</v>
      </c>
      <c r="UX55" s="34">
        <v>0</v>
      </c>
      <c r="UY55" s="34">
        <v>42088</v>
      </c>
      <c r="UZ55" s="34">
        <v>32575</v>
      </c>
      <c r="VA55" s="34">
        <v>0</v>
      </c>
      <c r="VB55" s="34">
        <v>0</v>
      </c>
      <c r="VC55" s="34">
        <v>0</v>
      </c>
      <c r="VD55" s="34">
        <v>0</v>
      </c>
      <c r="VE55" s="34">
        <v>0</v>
      </c>
      <c r="VF55" s="34">
        <v>0</v>
      </c>
      <c r="VG55" s="34">
        <v>0</v>
      </c>
      <c r="VH55" s="34">
        <v>0</v>
      </c>
      <c r="VI55" s="34">
        <v>0</v>
      </c>
      <c r="VJ55" s="34">
        <v>0</v>
      </c>
      <c r="VK55" s="34">
        <v>0</v>
      </c>
      <c r="VL55" s="34">
        <v>0</v>
      </c>
      <c r="VM55" s="34">
        <v>0</v>
      </c>
      <c r="VN55" s="34">
        <v>0</v>
      </c>
      <c r="VO55" s="34">
        <v>0</v>
      </c>
      <c r="VP55" s="34">
        <v>0</v>
      </c>
      <c r="VQ55" s="34">
        <v>0</v>
      </c>
      <c r="VR55" s="34">
        <v>0</v>
      </c>
      <c r="VS55" s="34">
        <v>0</v>
      </c>
      <c r="VT55" s="34">
        <v>0</v>
      </c>
      <c r="VU55" s="34">
        <v>0</v>
      </c>
      <c r="VV55" s="34">
        <v>0</v>
      </c>
      <c r="VW55" s="34">
        <v>0</v>
      </c>
      <c r="VX55" s="34">
        <v>0</v>
      </c>
      <c r="VY55" s="34">
        <v>0</v>
      </c>
      <c r="VZ55" s="34">
        <v>0</v>
      </c>
      <c r="WA55" s="34">
        <v>0</v>
      </c>
      <c r="WB55" s="34">
        <v>0</v>
      </c>
      <c r="WC55" s="34">
        <v>0</v>
      </c>
      <c r="WD55" s="34">
        <v>0</v>
      </c>
      <c r="WE55" s="34">
        <v>0</v>
      </c>
      <c r="WF55" s="34">
        <v>0</v>
      </c>
      <c r="WG55" s="34">
        <v>0</v>
      </c>
      <c r="WH55" s="34">
        <v>0</v>
      </c>
      <c r="WI55" s="34">
        <v>0</v>
      </c>
      <c r="WJ55" s="34">
        <v>0</v>
      </c>
      <c r="WK55" s="34">
        <v>0</v>
      </c>
      <c r="WL55" s="34">
        <v>0</v>
      </c>
      <c r="WM55">
        <v>0</v>
      </c>
      <c r="WN55">
        <v>0</v>
      </c>
      <c r="WO55">
        <v>0</v>
      </c>
      <c r="WP55">
        <v>0</v>
      </c>
      <c r="WQ55">
        <v>0</v>
      </c>
      <c r="WR55">
        <v>0</v>
      </c>
      <c r="WS55">
        <v>0</v>
      </c>
      <c r="WT55">
        <v>0</v>
      </c>
      <c r="WU55">
        <v>218168</v>
      </c>
      <c r="WV55">
        <v>0</v>
      </c>
      <c r="WW55">
        <v>0</v>
      </c>
      <c r="WX55">
        <v>0</v>
      </c>
      <c r="WY55">
        <v>0</v>
      </c>
      <c r="WZ55">
        <v>0</v>
      </c>
      <c r="XA55">
        <v>0</v>
      </c>
      <c r="XB55">
        <v>0</v>
      </c>
      <c r="XC55">
        <v>41937</v>
      </c>
      <c r="XD55">
        <v>0</v>
      </c>
      <c r="XE55">
        <v>0</v>
      </c>
      <c r="XF55">
        <v>9247</v>
      </c>
      <c r="XG55">
        <v>0</v>
      </c>
      <c r="XH55">
        <v>0</v>
      </c>
      <c r="XI55">
        <v>0</v>
      </c>
      <c r="XJ55">
        <v>0</v>
      </c>
      <c r="XK55">
        <v>0</v>
      </c>
      <c r="XL55">
        <v>0</v>
      </c>
      <c r="XM55">
        <v>0</v>
      </c>
      <c r="XN55">
        <v>0</v>
      </c>
      <c r="XO55">
        <v>0</v>
      </c>
      <c r="XP55">
        <v>0</v>
      </c>
      <c r="XQ55">
        <v>0</v>
      </c>
      <c r="XR55">
        <v>65073</v>
      </c>
      <c r="XS55">
        <v>0</v>
      </c>
      <c r="XT55">
        <v>0</v>
      </c>
      <c r="XU55">
        <v>0</v>
      </c>
      <c r="XV55">
        <v>0</v>
      </c>
      <c r="XW55">
        <v>0</v>
      </c>
      <c r="XX55">
        <v>0</v>
      </c>
      <c r="XY55">
        <v>0</v>
      </c>
      <c r="XZ55">
        <v>0</v>
      </c>
      <c r="YA55">
        <v>0</v>
      </c>
      <c r="YB55">
        <v>0</v>
      </c>
      <c r="YC55">
        <v>0</v>
      </c>
      <c r="YD55">
        <v>0</v>
      </c>
      <c r="YE55">
        <v>0</v>
      </c>
      <c r="YF55" s="1">
        <v>0</v>
      </c>
      <c r="YG55" s="1">
        <v>0</v>
      </c>
      <c r="YH55" s="1">
        <v>0</v>
      </c>
      <c r="YI55" s="1">
        <v>0</v>
      </c>
      <c r="YJ55">
        <v>0</v>
      </c>
      <c r="YK55">
        <v>0</v>
      </c>
      <c r="YL55">
        <v>0</v>
      </c>
      <c r="YM55">
        <v>0</v>
      </c>
      <c r="YN55">
        <v>0</v>
      </c>
      <c r="YO55">
        <v>0</v>
      </c>
      <c r="YP55">
        <v>0</v>
      </c>
      <c r="YQ55">
        <v>0</v>
      </c>
      <c r="YR55">
        <v>0</v>
      </c>
      <c r="YS55">
        <v>0</v>
      </c>
      <c r="YT55">
        <v>0</v>
      </c>
      <c r="YU55">
        <v>83639</v>
      </c>
      <c r="YV55">
        <v>0</v>
      </c>
      <c r="YW55">
        <v>0</v>
      </c>
      <c r="YX55">
        <v>0</v>
      </c>
      <c r="YY55">
        <v>0</v>
      </c>
      <c r="YZ55">
        <v>0</v>
      </c>
      <c r="ZA55">
        <v>0</v>
      </c>
      <c r="ZB55">
        <v>0</v>
      </c>
      <c r="ZC55">
        <v>0</v>
      </c>
      <c r="ZD55">
        <v>0</v>
      </c>
      <c r="ZE55">
        <v>88401</v>
      </c>
      <c r="ZF55">
        <v>0</v>
      </c>
      <c r="ZG55">
        <v>0</v>
      </c>
      <c r="ZH55">
        <v>0</v>
      </c>
      <c r="ZI55">
        <v>0</v>
      </c>
      <c r="ZJ55">
        <v>0</v>
      </c>
      <c r="ZK55">
        <v>0</v>
      </c>
      <c r="ZL55">
        <v>0</v>
      </c>
      <c r="ZM55">
        <v>0</v>
      </c>
      <c r="ZN55">
        <v>0</v>
      </c>
      <c r="ZO55">
        <v>0</v>
      </c>
      <c r="ZP55">
        <v>0</v>
      </c>
      <c r="ZQ55">
        <v>0</v>
      </c>
      <c r="ZR55">
        <v>0</v>
      </c>
      <c r="ZS55">
        <v>0</v>
      </c>
      <c r="ZT55">
        <v>0</v>
      </c>
      <c r="ZU55">
        <v>0</v>
      </c>
      <c r="ZV55">
        <v>0</v>
      </c>
      <c r="ZW55">
        <v>0</v>
      </c>
      <c r="ZX55">
        <v>0</v>
      </c>
      <c r="ZY55">
        <v>0</v>
      </c>
      <c r="ZZ55">
        <v>0</v>
      </c>
      <c r="AAA55">
        <v>0</v>
      </c>
      <c r="AAB55">
        <v>0</v>
      </c>
      <c r="AAC55">
        <v>0</v>
      </c>
      <c r="AAD55">
        <v>0</v>
      </c>
      <c r="AAE55">
        <v>0</v>
      </c>
      <c r="AAF55">
        <v>0</v>
      </c>
      <c r="AAG55">
        <v>0</v>
      </c>
      <c r="AAH55">
        <v>0</v>
      </c>
      <c r="AAI55">
        <v>0</v>
      </c>
      <c r="AAJ55">
        <v>0</v>
      </c>
      <c r="AAK55">
        <v>153201</v>
      </c>
      <c r="AAL55">
        <v>0</v>
      </c>
      <c r="AAM55">
        <v>0</v>
      </c>
      <c r="AAN55">
        <v>0</v>
      </c>
      <c r="AAO55">
        <v>0</v>
      </c>
      <c r="AAP55">
        <v>0</v>
      </c>
      <c r="AAQ55">
        <v>0</v>
      </c>
      <c r="AAR55">
        <v>0</v>
      </c>
      <c r="AAS55">
        <v>0</v>
      </c>
      <c r="AAT55">
        <v>0</v>
      </c>
      <c r="AAU55">
        <v>0</v>
      </c>
      <c r="AAV55">
        <v>0</v>
      </c>
      <c r="AAW55">
        <v>0</v>
      </c>
      <c r="AAX55">
        <v>0</v>
      </c>
      <c r="AAY55">
        <v>0</v>
      </c>
      <c r="AAZ55">
        <v>0</v>
      </c>
      <c r="ABA55">
        <v>0</v>
      </c>
      <c r="ABB55">
        <v>0</v>
      </c>
      <c r="ABC55">
        <v>0</v>
      </c>
      <c r="ABD55">
        <v>0</v>
      </c>
      <c r="ABE55">
        <v>0</v>
      </c>
      <c r="ABF55">
        <v>0</v>
      </c>
      <c r="ABG55">
        <v>0</v>
      </c>
      <c r="ABH55">
        <v>0</v>
      </c>
      <c r="ABI55">
        <v>0</v>
      </c>
      <c r="ABJ55">
        <v>0</v>
      </c>
      <c r="ABK55">
        <v>0</v>
      </c>
      <c r="ABL55">
        <v>0</v>
      </c>
      <c r="ABM55">
        <v>0</v>
      </c>
      <c r="ABN55">
        <v>0</v>
      </c>
      <c r="ABO55">
        <v>0</v>
      </c>
      <c r="ABP55">
        <v>0</v>
      </c>
      <c r="ABQ55">
        <v>0</v>
      </c>
      <c r="ABR55">
        <v>0</v>
      </c>
      <c r="ABS55">
        <v>0</v>
      </c>
      <c r="ABT55">
        <v>0</v>
      </c>
      <c r="ABU55">
        <v>0</v>
      </c>
      <c r="ABV55">
        <v>0</v>
      </c>
      <c r="ABW55">
        <v>0</v>
      </c>
      <c r="ABX55">
        <v>0</v>
      </c>
      <c r="ABY55">
        <v>0</v>
      </c>
      <c r="ABZ55">
        <v>0</v>
      </c>
      <c r="ACA55">
        <v>0</v>
      </c>
      <c r="ACB55">
        <v>0</v>
      </c>
      <c r="ACC55">
        <v>0</v>
      </c>
      <c r="ACD55">
        <v>0</v>
      </c>
      <c r="ACE55">
        <v>0</v>
      </c>
      <c r="ACF55">
        <v>0</v>
      </c>
      <c r="ACG55">
        <v>0</v>
      </c>
      <c r="ACH55">
        <v>0</v>
      </c>
      <c r="ACI55">
        <v>0</v>
      </c>
      <c r="ACJ55">
        <v>0</v>
      </c>
      <c r="ACK55">
        <v>0</v>
      </c>
      <c r="ACL55">
        <v>0</v>
      </c>
      <c r="ACM55">
        <v>0</v>
      </c>
      <c r="ACN55">
        <v>0</v>
      </c>
      <c r="ACO55">
        <v>0</v>
      </c>
      <c r="ACP55">
        <v>0</v>
      </c>
      <c r="ACQ55">
        <v>0</v>
      </c>
      <c r="ACR55">
        <v>0</v>
      </c>
      <c r="ACS55">
        <v>0</v>
      </c>
      <c r="ACT55">
        <v>0</v>
      </c>
      <c r="ACU55">
        <v>0</v>
      </c>
      <c r="ACV55">
        <v>0</v>
      </c>
      <c r="ACW55">
        <v>0</v>
      </c>
      <c r="ACX55">
        <v>0</v>
      </c>
      <c r="ACY55">
        <v>0</v>
      </c>
      <c r="ACZ55">
        <v>0</v>
      </c>
      <c r="ADA55">
        <v>0</v>
      </c>
      <c r="ADB55">
        <v>0</v>
      </c>
      <c r="ADC55">
        <v>0</v>
      </c>
      <c r="ADD55">
        <v>0</v>
      </c>
      <c r="ADE55">
        <v>0</v>
      </c>
      <c r="ADF55">
        <v>0</v>
      </c>
      <c r="ADG55">
        <v>0</v>
      </c>
      <c r="ADH55">
        <v>0</v>
      </c>
      <c r="ADI55">
        <v>0</v>
      </c>
      <c r="ADJ55">
        <v>0</v>
      </c>
      <c r="ADK55">
        <v>0</v>
      </c>
      <c r="ADL55">
        <v>0</v>
      </c>
      <c r="ADM55">
        <v>0</v>
      </c>
      <c r="ADN55">
        <v>0</v>
      </c>
      <c r="ADO55">
        <v>0</v>
      </c>
      <c r="ADP55">
        <v>0</v>
      </c>
      <c r="ADQ55">
        <v>0</v>
      </c>
      <c r="ADR55">
        <v>0</v>
      </c>
      <c r="ADS55">
        <v>0</v>
      </c>
      <c r="ADT55">
        <v>0</v>
      </c>
      <c r="ADU55">
        <v>0</v>
      </c>
      <c r="ADV55">
        <v>0</v>
      </c>
      <c r="ADW55">
        <v>0</v>
      </c>
      <c r="ADX55">
        <v>0</v>
      </c>
      <c r="ADY55">
        <v>0</v>
      </c>
      <c r="ADZ55">
        <v>0</v>
      </c>
      <c r="AEA55">
        <v>0</v>
      </c>
      <c r="AEB55">
        <v>0</v>
      </c>
      <c r="AEC55">
        <v>0</v>
      </c>
      <c r="AED55">
        <v>0</v>
      </c>
      <c r="AEE55">
        <v>0</v>
      </c>
      <c r="AEF55">
        <v>0</v>
      </c>
      <c r="AEG55">
        <v>0</v>
      </c>
      <c r="AEH55">
        <v>0</v>
      </c>
      <c r="AEI55">
        <v>0</v>
      </c>
      <c r="AEJ55">
        <v>0</v>
      </c>
      <c r="AEK55">
        <v>0</v>
      </c>
      <c r="AEL55">
        <v>0</v>
      </c>
      <c r="AEM55">
        <v>0</v>
      </c>
      <c r="AEN55">
        <v>0</v>
      </c>
      <c r="AEO55">
        <v>0</v>
      </c>
      <c r="AEP55">
        <v>0</v>
      </c>
      <c r="AEQ55">
        <v>0</v>
      </c>
      <c r="AER55">
        <v>0</v>
      </c>
      <c r="AES55">
        <v>0</v>
      </c>
      <c r="AET55">
        <v>0</v>
      </c>
      <c r="AEU55">
        <v>0</v>
      </c>
      <c r="AEV55">
        <v>0</v>
      </c>
      <c r="AEW55">
        <v>0</v>
      </c>
      <c r="AEX55">
        <v>0</v>
      </c>
      <c r="AEY55">
        <v>0</v>
      </c>
      <c r="AEZ55">
        <v>0</v>
      </c>
      <c r="AFA55">
        <v>0</v>
      </c>
      <c r="AFB55">
        <v>0</v>
      </c>
      <c r="AFC55">
        <v>0</v>
      </c>
      <c r="AFD55">
        <v>0</v>
      </c>
      <c r="AFE55">
        <v>0</v>
      </c>
      <c r="AFF55">
        <v>0</v>
      </c>
      <c r="AFG55">
        <v>0</v>
      </c>
      <c r="AFH55">
        <v>0</v>
      </c>
      <c r="AFI55">
        <v>0</v>
      </c>
      <c r="AFJ55">
        <v>0</v>
      </c>
      <c r="AFK55">
        <v>0</v>
      </c>
      <c r="AFL55">
        <v>0</v>
      </c>
      <c r="AFM55">
        <v>0</v>
      </c>
      <c r="AFN55">
        <v>0</v>
      </c>
      <c r="AFO55">
        <v>0</v>
      </c>
      <c r="AFP55">
        <v>0</v>
      </c>
      <c r="AFQ55">
        <v>0</v>
      </c>
      <c r="AFR55">
        <v>0</v>
      </c>
      <c r="AFS55">
        <v>0</v>
      </c>
      <c r="AFT55">
        <v>0</v>
      </c>
      <c r="AFU55">
        <v>0</v>
      </c>
      <c r="AFV55">
        <v>0</v>
      </c>
      <c r="AFW55">
        <v>0</v>
      </c>
      <c r="AFX55">
        <v>0</v>
      </c>
      <c r="AFY55">
        <v>0</v>
      </c>
      <c r="AFZ55">
        <v>0</v>
      </c>
      <c r="AGA55">
        <v>0</v>
      </c>
      <c r="AGB55">
        <v>0</v>
      </c>
      <c r="AGC55">
        <v>0</v>
      </c>
      <c r="AGD55">
        <v>0</v>
      </c>
      <c r="AGE55">
        <v>0</v>
      </c>
      <c r="AGF55">
        <v>0</v>
      </c>
      <c r="AGG55">
        <v>0</v>
      </c>
      <c r="AGH55">
        <v>0</v>
      </c>
      <c r="AGI55">
        <v>0</v>
      </c>
      <c r="AGJ55">
        <v>0</v>
      </c>
      <c r="AGK55">
        <v>0</v>
      </c>
      <c r="AGL55">
        <v>0</v>
      </c>
      <c r="AGM55">
        <v>0</v>
      </c>
      <c r="AGN55">
        <v>0</v>
      </c>
      <c r="AGO55">
        <v>0</v>
      </c>
      <c r="AGP55">
        <v>0</v>
      </c>
      <c r="AGQ55">
        <v>0</v>
      </c>
      <c r="AGR55">
        <v>0</v>
      </c>
      <c r="AGS55">
        <v>0</v>
      </c>
      <c r="AGT55">
        <v>0</v>
      </c>
      <c r="AGU55">
        <v>0</v>
      </c>
      <c r="AGV55">
        <v>0</v>
      </c>
      <c r="AGW55">
        <v>0</v>
      </c>
      <c r="AGX55">
        <v>0</v>
      </c>
      <c r="AGY55">
        <v>0</v>
      </c>
      <c r="AGZ55">
        <v>0</v>
      </c>
      <c r="AHA55">
        <v>0</v>
      </c>
      <c r="AHB55">
        <v>0</v>
      </c>
      <c r="AHC55">
        <v>0</v>
      </c>
      <c r="AHD55">
        <v>0</v>
      </c>
      <c r="AHE55">
        <v>0</v>
      </c>
      <c r="AHF55">
        <v>0</v>
      </c>
      <c r="AHG55">
        <v>0</v>
      </c>
      <c r="AHH55">
        <v>0</v>
      </c>
      <c r="AHI55">
        <v>0</v>
      </c>
      <c r="AHJ55">
        <v>0</v>
      </c>
      <c r="AHK55">
        <v>0</v>
      </c>
      <c r="AHL55">
        <v>0</v>
      </c>
      <c r="AHM55">
        <v>0</v>
      </c>
      <c r="AHN55">
        <v>0</v>
      </c>
      <c r="AHO55">
        <v>0</v>
      </c>
      <c r="AHP55">
        <v>0</v>
      </c>
      <c r="AHQ55">
        <v>0</v>
      </c>
    </row>
    <row r="56" spans="1:901">
      <c r="A56" s="1" t="s">
        <v>66</v>
      </c>
      <c r="C56" s="34">
        <f t="shared" si="28"/>
        <v>5037</v>
      </c>
      <c r="D56" s="34">
        <f>D35-C35</f>
        <v>3885</v>
      </c>
      <c r="E56" s="34">
        <f t="shared" si="29"/>
        <v>3350</v>
      </c>
      <c r="F56" s="34">
        <f t="shared" si="30"/>
        <v>2599</v>
      </c>
      <c r="G56" s="34">
        <f t="shared" si="31"/>
        <v>3337</v>
      </c>
      <c r="H56" s="34">
        <f t="shared" si="32"/>
        <v>3056</v>
      </c>
      <c r="I56" s="34">
        <f t="shared" si="32"/>
        <v>3706</v>
      </c>
      <c r="J56" s="34">
        <f t="shared" si="0"/>
        <v>3534</v>
      </c>
      <c r="K56" s="34">
        <f t="shared" si="0"/>
        <v>4440</v>
      </c>
      <c r="L56" s="34">
        <f t="shared" si="0"/>
        <v>2160</v>
      </c>
      <c r="M56" s="34">
        <f t="shared" si="0"/>
        <v>1609</v>
      </c>
      <c r="N56" s="34">
        <f t="shared" si="0"/>
        <v>3377</v>
      </c>
      <c r="O56" s="34">
        <f t="shared" si="0"/>
        <v>3595</v>
      </c>
      <c r="P56" s="34">
        <f t="shared" si="0"/>
        <v>3749</v>
      </c>
      <c r="Q56" s="34">
        <f t="shared" si="0"/>
        <v>3981</v>
      </c>
      <c r="R56" s="34">
        <f t="shared" si="0"/>
        <v>4359</v>
      </c>
      <c r="S56" s="34">
        <f t="shared" si="0"/>
        <v>3109</v>
      </c>
      <c r="T56" s="34">
        <f t="shared" si="0"/>
        <v>1881</v>
      </c>
      <c r="U56" s="34">
        <f t="shared" si="0"/>
        <v>4599</v>
      </c>
      <c r="V56" s="34">
        <f t="shared" si="0"/>
        <v>3738</v>
      </c>
      <c r="W56" s="34">
        <f t="shared" si="0"/>
        <v>4566</v>
      </c>
      <c r="X56" s="34">
        <f t="shared" si="0"/>
        <v>4614</v>
      </c>
      <c r="Y56" s="34">
        <f t="shared" si="63"/>
        <v>3768</v>
      </c>
      <c r="Z56" s="34">
        <f t="shared" si="1"/>
        <v>2746</v>
      </c>
      <c r="AA56" s="34">
        <f t="shared" si="1"/>
        <v>1525</v>
      </c>
      <c r="AB56" s="34">
        <f t="shared" si="1"/>
        <v>5350</v>
      </c>
      <c r="AC56" s="34">
        <f t="shared" si="1"/>
        <v>2679</v>
      </c>
      <c r="AD56" s="34">
        <f t="shared" si="1"/>
        <v>3906</v>
      </c>
      <c r="AE56" s="34">
        <f t="shared" si="1"/>
        <v>3481</v>
      </c>
      <c r="AF56" s="34">
        <f t="shared" si="1"/>
        <v>3174</v>
      </c>
      <c r="AG56" s="34">
        <f t="shared" si="1"/>
        <v>3265</v>
      </c>
      <c r="AH56" s="34">
        <f t="shared" si="1"/>
        <v>2245</v>
      </c>
      <c r="AI56" s="34">
        <f t="shared" si="1"/>
        <v>3304</v>
      </c>
      <c r="AJ56" s="34">
        <f t="shared" si="1"/>
        <v>3695</v>
      </c>
      <c r="AK56" s="34">
        <f t="shared" si="1"/>
        <v>3772</v>
      </c>
      <c r="AL56" s="34">
        <f t="shared" si="1"/>
        <v>5131</v>
      </c>
      <c r="AM56" s="34">
        <f t="shared" si="50"/>
        <v>4337</v>
      </c>
      <c r="AN56" s="34">
        <f t="shared" si="2"/>
        <v>2775</v>
      </c>
      <c r="AO56" s="34">
        <f t="shared" si="2"/>
        <v>1755</v>
      </c>
      <c r="AP56" s="34">
        <f t="shared" si="2"/>
        <v>6061</v>
      </c>
      <c r="AQ56" s="34">
        <f t="shared" si="2"/>
        <v>4141</v>
      </c>
      <c r="AR56" s="34">
        <f t="shared" si="2"/>
        <v>5294</v>
      </c>
      <c r="AS56" s="34">
        <f t="shared" si="2"/>
        <v>6702</v>
      </c>
      <c r="AT56" s="34">
        <f t="shared" si="2"/>
        <v>4024</v>
      </c>
      <c r="AU56" s="34">
        <f t="shared" si="2"/>
        <v>3373</v>
      </c>
      <c r="AV56" s="34">
        <f t="shared" si="2"/>
        <v>3259</v>
      </c>
      <c r="AW56" s="34">
        <f t="shared" si="2"/>
        <v>3671</v>
      </c>
      <c r="AX56" s="34">
        <f t="shared" si="2"/>
        <v>3727</v>
      </c>
      <c r="AY56" s="34">
        <f t="shared" si="2"/>
        <v>3608</v>
      </c>
      <c r="AZ56" s="34">
        <f t="shared" si="2"/>
        <v>2926</v>
      </c>
      <c r="BA56" s="34">
        <f t="shared" si="51"/>
        <v>3589</v>
      </c>
      <c r="BB56" s="34">
        <f t="shared" si="3"/>
        <v>2947</v>
      </c>
      <c r="BC56" s="34">
        <f t="shared" si="3"/>
        <v>3467</v>
      </c>
      <c r="BD56" s="34">
        <f t="shared" si="3"/>
        <v>1291</v>
      </c>
      <c r="BE56" s="34">
        <f t="shared" si="3"/>
        <v>3251</v>
      </c>
      <c r="BF56" s="34">
        <f t="shared" si="3"/>
        <v>6369</v>
      </c>
      <c r="BG56" s="34">
        <f t="shared" si="3"/>
        <v>4332</v>
      </c>
      <c r="BH56" s="34">
        <f t="shared" si="3"/>
        <v>4021</v>
      </c>
      <c r="BI56" s="34">
        <f t="shared" si="3"/>
        <v>3511</v>
      </c>
      <c r="BJ56" s="34">
        <f t="shared" si="3"/>
        <v>3221</v>
      </c>
      <c r="BK56" s="34">
        <f t="shared" si="3"/>
        <v>3869</v>
      </c>
      <c r="BL56" s="34">
        <f t="shared" si="3"/>
        <v>5875</v>
      </c>
      <c r="BM56" s="34">
        <f t="shared" si="3"/>
        <v>5139</v>
      </c>
      <c r="BN56" s="34">
        <f t="shared" si="3"/>
        <v>6404</v>
      </c>
      <c r="BO56" s="34">
        <f t="shared" si="52"/>
        <v>5615</v>
      </c>
      <c r="BP56" s="34">
        <f t="shared" si="52"/>
        <v>3514</v>
      </c>
      <c r="BQ56" s="34">
        <f t="shared" si="52"/>
        <v>1585</v>
      </c>
      <c r="BR56" s="34">
        <f t="shared" si="52"/>
        <v>3436</v>
      </c>
      <c r="BS56" s="34">
        <f t="shared" si="52"/>
        <v>8262</v>
      </c>
      <c r="BT56" s="34">
        <f t="shared" si="52"/>
        <v>5590</v>
      </c>
      <c r="BU56" s="34">
        <f t="shared" si="52"/>
        <v>6469</v>
      </c>
      <c r="BV56" s="34">
        <f t="shared" si="52"/>
        <v>4813</v>
      </c>
      <c r="BW56" s="34">
        <f t="shared" si="52"/>
        <v>2873</v>
      </c>
      <c r="BX56" s="34">
        <f t="shared" si="52"/>
        <v>2070</v>
      </c>
      <c r="BY56" s="34">
        <f t="shared" si="52"/>
        <v>6801</v>
      </c>
      <c r="BZ56" s="34">
        <f t="shared" si="52"/>
        <v>4819</v>
      </c>
      <c r="CA56" s="34">
        <f t="shared" si="52"/>
        <v>5731</v>
      </c>
      <c r="CB56" s="34">
        <f t="shared" si="52"/>
        <v>8498</v>
      </c>
      <c r="CC56" s="34">
        <f t="shared" si="52"/>
        <v>6479</v>
      </c>
      <c r="CD56" s="34">
        <f t="shared" si="52"/>
        <v>3910</v>
      </c>
      <c r="CE56" s="34">
        <f t="shared" si="52"/>
        <v>3969</v>
      </c>
      <c r="CF56" s="34">
        <f t="shared" si="52"/>
        <v>5059</v>
      </c>
      <c r="CG56" s="34">
        <f t="shared" si="52"/>
        <v>8316</v>
      </c>
      <c r="CH56" s="34">
        <f t="shared" si="52"/>
        <v>4500</v>
      </c>
      <c r="CI56" s="34">
        <f t="shared" si="52"/>
        <v>5739</v>
      </c>
      <c r="CJ56" s="34">
        <f t="shared" si="52"/>
        <v>6113</v>
      </c>
      <c r="CK56" s="34">
        <f t="shared" si="52"/>
        <v>2824</v>
      </c>
      <c r="CL56" s="34">
        <f t="shared" si="69"/>
        <v>3808</v>
      </c>
      <c r="CM56" s="34">
        <f t="shared" si="69"/>
        <v>4160</v>
      </c>
      <c r="CN56" s="34">
        <f t="shared" si="69"/>
        <v>5049</v>
      </c>
      <c r="CO56" s="34">
        <f t="shared" si="69"/>
        <v>4550</v>
      </c>
      <c r="CP56" s="34">
        <f t="shared" si="69"/>
        <v>6974</v>
      </c>
      <c r="CQ56" s="34">
        <f t="shared" si="69"/>
        <v>7925</v>
      </c>
      <c r="CR56" s="34">
        <f t="shared" si="69"/>
        <v>3752</v>
      </c>
      <c r="CS56" s="34">
        <f t="shared" si="69"/>
        <v>5650</v>
      </c>
      <c r="CT56" s="34">
        <f t="shared" si="69"/>
        <v>3353</v>
      </c>
      <c r="CU56" s="34">
        <f t="shared" si="69"/>
        <v>4609</v>
      </c>
      <c r="CV56" s="34">
        <f t="shared" si="69"/>
        <v>6689</v>
      </c>
      <c r="CW56" s="34">
        <f t="shared" si="69"/>
        <v>2965</v>
      </c>
      <c r="CX56" s="34">
        <f t="shared" si="69"/>
        <v>2808</v>
      </c>
      <c r="CY56" s="34">
        <f t="shared" si="69"/>
        <v>2040</v>
      </c>
      <c r="CZ56" s="34">
        <f t="shared" si="69"/>
        <v>2311</v>
      </c>
      <c r="DA56" s="34">
        <f t="shared" si="69"/>
        <v>5388</v>
      </c>
      <c r="DB56" s="34">
        <f t="shared" si="69"/>
        <v>4266</v>
      </c>
      <c r="DC56" s="34">
        <f t="shared" si="69"/>
        <v>6384</v>
      </c>
      <c r="DD56" s="34">
        <f t="shared" si="69"/>
        <v>2337</v>
      </c>
      <c r="DE56" s="34">
        <f t="shared" si="69"/>
        <v>1337</v>
      </c>
      <c r="DF56" s="34">
        <f t="shared" si="69"/>
        <v>5858</v>
      </c>
      <c r="DG56" s="34">
        <f t="shared" si="69"/>
        <v>1626</v>
      </c>
      <c r="DH56" s="34">
        <f t="shared" si="69"/>
        <v>1778</v>
      </c>
      <c r="DI56" s="34">
        <f t="shared" si="69"/>
        <v>3568</v>
      </c>
      <c r="DJ56" s="34">
        <f t="shared" si="69"/>
        <v>5285</v>
      </c>
      <c r="DK56" s="34">
        <f t="shared" si="69"/>
        <v>6911</v>
      </c>
      <c r="DL56" s="34">
        <f t="shared" si="69"/>
        <v>4933</v>
      </c>
      <c r="DM56" s="34">
        <f t="shared" si="69"/>
        <v>4379</v>
      </c>
      <c r="DN56" s="34">
        <f t="shared" si="69"/>
        <v>5465</v>
      </c>
      <c r="DO56" s="34">
        <f t="shared" si="46"/>
        <v>8028</v>
      </c>
      <c r="DP56" s="34">
        <f t="shared" si="46"/>
        <v>4840</v>
      </c>
      <c r="DQ56" s="34">
        <f t="shared" si="46"/>
        <v>6164</v>
      </c>
      <c r="DR56" s="34">
        <f t="shared" si="46"/>
        <v>8670</v>
      </c>
      <c r="DS56" s="34">
        <f t="shared" si="46"/>
        <v>6414</v>
      </c>
      <c r="DT56" s="34">
        <f t="shared" si="46"/>
        <v>6967</v>
      </c>
      <c r="DU56" s="34">
        <f t="shared" si="46"/>
        <v>5741</v>
      </c>
      <c r="DV56" s="34">
        <f t="shared" si="46"/>
        <v>7041</v>
      </c>
      <c r="DW56" s="34">
        <f t="shared" si="46"/>
        <v>7920</v>
      </c>
      <c r="DX56" s="34">
        <f t="shared" si="46"/>
        <v>7532</v>
      </c>
      <c r="DY56" s="34">
        <f t="shared" si="46"/>
        <v>6932</v>
      </c>
      <c r="DZ56" s="34">
        <f t="shared" si="46"/>
        <v>7507</v>
      </c>
      <c r="EA56" s="34">
        <f t="shared" si="46"/>
        <v>4600</v>
      </c>
      <c r="EB56" s="34">
        <f t="shared" si="46"/>
        <v>4567</v>
      </c>
      <c r="EC56" s="34">
        <f t="shared" si="46"/>
        <v>5020</v>
      </c>
      <c r="ED56" s="34">
        <f t="shared" si="46"/>
        <v>8674</v>
      </c>
      <c r="EE56" s="34">
        <f t="shared" si="46"/>
        <v>7194</v>
      </c>
      <c r="EF56" s="34">
        <f t="shared" si="46"/>
        <v>11329</v>
      </c>
      <c r="EG56" s="34">
        <f t="shared" si="46"/>
        <v>6952</v>
      </c>
      <c r="EH56" s="34">
        <f t="shared" si="46"/>
        <v>5381</v>
      </c>
      <c r="EI56" s="34">
        <f t="shared" si="5"/>
        <v>5413</v>
      </c>
      <c r="EJ56" s="34">
        <f t="shared" si="5"/>
        <v>6086</v>
      </c>
      <c r="EK56" s="34">
        <f t="shared" si="5"/>
        <v>8230</v>
      </c>
      <c r="EL56" s="34">
        <f t="shared" si="5"/>
        <v>7805</v>
      </c>
      <c r="EM56" s="34">
        <f t="shared" si="5"/>
        <v>9468</v>
      </c>
      <c r="EN56" s="34">
        <f t="shared" si="5"/>
        <v>7921</v>
      </c>
      <c r="EO56" s="34">
        <f t="shared" si="5"/>
        <v>5140</v>
      </c>
      <c r="EP56" s="34">
        <f t="shared" si="5"/>
        <v>2186</v>
      </c>
      <c r="EQ56" s="34">
        <f t="shared" si="53"/>
        <v>5391</v>
      </c>
      <c r="ER56" s="34">
        <f t="shared" si="53"/>
        <v>6552</v>
      </c>
      <c r="ES56" s="34">
        <f t="shared" si="53"/>
        <v>6175</v>
      </c>
      <c r="ET56" s="34">
        <f t="shared" si="53"/>
        <v>7109</v>
      </c>
      <c r="EU56" s="34">
        <f t="shared" si="53"/>
        <v>5794</v>
      </c>
      <c r="EV56" s="34">
        <f t="shared" si="53"/>
        <v>6013</v>
      </c>
      <c r="EW56" s="34">
        <f t="shared" si="53"/>
        <v>3205</v>
      </c>
      <c r="EX56" s="34">
        <f t="shared" si="53"/>
        <v>3767</v>
      </c>
      <c r="EY56" s="34">
        <f t="shared" si="53"/>
        <v>6031</v>
      </c>
      <c r="EZ56" s="34">
        <f t="shared" si="53"/>
        <v>5627</v>
      </c>
      <c r="FA56" s="34">
        <f t="shared" si="53"/>
        <v>7054</v>
      </c>
      <c r="FB56" s="34">
        <f t="shared" si="53"/>
        <v>6066</v>
      </c>
      <c r="FC56" s="34">
        <f t="shared" si="53"/>
        <v>3583</v>
      </c>
      <c r="FD56" s="34">
        <f t="shared" si="53"/>
        <v>2281</v>
      </c>
      <c r="FE56" s="34">
        <f t="shared" si="53"/>
        <v>3882</v>
      </c>
      <c r="FF56" s="34">
        <f t="shared" si="53"/>
        <v>4302</v>
      </c>
      <c r="FG56" s="34">
        <f t="shared" si="53"/>
        <v>4569</v>
      </c>
      <c r="FH56" s="34">
        <f t="shared" si="53"/>
        <v>6597</v>
      </c>
      <c r="FI56" s="34">
        <f t="shared" si="53"/>
        <v>4180</v>
      </c>
      <c r="FJ56" s="34">
        <f t="shared" si="53"/>
        <v>3095</v>
      </c>
      <c r="FK56" s="34">
        <f t="shared" si="53"/>
        <v>1101</v>
      </c>
      <c r="FL56" s="34">
        <f t="shared" si="53"/>
        <v>3964</v>
      </c>
      <c r="FM56" s="34">
        <f t="shared" si="53"/>
        <v>3806</v>
      </c>
      <c r="FN56" s="34">
        <f t="shared" ref="FN56:FY56" si="72">FN35-FM35</f>
        <v>4221</v>
      </c>
      <c r="FO56" s="34">
        <f t="shared" si="72"/>
        <v>3407</v>
      </c>
      <c r="FP56" s="34">
        <f t="shared" si="72"/>
        <v>3657</v>
      </c>
      <c r="FQ56" s="34">
        <f t="shared" si="72"/>
        <v>1827</v>
      </c>
      <c r="FR56" s="34">
        <f t="shared" si="72"/>
        <v>1287</v>
      </c>
      <c r="FS56" s="34">
        <f t="shared" si="72"/>
        <v>2177</v>
      </c>
      <c r="FT56" s="34">
        <f t="shared" si="72"/>
        <v>5194</v>
      </c>
      <c r="FU56" s="34">
        <f t="shared" si="72"/>
        <v>3585</v>
      </c>
      <c r="FV56" s="34">
        <f t="shared" si="72"/>
        <v>3699</v>
      </c>
      <c r="FW56" s="34">
        <f t="shared" si="72"/>
        <v>3837</v>
      </c>
      <c r="FX56" s="34">
        <f t="shared" si="72"/>
        <v>1839</v>
      </c>
      <c r="FY56" s="34">
        <f t="shared" si="72"/>
        <v>4019</v>
      </c>
      <c r="FZ56" s="34">
        <f t="shared" si="9"/>
        <v>4799</v>
      </c>
      <c r="GA56" s="34">
        <f t="shared" si="9"/>
        <v>4052</v>
      </c>
      <c r="GB56" s="34">
        <f t="shared" si="9"/>
        <v>3884</v>
      </c>
      <c r="GC56" s="34">
        <f t="shared" si="9"/>
        <v>4685</v>
      </c>
      <c r="GD56" s="34">
        <f t="shared" si="9"/>
        <v>3647</v>
      </c>
      <c r="GE56" s="34">
        <f t="shared" si="9"/>
        <v>1973</v>
      </c>
      <c r="GF56" s="34">
        <f t="shared" si="9"/>
        <v>3459</v>
      </c>
      <c r="GG56" s="34">
        <f t="shared" si="64"/>
        <v>2749</v>
      </c>
      <c r="GH56" s="34">
        <f t="shared" si="10"/>
        <v>3235</v>
      </c>
      <c r="GI56" s="34">
        <f t="shared" si="10"/>
        <v>3756</v>
      </c>
      <c r="GJ56" s="34">
        <f t="shared" si="10"/>
        <v>3645</v>
      </c>
      <c r="GK56" s="34">
        <f t="shared" si="10"/>
        <v>3552</v>
      </c>
      <c r="GL56" s="34">
        <f t="shared" si="10"/>
        <v>1732</v>
      </c>
      <c r="GM56" s="34">
        <f t="shared" si="10"/>
        <v>2299</v>
      </c>
      <c r="GN56" s="34">
        <f t="shared" si="10"/>
        <v>2813</v>
      </c>
      <c r="GO56" s="34">
        <f t="shared" si="10"/>
        <v>3172</v>
      </c>
      <c r="GP56" s="34">
        <f t="shared" si="10"/>
        <v>4624</v>
      </c>
      <c r="GQ56" s="34">
        <f t="shared" si="10"/>
        <v>2671</v>
      </c>
      <c r="GR56" s="34">
        <f t="shared" si="10"/>
        <v>1080</v>
      </c>
      <c r="GS56" s="34">
        <f>GS35-GR35</f>
        <v>1612</v>
      </c>
      <c r="GT56" s="34">
        <f t="shared" si="10"/>
        <v>1132</v>
      </c>
      <c r="GU56" s="34">
        <f t="shared" si="54"/>
        <v>2238</v>
      </c>
      <c r="GV56" s="34">
        <f t="shared" si="11"/>
        <v>11116</v>
      </c>
      <c r="GW56" s="34">
        <f t="shared" si="11"/>
        <v>3614</v>
      </c>
      <c r="GX56" s="34">
        <f t="shared" si="11"/>
        <v>3516</v>
      </c>
      <c r="GY56" s="34">
        <f t="shared" si="11"/>
        <v>3613</v>
      </c>
      <c r="GZ56" s="34">
        <f>GZ35-GY35</f>
        <v>1750</v>
      </c>
      <c r="HA56" s="34">
        <f t="shared" ref="HA56:HC56" si="73">HA35-GZ35</f>
        <v>3949</v>
      </c>
      <c r="HB56" s="34">
        <f t="shared" si="73"/>
        <v>4954</v>
      </c>
      <c r="HC56" s="34">
        <f t="shared" si="73"/>
        <v>2551</v>
      </c>
      <c r="HD56" s="34">
        <f t="shared" si="71"/>
        <v>3596</v>
      </c>
      <c r="HE56" s="34">
        <f t="shared" ref="HE56:HG56" si="74">HE35-HD35</f>
        <v>3334</v>
      </c>
      <c r="HF56" s="34">
        <f t="shared" si="74"/>
        <v>3361</v>
      </c>
      <c r="HG56" s="34">
        <f t="shared" si="74"/>
        <v>2644</v>
      </c>
      <c r="HH56" s="34">
        <f t="shared" si="13"/>
        <v>1714</v>
      </c>
      <c r="HI56" s="34">
        <f t="shared" si="13"/>
        <v>3812</v>
      </c>
      <c r="HJ56" s="34">
        <f t="shared" si="13"/>
        <v>3321</v>
      </c>
      <c r="HK56" s="34">
        <f t="shared" si="13"/>
        <v>3278</v>
      </c>
      <c r="HL56" s="34">
        <f>HL35-HK35</f>
        <v>2432</v>
      </c>
      <c r="HM56" s="34">
        <f t="shared" si="13"/>
        <v>5732</v>
      </c>
      <c r="HN56" s="34">
        <f t="shared" si="13"/>
        <v>2967</v>
      </c>
      <c r="HO56" s="34">
        <f t="shared" si="13"/>
        <v>824</v>
      </c>
      <c r="HP56" s="34">
        <f t="shared" si="13"/>
        <v>2419</v>
      </c>
      <c r="HQ56" s="34">
        <f t="shared" si="13"/>
        <v>2749</v>
      </c>
      <c r="HR56" s="34">
        <f t="shared" si="14"/>
        <v>2179</v>
      </c>
      <c r="HS56" s="34">
        <f t="shared" si="14"/>
        <v>1850</v>
      </c>
      <c r="HT56" s="34">
        <f t="shared" si="14"/>
        <v>4311</v>
      </c>
      <c r="HU56" s="34">
        <f t="shared" si="14"/>
        <v>1434</v>
      </c>
      <c r="HV56" s="34">
        <f t="shared" si="14"/>
        <v>1581</v>
      </c>
      <c r="HW56" s="34">
        <f t="shared" si="14"/>
        <v>3726</v>
      </c>
      <c r="HX56" s="34">
        <f t="shared" si="14"/>
        <v>6062</v>
      </c>
      <c r="HY56" s="34">
        <f t="shared" si="14"/>
        <v>5441</v>
      </c>
      <c r="HZ56" s="34">
        <f t="shared" si="14"/>
        <v>5528</v>
      </c>
      <c r="IA56" s="34">
        <f>IA35-HZ35</f>
        <v>6736</v>
      </c>
      <c r="IB56" s="34">
        <f t="shared" si="14"/>
        <v>6514</v>
      </c>
      <c r="IC56" s="34">
        <f t="shared" si="14"/>
        <v>4912</v>
      </c>
      <c r="ID56" s="34">
        <f t="shared" si="14"/>
        <v>4194</v>
      </c>
      <c r="IE56" s="34">
        <f t="shared" si="66"/>
        <v>4818</v>
      </c>
      <c r="IF56" s="34">
        <f t="shared" si="15"/>
        <v>6551</v>
      </c>
      <c r="IG56" s="34">
        <f t="shared" si="15"/>
        <v>5131</v>
      </c>
      <c r="IH56" s="34">
        <f t="shared" si="15"/>
        <v>4999</v>
      </c>
      <c r="II56" s="34">
        <f t="shared" si="15"/>
        <v>5028</v>
      </c>
      <c r="IJ56" s="34">
        <f t="shared" si="15"/>
        <v>3750</v>
      </c>
      <c r="IK56" s="34">
        <f t="shared" si="15"/>
        <v>4476</v>
      </c>
      <c r="IL56" s="34">
        <f t="shared" si="15"/>
        <v>5996</v>
      </c>
      <c r="IM56" s="34">
        <f t="shared" si="15"/>
        <v>3932</v>
      </c>
      <c r="IN56" s="34">
        <f t="shared" si="15"/>
        <v>5330</v>
      </c>
      <c r="IO56" s="34">
        <f t="shared" si="15"/>
        <v>5197</v>
      </c>
      <c r="IP56" s="34">
        <f t="shared" si="15"/>
        <v>5096</v>
      </c>
      <c r="IQ56" s="34">
        <f t="shared" si="15"/>
        <v>3159</v>
      </c>
      <c r="IR56" s="34">
        <f t="shared" si="15"/>
        <v>4064</v>
      </c>
      <c r="IS56" s="34">
        <f t="shared" si="56"/>
        <v>6711</v>
      </c>
      <c r="IT56" s="34">
        <f t="shared" si="44"/>
        <v>4627</v>
      </c>
      <c r="IU56" s="34">
        <f t="shared" si="16"/>
        <v>5681</v>
      </c>
      <c r="IV56" s="34">
        <f t="shared" si="16"/>
        <v>5933</v>
      </c>
      <c r="IW56" s="34">
        <f t="shared" si="16"/>
        <v>4211</v>
      </c>
      <c r="IX56" s="34">
        <f t="shared" si="16"/>
        <v>5422</v>
      </c>
      <c r="IY56" s="34">
        <f t="shared" si="16"/>
        <v>6206</v>
      </c>
      <c r="IZ56" s="34">
        <f t="shared" si="16"/>
        <v>5488</v>
      </c>
      <c r="JA56" s="34">
        <f t="shared" si="16"/>
        <v>4783</v>
      </c>
      <c r="JB56" s="34">
        <f t="shared" si="16"/>
        <v>5499</v>
      </c>
      <c r="JC56" s="34">
        <f t="shared" si="16"/>
        <v>6988</v>
      </c>
      <c r="JD56" s="34">
        <f t="shared" si="16"/>
        <v>4830</v>
      </c>
      <c r="JE56" s="34">
        <f t="shared" si="16"/>
        <v>4594</v>
      </c>
      <c r="JF56" s="34">
        <f t="shared" si="16"/>
        <v>6111</v>
      </c>
      <c r="JG56" s="34">
        <f t="shared" si="16"/>
        <v>5608</v>
      </c>
      <c r="JH56" s="34">
        <f t="shared" si="67"/>
        <v>5096</v>
      </c>
      <c r="JI56" s="34">
        <f t="shared" si="17"/>
        <v>5934</v>
      </c>
      <c r="JJ56" s="34">
        <f t="shared" si="17"/>
        <v>4748</v>
      </c>
      <c r="JK56" s="34">
        <f t="shared" si="17"/>
        <v>4193</v>
      </c>
      <c r="JL56" s="34">
        <f t="shared" si="17"/>
        <v>5392</v>
      </c>
      <c r="JM56" s="34">
        <f t="shared" si="17"/>
        <v>5986</v>
      </c>
      <c r="JN56" s="34">
        <f t="shared" si="17"/>
        <v>5303</v>
      </c>
      <c r="JO56" s="34">
        <f t="shared" si="17"/>
        <v>6033</v>
      </c>
      <c r="JP56" s="34">
        <f t="shared" si="17"/>
        <v>8462</v>
      </c>
      <c r="JQ56" s="34">
        <f t="shared" si="17"/>
        <v>4200</v>
      </c>
      <c r="JR56" s="34">
        <f t="shared" si="17"/>
        <v>4917</v>
      </c>
      <c r="JS56" s="34">
        <f t="shared" si="17"/>
        <v>4376</v>
      </c>
      <c r="JT56" s="34">
        <f t="shared" si="17"/>
        <v>4638</v>
      </c>
      <c r="JU56" s="34">
        <f t="shared" si="17"/>
        <v>4600</v>
      </c>
      <c r="JV56" s="34">
        <f t="shared" si="57"/>
        <v>4750</v>
      </c>
      <c r="JW56" s="34">
        <f t="shared" si="18"/>
        <v>4849</v>
      </c>
      <c r="JX56" s="34">
        <f t="shared" si="18"/>
        <v>4977</v>
      </c>
      <c r="JY56" s="34">
        <f t="shared" si="18"/>
        <v>6390</v>
      </c>
      <c r="JZ56" s="34">
        <f t="shared" si="18"/>
        <v>4844</v>
      </c>
      <c r="KA56" s="34">
        <f t="shared" si="18"/>
        <v>5111</v>
      </c>
      <c r="KB56" s="34">
        <f t="shared" si="18"/>
        <v>6072</v>
      </c>
      <c r="KC56" s="34">
        <f t="shared" si="18"/>
        <v>7459</v>
      </c>
      <c r="KD56" s="34">
        <f t="shared" si="18"/>
        <v>4772</v>
      </c>
      <c r="KE56" s="34">
        <f t="shared" si="18"/>
        <v>3132</v>
      </c>
      <c r="KF56" s="34">
        <f t="shared" si="18"/>
        <v>3341</v>
      </c>
      <c r="KG56" s="34">
        <f t="shared" si="18"/>
        <v>5245</v>
      </c>
      <c r="KH56" s="34">
        <f t="shared" si="18"/>
        <v>5084</v>
      </c>
      <c r="KI56" s="34">
        <f t="shared" si="18"/>
        <v>5653</v>
      </c>
      <c r="KJ56" s="34">
        <f t="shared" si="58"/>
        <v>3729</v>
      </c>
      <c r="KK56" s="34">
        <f t="shared" si="19"/>
        <v>4452</v>
      </c>
      <c r="KL56" s="34">
        <f t="shared" si="19"/>
        <v>3780</v>
      </c>
      <c r="KM56" s="34">
        <f t="shared" si="19"/>
        <v>6139</v>
      </c>
      <c r="KN56" s="34">
        <f t="shared" si="19"/>
        <v>4426</v>
      </c>
      <c r="KO56" s="34">
        <f t="shared" si="19"/>
        <v>4137</v>
      </c>
      <c r="KP56" s="34">
        <f t="shared" si="19"/>
        <v>3870</v>
      </c>
      <c r="KQ56" s="34">
        <f t="shared" si="19"/>
        <v>4817</v>
      </c>
      <c r="KR56" s="34">
        <f t="shared" si="19"/>
        <v>4599</v>
      </c>
      <c r="KS56" s="34">
        <f t="shared" si="19"/>
        <v>4077</v>
      </c>
      <c r="KT56" s="34">
        <f t="shared" si="19"/>
        <v>1511</v>
      </c>
      <c r="KU56" s="34">
        <f t="shared" si="19"/>
        <v>2437</v>
      </c>
      <c r="KV56" s="34">
        <f t="shared" si="19"/>
        <v>2696</v>
      </c>
      <c r="KW56" s="34">
        <f t="shared" si="19"/>
        <v>5328</v>
      </c>
      <c r="KX56" s="34">
        <f t="shared" si="59"/>
        <v>3593</v>
      </c>
      <c r="KY56" s="34">
        <f t="shared" si="20"/>
        <v>3631</v>
      </c>
      <c r="KZ56" s="34">
        <f t="shared" si="20"/>
        <v>3322</v>
      </c>
      <c r="LA56" s="34">
        <f t="shared" si="34"/>
        <v>1910</v>
      </c>
      <c r="LB56" s="34">
        <f t="shared" si="35"/>
        <v>2724</v>
      </c>
      <c r="LC56" s="34">
        <f t="shared" si="36"/>
        <v>3562</v>
      </c>
      <c r="LD56" s="34">
        <f t="shared" si="37"/>
        <v>3567</v>
      </c>
      <c r="LE56" s="34">
        <f t="shared" si="38"/>
        <v>3083</v>
      </c>
      <c r="LF56" s="34">
        <f t="shared" si="39"/>
        <v>3857</v>
      </c>
      <c r="LG56" s="34">
        <f t="shared" si="21"/>
        <v>2724</v>
      </c>
      <c r="LH56" s="34">
        <f t="shared" si="21"/>
        <v>2968</v>
      </c>
      <c r="LI56" s="34">
        <f t="shared" si="21"/>
        <v>2769</v>
      </c>
      <c r="LJ56" s="34">
        <f t="shared" si="21"/>
        <v>5784</v>
      </c>
      <c r="LK56" s="34">
        <f t="shared" si="21"/>
        <v>3394</v>
      </c>
      <c r="LL56" s="34">
        <f t="shared" si="21"/>
        <v>3862</v>
      </c>
      <c r="LM56" s="34">
        <f t="shared" si="21"/>
        <v>3076</v>
      </c>
      <c r="LN56" s="34">
        <f t="shared" si="21"/>
        <v>4968</v>
      </c>
      <c r="LO56" s="34">
        <f t="shared" si="21"/>
        <v>3621</v>
      </c>
      <c r="LP56" s="34">
        <f t="shared" si="21"/>
        <v>4531</v>
      </c>
      <c r="LQ56" s="34">
        <f t="shared" si="21"/>
        <v>3462</v>
      </c>
      <c r="LR56" s="34">
        <f t="shared" si="21"/>
        <v>2505</v>
      </c>
      <c r="LS56" s="34">
        <f t="shared" si="21"/>
        <v>4561</v>
      </c>
      <c r="LT56" s="34">
        <f t="shared" si="21"/>
        <v>5331</v>
      </c>
      <c r="LU56" s="34">
        <f t="shared" si="21"/>
        <v>4950</v>
      </c>
      <c r="LV56" s="34">
        <f t="shared" si="68"/>
        <v>10164</v>
      </c>
      <c r="LW56" s="34">
        <f t="shared" si="22"/>
        <v>3481</v>
      </c>
      <c r="LX56" s="34">
        <f t="shared" si="22"/>
        <v>3415</v>
      </c>
      <c r="LY56" s="34">
        <f t="shared" si="22"/>
        <v>3647</v>
      </c>
      <c r="LZ56" s="34">
        <f t="shared" si="22"/>
        <v>4351</v>
      </c>
      <c r="MA56" s="34">
        <f t="shared" si="22"/>
        <v>3921</v>
      </c>
      <c r="MB56" s="34">
        <f t="shared" si="22"/>
        <v>3424</v>
      </c>
      <c r="MC56" s="34">
        <f t="shared" si="22"/>
        <v>3633</v>
      </c>
      <c r="MD56" s="34">
        <f t="shared" si="22"/>
        <v>2528</v>
      </c>
      <c r="ME56" s="34">
        <f t="shared" si="22"/>
        <v>3327</v>
      </c>
      <c r="MF56" s="34">
        <f t="shared" si="22"/>
        <v>3445</v>
      </c>
      <c r="MG56" s="34">
        <f t="shared" si="22"/>
        <v>3091</v>
      </c>
      <c r="MH56" s="34">
        <f t="shared" si="22"/>
        <v>3389</v>
      </c>
      <c r="MI56" s="34">
        <f t="shared" si="22"/>
        <v>2389</v>
      </c>
      <c r="MJ56" s="34">
        <f t="shared" si="60"/>
        <v>2057</v>
      </c>
      <c r="MK56" s="34">
        <f t="shared" si="23"/>
        <v>2409</v>
      </c>
      <c r="ML56" s="34">
        <f t="shared" si="23"/>
        <v>3249</v>
      </c>
      <c r="MM56" s="34">
        <f t="shared" si="23"/>
        <v>3896</v>
      </c>
      <c r="MN56" s="34">
        <f t="shared" si="23"/>
        <v>4030</v>
      </c>
      <c r="MO56" s="34">
        <f t="shared" si="23"/>
        <v>3453</v>
      </c>
      <c r="MP56" s="34">
        <f t="shared" si="23"/>
        <v>3761</v>
      </c>
      <c r="MQ56" s="34">
        <f t="shared" si="23"/>
        <v>1607</v>
      </c>
      <c r="MR56" s="34">
        <f t="shared" si="23"/>
        <v>1246</v>
      </c>
      <c r="MS56" s="34">
        <f t="shared" si="23"/>
        <v>3722</v>
      </c>
      <c r="MT56" s="34">
        <f t="shared" si="23"/>
        <v>3960</v>
      </c>
      <c r="MU56" s="34">
        <f t="shared" si="23"/>
        <v>3770</v>
      </c>
      <c r="MV56" s="34">
        <f t="shared" si="23"/>
        <v>3555</v>
      </c>
      <c r="MW56" s="34">
        <f t="shared" si="23"/>
        <v>4058</v>
      </c>
      <c r="MX56" s="34">
        <f t="shared" si="61"/>
        <v>3521</v>
      </c>
      <c r="MY56" s="34">
        <f t="shared" si="24"/>
        <v>3749</v>
      </c>
      <c r="MZ56" s="34">
        <f t="shared" si="25"/>
        <v>4249</v>
      </c>
      <c r="NA56" s="34">
        <f t="shared" si="25"/>
        <v>4014</v>
      </c>
      <c r="NB56" s="34">
        <f t="shared" si="25"/>
        <v>3577</v>
      </c>
      <c r="NC56" s="34">
        <f t="shared" si="25"/>
        <v>5257</v>
      </c>
      <c r="ND56" s="34">
        <f t="shared" si="25"/>
        <v>1680</v>
      </c>
      <c r="NE56" s="34">
        <f t="shared" si="25"/>
        <v>2304</v>
      </c>
      <c r="NF56" s="34">
        <f t="shared" si="25"/>
        <v>4067</v>
      </c>
      <c r="NG56" s="34">
        <f t="shared" si="25"/>
        <v>4112</v>
      </c>
      <c r="NH56" s="34">
        <f t="shared" si="25"/>
        <v>3927</v>
      </c>
      <c r="NI56" s="34">
        <f t="shared" si="25"/>
        <v>3738</v>
      </c>
      <c r="NJ56" s="34">
        <f t="shared" si="25"/>
        <v>3589</v>
      </c>
      <c r="NK56" s="34">
        <f t="shared" si="25"/>
        <v>3083</v>
      </c>
      <c r="NL56" s="34">
        <f t="shared" si="25"/>
        <v>3388</v>
      </c>
      <c r="NM56" s="34">
        <f t="shared" si="62"/>
        <v>3700</v>
      </c>
      <c r="NN56" s="34">
        <f t="shared" si="26"/>
        <v>3446</v>
      </c>
      <c r="NO56" s="34">
        <f t="shared" si="27"/>
        <v>4172</v>
      </c>
      <c r="NP56" s="34">
        <v>2911</v>
      </c>
      <c r="NQ56" s="34">
        <v>4961</v>
      </c>
      <c r="NR56" s="34">
        <v>4913</v>
      </c>
      <c r="NS56" s="34">
        <v>4893</v>
      </c>
      <c r="NT56" s="34">
        <v>5723</v>
      </c>
      <c r="NU56" s="34">
        <v>4992</v>
      </c>
      <c r="NV56" s="34">
        <v>4827</v>
      </c>
      <c r="NW56" s="34">
        <v>3593</v>
      </c>
      <c r="NX56">
        <v>5155</v>
      </c>
      <c r="NY56" s="34">
        <v>4397</v>
      </c>
      <c r="NZ56" s="34">
        <v>4351</v>
      </c>
      <c r="OA56" s="34">
        <v>3530</v>
      </c>
      <c r="OB56" s="34">
        <v>5306</v>
      </c>
      <c r="OC56" s="34">
        <v>5998</v>
      </c>
      <c r="OD56" s="34">
        <v>5106</v>
      </c>
      <c r="OE56" s="34">
        <v>5134</v>
      </c>
      <c r="OF56" s="34">
        <v>5065</v>
      </c>
      <c r="OG56" s="34">
        <v>5622</v>
      </c>
      <c r="OH56" s="34">
        <v>5596</v>
      </c>
      <c r="OI56" s="34">
        <v>5091</v>
      </c>
      <c r="OJ56" s="34">
        <v>4881</v>
      </c>
      <c r="OK56" s="34">
        <v>4869</v>
      </c>
      <c r="OL56" s="34">
        <v>5063</v>
      </c>
      <c r="OM56" s="34">
        <v>5478</v>
      </c>
      <c r="ON56" s="34">
        <v>4206</v>
      </c>
      <c r="OO56" s="34">
        <v>4512</v>
      </c>
      <c r="OP56" s="34">
        <v>4770</v>
      </c>
      <c r="OQ56" s="34">
        <v>5765</v>
      </c>
      <c r="OR56" s="34">
        <v>7456</v>
      </c>
      <c r="OS56" s="34">
        <f t="shared" si="40"/>
        <v>5425</v>
      </c>
      <c r="OT56" s="34">
        <f t="shared" si="40"/>
        <v>5826</v>
      </c>
      <c r="OU56" s="34">
        <v>5496</v>
      </c>
      <c r="OV56" s="34">
        <v>6032</v>
      </c>
      <c r="OW56" s="34">
        <v>5845</v>
      </c>
      <c r="OX56" s="34">
        <v>6502</v>
      </c>
      <c r="OY56" s="34">
        <v>8642</v>
      </c>
      <c r="OZ56" s="34">
        <v>8844</v>
      </c>
      <c r="PA56" s="34">
        <v>7991</v>
      </c>
      <c r="PB56" s="34">
        <v>7281</v>
      </c>
      <c r="PC56" s="34">
        <v>6889</v>
      </c>
      <c r="PD56" s="34">
        <v>7051</v>
      </c>
      <c r="PE56" s="34">
        <v>10033</v>
      </c>
      <c r="PF56" s="34">
        <v>11129</v>
      </c>
      <c r="PG56" s="34">
        <v>20598</v>
      </c>
      <c r="PH56" s="34">
        <v>0</v>
      </c>
      <c r="PI56" s="34">
        <v>7977</v>
      </c>
      <c r="PJ56" s="34">
        <v>9680</v>
      </c>
      <c r="PK56" s="34">
        <v>7431</v>
      </c>
      <c r="PL56" s="34">
        <v>10179</v>
      </c>
      <c r="PM56" s="34">
        <v>11686</v>
      </c>
      <c r="PN56" s="34">
        <v>11546</v>
      </c>
      <c r="PO56" s="34">
        <v>9532</v>
      </c>
      <c r="PP56" s="34">
        <v>9427</v>
      </c>
      <c r="PQ56" s="34">
        <v>10338</v>
      </c>
      <c r="PR56" s="34">
        <v>7037</v>
      </c>
      <c r="PS56" s="34">
        <v>8706</v>
      </c>
      <c r="PT56" s="34">
        <v>6127</v>
      </c>
      <c r="PU56" s="34">
        <v>6046</v>
      </c>
      <c r="PV56" s="34">
        <v>4938</v>
      </c>
      <c r="PW56" s="34">
        <v>4143</v>
      </c>
      <c r="PX56" s="34">
        <v>4769</v>
      </c>
      <c r="PY56" s="34">
        <v>5800</v>
      </c>
      <c r="PZ56" s="34">
        <v>3790</v>
      </c>
      <c r="QA56" s="34">
        <v>5254</v>
      </c>
      <c r="QB56" s="34">
        <v>3966</v>
      </c>
      <c r="QC56" s="34">
        <v>3372</v>
      </c>
      <c r="QD56" s="34">
        <v>3235</v>
      </c>
      <c r="QE56" s="34">
        <v>2674</v>
      </c>
      <c r="QF56" s="34">
        <v>2764</v>
      </c>
      <c r="QG56" s="34">
        <v>2870</v>
      </c>
      <c r="QH56" s="34">
        <v>4377</v>
      </c>
      <c r="QI56" s="34">
        <v>8873</v>
      </c>
      <c r="QJ56" s="34">
        <v>5357</v>
      </c>
      <c r="QK56" s="34">
        <v>4117</v>
      </c>
      <c r="QL56" s="34">
        <v>2946</v>
      </c>
      <c r="QM56" s="34">
        <v>2781</v>
      </c>
      <c r="QN56" s="34">
        <v>4161</v>
      </c>
      <c r="QO56" s="34">
        <v>4244</v>
      </c>
      <c r="QP56" s="34">
        <v>6045</v>
      </c>
      <c r="QQ56" s="34">
        <v>0</v>
      </c>
      <c r="QR56" s="34">
        <v>2655</v>
      </c>
      <c r="QS56" s="34">
        <v>4131</v>
      </c>
      <c r="QT56" s="34">
        <v>5614</v>
      </c>
      <c r="QU56" s="34">
        <v>5516</v>
      </c>
      <c r="QV56" s="34">
        <v>3605</v>
      </c>
      <c r="QW56" s="34">
        <v>3017</v>
      </c>
      <c r="QX56" s="34">
        <v>4421</v>
      </c>
      <c r="QY56" s="34">
        <v>2810</v>
      </c>
      <c r="QZ56" s="34">
        <v>3803</v>
      </c>
      <c r="RA56" s="34">
        <v>3106</v>
      </c>
      <c r="RB56" s="34">
        <v>2754</v>
      </c>
      <c r="RC56" s="34">
        <v>4987</v>
      </c>
      <c r="RD56" s="34">
        <v>3601</v>
      </c>
      <c r="RE56" s="34">
        <v>5390</v>
      </c>
      <c r="RF56" s="34">
        <v>6457</v>
      </c>
      <c r="RG56" s="34">
        <v>7961</v>
      </c>
      <c r="RH56" s="34">
        <v>12019</v>
      </c>
      <c r="RI56" s="34">
        <v>13686</v>
      </c>
      <c r="RJ56" s="34">
        <v>16776</v>
      </c>
      <c r="RK56" s="34">
        <v>16256</v>
      </c>
      <c r="RL56" s="34">
        <v>17650</v>
      </c>
      <c r="RM56" s="34">
        <v>14021</v>
      </c>
      <c r="RN56" s="34">
        <v>18862</v>
      </c>
      <c r="RO56" s="34">
        <v>19217</v>
      </c>
      <c r="RP56" s="34">
        <v>15478</v>
      </c>
      <c r="RQ56" s="34">
        <v>17980</v>
      </c>
      <c r="RR56" s="34">
        <v>12416</v>
      </c>
      <c r="RS56" s="34">
        <v>10352</v>
      </c>
      <c r="RT56" s="34">
        <v>17619</v>
      </c>
      <c r="RU56" s="34">
        <v>13670</v>
      </c>
      <c r="RV56" s="34">
        <v>17944</v>
      </c>
      <c r="RW56" s="34">
        <v>18218</v>
      </c>
      <c r="RX56" s="34">
        <v>16559</v>
      </c>
      <c r="RY56" s="34">
        <v>14894</v>
      </c>
      <c r="RZ56" s="34">
        <v>10223</v>
      </c>
      <c r="SA56" s="34">
        <v>9119</v>
      </c>
      <c r="SB56" s="34">
        <v>7768</v>
      </c>
      <c r="SC56" s="34">
        <v>9674</v>
      </c>
      <c r="SD56" s="34">
        <v>13308</v>
      </c>
      <c r="SE56" s="34">
        <v>5332</v>
      </c>
      <c r="SF56" s="34">
        <v>4848</v>
      </c>
      <c r="SG56" s="34">
        <v>4685</v>
      </c>
      <c r="SH56" s="34">
        <v>4483</v>
      </c>
      <c r="SI56" s="34">
        <v>6789</v>
      </c>
      <c r="SJ56" s="34">
        <v>14989</v>
      </c>
      <c r="SK56" s="34">
        <v>6187</v>
      </c>
      <c r="SL56" s="34">
        <v>6209</v>
      </c>
      <c r="SM56" s="34">
        <v>9082</v>
      </c>
      <c r="SN56" s="34">
        <v>7046</v>
      </c>
      <c r="SO56" s="34">
        <v>37479</v>
      </c>
      <c r="SP56" s="34">
        <v>-24939</v>
      </c>
      <c r="SQ56" s="34">
        <v>6611</v>
      </c>
      <c r="SR56" s="34">
        <v>7257</v>
      </c>
      <c r="SS56" s="34">
        <v>7013</v>
      </c>
      <c r="ST56" s="34">
        <v>8636</v>
      </c>
      <c r="SU56" s="34">
        <v>7400</v>
      </c>
      <c r="SV56" s="34">
        <v>5929</v>
      </c>
      <c r="SW56" s="34">
        <v>3794</v>
      </c>
      <c r="SX56" s="34">
        <v>3878</v>
      </c>
      <c r="SY56" s="34">
        <v>3335</v>
      </c>
      <c r="SZ56" s="34">
        <v>3668</v>
      </c>
      <c r="TA56" s="34">
        <v>4959</v>
      </c>
      <c r="TB56" s="34">
        <v>4672</v>
      </c>
      <c r="TC56" s="34">
        <v>4048</v>
      </c>
      <c r="TD56" s="34">
        <v>4700</v>
      </c>
      <c r="TE56" s="34">
        <v>9536</v>
      </c>
      <c r="TF56" s="34">
        <v>0</v>
      </c>
      <c r="TG56" s="34">
        <v>4487</v>
      </c>
      <c r="TH56" s="34">
        <v>4809</v>
      </c>
      <c r="TI56" s="34">
        <v>3774</v>
      </c>
      <c r="TJ56" s="34">
        <v>8335</v>
      </c>
      <c r="TK56" s="34">
        <v>4644</v>
      </c>
      <c r="TL56" s="34">
        <v>4746</v>
      </c>
      <c r="TM56" s="34">
        <v>5103</v>
      </c>
      <c r="TN56" s="34">
        <v>5084</v>
      </c>
      <c r="TO56" s="34">
        <v>4422</v>
      </c>
      <c r="TP56" s="34">
        <v>4652</v>
      </c>
      <c r="TQ56" s="34">
        <v>5001</v>
      </c>
      <c r="TR56" s="34">
        <v>3266</v>
      </c>
      <c r="TS56" s="34">
        <v>2390</v>
      </c>
      <c r="TT56" s="34">
        <v>2256</v>
      </c>
      <c r="TU56" s="34">
        <v>1629</v>
      </c>
      <c r="TV56" s="34">
        <v>4481</v>
      </c>
      <c r="TW56" s="34">
        <v>4165</v>
      </c>
      <c r="TX56" s="34">
        <v>3506</v>
      </c>
      <c r="TY56" s="34">
        <v>4382</v>
      </c>
      <c r="TZ56" s="34">
        <v>4818</v>
      </c>
      <c r="UA56" s="34">
        <v>3420</v>
      </c>
      <c r="UB56" s="34">
        <v>3519</v>
      </c>
      <c r="UC56" s="34">
        <v>3405</v>
      </c>
      <c r="UD56" s="34">
        <v>0</v>
      </c>
      <c r="UE56" s="34">
        <v>9030</v>
      </c>
      <c r="UF56" s="34">
        <v>3206</v>
      </c>
      <c r="UG56" s="34">
        <v>0</v>
      </c>
      <c r="UH56" s="34">
        <v>6630</v>
      </c>
      <c r="UI56" s="34">
        <v>0</v>
      </c>
      <c r="UJ56" s="34">
        <v>5057</v>
      </c>
      <c r="UK56" s="34">
        <v>0</v>
      </c>
      <c r="UL56" s="34">
        <v>0</v>
      </c>
      <c r="UM56" s="34">
        <v>4617</v>
      </c>
      <c r="UN56" s="34">
        <v>3759</v>
      </c>
      <c r="UO56" s="34">
        <v>0</v>
      </c>
      <c r="UP56" s="34">
        <v>0</v>
      </c>
      <c r="UQ56" s="34">
        <v>0</v>
      </c>
      <c r="UR56" s="34">
        <v>0</v>
      </c>
      <c r="US56" s="34">
        <v>10769</v>
      </c>
      <c r="UT56" s="34">
        <v>0</v>
      </c>
      <c r="UU56" s="34">
        <v>4706</v>
      </c>
      <c r="UV56" s="34">
        <v>0</v>
      </c>
      <c r="UW56" s="34">
        <v>5439</v>
      </c>
      <c r="UX56" s="34">
        <v>0</v>
      </c>
      <c r="UY56" s="34">
        <v>0</v>
      </c>
      <c r="UZ56" s="34">
        <v>0</v>
      </c>
      <c r="VA56" s="34">
        <v>4060</v>
      </c>
      <c r="VB56" s="34">
        <v>3832</v>
      </c>
      <c r="VC56" s="34">
        <v>0</v>
      </c>
      <c r="VD56" s="34">
        <v>0</v>
      </c>
      <c r="VE56" s="34">
        <v>0</v>
      </c>
      <c r="VF56" s="34">
        <v>0</v>
      </c>
      <c r="VG56" s="34">
        <v>4631</v>
      </c>
      <c r="VH56" s="34">
        <v>0</v>
      </c>
      <c r="VI56" s="34">
        <v>0</v>
      </c>
      <c r="VJ56" s="34">
        <v>0</v>
      </c>
      <c r="VK56" s="34">
        <v>0</v>
      </c>
      <c r="VL56" s="34">
        <v>5238</v>
      </c>
      <c r="VM56" s="34">
        <v>0</v>
      </c>
      <c r="VN56" s="34">
        <v>0</v>
      </c>
      <c r="VO56" s="34">
        <v>0</v>
      </c>
      <c r="VP56" s="34">
        <v>4585</v>
      </c>
      <c r="VQ56" s="34">
        <v>0</v>
      </c>
      <c r="VR56" s="34">
        <v>8486</v>
      </c>
      <c r="VS56" s="34">
        <v>0</v>
      </c>
      <c r="VT56" s="34">
        <v>5605</v>
      </c>
      <c r="VU56" s="34">
        <v>0</v>
      </c>
      <c r="VV56" s="34">
        <v>0</v>
      </c>
      <c r="VW56" s="34">
        <v>0</v>
      </c>
      <c r="VX56" s="34">
        <v>0</v>
      </c>
      <c r="VY56" s="34">
        <v>0</v>
      </c>
      <c r="VZ56" s="34">
        <v>0</v>
      </c>
      <c r="WA56" s="34">
        <v>0</v>
      </c>
      <c r="WB56" s="34">
        <v>0</v>
      </c>
      <c r="WC56" s="34">
        <v>16380</v>
      </c>
      <c r="WD56" s="34">
        <v>0</v>
      </c>
      <c r="WE56" s="34">
        <v>0</v>
      </c>
      <c r="WF56" s="34">
        <v>0</v>
      </c>
      <c r="WG56" s="34">
        <v>8342</v>
      </c>
      <c r="WH56" s="34">
        <v>0</v>
      </c>
      <c r="WI56" s="34">
        <v>0</v>
      </c>
      <c r="WJ56" s="34">
        <v>5916</v>
      </c>
      <c r="WK56" s="34">
        <v>0</v>
      </c>
      <c r="WL56" s="34">
        <v>0</v>
      </c>
      <c r="WM56">
        <v>0</v>
      </c>
      <c r="WN56">
        <v>0</v>
      </c>
      <c r="WO56">
        <v>0</v>
      </c>
      <c r="WP56">
        <v>0</v>
      </c>
      <c r="WQ56">
        <v>16689</v>
      </c>
      <c r="WR56">
        <v>0</v>
      </c>
      <c r="WS56">
        <v>0</v>
      </c>
      <c r="WT56">
        <v>0</v>
      </c>
      <c r="WU56">
        <v>0</v>
      </c>
      <c r="WV56">
        <v>0</v>
      </c>
      <c r="WW56">
        <v>0</v>
      </c>
      <c r="WX56">
        <v>27290</v>
      </c>
      <c r="WY56">
        <v>0</v>
      </c>
      <c r="WZ56">
        <v>4560</v>
      </c>
      <c r="XA56">
        <v>19048</v>
      </c>
      <c r="XB56">
        <v>0</v>
      </c>
      <c r="XC56">
        <v>0</v>
      </c>
      <c r="XD56">
        <v>9576</v>
      </c>
      <c r="XE56">
        <v>0</v>
      </c>
      <c r="XF56">
        <v>18644</v>
      </c>
      <c r="XG56">
        <v>0</v>
      </c>
      <c r="XH56">
        <v>0</v>
      </c>
      <c r="XI56">
        <v>0</v>
      </c>
      <c r="XJ56">
        <v>0</v>
      </c>
      <c r="XK56">
        <v>0</v>
      </c>
      <c r="XL56">
        <v>4870</v>
      </c>
      <c r="XM56">
        <v>29563</v>
      </c>
      <c r="XN56">
        <v>0</v>
      </c>
      <c r="XO56">
        <v>0</v>
      </c>
      <c r="XP56">
        <v>0</v>
      </c>
      <c r="XQ56">
        <v>0</v>
      </c>
      <c r="XR56">
        <v>29271</v>
      </c>
      <c r="XS56">
        <v>0</v>
      </c>
      <c r="XT56">
        <v>0</v>
      </c>
      <c r="XU56">
        <v>0</v>
      </c>
      <c r="XV56">
        <v>0</v>
      </c>
      <c r="XW56">
        <v>0</v>
      </c>
      <c r="XX56">
        <v>0</v>
      </c>
      <c r="XY56">
        <v>0</v>
      </c>
      <c r="XZ56">
        <v>0</v>
      </c>
      <c r="YA56">
        <v>0</v>
      </c>
      <c r="YB56">
        <v>0</v>
      </c>
      <c r="YC56">
        <v>11569</v>
      </c>
      <c r="YD56">
        <v>0</v>
      </c>
      <c r="YE56">
        <v>26810</v>
      </c>
      <c r="YF56" s="1">
        <v>0</v>
      </c>
      <c r="YG56" s="1">
        <v>0</v>
      </c>
      <c r="YH56" s="1">
        <v>0</v>
      </c>
      <c r="YI56" s="1">
        <v>0</v>
      </c>
      <c r="YJ56">
        <v>9464</v>
      </c>
      <c r="YK56">
        <v>0</v>
      </c>
      <c r="YL56">
        <v>0</v>
      </c>
      <c r="YM56">
        <v>11011</v>
      </c>
      <c r="YN56">
        <v>0</v>
      </c>
      <c r="YO56">
        <v>19610</v>
      </c>
      <c r="YP56">
        <v>0</v>
      </c>
      <c r="YQ56">
        <v>0</v>
      </c>
      <c r="YR56">
        <v>0</v>
      </c>
      <c r="YS56">
        <v>10007</v>
      </c>
      <c r="YT56">
        <v>0</v>
      </c>
      <c r="YU56">
        <v>0</v>
      </c>
      <c r="YV56">
        <v>0</v>
      </c>
      <c r="YW56">
        <v>12399</v>
      </c>
      <c r="YX56">
        <v>0</v>
      </c>
      <c r="YY56">
        <v>0</v>
      </c>
      <c r="YZ56">
        <v>0</v>
      </c>
      <c r="ZA56">
        <v>0</v>
      </c>
      <c r="ZB56">
        <v>0</v>
      </c>
      <c r="ZC56">
        <v>0</v>
      </c>
      <c r="ZD56">
        <v>0</v>
      </c>
      <c r="ZE56">
        <v>0</v>
      </c>
      <c r="ZF56">
        <v>0</v>
      </c>
      <c r="ZG56">
        <v>0</v>
      </c>
      <c r="ZH56">
        <v>13864</v>
      </c>
      <c r="ZI56">
        <v>0</v>
      </c>
      <c r="ZJ56">
        <v>6310</v>
      </c>
      <c r="ZK56">
        <v>6363</v>
      </c>
      <c r="ZL56">
        <v>0</v>
      </c>
      <c r="ZM56">
        <v>0</v>
      </c>
      <c r="ZN56">
        <v>7361</v>
      </c>
      <c r="ZO56">
        <v>7361</v>
      </c>
      <c r="ZP56">
        <v>0</v>
      </c>
      <c r="ZQ56">
        <v>4792</v>
      </c>
      <c r="ZR56">
        <v>0</v>
      </c>
      <c r="ZS56">
        <v>0</v>
      </c>
      <c r="ZT56">
        <v>0</v>
      </c>
      <c r="ZU56">
        <v>5797</v>
      </c>
      <c r="ZV56">
        <v>0</v>
      </c>
      <c r="ZW56">
        <v>0</v>
      </c>
      <c r="ZX56">
        <v>2823</v>
      </c>
      <c r="ZY56">
        <v>0</v>
      </c>
      <c r="ZZ56">
        <v>0</v>
      </c>
      <c r="AAA56">
        <v>0</v>
      </c>
      <c r="AAB56">
        <v>0</v>
      </c>
      <c r="AAC56">
        <v>4261</v>
      </c>
      <c r="AAD56">
        <v>0</v>
      </c>
      <c r="AAE56">
        <v>0</v>
      </c>
      <c r="AAF56">
        <v>0</v>
      </c>
      <c r="AAG56">
        <v>5286</v>
      </c>
      <c r="AAH56">
        <v>0</v>
      </c>
      <c r="AAI56">
        <v>0</v>
      </c>
      <c r="AAJ56">
        <v>0</v>
      </c>
      <c r="AAK56">
        <v>4305</v>
      </c>
      <c r="AAL56">
        <v>0</v>
      </c>
      <c r="AAM56">
        <v>0</v>
      </c>
      <c r="AAN56">
        <v>0</v>
      </c>
      <c r="AAO56">
        <v>0</v>
      </c>
      <c r="AAP56">
        <v>0</v>
      </c>
      <c r="AAQ56">
        <v>7111</v>
      </c>
      <c r="AAR56">
        <v>0</v>
      </c>
      <c r="AAS56">
        <v>0</v>
      </c>
      <c r="AAT56">
        <v>0</v>
      </c>
      <c r="AAU56">
        <v>0</v>
      </c>
      <c r="AAV56">
        <v>0</v>
      </c>
      <c r="AAW56">
        <v>0</v>
      </c>
      <c r="AAX56">
        <v>7360</v>
      </c>
      <c r="AAY56">
        <v>0</v>
      </c>
      <c r="AAZ56">
        <v>0</v>
      </c>
      <c r="ABA56">
        <v>0</v>
      </c>
      <c r="ABB56">
        <v>0</v>
      </c>
      <c r="ABC56">
        <v>0</v>
      </c>
      <c r="ABD56">
        <v>0</v>
      </c>
      <c r="ABE56">
        <v>3317</v>
      </c>
      <c r="ABF56">
        <v>3394</v>
      </c>
      <c r="ABG56">
        <v>0</v>
      </c>
      <c r="ABH56">
        <v>0</v>
      </c>
      <c r="ABI56">
        <v>5483</v>
      </c>
      <c r="ABJ56">
        <v>0</v>
      </c>
      <c r="ABK56">
        <v>0</v>
      </c>
      <c r="ABL56">
        <v>0</v>
      </c>
      <c r="ABM56">
        <v>0</v>
      </c>
      <c r="ABN56">
        <v>0</v>
      </c>
      <c r="ABO56">
        <v>0</v>
      </c>
      <c r="ABP56">
        <v>0</v>
      </c>
      <c r="ABQ56">
        <v>12031</v>
      </c>
      <c r="ABR56">
        <v>0</v>
      </c>
      <c r="ABS56">
        <v>0</v>
      </c>
      <c r="ABT56">
        <v>0</v>
      </c>
      <c r="ABU56">
        <v>0</v>
      </c>
      <c r="ABV56">
        <v>0</v>
      </c>
      <c r="ABW56">
        <v>0</v>
      </c>
      <c r="ABX56">
        <v>0</v>
      </c>
      <c r="ABY56">
        <v>0</v>
      </c>
      <c r="ABZ56">
        <v>0</v>
      </c>
      <c r="ACA56">
        <v>0</v>
      </c>
      <c r="ACB56">
        <v>17997</v>
      </c>
      <c r="ACC56">
        <v>0</v>
      </c>
      <c r="ACD56">
        <v>0</v>
      </c>
      <c r="ACE56">
        <v>0</v>
      </c>
      <c r="ACF56">
        <v>0</v>
      </c>
      <c r="ACG56">
        <v>0</v>
      </c>
      <c r="ACH56">
        <v>0</v>
      </c>
      <c r="ACI56">
        <v>0</v>
      </c>
      <c r="ACJ56">
        <v>0</v>
      </c>
      <c r="ACK56">
        <v>0</v>
      </c>
      <c r="ACL56">
        <v>0</v>
      </c>
      <c r="ACM56">
        <v>0</v>
      </c>
      <c r="ACN56">
        <v>0</v>
      </c>
      <c r="ACO56">
        <v>0</v>
      </c>
      <c r="ACP56">
        <v>0</v>
      </c>
      <c r="ACQ56">
        <v>0</v>
      </c>
      <c r="ACR56">
        <v>0</v>
      </c>
      <c r="ACS56">
        <v>0</v>
      </c>
      <c r="ACT56">
        <v>0</v>
      </c>
      <c r="ACU56">
        <v>0</v>
      </c>
      <c r="ACV56">
        <v>0</v>
      </c>
      <c r="ACW56">
        <v>0</v>
      </c>
      <c r="ACX56">
        <v>0</v>
      </c>
      <c r="ACY56">
        <v>0</v>
      </c>
      <c r="ACZ56">
        <v>0</v>
      </c>
      <c r="ADA56">
        <v>0</v>
      </c>
      <c r="ADB56">
        <v>0</v>
      </c>
      <c r="ADC56">
        <v>0</v>
      </c>
      <c r="ADD56">
        <v>0</v>
      </c>
      <c r="ADE56">
        <v>0</v>
      </c>
      <c r="ADF56">
        <v>0</v>
      </c>
      <c r="ADG56">
        <v>0</v>
      </c>
      <c r="ADH56">
        <v>0</v>
      </c>
      <c r="ADI56">
        <v>0</v>
      </c>
      <c r="ADJ56">
        <v>0</v>
      </c>
      <c r="ADK56">
        <v>0</v>
      </c>
      <c r="ADL56">
        <v>37596</v>
      </c>
      <c r="ADM56">
        <v>0</v>
      </c>
      <c r="ADN56">
        <v>0</v>
      </c>
      <c r="ADO56">
        <v>0</v>
      </c>
      <c r="ADP56">
        <v>0</v>
      </c>
      <c r="ADQ56">
        <v>0</v>
      </c>
      <c r="ADR56">
        <v>8855</v>
      </c>
      <c r="ADS56">
        <v>0</v>
      </c>
      <c r="ADT56">
        <v>0</v>
      </c>
      <c r="ADU56">
        <v>0</v>
      </c>
      <c r="ADV56">
        <v>0</v>
      </c>
      <c r="ADW56">
        <v>3083</v>
      </c>
      <c r="ADX56">
        <v>0</v>
      </c>
      <c r="ADY56">
        <v>4349</v>
      </c>
      <c r="ADZ56">
        <v>0</v>
      </c>
      <c r="AEA56">
        <v>0</v>
      </c>
      <c r="AEB56">
        <v>0</v>
      </c>
      <c r="AEC56">
        <v>0</v>
      </c>
      <c r="AED56">
        <v>0</v>
      </c>
      <c r="AEE56">
        <v>0</v>
      </c>
      <c r="AEF56">
        <v>0</v>
      </c>
      <c r="AEG56">
        <v>0</v>
      </c>
      <c r="AEH56">
        <v>0</v>
      </c>
      <c r="AEI56">
        <v>0</v>
      </c>
      <c r="AEJ56">
        <v>0</v>
      </c>
      <c r="AEK56">
        <v>0</v>
      </c>
      <c r="AEL56">
        <v>0</v>
      </c>
      <c r="AEM56">
        <v>0</v>
      </c>
      <c r="AEN56">
        <v>0</v>
      </c>
      <c r="AEO56">
        <v>0</v>
      </c>
      <c r="AEP56">
        <v>0</v>
      </c>
      <c r="AEQ56">
        <v>0</v>
      </c>
      <c r="AER56">
        <v>0</v>
      </c>
      <c r="AES56">
        <v>0</v>
      </c>
      <c r="AET56">
        <v>0</v>
      </c>
      <c r="AEU56">
        <v>0</v>
      </c>
      <c r="AEV56">
        <v>0</v>
      </c>
      <c r="AEW56">
        <v>0</v>
      </c>
      <c r="AEX56">
        <v>0</v>
      </c>
      <c r="AEY56">
        <v>0</v>
      </c>
      <c r="AEZ56">
        <v>0</v>
      </c>
      <c r="AFA56">
        <v>0</v>
      </c>
      <c r="AFB56">
        <v>0</v>
      </c>
      <c r="AFC56">
        <v>0</v>
      </c>
      <c r="AFD56">
        <v>0</v>
      </c>
      <c r="AFE56">
        <v>0</v>
      </c>
      <c r="AFF56">
        <v>0</v>
      </c>
      <c r="AFG56">
        <v>0</v>
      </c>
      <c r="AFH56">
        <v>0</v>
      </c>
      <c r="AFI56">
        <v>0</v>
      </c>
      <c r="AFJ56">
        <v>0</v>
      </c>
      <c r="AFK56">
        <v>0</v>
      </c>
      <c r="AFL56">
        <v>0</v>
      </c>
      <c r="AFM56">
        <v>0</v>
      </c>
      <c r="AFN56">
        <v>0</v>
      </c>
      <c r="AFO56">
        <v>0</v>
      </c>
      <c r="AFP56">
        <v>0</v>
      </c>
      <c r="AFQ56">
        <v>0</v>
      </c>
      <c r="AFR56">
        <v>0</v>
      </c>
      <c r="AFS56">
        <v>0</v>
      </c>
      <c r="AFT56">
        <v>0</v>
      </c>
      <c r="AFU56">
        <v>0</v>
      </c>
      <c r="AFV56">
        <v>0</v>
      </c>
      <c r="AFW56">
        <v>0</v>
      </c>
      <c r="AFX56">
        <v>0</v>
      </c>
      <c r="AFY56">
        <v>0</v>
      </c>
      <c r="AFZ56">
        <v>0</v>
      </c>
      <c r="AGA56">
        <v>0</v>
      </c>
      <c r="AGB56">
        <v>0</v>
      </c>
      <c r="AGC56">
        <v>0</v>
      </c>
      <c r="AGD56">
        <v>0</v>
      </c>
      <c r="AGE56">
        <v>0</v>
      </c>
      <c r="AGF56">
        <v>0</v>
      </c>
      <c r="AGG56">
        <v>0</v>
      </c>
      <c r="AGH56">
        <v>0</v>
      </c>
      <c r="AGI56">
        <v>0</v>
      </c>
      <c r="AGJ56">
        <v>0</v>
      </c>
      <c r="AGK56">
        <v>0</v>
      </c>
      <c r="AGL56">
        <v>0</v>
      </c>
      <c r="AGM56">
        <v>0</v>
      </c>
      <c r="AGN56">
        <v>0</v>
      </c>
      <c r="AGO56">
        <v>0</v>
      </c>
      <c r="AGP56">
        <v>0</v>
      </c>
      <c r="AGQ56">
        <v>0</v>
      </c>
      <c r="AGR56">
        <v>0</v>
      </c>
      <c r="AGS56">
        <v>0</v>
      </c>
      <c r="AGT56">
        <v>0</v>
      </c>
      <c r="AGU56">
        <v>0</v>
      </c>
      <c r="AGV56">
        <v>0</v>
      </c>
      <c r="AGW56">
        <v>0</v>
      </c>
      <c r="AGX56">
        <v>0</v>
      </c>
      <c r="AGY56">
        <v>0</v>
      </c>
      <c r="AGZ56">
        <v>0</v>
      </c>
      <c r="AHA56">
        <v>0</v>
      </c>
      <c r="AHB56">
        <v>0</v>
      </c>
      <c r="AHC56">
        <v>0</v>
      </c>
      <c r="AHD56">
        <v>0</v>
      </c>
      <c r="AHE56">
        <v>0</v>
      </c>
      <c r="AHF56">
        <v>0</v>
      </c>
      <c r="AHG56">
        <v>0</v>
      </c>
      <c r="AHH56">
        <v>0</v>
      </c>
      <c r="AHI56">
        <v>0</v>
      </c>
      <c r="AHJ56">
        <v>0</v>
      </c>
      <c r="AHK56">
        <v>0</v>
      </c>
      <c r="AHL56">
        <v>0</v>
      </c>
      <c r="AHM56">
        <v>0</v>
      </c>
      <c r="AHN56">
        <v>0</v>
      </c>
      <c r="AHO56">
        <v>0</v>
      </c>
      <c r="AHP56">
        <v>0</v>
      </c>
      <c r="AHQ56">
        <v>0</v>
      </c>
    </row>
    <row r="57" spans="1:901">
      <c r="A57" s="1" t="s">
        <v>96</v>
      </c>
      <c r="C57" s="34">
        <f t="shared" si="28"/>
        <v>0</v>
      </c>
      <c r="D57" s="34">
        <f t="shared" si="28"/>
        <v>5807</v>
      </c>
      <c r="E57" s="34">
        <f t="shared" si="29"/>
        <v>0</v>
      </c>
      <c r="F57" s="34">
        <f t="shared" si="30"/>
        <v>3336</v>
      </c>
      <c r="G57" s="34">
        <f t="shared" si="31"/>
        <v>5052</v>
      </c>
      <c r="H57" s="34">
        <f t="shared" si="32"/>
        <v>0</v>
      </c>
      <c r="I57" s="34">
        <f t="shared" si="32"/>
        <v>5292</v>
      </c>
      <c r="J57" s="34">
        <f t="shared" si="0"/>
        <v>3347</v>
      </c>
      <c r="K57" s="34">
        <f t="shared" si="0"/>
        <v>2952</v>
      </c>
      <c r="L57" s="34">
        <f t="shared" si="0"/>
        <v>3467</v>
      </c>
      <c r="M57" s="34">
        <f t="shared" si="0"/>
        <v>4692</v>
      </c>
      <c r="N57" s="34">
        <f t="shared" si="0"/>
        <v>0</v>
      </c>
      <c r="O57" s="34">
        <f t="shared" si="0"/>
        <v>4663</v>
      </c>
      <c r="P57" s="34">
        <f t="shared" si="0"/>
        <v>0</v>
      </c>
      <c r="Q57" s="34">
        <f t="shared" si="0"/>
        <v>5446</v>
      </c>
      <c r="R57" s="34">
        <f t="shared" si="0"/>
        <v>3624</v>
      </c>
      <c r="S57" s="34">
        <f t="shared" si="0"/>
        <v>0</v>
      </c>
      <c r="T57" s="34">
        <f t="shared" si="0"/>
        <v>5028</v>
      </c>
      <c r="U57" s="34">
        <f t="shared" si="0"/>
        <v>1839</v>
      </c>
      <c r="V57" s="34">
        <f t="shared" si="0"/>
        <v>0</v>
      </c>
      <c r="W57" s="34">
        <f t="shared" si="0"/>
        <v>6170</v>
      </c>
      <c r="X57" s="34">
        <f t="shared" si="0"/>
        <v>2977</v>
      </c>
      <c r="Y57" s="34">
        <f t="shared" si="63"/>
        <v>3287</v>
      </c>
      <c r="Z57" s="34">
        <f t="shared" si="1"/>
        <v>0</v>
      </c>
      <c r="AA57" s="34">
        <f t="shared" si="1"/>
        <v>0</v>
      </c>
      <c r="AB57" s="34">
        <f t="shared" si="1"/>
        <v>7000</v>
      </c>
      <c r="AC57" s="34">
        <f t="shared" si="1"/>
        <v>3278</v>
      </c>
      <c r="AD57" s="34">
        <f t="shared" si="1"/>
        <v>3567</v>
      </c>
      <c r="AE57" s="34">
        <f t="shared" si="1"/>
        <v>0</v>
      </c>
      <c r="AF57" s="34">
        <f t="shared" si="1"/>
        <v>0</v>
      </c>
      <c r="AG57" s="34">
        <f t="shared" si="1"/>
        <v>0</v>
      </c>
      <c r="AH57" s="34">
        <f t="shared" si="1"/>
        <v>0</v>
      </c>
      <c r="AI57" s="34">
        <f t="shared" si="1"/>
        <v>0</v>
      </c>
      <c r="AJ57" s="34">
        <f t="shared" si="1"/>
        <v>0</v>
      </c>
      <c r="AK57" s="34">
        <f t="shared" si="1"/>
        <v>0</v>
      </c>
      <c r="AL57" s="34">
        <f t="shared" si="1"/>
        <v>0</v>
      </c>
      <c r="AM57" s="34">
        <f t="shared" si="50"/>
        <v>24969</v>
      </c>
      <c r="AN57" s="34">
        <f t="shared" si="2"/>
        <v>0</v>
      </c>
      <c r="AO57" s="34">
        <f t="shared" si="2"/>
        <v>0</v>
      </c>
      <c r="AP57" s="34">
        <f t="shared" si="2"/>
        <v>5805</v>
      </c>
      <c r="AQ57" s="34">
        <f t="shared" si="2"/>
        <v>2978</v>
      </c>
      <c r="AR57" s="34">
        <f t="shared" si="2"/>
        <v>2917</v>
      </c>
      <c r="AS57" s="34">
        <f t="shared" si="2"/>
        <v>0</v>
      </c>
      <c r="AT57" s="34">
        <f t="shared" si="2"/>
        <v>0</v>
      </c>
      <c r="AU57" s="34">
        <f t="shared" si="2"/>
        <v>0</v>
      </c>
      <c r="AV57" s="34">
        <f t="shared" si="2"/>
        <v>0</v>
      </c>
      <c r="AW57" s="34">
        <f t="shared" si="2"/>
        <v>10001</v>
      </c>
      <c r="AX57" s="34">
        <f t="shared" si="2"/>
        <v>0</v>
      </c>
      <c r="AY57" s="34">
        <f t="shared" si="2"/>
        <v>8475</v>
      </c>
      <c r="AZ57" s="34">
        <f t="shared" si="2"/>
        <v>0</v>
      </c>
      <c r="BA57" s="34">
        <f t="shared" si="51"/>
        <v>0</v>
      </c>
      <c r="BB57" s="34">
        <f t="shared" si="3"/>
        <v>0</v>
      </c>
      <c r="BC57" s="34">
        <f t="shared" si="3"/>
        <v>9990</v>
      </c>
      <c r="BD57" s="34">
        <f t="shared" si="3"/>
        <v>0</v>
      </c>
      <c r="BE57" s="34">
        <f t="shared" si="3"/>
        <v>0</v>
      </c>
      <c r="BF57" s="34">
        <f t="shared" si="3"/>
        <v>5065</v>
      </c>
      <c r="BG57" s="34">
        <f t="shared" si="3"/>
        <v>0</v>
      </c>
      <c r="BH57" s="34">
        <f t="shared" si="3"/>
        <v>0</v>
      </c>
      <c r="BI57" s="34">
        <f t="shared" si="3"/>
        <v>0</v>
      </c>
      <c r="BJ57" s="34">
        <f t="shared" si="3"/>
        <v>13768</v>
      </c>
      <c r="BK57" s="34">
        <f t="shared" si="3"/>
        <v>0</v>
      </c>
      <c r="BL57" s="34">
        <f t="shared" si="3"/>
        <v>0</v>
      </c>
      <c r="BM57" s="34">
        <f t="shared" si="3"/>
        <v>8472</v>
      </c>
      <c r="BN57" s="34">
        <f t="shared" si="3"/>
        <v>0</v>
      </c>
      <c r="BO57" s="34">
        <f t="shared" si="52"/>
        <v>0</v>
      </c>
      <c r="BP57" s="34">
        <f t="shared" si="52"/>
        <v>0</v>
      </c>
      <c r="BQ57" s="34">
        <f t="shared" si="52"/>
        <v>11886</v>
      </c>
      <c r="BR57" s="34">
        <f t="shared" si="52"/>
        <v>0</v>
      </c>
      <c r="BS57" s="34">
        <f t="shared" si="52"/>
        <v>5770</v>
      </c>
      <c r="BT57" s="34">
        <f t="shared" si="52"/>
        <v>0</v>
      </c>
      <c r="BU57" s="34">
        <f t="shared" si="52"/>
        <v>0</v>
      </c>
      <c r="BV57" s="34">
        <f t="shared" si="52"/>
        <v>0</v>
      </c>
      <c r="BW57" s="34">
        <f t="shared" si="52"/>
        <v>0</v>
      </c>
      <c r="BX57" s="34">
        <f t="shared" si="52"/>
        <v>15821</v>
      </c>
      <c r="BY57" s="34">
        <f t="shared" si="52"/>
        <v>1473</v>
      </c>
      <c r="BZ57" s="34">
        <f t="shared" si="52"/>
        <v>0</v>
      </c>
      <c r="CA57" s="34">
        <f t="shared" si="52"/>
        <v>0</v>
      </c>
      <c r="CB57" s="34">
        <f t="shared" si="52"/>
        <v>5656</v>
      </c>
      <c r="CC57" s="34">
        <f t="shared" si="52"/>
        <v>0</v>
      </c>
      <c r="CD57" s="34">
        <f t="shared" si="52"/>
        <v>0</v>
      </c>
      <c r="CE57" s="34">
        <f t="shared" si="52"/>
        <v>0</v>
      </c>
      <c r="CF57" s="34">
        <f t="shared" si="52"/>
        <v>15132</v>
      </c>
      <c r="CG57" s="34">
        <f t="shared" si="52"/>
        <v>0</v>
      </c>
      <c r="CH57" s="34">
        <f t="shared" si="52"/>
        <v>7532</v>
      </c>
      <c r="CI57" s="34">
        <f t="shared" si="52"/>
        <v>0</v>
      </c>
      <c r="CJ57" s="34">
        <f t="shared" si="52"/>
        <v>0</v>
      </c>
      <c r="CK57" s="34">
        <f t="shared" si="52"/>
        <v>4128</v>
      </c>
      <c r="CL57" s="34">
        <f t="shared" si="69"/>
        <v>9047</v>
      </c>
      <c r="CM57" s="34">
        <f t="shared" si="69"/>
        <v>0</v>
      </c>
      <c r="CN57" s="34">
        <f t="shared" si="69"/>
        <v>6065</v>
      </c>
      <c r="CO57" s="34">
        <f t="shared" si="69"/>
        <v>0</v>
      </c>
      <c r="CP57" s="34">
        <f t="shared" si="69"/>
        <v>7461</v>
      </c>
      <c r="CQ57" s="34">
        <f t="shared" si="69"/>
        <v>0</v>
      </c>
      <c r="CR57" s="34">
        <f t="shared" si="69"/>
        <v>0</v>
      </c>
      <c r="CS57" s="34">
        <f t="shared" si="69"/>
        <v>10571</v>
      </c>
      <c r="CT57" s="34">
        <f t="shared" si="69"/>
        <v>0</v>
      </c>
      <c r="CU57" s="34">
        <f t="shared" si="69"/>
        <v>0</v>
      </c>
      <c r="CV57" s="34">
        <f t="shared" si="69"/>
        <v>0</v>
      </c>
      <c r="CW57" s="34">
        <f t="shared" si="69"/>
        <v>10962</v>
      </c>
      <c r="CX57" s="34">
        <f t="shared" si="69"/>
        <v>0</v>
      </c>
      <c r="CY57" s="34">
        <f t="shared" si="69"/>
        <v>0</v>
      </c>
      <c r="CZ57" s="34">
        <f t="shared" si="69"/>
        <v>8274</v>
      </c>
      <c r="DA57" s="34">
        <f t="shared" si="69"/>
        <v>0</v>
      </c>
      <c r="DB57" s="34">
        <f t="shared" si="69"/>
        <v>0</v>
      </c>
      <c r="DC57" s="34">
        <f t="shared" si="69"/>
        <v>11613</v>
      </c>
      <c r="DD57" s="34">
        <f t="shared" si="69"/>
        <v>0</v>
      </c>
      <c r="DE57" s="34">
        <f t="shared" si="69"/>
        <v>0</v>
      </c>
      <c r="DF57" s="34">
        <f t="shared" si="69"/>
        <v>0</v>
      </c>
      <c r="DG57" s="34">
        <f t="shared" si="69"/>
        <v>11460</v>
      </c>
      <c r="DH57" s="34">
        <f t="shared" si="69"/>
        <v>0</v>
      </c>
      <c r="DI57" s="34">
        <f t="shared" si="69"/>
        <v>7244</v>
      </c>
      <c r="DJ57" s="34">
        <f t="shared" si="69"/>
        <v>0</v>
      </c>
      <c r="DK57" s="34">
        <f t="shared" si="69"/>
        <v>8184</v>
      </c>
      <c r="DL57" s="34">
        <f t="shared" si="69"/>
        <v>0</v>
      </c>
      <c r="DM57" s="34">
        <f t="shared" si="69"/>
        <v>0</v>
      </c>
      <c r="DN57" s="34">
        <f t="shared" ref="DN57:FD62" si="75">DN36-DM36</f>
        <v>0</v>
      </c>
      <c r="DO57" s="34">
        <f t="shared" si="75"/>
        <v>13441</v>
      </c>
      <c r="DP57" s="34">
        <f t="shared" si="75"/>
        <v>0</v>
      </c>
      <c r="DQ57" s="34">
        <f t="shared" si="75"/>
        <v>0</v>
      </c>
      <c r="DR57" s="34">
        <f t="shared" si="75"/>
        <v>11230</v>
      </c>
      <c r="DS57" s="34">
        <f t="shared" si="75"/>
        <v>0</v>
      </c>
      <c r="DT57" s="34">
        <f t="shared" si="75"/>
        <v>0</v>
      </c>
      <c r="DU57" s="34">
        <f t="shared" si="75"/>
        <v>9055</v>
      </c>
      <c r="DV57" s="34">
        <f t="shared" si="75"/>
        <v>0</v>
      </c>
      <c r="DW57" s="34">
        <f t="shared" si="75"/>
        <v>0</v>
      </c>
      <c r="DX57" s="34">
        <f t="shared" si="75"/>
        <v>5517</v>
      </c>
      <c r="DY57" s="34">
        <f t="shared" si="75"/>
        <v>5785</v>
      </c>
      <c r="DZ57" s="34">
        <f t="shared" si="75"/>
        <v>0</v>
      </c>
      <c r="EA57" s="34">
        <f t="shared" si="75"/>
        <v>0</v>
      </c>
      <c r="EB57" s="34">
        <f t="shared" si="75"/>
        <v>4847</v>
      </c>
      <c r="EC57" s="34">
        <f t="shared" si="75"/>
        <v>0</v>
      </c>
      <c r="ED57" s="34">
        <f t="shared" si="75"/>
        <v>0</v>
      </c>
      <c r="EE57" s="34">
        <f t="shared" si="75"/>
        <v>5901</v>
      </c>
      <c r="EF57" s="34">
        <f t="shared" si="75"/>
        <v>0</v>
      </c>
      <c r="EG57" s="34">
        <f t="shared" si="75"/>
        <v>6311</v>
      </c>
      <c r="EH57" s="34">
        <f t="shared" si="75"/>
        <v>0</v>
      </c>
      <c r="EI57" s="34">
        <f t="shared" si="75"/>
        <v>10857</v>
      </c>
      <c r="EJ57" s="34">
        <f t="shared" si="75"/>
        <v>0</v>
      </c>
      <c r="EK57" s="34">
        <f t="shared" si="75"/>
        <v>6001</v>
      </c>
      <c r="EL57" s="34">
        <f t="shared" si="75"/>
        <v>0</v>
      </c>
      <c r="EM57" s="34">
        <f t="shared" si="75"/>
        <v>6345</v>
      </c>
      <c r="EN57" s="34">
        <f t="shared" si="75"/>
        <v>0</v>
      </c>
      <c r="EO57" s="34">
        <f t="shared" si="75"/>
        <v>0</v>
      </c>
      <c r="EP57" s="34">
        <f t="shared" si="75"/>
        <v>9683</v>
      </c>
      <c r="EQ57" s="34">
        <f t="shared" si="75"/>
        <v>0</v>
      </c>
      <c r="ER57" s="34">
        <f t="shared" si="75"/>
        <v>0</v>
      </c>
      <c r="ES57" s="34">
        <f t="shared" si="75"/>
        <v>0</v>
      </c>
      <c r="ET57" s="34">
        <f t="shared" si="75"/>
        <v>11945</v>
      </c>
      <c r="EU57" s="34">
        <f t="shared" si="75"/>
        <v>0</v>
      </c>
      <c r="EV57" s="34">
        <f t="shared" si="75"/>
        <v>0</v>
      </c>
      <c r="EW57" s="34">
        <f t="shared" si="75"/>
        <v>9685</v>
      </c>
      <c r="EX57" s="34">
        <f t="shared" si="75"/>
        <v>0</v>
      </c>
      <c r="EY57" s="34">
        <f t="shared" si="75"/>
        <v>7093</v>
      </c>
      <c r="EZ57" s="34">
        <f t="shared" si="75"/>
        <v>0</v>
      </c>
      <c r="FA57" s="34">
        <f t="shared" si="75"/>
        <v>0</v>
      </c>
      <c r="FB57" s="34">
        <f t="shared" si="75"/>
        <v>0</v>
      </c>
      <c r="FC57" s="34">
        <f t="shared" si="75"/>
        <v>0</v>
      </c>
      <c r="FD57" s="34">
        <f t="shared" si="75"/>
        <v>17132</v>
      </c>
      <c r="FE57" s="34">
        <f t="shared" si="53"/>
        <v>0</v>
      </c>
      <c r="FF57" s="34">
        <f t="shared" si="53"/>
        <v>6744</v>
      </c>
      <c r="FG57" s="34">
        <f t="shared" si="53"/>
        <v>0</v>
      </c>
      <c r="FH57" s="34">
        <f t="shared" si="53"/>
        <v>0</v>
      </c>
      <c r="FI57" s="34">
        <f t="shared" si="53"/>
        <v>0</v>
      </c>
      <c r="FJ57" s="34">
        <f t="shared" si="53"/>
        <v>0</v>
      </c>
      <c r="FK57" s="34">
        <f t="shared" si="53"/>
        <v>20328</v>
      </c>
      <c r="FL57" s="34">
        <f t="shared" si="53"/>
        <v>0</v>
      </c>
      <c r="FM57" s="34">
        <f t="shared" si="53"/>
        <v>0</v>
      </c>
      <c r="FN57" s="34">
        <v>10246</v>
      </c>
      <c r="FO57" s="34">
        <f t="shared" si="6"/>
        <v>0</v>
      </c>
      <c r="FP57" s="34">
        <v>0</v>
      </c>
      <c r="FQ57" s="34">
        <v>0</v>
      </c>
      <c r="FR57" s="34">
        <v>0</v>
      </c>
      <c r="FS57" s="34">
        <v>17532</v>
      </c>
      <c r="FT57" s="34">
        <f t="shared" si="9"/>
        <v>0</v>
      </c>
      <c r="FU57" s="34">
        <f t="shared" si="9"/>
        <v>0</v>
      </c>
      <c r="FV57" s="34">
        <f t="shared" si="9"/>
        <v>11278</v>
      </c>
      <c r="FW57" s="34">
        <f t="shared" si="9"/>
        <v>0</v>
      </c>
      <c r="FX57" s="34">
        <f t="shared" si="9"/>
        <v>0</v>
      </c>
      <c r="FY57" s="34">
        <f t="shared" si="9"/>
        <v>0</v>
      </c>
      <c r="FZ57" s="34">
        <f t="shared" si="9"/>
        <v>14481</v>
      </c>
      <c r="GA57" s="34">
        <f t="shared" si="9"/>
        <v>0</v>
      </c>
      <c r="GB57" s="34">
        <f t="shared" si="9"/>
        <v>0</v>
      </c>
      <c r="GC57" s="34">
        <f t="shared" si="9"/>
        <v>14462</v>
      </c>
      <c r="GD57" s="34">
        <f t="shared" si="9"/>
        <v>0</v>
      </c>
      <c r="GE57" s="34">
        <f t="shared" si="9"/>
        <v>0</v>
      </c>
      <c r="GF57" s="34">
        <f t="shared" si="9"/>
        <v>0</v>
      </c>
      <c r="GG57" s="34">
        <f t="shared" si="64"/>
        <v>17809</v>
      </c>
      <c r="GH57" s="34">
        <f t="shared" si="10"/>
        <v>0</v>
      </c>
      <c r="GI57" s="34">
        <f t="shared" si="10"/>
        <v>0</v>
      </c>
      <c r="GJ57" s="34">
        <f t="shared" si="10"/>
        <v>16223</v>
      </c>
      <c r="GK57" s="34">
        <f t="shared" si="10"/>
        <v>0</v>
      </c>
      <c r="GL57" s="34">
        <f t="shared" si="10"/>
        <v>0</v>
      </c>
      <c r="GM57" s="34">
        <f t="shared" si="10"/>
        <v>0</v>
      </c>
      <c r="GN57" s="34">
        <f t="shared" si="10"/>
        <v>19500</v>
      </c>
      <c r="GO57" s="34">
        <f t="shared" si="10"/>
        <v>0</v>
      </c>
      <c r="GP57" s="34">
        <f t="shared" si="10"/>
        <v>0</v>
      </c>
      <c r="GQ57" s="34">
        <f t="shared" si="10"/>
        <v>0</v>
      </c>
      <c r="GR57" s="34">
        <f t="shared" si="10"/>
        <v>0</v>
      </c>
      <c r="GS57" s="34">
        <f t="shared" si="10"/>
        <v>0</v>
      </c>
      <c r="GT57" s="34">
        <f t="shared" si="10"/>
        <v>0</v>
      </c>
      <c r="GU57" s="34">
        <f t="shared" si="54"/>
        <v>30471</v>
      </c>
      <c r="GV57" s="34">
        <f t="shared" si="11"/>
        <v>0</v>
      </c>
      <c r="GW57" s="34">
        <f t="shared" si="11"/>
        <v>0</v>
      </c>
      <c r="GX57" s="34">
        <f t="shared" si="11"/>
        <v>0</v>
      </c>
      <c r="GY57" s="34">
        <f t="shared" si="11"/>
        <v>0</v>
      </c>
      <c r="GZ57" s="34">
        <f t="shared" si="11"/>
        <v>0</v>
      </c>
      <c r="HA57" s="34">
        <f t="shared" si="11"/>
        <v>0</v>
      </c>
      <c r="HB57" s="34">
        <f t="shared" si="12"/>
        <v>0</v>
      </c>
      <c r="HC57" s="34">
        <f t="shared" si="13"/>
        <v>37435</v>
      </c>
      <c r="HD57" s="34">
        <f t="shared" ref="HD57" si="76">HD36-HC36</f>
        <v>10472</v>
      </c>
      <c r="HE57" s="34">
        <f t="shared" si="13"/>
        <v>6052</v>
      </c>
      <c r="HF57" s="34">
        <f t="shared" si="13"/>
        <v>0</v>
      </c>
      <c r="HG57" s="34">
        <f t="shared" si="13"/>
        <v>0</v>
      </c>
      <c r="HH57" s="34">
        <f t="shared" si="13"/>
        <v>18453</v>
      </c>
      <c r="HI57" s="34">
        <f t="shared" si="13"/>
        <v>4897</v>
      </c>
      <c r="HJ57" s="34">
        <f t="shared" si="13"/>
        <v>0</v>
      </c>
      <c r="HK57" s="34">
        <f t="shared" si="13"/>
        <v>12791</v>
      </c>
      <c r="HL57" s="34">
        <f t="shared" si="13"/>
        <v>0</v>
      </c>
      <c r="HM57" s="34">
        <f t="shared" si="13"/>
        <v>0</v>
      </c>
      <c r="HN57" s="34">
        <f t="shared" si="13"/>
        <v>0</v>
      </c>
      <c r="HO57" s="34">
        <f t="shared" si="13"/>
        <v>20946</v>
      </c>
      <c r="HP57" s="34">
        <f t="shared" si="13"/>
        <v>0</v>
      </c>
      <c r="HQ57" s="34">
        <f t="shared" ref="HQ57:HQ62" si="77">HQ36-HP36</f>
        <v>13182</v>
      </c>
      <c r="HR57" s="34">
        <f t="shared" si="14"/>
        <v>8234</v>
      </c>
      <c r="HS57" s="34">
        <f t="shared" si="14"/>
        <v>0</v>
      </c>
      <c r="HT57" s="34">
        <f t="shared" si="14"/>
        <v>0</v>
      </c>
      <c r="HU57" s="34">
        <f t="shared" si="14"/>
        <v>0</v>
      </c>
      <c r="HV57" s="34">
        <f t="shared" si="14"/>
        <v>30325</v>
      </c>
      <c r="HW57" s="34">
        <f t="shared" si="14"/>
        <v>5983</v>
      </c>
      <c r="HX57" s="34">
        <f t="shared" si="14"/>
        <v>0</v>
      </c>
      <c r="HY57" s="34">
        <f t="shared" si="14"/>
        <v>14279</v>
      </c>
      <c r="HZ57" s="34">
        <f t="shared" si="14"/>
        <v>8139</v>
      </c>
      <c r="IA57" s="34">
        <f t="shared" si="14"/>
        <v>0</v>
      </c>
      <c r="IB57" s="34">
        <f t="shared" si="14"/>
        <v>0</v>
      </c>
      <c r="IC57" s="34">
        <f t="shared" si="14"/>
        <v>0</v>
      </c>
      <c r="ID57" s="34">
        <f t="shared" si="14"/>
        <v>30891</v>
      </c>
      <c r="IE57" s="34">
        <f t="shared" si="66"/>
        <v>9349</v>
      </c>
      <c r="IF57" s="34">
        <f t="shared" si="15"/>
        <v>9592</v>
      </c>
      <c r="IG57" s="34">
        <f t="shared" si="15"/>
        <v>0</v>
      </c>
      <c r="IH57" s="34">
        <f t="shared" si="15"/>
        <v>10039</v>
      </c>
      <c r="II57" s="34">
        <f t="shared" si="15"/>
        <v>0</v>
      </c>
      <c r="IJ57" s="34">
        <f t="shared" si="15"/>
        <v>0</v>
      </c>
      <c r="IK57" s="34">
        <f t="shared" si="15"/>
        <v>0</v>
      </c>
      <c r="IL57" s="34">
        <f t="shared" si="15"/>
        <v>41091</v>
      </c>
      <c r="IM57" s="34">
        <f t="shared" si="15"/>
        <v>0</v>
      </c>
      <c r="IN57" s="34">
        <f t="shared" si="15"/>
        <v>19172</v>
      </c>
      <c r="IO57" s="34">
        <f t="shared" si="15"/>
        <v>0</v>
      </c>
      <c r="IP57" s="34">
        <f t="shared" si="15"/>
        <v>0</v>
      </c>
      <c r="IQ57" s="34">
        <f t="shared" si="15"/>
        <v>24234</v>
      </c>
      <c r="IR57" s="34">
        <f t="shared" si="15"/>
        <v>0</v>
      </c>
      <c r="IS57" s="34">
        <f t="shared" si="56"/>
        <v>15742</v>
      </c>
      <c r="IT57" s="34">
        <f t="shared" si="44"/>
        <v>0</v>
      </c>
      <c r="IU57" s="34">
        <f t="shared" si="16"/>
        <v>0</v>
      </c>
      <c r="IV57" s="34">
        <f t="shared" si="16"/>
        <v>0</v>
      </c>
      <c r="IW57" s="34">
        <f t="shared" si="16"/>
        <v>0</v>
      </c>
      <c r="IX57" s="34">
        <f t="shared" si="16"/>
        <v>0</v>
      </c>
      <c r="IY57" s="34">
        <f t="shared" si="16"/>
        <v>0</v>
      </c>
      <c r="IZ57" s="34">
        <f t="shared" si="16"/>
        <v>57484</v>
      </c>
      <c r="JA57" s="34">
        <f t="shared" si="16"/>
        <v>0</v>
      </c>
      <c r="JB57" s="34">
        <f t="shared" si="16"/>
        <v>16472</v>
      </c>
      <c r="JC57" s="34">
        <f t="shared" si="16"/>
        <v>0</v>
      </c>
      <c r="JD57" s="34">
        <f t="shared" si="16"/>
        <v>0</v>
      </c>
      <c r="JE57" s="34">
        <f t="shared" si="16"/>
        <v>24386</v>
      </c>
      <c r="JF57" s="34">
        <f t="shared" si="16"/>
        <v>0</v>
      </c>
      <c r="JG57" s="34">
        <f t="shared" si="16"/>
        <v>17885</v>
      </c>
      <c r="JH57" s="34">
        <f t="shared" si="67"/>
        <v>0</v>
      </c>
      <c r="JI57" s="34">
        <f t="shared" si="17"/>
        <v>0</v>
      </c>
      <c r="JJ57" s="34">
        <f t="shared" si="17"/>
        <v>19222</v>
      </c>
      <c r="JK57" s="34">
        <f t="shared" si="17"/>
        <v>0</v>
      </c>
      <c r="JL57" s="34">
        <f t="shared" si="17"/>
        <v>23187</v>
      </c>
      <c r="JM57" s="34">
        <f t="shared" si="17"/>
        <v>0</v>
      </c>
      <c r="JN57" s="34">
        <f t="shared" si="17"/>
        <v>17017</v>
      </c>
      <c r="JO57" s="34">
        <f t="shared" si="17"/>
        <v>0</v>
      </c>
      <c r="JP57" s="34">
        <f t="shared" si="17"/>
        <v>18740</v>
      </c>
      <c r="JQ57" s="34">
        <f t="shared" si="17"/>
        <v>0</v>
      </c>
      <c r="JR57" s="34">
        <f t="shared" si="17"/>
        <v>0</v>
      </c>
      <c r="JS57" s="34">
        <f t="shared" si="17"/>
        <v>23763</v>
      </c>
      <c r="JT57" s="34">
        <f t="shared" si="17"/>
        <v>0</v>
      </c>
      <c r="JU57" s="34">
        <f t="shared" si="17"/>
        <v>0</v>
      </c>
      <c r="JV57" s="34">
        <f t="shared" si="57"/>
        <v>0</v>
      </c>
      <c r="JW57" s="34">
        <f t="shared" si="18"/>
        <v>0</v>
      </c>
      <c r="JX57" s="34">
        <f t="shared" si="18"/>
        <v>0</v>
      </c>
      <c r="JY57" s="34">
        <f t="shared" si="18"/>
        <v>0</v>
      </c>
      <c r="JZ57" s="34">
        <f t="shared" si="18"/>
        <v>57128</v>
      </c>
      <c r="KA57" s="34">
        <f t="shared" si="18"/>
        <v>0</v>
      </c>
      <c r="KB57" s="34">
        <f t="shared" si="18"/>
        <v>0</v>
      </c>
      <c r="KC57" s="34">
        <f t="shared" si="18"/>
        <v>20943</v>
      </c>
      <c r="KD57" s="34">
        <f t="shared" si="18"/>
        <v>20223</v>
      </c>
      <c r="KE57" s="34">
        <f t="shared" si="18"/>
        <v>0</v>
      </c>
      <c r="KF57" s="34">
        <f t="shared" si="18"/>
        <v>0</v>
      </c>
      <c r="KG57" s="34">
        <f t="shared" si="18"/>
        <v>0</v>
      </c>
      <c r="KH57" s="34">
        <f t="shared" si="18"/>
        <v>0</v>
      </c>
      <c r="KI57" s="34">
        <f t="shared" si="18"/>
        <v>0</v>
      </c>
      <c r="KJ57" s="34">
        <f t="shared" si="58"/>
        <v>51679</v>
      </c>
      <c r="KK57" s="34">
        <f t="shared" si="19"/>
        <v>0</v>
      </c>
      <c r="KL57" s="34">
        <f t="shared" si="19"/>
        <v>0</v>
      </c>
      <c r="KM57" s="34">
        <f t="shared" si="19"/>
        <v>0</v>
      </c>
      <c r="KN57" s="34">
        <f t="shared" si="19"/>
        <v>31047</v>
      </c>
      <c r="KO57" s="34">
        <f t="shared" si="19"/>
        <v>0</v>
      </c>
      <c r="KP57" s="34">
        <f t="shared" si="19"/>
        <v>0</v>
      </c>
      <c r="KQ57" s="34">
        <f t="shared" si="19"/>
        <v>26900</v>
      </c>
      <c r="KR57" s="34">
        <f t="shared" si="19"/>
        <v>0</v>
      </c>
      <c r="KS57" s="34">
        <f t="shared" si="19"/>
        <v>0</v>
      </c>
      <c r="KT57" s="34">
        <f t="shared" si="19"/>
        <v>0</v>
      </c>
      <c r="KU57" s="34">
        <f t="shared" si="19"/>
        <v>0</v>
      </c>
      <c r="KV57" s="34">
        <f t="shared" si="19"/>
        <v>47753</v>
      </c>
      <c r="KW57" s="34">
        <f t="shared" si="19"/>
        <v>0</v>
      </c>
      <c r="KX57" s="34">
        <f t="shared" si="59"/>
        <v>19318</v>
      </c>
      <c r="KY57" s="34">
        <f t="shared" si="20"/>
        <v>0</v>
      </c>
      <c r="KZ57" s="34">
        <f t="shared" si="20"/>
        <v>0</v>
      </c>
      <c r="LA57" s="34">
        <f t="shared" si="34"/>
        <v>0</v>
      </c>
      <c r="LB57" s="34">
        <f t="shared" si="35"/>
        <v>0</v>
      </c>
      <c r="LC57" s="34">
        <f t="shared" si="36"/>
        <v>0</v>
      </c>
      <c r="LD57" s="34">
        <f t="shared" si="37"/>
        <v>47902</v>
      </c>
      <c r="LE57" s="34">
        <f t="shared" si="38"/>
        <v>0</v>
      </c>
      <c r="LF57" s="34">
        <f t="shared" si="39"/>
        <v>0</v>
      </c>
      <c r="LG57" s="34">
        <f t="shared" si="21"/>
        <v>0</v>
      </c>
      <c r="LH57" s="34">
        <f t="shared" si="21"/>
        <v>0</v>
      </c>
      <c r="LI57" s="34">
        <f t="shared" si="21"/>
        <v>0</v>
      </c>
      <c r="LJ57" s="34">
        <f t="shared" si="21"/>
        <v>62474</v>
      </c>
      <c r="LK57" s="34">
        <f t="shared" si="21"/>
        <v>0</v>
      </c>
      <c r="LL57" s="34">
        <f t="shared" si="21"/>
        <v>22079</v>
      </c>
      <c r="LM57" s="34">
        <f t="shared" si="21"/>
        <v>0</v>
      </c>
      <c r="LN57" s="34">
        <f t="shared" si="21"/>
        <v>0</v>
      </c>
      <c r="LO57" s="34">
        <f t="shared" si="21"/>
        <v>0</v>
      </c>
      <c r="LP57" s="34">
        <f t="shared" si="21"/>
        <v>0</v>
      </c>
      <c r="LQ57" s="34">
        <f t="shared" si="21"/>
        <v>47664</v>
      </c>
      <c r="LR57" s="34">
        <f t="shared" si="21"/>
        <v>0</v>
      </c>
      <c r="LS57" s="34">
        <f t="shared" si="21"/>
        <v>0</v>
      </c>
      <c r="LT57" s="34">
        <f t="shared" si="21"/>
        <v>0</v>
      </c>
      <c r="LU57" s="34">
        <f t="shared" si="21"/>
        <v>0</v>
      </c>
      <c r="LV57" s="34">
        <f t="shared" si="68"/>
        <v>0</v>
      </c>
      <c r="LW57" s="34">
        <f t="shared" si="22"/>
        <v>0</v>
      </c>
      <c r="LX57" s="34">
        <f t="shared" si="22"/>
        <v>0</v>
      </c>
      <c r="LY57" s="34">
        <f t="shared" si="22"/>
        <v>68646</v>
      </c>
      <c r="LZ57" s="34">
        <f t="shared" si="22"/>
        <v>22563</v>
      </c>
      <c r="MA57" s="34">
        <f t="shared" si="22"/>
        <v>11167</v>
      </c>
      <c r="MB57" s="34">
        <f t="shared" si="22"/>
        <v>0</v>
      </c>
      <c r="MC57" s="34">
        <f t="shared" si="22"/>
        <v>0</v>
      </c>
      <c r="MD57" s="34">
        <f t="shared" si="22"/>
        <v>0</v>
      </c>
      <c r="ME57" s="34">
        <f t="shared" si="22"/>
        <v>37465</v>
      </c>
      <c r="MF57" s="34">
        <f t="shared" si="22"/>
        <v>0</v>
      </c>
      <c r="MG57" s="34">
        <f t="shared" si="22"/>
        <v>0</v>
      </c>
      <c r="MH57" s="34">
        <f t="shared" si="22"/>
        <v>0</v>
      </c>
      <c r="MI57" s="34">
        <f t="shared" si="22"/>
        <v>0</v>
      </c>
      <c r="MJ57" s="34">
        <f t="shared" si="60"/>
        <v>0</v>
      </c>
      <c r="MK57" s="34">
        <f t="shared" si="23"/>
        <v>0</v>
      </c>
      <c r="ML57" s="34">
        <f t="shared" si="23"/>
        <v>0</v>
      </c>
      <c r="MM57" s="34">
        <f t="shared" si="23"/>
        <v>0</v>
      </c>
      <c r="MN57" s="34">
        <f t="shared" si="23"/>
        <v>0</v>
      </c>
      <c r="MO57" s="34">
        <f t="shared" si="23"/>
        <v>104261</v>
      </c>
      <c r="MP57" s="34">
        <f t="shared" si="23"/>
        <v>0</v>
      </c>
      <c r="MQ57" s="34">
        <f t="shared" si="23"/>
        <v>0</v>
      </c>
      <c r="MR57" s="34">
        <f t="shared" si="23"/>
        <v>0</v>
      </c>
      <c r="MS57" s="34">
        <f t="shared" si="23"/>
        <v>0</v>
      </c>
      <c r="MT57" s="34">
        <f t="shared" si="23"/>
        <v>0</v>
      </c>
      <c r="MU57" s="34">
        <f t="shared" si="23"/>
        <v>46086</v>
      </c>
      <c r="MV57" s="34">
        <f t="shared" si="23"/>
        <v>0</v>
      </c>
      <c r="MW57" s="34">
        <f t="shared" si="23"/>
        <v>0</v>
      </c>
      <c r="MX57" s="34">
        <f t="shared" si="61"/>
        <v>0</v>
      </c>
      <c r="MY57" s="34">
        <f t="shared" si="24"/>
        <v>0</v>
      </c>
      <c r="MZ57" s="34">
        <f t="shared" si="25"/>
        <v>0</v>
      </c>
      <c r="NA57" s="34">
        <f t="shared" si="25"/>
        <v>58076</v>
      </c>
      <c r="NB57" s="34">
        <f t="shared" si="25"/>
        <v>0</v>
      </c>
      <c r="NC57" s="34">
        <f t="shared" si="25"/>
        <v>0</v>
      </c>
      <c r="ND57" s="34">
        <f t="shared" si="25"/>
        <v>0</v>
      </c>
      <c r="NE57" s="34">
        <f t="shared" si="25"/>
        <v>0</v>
      </c>
      <c r="NF57" s="34">
        <f t="shared" si="25"/>
        <v>51965</v>
      </c>
      <c r="NG57" s="34">
        <f t="shared" si="25"/>
        <v>0</v>
      </c>
      <c r="NH57" s="34">
        <f t="shared" si="25"/>
        <v>0</v>
      </c>
      <c r="NI57" s="34">
        <f t="shared" si="25"/>
        <v>19777</v>
      </c>
      <c r="NJ57" s="34">
        <f t="shared" si="25"/>
        <v>8973</v>
      </c>
      <c r="NK57" s="34">
        <f t="shared" si="25"/>
        <v>0</v>
      </c>
      <c r="NL57" s="34">
        <f t="shared" si="25"/>
        <v>0</v>
      </c>
      <c r="NM57" s="34">
        <f t="shared" si="62"/>
        <v>97679</v>
      </c>
      <c r="NN57" s="34">
        <f t="shared" si="26"/>
        <v>0</v>
      </c>
      <c r="NO57" s="34">
        <f t="shared" si="27"/>
        <v>0</v>
      </c>
      <c r="NP57" s="34">
        <v>0</v>
      </c>
      <c r="NQ57" s="34">
        <v>0</v>
      </c>
      <c r="NR57" s="34">
        <v>0</v>
      </c>
      <c r="NS57" s="34">
        <v>0</v>
      </c>
      <c r="NT57" s="34">
        <v>0</v>
      </c>
      <c r="NU57" s="34">
        <v>0</v>
      </c>
      <c r="NV57" s="34">
        <v>0</v>
      </c>
      <c r="NW57" s="34">
        <v>0</v>
      </c>
      <c r="NX57">
        <v>0</v>
      </c>
      <c r="NY57" s="34">
        <v>0</v>
      </c>
      <c r="NZ57" s="34">
        <v>0</v>
      </c>
      <c r="OA57" s="34">
        <v>861</v>
      </c>
      <c r="OB57" s="34">
        <v>0</v>
      </c>
      <c r="OC57" s="34">
        <v>76966</v>
      </c>
      <c r="OD57" s="34">
        <v>0</v>
      </c>
      <c r="OE57" s="34">
        <v>0</v>
      </c>
      <c r="OF57" s="34">
        <v>0</v>
      </c>
      <c r="OG57" s="34">
        <v>0</v>
      </c>
      <c r="OH57" s="34">
        <v>0</v>
      </c>
      <c r="OI57" s="34">
        <v>0</v>
      </c>
      <c r="OJ57" s="34">
        <v>0</v>
      </c>
      <c r="OK57" s="34">
        <v>0</v>
      </c>
      <c r="OL57" s="34">
        <v>53177</v>
      </c>
      <c r="OM57" s="34">
        <v>0</v>
      </c>
      <c r="ON57" s="34">
        <v>0</v>
      </c>
      <c r="OO57" s="34">
        <v>0</v>
      </c>
      <c r="OP57" s="34">
        <v>0</v>
      </c>
      <c r="OQ57" s="34">
        <v>19775</v>
      </c>
      <c r="OR57" s="34">
        <v>0</v>
      </c>
      <c r="OS57" s="34">
        <f t="shared" si="40"/>
        <v>0</v>
      </c>
      <c r="OT57" s="34">
        <f t="shared" si="40"/>
        <v>0</v>
      </c>
      <c r="OU57" s="34">
        <v>0</v>
      </c>
      <c r="OV57" s="34">
        <v>0</v>
      </c>
      <c r="OW57" s="34">
        <v>0</v>
      </c>
      <c r="OX57" s="34">
        <v>31347</v>
      </c>
      <c r="OY57" s="34">
        <v>0</v>
      </c>
      <c r="OZ57" s="34">
        <v>0</v>
      </c>
      <c r="PA57" s="34">
        <v>0</v>
      </c>
      <c r="PB57" s="34">
        <v>0</v>
      </c>
      <c r="PC57" s="34">
        <v>0</v>
      </c>
      <c r="PD57" s="34">
        <v>0</v>
      </c>
      <c r="PE57" s="34">
        <v>0</v>
      </c>
      <c r="PF57" s="34">
        <v>0</v>
      </c>
      <c r="PG57" s="34">
        <v>0</v>
      </c>
      <c r="PH57" s="34">
        <v>0</v>
      </c>
      <c r="PI57" s="34">
        <v>0</v>
      </c>
      <c r="PJ57" s="34">
        <v>0</v>
      </c>
      <c r="PK57" s="34">
        <v>0</v>
      </c>
      <c r="PL57" s="34">
        <v>99262</v>
      </c>
      <c r="PM57" s="34">
        <v>0</v>
      </c>
      <c r="PN57" s="34">
        <v>0</v>
      </c>
      <c r="PO57" s="34">
        <v>0</v>
      </c>
      <c r="PP57" s="34">
        <v>0</v>
      </c>
      <c r="PQ57" s="34">
        <v>0</v>
      </c>
      <c r="PR57" s="34">
        <v>40404</v>
      </c>
      <c r="PS57" s="34">
        <v>0</v>
      </c>
      <c r="PT57" s="34">
        <v>0</v>
      </c>
      <c r="PU57" s="34">
        <v>0</v>
      </c>
      <c r="PV57" s="34">
        <v>0</v>
      </c>
      <c r="PW57" s="34">
        <v>0</v>
      </c>
      <c r="PX57" s="34">
        <v>0</v>
      </c>
      <c r="PY57" s="34">
        <v>0</v>
      </c>
      <c r="PZ57" s="34">
        <v>0</v>
      </c>
      <c r="QA57" s="34">
        <v>0</v>
      </c>
      <c r="QB57" s="34">
        <v>0</v>
      </c>
      <c r="QC57" s="34">
        <v>0</v>
      </c>
      <c r="QD57" s="34">
        <v>0</v>
      </c>
      <c r="QE57" s="34">
        <v>0</v>
      </c>
      <c r="QF57" s="34">
        <v>0</v>
      </c>
      <c r="QG57" s="34">
        <v>0</v>
      </c>
      <c r="QH57" s="34">
        <v>0</v>
      </c>
      <c r="QI57" s="34">
        <v>123991</v>
      </c>
      <c r="QJ57" s="34">
        <v>0</v>
      </c>
      <c r="QK57" s="34">
        <v>0</v>
      </c>
      <c r="QL57" s="34">
        <v>0</v>
      </c>
      <c r="QM57" s="34">
        <v>42924</v>
      </c>
      <c r="QN57" s="34">
        <v>0</v>
      </c>
      <c r="QO57" s="34">
        <v>0</v>
      </c>
      <c r="QP57" s="34">
        <v>0</v>
      </c>
      <c r="QQ57" s="34">
        <v>0</v>
      </c>
      <c r="QR57" s="34">
        <v>0</v>
      </c>
      <c r="QS57" s="34">
        <v>0</v>
      </c>
      <c r="QT57" s="34">
        <v>29560</v>
      </c>
      <c r="QU57" s="34">
        <v>0</v>
      </c>
      <c r="QV57" s="34">
        <v>0</v>
      </c>
      <c r="QW57" s="34">
        <v>0</v>
      </c>
      <c r="QX57" s="34">
        <v>0</v>
      </c>
      <c r="QY57" s="34">
        <v>0</v>
      </c>
      <c r="QZ57" s="34">
        <v>0</v>
      </c>
      <c r="RA57" s="34">
        <v>53931</v>
      </c>
      <c r="RB57" s="34">
        <v>0</v>
      </c>
      <c r="RC57" s="34">
        <v>0</v>
      </c>
      <c r="RD57" s="34">
        <v>0</v>
      </c>
      <c r="RE57" s="34">
        <v>0</v>
      </c>
      <c r="RF57" s="34">
        <v>0</v>
      </c>
      <c r="RG57" s="34">
        <v>0</v>
      </c>
      <c r="RH57" s="34">
        <v>0</v>
      </c>
      <c r="RI57" s="34">
        <v>50117</v>
      </c>
      <c r="RJ57" s="34">
        <v>0</v>
      </c>
      <c r="RK57" s="34">
        <v>0</v>
      </c>
      <c r="RL57" s="34">
        <v>0</v>
      </c>
      <c r="RM57" s="34">
        <v>0</v>
      </c>
      <c r="RN57" s="34">
        <v>0</v>
      </c>
      <c r="RO57" s="34">
        <v>0</v>
      </c>
      <c r="RP57" s="34">
        <v>90168</v>
      </c>
      <c r="RQ57" s="34">
        <v>0</v>
      </c>
      <c r="RR57" s="34">
        <v>0</v>
      </c>
      <c r="RS57" s="34">
        <v>0</v>
      </c>
      <c r="RT57" s="34">
        <v>0</v>
      </c>
      <c r="RU57" s="34">
        <v>0</v>
      </c>
      <c r="RV57" s="34">
        <v>0</v>
      </c>
      <c r="RW57" s="34">
        <v>0</v>
      </c>
      <c r="RX57" s="34">
        <v>0</v>
      </c>
      <c r="RY57" s="34">
        <v>0</v>
      </c>
      <c r="RZ57" s="34">
        <v>0</v>
      </c>
      <c r="SA57" s="34">
        <v>0</v>
      </c>
      <c r="SB57" s="34">
        <v>138427</v>
      </c>
      <c r="SC57" s="34">
        <v>0</v>
      </c>
      <c r="SD57" s="34">
        <v>0</v>
      </c>
      <c r="SE57" s="34">
        <v>0</v>
      </c>
      <c r="SF57" s="34">
        <v>0</v>
      </c>
      <c r="SG57" s="34">
        <v>0</v>
      </c>
      <c r="SH57" s="34">
        <v>0</v>
      </c>
      <c r="SI57" s="34">
        <v>80284</v>
      </c>
      <c r="SJ57" s="34">
        <v>80284</v>
      </c>
      <c r="SK57" s="34">
        <v>0</v>
      </c>
      <c r="SL57" s="34">
        <v>0</v>
      </c>
      <c r="SM57" s="34">
        <v>0</v>
      </c>
      <c r="SN57" s="34">
        <v>0</v>
      </c>
      <c r="SO57" s="34">
        <v>0</v>
      </c>
      <c r="SP57" s="34">
        <v>0</v>
      </c>
      <c r="SQ57" s="34">
        <v>0</v>
      </c>
      <c r="SR57" s="34">
        <v>0</v>
      </c>
      <c r="SS57" s="34">
        <v>0</v>
      </c>
      <c r="ST57" s="34">
        <v>0</v>
      </c>
      <c r="SU57" s="34">
        <v>0</v>
      </c>
      <c r="SV57" s="34">
        <v>0</v>
      </c>
      <c r="SW57" s="34">
        <v>220416</v>
      </c>
      <c r="SX57" s="34">
        <v>0</v>
      </c>
      <c r="SY57" s="34">
        <v>0</v>
      </c>
      <c r="SZ57" s="34">
        <v>0</v>
      </c>
      <c r="TA57" s="34">
        <v>0</v>
      </c>
      <c r="TB57" s="34">
        <v>0</v>
      </c>
      <c r="TC57" s="34">
        <v>0</v>
      </c>
      <c r="TD57" s="34">
        <v>91075</v>
      </c>
      <c r="TE57" s="34">
        <v>0</v>
      </c>
      <c r="TF57" s="34">
        <v>0</v>
      </c>
      <c r="TG57" s="34">
        <v>0</v>
      </c>
      <c r="TH57" s="34">
        <v>0</v>
      </c>
      <c r="TI57" s="34">
        <v>0</v>
      </c>
      <c r="TJ57" s="34">
        <v>0</v>
      </c>
      <c r="TK57" s="34">
        <v>76945</v>
      </c>
      <c r="TL57" s="34">
        <v>0</v>
      </c>
      <c r="TM57" s="34">
        <v>0</v>
      </c>
      <c r="TN57" s="34">
        <v>0</v>
      </c>
      <c r="TO57" s="34">
        <v>0</v>
      </c>
      <c r="TP57" s="34">
        <v>0</v>
      </c>
      <c r="TQ57" s="34">
        <v>0</v>
      </c>
      <c r="TR57" s="34">
        <v>88662</v>
      </c>
      <c r="TS57" s="34">
        <v>0</v>
      </c>
      <c r="TT57" s="34">
        <v>0</v>
      </c>
      <c r="TU57" s="34">
        <v>0</v>
      </c>
      <c r="TV57" s="34">
        <v>0</v>
      </c>
      <c r="TW57" s="34">
        <v>0</v>
      </c>
      <c r="TX57" s="34">
        <v>0</v>
      </c>
      <c r="TY57" s="34">
        <v>53139</v>
      </c>
      <c r="TZ57" s="34">
        <v>0</v>
      </c>
      <c r="UA57" s="34">
        <v>0</v>
      </c>
      <c r="UB57" s="34">
        <v>0</v>
      </c>
      <c r="UC57" s="34">
        <v>0</v>
      </c>
      <c r="UD57" s="34">
        <v>0</v>
      </c>
      <c r="UE57" s="34">
        <v>0</v>
      </c>
      <c r="UF57" s="34">
        <v>59204</v>
      </c>
      <c r="UG57" s="34">
        <v>0</v>
      </c>
      <c r="UH57" s="34">
        <v>0</v>
      </c>
      <c r="UI57" s="34">
        <v>0</v>
      </c>
      <c r="UJ57" s="34">
        <v>0</v>
      </c>
      <c r="UK57" s="34">
        <v>0</v>
      </c>
      <c r="UL57" s="34">
        <v>0</v>
      </c>
      <c r="UM57" s="34">
        <v>0</v>
      </c>
      <c r="UN57" s="34">
        <v>0</v>
      </c>
      <c r="UO57" s="34">
        <v>139239</v>
      </c>
      <c r="UP57" s="34">
        <v>0</v>
      </c>
      <c r="UQ57" s="34">
        <v>0</v>
      </c>
      <c r="UR57" s="34">
        <v>0</v>
      </c>
      <c r="US57" s="34">
        <v>0</v>
      </c>
      <c r="UT57" s="34">
        <v>0</v>
      </c>
      <c r="UU57" s="34">
        <v>83502</v>
      </c>
      <c r="UV57" s="34">
        <v>0</v>
      </c>
      <c r="UW57" s="34">
        <v>0</v>
      </c>
      <c r="UX57" s="34">
        <v>0</v>
      </c>
      <c r="UY57" s="34">
        <v>0</v>
      </c>
      <c r="UZ57" s="34">
        <v>0</v>
      </c>
      <c r="VA57" s="34">
        <v>0</v>
      </c>
      <c r="VB57" s="34">
        <v>26687</v>
      </c>
      <c r="VC57" s="34">
        <v>0</v>
      </c>
      <c r="VD57" s="34">
        <v>0</v>
      </c>
      <c r="VE57" s="34">
        <v>0</v>
      </c>
      <c r="VF57" s="34">
        <v>0</v>
      </c>
      <c r="VG57" s="34">
        <v>0</v>
      </c>
      <c r="VH57" s="34">
        <v>77443</v>
      </c>
      <c r="VI57" s="34">
        <v>0</v>
      </c>
      <c r="VJ57" s="34">
        <v>0</v>
      </c>
      <c r="VK57" s="34">
        <v>0</v>
      </c>
      <c r="VL57" s="34">
        <v>0</v>
      </c>
      <c r="VM57" s="34">
        <v>0</v>
      </c>
      <c r="VN57" s="34">
        <v>0</v>
      </c>
      <c r="VO57" s="34">
        <v>0</v>
      </c>
      <c r="VP57" s="34">
        <v>50388</v>
      </c>
      <c r="VQ57" s="34">
        <v>0</v>
      </c>
      <c r="VR57" s="34">
        <v>0</v>
      </c>
      <c r="VS57" s="34">
        <v>0</v>
      </c>
      <c r="VT57" s="34">
        <v>0</v>
      </c>
      <c r="VU57" s="34">
        <v>0</v>
      </c>
      <c r="VV57" s="34">
        <v>0</v>
      </c>
      <c r="VW57" s="34">
        <v>0</v>
      </c>
      <c r="VX57" s="34">
        <v>0</v>
      </c>
      <c r="VY57" s="34">
        <v>0</v>
      </c>
      <c r="VZ57" s="34">
        <v>0</v>
      </c>
      <c r="WA57" s="34">
        <v>0</v>
      </c>
      <c r="WB57" s="34">
        <v>0</v>
      </c>
      <c r="WC57" s="34">
        <v>0</v>
      </c>
      <c r="WD57" s="34">
        <v>110791</v>
      </c>
      <c r="WE57" s="34">
        <v>0</v>
      </c>
      <c r="WF57" s="34">
        <v>0</v>
      </c>
      <c r="WG57" s="34">
        <v>0</v>
      </c>
      <c r="WH57" s="34">
        <v>0</v>
      </c>
      <c r="WI57" s="34">
        <v>0</v>
      </c>
      <c r="WJ57" s="34">
        <v>0</v>
      </c>
      <c r="WK57" s="34">
        <v>85984</v>
      </c>
      <c r="WL57" s="34">
        <v>0</v>
      </c>
      <c r="WM57">
        <v>0</v>
      </c>
      <c r="WN57">
        <v>0</v>
      </c>
      <c r="WO57">
        <v>0</v>
      </c>
      <c r="WP57">
        <v>0</v>
      </c>
      <c r="WQ57">
        <v>88004</v>
      </c>
      <c r="WR57">
        <v>0</v>
      </c>
      <c r="WS57">
        <v>0</v>
      </c>
      <c r="WT57">
        <v>0</v>
      </c>
      <c r="WU57">
        <v>0</v>
      </c>
      <c r="WV57">
        <v>0</v>
      </c>
      <c r="WW57">
        <v>0</v>
      </c>
      <c r="WX57">
        <v>83847</v>
      </c>
      <c r="WY57">
        <v>0</v>
      </c>
      <c r="WZ57">
        <v>0</v>
      </c>
      <c r="XA57">
        <v>0</v>
      </c>
      <c r="XB57">
        <v>0</v>
      </c>
      <c r="XC57">
        <v>0</v>
      </c>
      <c r="XD57">
        <v>0</v>
      </c>
      <c r="XE57">
        <v>0</v>
      </c>
      <c r="XF57">
        <v>0</v>
      </c>
      <c r="XG57">
        <v>0</v>
      </c>
      <c r="XH57">
        <v>0</v>
      </c>
      <c r="XI57">
        <v>0</v>
      </c>
      <c r="XJ57">
        <v>0</v>
      </c>
      <c r="XK57">
        <v>0</v>
      </c>
      <c r="XL57">
        <v>0</v>
      </c>
      <c r="XM57">
        <v>0</v>
      </c>
      <c r="XN57">
        <v>0</v>
      </c>
      <c r="XO57">
        <v>0</v>
      </c>
      <c r="XP57">
        <v>0</v>
      </c>
      <c r="XQ57">
        <v>0</v>
      </c>
      <c r="XR57">
        <v>0</v>
      </c>
      <c r="XS57">
        <v>0</v>
      </c>
      <c r="XT57">
        <v>0</v>
      </c>
      <c r="XU57">
        <v>0</v>
      </c>
      <c r="XV57">
        <v>0</v>
      </c>
      <c r="XW57">
        <v>0</v>
      </c>
      <c r="XX57">
        <v>0</v>
      </c>
      <c r="XY57">
        <v>0</v>
      </c>
      <c r="XZ57">
        <v>0</v>
      </c>
      <c r="YA57">
        <v>0</v>
      </c>
      <c r="YB57">
        <v>0</v>
      </c>
      <c r="YC57">
        <v>0</v>
      </c>
      <c r="YD57">
        <v>0</v>
      </c>
      <c r="YE57">
        <v>0</v>
      </c>
      <c r="YF57" s="1">
        <v>0</v>
      </c>
      <c r="YG57" s="1">
        <v>0</v>
      </c>
      <c r="YH57" s="1">
        <v>0</v>
      </c>
      <c r="YI57" s="1">
        <v>0</v>
      </c>
      <c r="YJ57">
        <v>0</v>
      </c>
      <c r="YK57">
        <v>0</v>
      </c>
      <c r="YL57">
        <v>0</v>
      </c>
      <c r="YM57">
        <v>0</v>
      </c>
      <c r="YN57">
        <v>0</v>
      </c>
      <c r="YO57">
        <v>0</v>
      </c>
      <c r="YP57">
        <v>0</v>
      </c>
      <c r="YQ57">
        <v>0</v>
      </c>
      <c r="YR57">
        <v>0</v>
      </c>
      <c r="YS57">
        <v>0</v>
      </c>
      <c r="YT57">
        <v>0</v>
      </c>
      <c r="YU57">
        <v>0</v>
      </c>
      <c r="YV57">
        <v>0</v>
      </c>
      <c r="YW57">
        <v>0</v>
      </c>
      <c r="YX57">
        <v>0</v>
      </c>
      <c r="YY57">
        <v>0</v>
      </c>
      <c r="YZ57">
        <v>0</v>
      </c>
      <c r="ZA57">
        <v>0</v>
      </c>
      <c r="ZB57">
        <v>0</v>
      </c>
      <c r="ZC57">
        <v>0</v>
      </c>
      <c r="ZD57">
        <v>0</v>
      </c>
      <c r="ZE57">
        <v>0</v>
      </c>
      <c r="ZF57">
        <v>0</v>
      </c>
      <c r="ZG57">
        <v>0</v>
      </c>
      <c r="ZH57">
        <v>0</v>
      </c>
      <c r="ZI57">
        <v>0</v>
      </c>
      <c r="ZJ57">
        <v>0</v>
      </c>
      <c r="ZK57">
        <v>0</v>
      </c>
      <c r="ZL57">
        <v>0</v>
      </c>
      <c r="ZM57">
        <v>0</v>
      </c>
      <c r="ZN57">
        <v>0</v>
      </c>
      <c r="ZO57">
        <v>0</v>
      </c>
      <c r="ZP57">
        <v>0</v>
      </c>
      <c r="ZQ57">
        <v>0</v>
      </c>
      <c r="ZR57">
        <v>0</v>
      </c>
      <c r="ZS57">
        <v>0</v>
      </c>
      <c r="ZT57">
        <v>0</v>
      </c>
      <c r="ZU57">
        <v>0</v>
      </c>
      <c r="ZV57">
        <v>0</v>
      </c>
      <c r="ZW57">
        <v>0</v>
      </c>
      <c r="ZX57">
        <v>0</v>
      </c>
      <c r="ZY57">
        <v>0</v>
      </c>
      <c r="ZZ57">
        <v>0</v>
      </c>
      <c r="AAA57">
        <v>0</v>
      </c>
      <c r="AAB57">
        <v>0</v>
      </c>
      <c r="AAC57">
        <v>0</v>
      </c>
      <c r="AAD57">
        <v>0</v>
      </c>
      <c r="AAE57">
        <v>0</v>
      </c>
      <c r="AAF57">
        <v>0</v>
      </c>
      <c r="AAG57">
        <v>0</v>
      </c>
      <c r="AAH57">
        <v>0</v>
      </c>
      <c r="AAI57">
        <v>0</v>
      </c>
      <c r="AAJ57">
        <v>0</v>
      </c>
      <c r="AAK57">
        <v>0</v>
      </c>
      <c r="AAL57">
        <v>0</v>
      </c>
      <c r="AAM57">
        <v>0</v>
      </c>
      <c r="AAN57">
        <v>0</v>
      </c>
      <c r="AAO57">
        <v>0</v>
      </c>
      <c r="AAP57">
        <v>0</v>
      </c>
      <c r="AAQ57">
        <v>0</v>
      </c>
      <c r="AAR57">
        <v>0</v>
      </c>
      <c r="AAS57">
        <v>0</v>
      </c>
      <c r="AAT57">
        <v>0</v>
      </c>
      <c r="AAU57">
        <v>0</v>
      </c>
      <c r="AAV57">
        <v>0</v>
      </c>
      <c r="AAW57">
        <v>0</v>
      </c>
      <c r="AAX57">
        <v>0</v>
      </c>
      <c r="AAY57">
        <v>0</v>
      </c>
      <c r="AAZ57">
        <v>0</v>
      </c>
      <c r="ABA57">
        <v>0</v>
      </c>
      <c r="ABB57">
        <v>0</v>
      </c>
      <c r="ABC57">
        <v>0</v>
      </c>
      <c r="ABD57">
        <v>0</v>
      </c>
      <c r="ABE57">
        <v>0</v>
      </c>
      <c r="ABF57">
        <v>0</v>
      </c>
      <c r="ABG57">
        <v>0</v>
      </c>
      <c r="ABH57">
        <v>0</v>
      </c>
      <c r="ABI57">
        <v>0</v>
      </c>
      <c r="ABJ57">
        <v>0</v>
      </c>
      <c r="ABK57">
        <v>0</v>
      </c>
      <c r="ABL57">
        <v>0</v>
      </c>
      <c r="ABM57">
        <v>0</v>
      </c>
      <c r="ABN57">
        <v>0</v>
      </c>
      <c r="ABO57">
        <v>0</v>
      </c>
      <c r="ABP57">
        <v>0</v>
      </c>
      <c r="ABQ57">
        <v>0</v>
      </c>
      <c r="ABR57">
        <v>0</v>
      </c>
      <c r="ABS57">
        <v>0</v>
      </c>
      <c r="ABT57">
        <v>0</v>
      </c>
      <c r="ABU57">
        <v>0</v>
      </c>
      <c r="ABV57">
        <v>0</v>
      </c>
      <c r="ABW57">
        <v>0</v>
      </c>
      <c r="ABX57">
        <v>0</v>
      </c>
      <c r="ABY57">
        <v>0</v>
      </c>
      <c r="ABZ57">
        <v>0</v>
      </c>
      <c r="ACA57">
        <v>0</v>
      </c>
      <c r="ACB57">
        <v>0</v>
      </c>
      <c r="ACC57">
        <v>0</v>
      </c>
      <c r="ACD57">
        <v>0</v>
      </c>
      <c r="ACE57">
        <v>0</v>
      </c>
      <c r="ACF57">
        <v>0</v>
      </c>
      <c r="ACG57">
        <v>0</v>
      </c>
      <c r="ACH57">
        <v>0</v>
      </c>
      <c r="ACI57">
        <v>0</v>
      </c>
      <c r="ACJ57">
        <v>0</v>
      </c>
      <c r="ACK57">
        <v>0</v>
      </c>
      <c r="ACL57">
        <v>0</v>
      </c>
      <c r="ACM57">
        <v>0</v>
      </c>
      <c r="ACN57">
        <v>0</v>
      </c>
      <c r="ACO57">
        <v>0</v>
      </c>
      <c r="ACP57">
        <v>0</v>
      </c>
      <c r="ACQ57">
        <v>0</v>
      </c>
      <c r="ACR57">
        <v>0</v>
      </c>
      <c r="ACS57">
        <v>0</v>
      </c>
      <c r="ACT57">
        <v>0</v>
      </c>
      <c r="ACU57">
        <v>0</v>
      </c>
      <c r="ACV57">
        <v>0</v>
      </c>
      <c r="ACW57">
        <v>0</v>
      </c>
      <c r="ACX57">
        <v>0</v>
      </c>
      <c r="ACY57">
        <v>0</v>
      </c>
      <c r="ACZ57">
        <v>0</v>
      </c>
      <c r="ADA57">
        <v>0</v>
      </c>
      <c r="ADB57">
        <v>0</v>
      </c>
      <c r="ADC57">
        <v>0</v>
      </c>
      <c r="ADD57">
        <v>0</v>
      </c>
      <c r="ADE57">
        <v>0</v>
      </c>
      <c r="ADF57">
        <v>0</v>
      </c>
      <c r="ADG57">
        <v>0</v>
      </c>
      <c r="ADH57">
        <v>0</v>
      </c>
      <c r="ADI57">
        <v>0</v>
      </c>
      <c r="ADJ57">
        <v>0</v>
      </c>
      <c r="ADK57">
        <v>0</v>
      </c>
      <c r="ADL57">
        <v>0</v>
      </c>
      <c r="ADM57">
        <v>0</v>
      </c>
      <c r="ADN57">
        <v>0</v>
      </c>
      <c r="ADO57">
        <v>0</v>
      </c>
      <c r="ADP57">
        <v>0</v>
      </c>
      <c r="ADQ57">
        <v>0</v>
      </c>
      <c r="ADR57">
        <v>0</v>
      </c>
      <c r="ADS57">
        <v>0</v>
      </c>
      <c r="ADT57">
        <v>0</v>
      </c>
      <c r="ADU57">
        <v>0</v>
      </c>
      <c r="ADV57">
        <v>0</v>
      </c>
      <c r="ADW57">
        <v>0</v>
      </c>
      <c r="ADX57">
        <v>0</v>
      </c>
      <c r="ADY57">
        <v>0</v>
      </c>
      <c r="ADZ57">
        <v>0</v>
      </c>
      <c r="AEA57">
        <v>0</v>
      </c>
      <c r="AEB57">
        <v>0</v>
      </c>
      <c r="AEC57">
        <v>0</v>
      </c>
      <c r="AED57">
        <v>0</v>
      </c>
      <c r="AEE57">
        <v>0</v>
      </c>
      <c r="AEF57">
        <v>0</v>
      </c>
      <c r="AEG57">
        <v>0</v>
      </c>
      <c r="AEH57">
        <v>0</v>
      </c>
      <c r="AEI57">
        <v>0</v>
      </c>
      <c r="AEJ57">
        <v>0</v>
      </c>
      <c r="AEK57">
        <v>0</v>
      </c>
      <c r="AEL57">
        <v>0</v>
      </c>
      <c r="AEM57">
        <v>0</v>
      </c>
      <c r="AEN57">
        <v>0</v>
      </c>
      <c r="AEO57">
        <v>0</v>
      </c>
      <c r="AEP57">
        <v>0</v>
      </c>
      <c r="AEQ57">
        <v>0</v>
      </c>
      <c r="AER57">
        <v>0</v>
      </c>
      <c r="AES57">
        <v>0</v>
      </c>
      <c r="AET57">
        <v>0</v>
      </c>
      <c r="AEU57">
        <v>0</v>
      </c>
      <c r="AEV57">
        <v>0</v>
      </c>
      <c r="AEW57">
        <v>0</v>
      </c>
      <c r="AEX57">
        <v>0</v>
      </c>
      <c r="AEY57">
        <v>0</v>
      </c>
      <c r="AEZ57">
        <v>0</v>
      </c>
      <c r="AFA57">
        <v>0</v>
      </c>
      <c r="AFB57">
        <v>0</v>
      </c>
      <c r="AFC57">
        <v>0</v>
      </c>
      <c r="AFD57">
        <v>0</v>
      </c>
      <c r="AFE57">
        <v>0</v>
      </c>
      <c r="AFF57">
        <v>0</v>
      </c>
      <c r="AFG57">
        <v>0</v>
      </c>
      <c r="AFH57">
        <v>0</v>
      </c>
      <c r="AFI57">
        <v>0</v>
      </c>
      <c r="AFJ57">
        <v>0</v>
      </c>
      <c r="AFK57">
        <v>0</v>
      </c>
      <c r="AFL57">
        <v>0</v>
      </c>
      <c r="AFM57">
        <v>0</v>
      </c>
      <c r="AFN57">
        <v>0</v>
      </c>
      <c r="AFO57">
        <v>0</v>
      </c>
      <c r="AFP57">
        <v>0</v>
      </c>
      <c r="AFQ57">
        <v>0</v>
      </c>
      <c r="AFR57">
        <v>0</v>
      </c>
      <c r="AFS57">
        <v>0</v>
      </c>
      <c r="AFT57">
        <v>0</v>
      </c>
      <c r="AFU57">
        <v>0</v>
      </c>
      <c r="AFV57">
        <v>0</v>
      </c>
      <c r="AFW57">
        <v>0</v>
      </c>
      <c r="AFX57">
        <v>0</v>
      </c>
      <c r="AFY57">
        <v>0</v>
      </c>
      <c r="AFZ57">
        <v>0</v>
      </c>
      <c r="AGA57">
        <v>0</v>
      </c>
      <c r="AGB57">
        <v>0</v>
      </c>
      <c r="AGC57">
        <v>0</v>
      </c>
      <c r="AGD57">
        <v>0</v>
      </c>
      <c r="AGE57">
        <v>0</v>
      </c>
      <c r="AGF57">
        <v>0</v>
      </c>
      <c r="AGG57">
        <v>0</v>
      </c>
      <c r="AGH57">
        <v>0</v>
      </c>
      <c r="AGI57">
        <v>0</v>
      </c>
      <c r="AGJ57">
        <v>0</v>
      </c>
      <c r="AGK57">
        <v>0</v>
      </c>
      <c r="AGL57">
        <v>0</v>
      </c>
      <c r="AGM57">
        <v>0</v>
      </c>
      <c r="AGN57">
        <v>0</v>
      </c>
      <c r="AGO57">
        <v>0</v>
      </c>
      <c r="AGP57">
        <v>0</v>
      </c>
      <c r="AGQ57">
        <v>0</v>
      </c>
      <c r="AGR57">
        <v>0</v>
      </c>
      <c r="AGS57">
        <v>0</v>
      </c>
      <c r="AGT57">
        <v>0</v>
      </c>
      <c r="AGU57">
        <v>0</v>
      </c>
      <c r="AGV57">
        <v>0</v>
      </c>
      <c r="AGW57">
        <v>0</v>
      </c>
      <c r="AGX57">
        <v>0</v>
      </c>
      <c r="AGY57">
        <v>0</v>
      </c>
      <c r="AGZ57">
        <v>0</v>
      </c>
      <c r="AHA57">
        <v>0</v>
      </c>
      <c r="AHB57">
        <v>0</v>
      </c>
      <c r="AHC57">
        <v>0</v>
      </c>
      <c r="AHD57">
        <v>0</v>
      </c>
      <c r="AHE57">
        <v>0</v>
      </c>
      <c r="AHF57">
        <v>0</v>
      </c>
      <c r="AHG57">
        <v>0</v>
      </c>
      <c r="AHH57">
        <v>0</v>
      </c>
      <c r="AHI57">
        <v>0</v>
      </c>
      <c r="AHJ57">
        <v>0</v>
      </c>
      <c r="AHK57">
        <v>0</v>
      </c>
      <c r="AHL57">
        <v>0</v>
      </c>
      <c r="AHM57">
        <v>0</v>
      </c>
      <c r="AHN57">
        <v>0</v>
      </c>
      <c r="AHO57">
        <v>0</v>
      </c>
      <c r="AHP57">
        <v>0</v>
      </c>
      <c r="AHQ57">
        <v>0</v>
      </c>
    </row>
    <row r="58" spans="1:901">
      <c r="A58" s="1" t="s">
        <v>159</v>
      </c>
      <c r="C58" s="34">
        <f t="shared" si="28"/>
        <v>3015</v>
      </c>
      <c r="D58" s="34">
        <f t="shared" si="28"/>
        <v>1906</v>
      </c>
      <c r="E58" s="34">
        <f t="shared" si="29"/>
        <v>1357</v>
      </c>
      <c r="F58" s="34">
        <f t="shared" si="30"/>
        <v>1345</v>
      </c>
      <c r="G58" s="34">
        <f t="shared" si="31"/>
        <v>3457</v>
      </c>
      <c r="H58" s="34">
        <f t="shared" si="32"/>
        <v>1881</v>
      </c>
      <c r="I58" s="34">
        <f t="shared" si="32"/>
        <v>3074</v>
      </c>
      <c r="J58" s="34">
        <f t="shared" si="0"/>
        <v>3009</v>
      </c>
      <c r="K58" s="34">
        <f t="shared" si="0"/>
        <v>1481</v>
      </c>
      <c r="L58" s="34">
        <f t="shared" si="0"/>
        <v>3715</v>
      </c>
      <c r="M58" s="34">
        <f t="shared" si="0"/>
        <v>2841</v>
      </c>
      <c r="N58" s="34">
        <f t="shared" si="0"/>
        <v>1543</v>
      </c>
      <c r="O58" s="34">
        <f t="shared" si="0"/>
        <v>2353</v>
      </c>
      <c r="P58" s="34">
        <f t="shared" si="0"/>
        <v>2661</v>
      </c>
      <c r="Q58" s="34">
        <f t="shared" si="0"/>
        <v>3220</v>
      </c>
      <c r="R58" s="34">
        <f t="shared" si="0"/>
        <v>3061</v>
      </c>
      <c r="S58" s="34">
        <f t="shared" si="0"/>
        <v>1569</v>
      </c>
      <c r="T58" s="34">
        <f t="shared" si="0"/>
        <v>1970</v>
      </c>
      <c r="U58" s="34">
        <f t="shared" si="0"/>
        <v>2625</v>
      </c>
      <c r="V58" s="34">
        <f t="shared" si="0"/>
        <v>2819</v>
      </c>
      <c r="W58" s="34">
        <f t="shared" si="0"/>
        <v>2597</v>
      </c>
      <c r="X58" s="34">
        <f t="shared" si="0"/>
        <v>2995</v>
      </c>
      <c r="Y58" s="34">
        <f t="shared" si="63"/>
        <v>2720</v>
      </c>
      <c r="Z58" s="34">
        <f t="shared" si="1"/>
        <v>1595</v>
      </c>
      <c r="AA58" s="34">
        <f t="shared" si="1"/>
        <v>2340</v>
      </c>
      <c r="AB58" s="34">
        <f t="shared" si="1"/>
        <v>1813</v>
      </c>
      <c r="AC58" s="34">
        <f t="shared" si="1"/>
        <v>2540</v>
      </c>
      <c r="AD58" s="34">
        <f t="shared" si="1"/>
        <v>2825</v>
      </c>
      <c r="AE58" s="34">
        <f t="shared" si="1"/>
        <v>2954</v>
      </c>
      <c r="AF58" s="34">
        <f t="shared" si="1"/>
        <v>2601</v>
      </c>
      <c r="AG58" s="34">
        <f t="shared" si="1"/>
        <v>2089</v>
      </c>
      <c r="AH58" s="34">
        <f t="shared" si="1"/>
        <v>2655</v>
      </c>
      <c r="AI58" s="34">
        <f t="shared" si="1"/>
        <v>2679</v>
      </c>
      <c r="AJ58" s="34">
        <f t="shared" si="1"/>
        <v>3512</v>
      </c>
      <c r="AK58" s="34">
        <f t="shared" si="1"/>
        <v>2430</v>
      </c>
      <c r="AL58" s="34">
        <f t="shared" si="1"/>
        <v>3054</v>
      </c>
      <c r="AM58" s="34">
        <f t="shared" si="50"/>
        <v>3621</v>
      </c>
      <c r="AN58" s="34">
        <f t="shared" si="2"/>
        <v>3134</v>
      </c>
      <c r="AO58" s="34">
        <f t="shared" si="2"/>
        <v>2481</v>
      </c>
      <c r="AP58" s="34">
        <f t="shared" si="2"/>
        <v>2438</v>
      </c>
      <c r="AQ58" s="34">
        <f t="shared" si="2"/>
        <v>3710</v>
      </c>
      <c r="AR58" s="34">
        <f t="shared" si="2"/>
        <v>3857</v>
      </c>
      <c r="AS58" s="34">
        <f t="shared" si="2"/>
        <v>2696</v>
      </c>
      <c r="AT58" s="34">
        <f t="shared" si="2"/>
        <v>3073</v>
      </c>
      <c r="AU58" s="34">
        <f t="shared" si="2"/>
        <v>3341</v>
      </c>
      <c r="AV58" s="34">
        <f t="shared" si="2"/>
        <v>1214</v>
      </c>
      <c r="AW58" s="34">
        <f t="shared" si="2"/>
        <v>2650</v>
      </c>
      <c r="AX58" s="34">
        <f t="shared" si="2"/>
        <v>3081</v>
      </c>
      <c r="AY58" s="34">
        <f t="shared" si="2"/>
        <v>3271</v>
      </c>
      <c r="AZ58" s="34">
        <f t="shared" si="2"/>
        <v>3043</v>
      </c>
      <c r="BA58" s="34">
        <f t="shared" si="51"/>
        <v>2935</v>
      </c>
      <c r="BB58" s="34">
        <f t="shared" si="3"/>
        <v>4226</v>
      </c>
      <c r="BC58" s="34">
        <f t="shared" si="3"/>
        <v>2994</v>
      </c>
      <c r="BD58" s="34">
        <f t="shared" si="3"/>
        <v>3285</v>
      </c>
      <c r="BE58" s="34">
        <f t="shared" si="3"/>
        <v>4341</v>
      </c>
      <c r="BF58" s="34">
        <f t="shared" si="3"/>
        <v>3802</v>
      </c>
      <c r="BG58" s="34">
        <f t="shared" si="3"/>
        <v>3183</v>
      </c>
      <c r="BH58" s="34">
        <f t="shared" si="3"/>
        <v>4604</v>
      </c>
      <c r="BI58" s="34">
        <f t="shared" si="3"/>
        <v>3865</v>
      </c>
      <c r="BJ58" s="34">
        <f t="shared" si="3"/>
        <v>2807</v>
      </c>
      <c r="BK58" s="34">
        <f t="shared" si="3"/>
        <v>4128</v>
      </c>
      <c r="BL58" s="34">
        <f t="shared" si="3"/>
        <v>1051</v>
      </c>
      <c r="BM58" s="34">
        <f t="shared" si="3"/>
        <v>7555</v>
      </c>
      <c r="BN58" s="34">
        <f t="shared" si="3"/>
        <v>4739</v>
      </c>
      <c r="BO58" s="34">
        <f t="shared" si="52"/>
        <v>3927</v>
      </c>
      <c r="BP58" s="34">
        <f t="shared" si="52"/>
        <v>4735</v>
      </c>
      <c r="BQ58" s="34">
        <f t="shared" si="52"/>
        <v>2131</v>
      </c>
      <c r="BR58" s="34">
        <f t="shared" si="52"/>
        <v>5003</v>
      </c>
      <c r="BS58" s="34">
        <f t="shared" si="52"/>
        <v>5763</v>
      </c>
      <c r="BT58" s="34">
        <f t="shared" si="52"/>
        <v>3830</v>
      </c>
      <c r="BU58" s="34">
        <f t="shared" si="52"/>
        <v>4329</v>
      </c>
      <c r="BV58" s="34">
        <f t="shared" si="52"/>
        <v>3912</v>
      </c>
      <c r="BW58" s="34">
        <f t="shared" si="52"/>
        <v>5867</v>
      </c>
      <c r="BX58" s="34">
        <f t="shared" si="52"/>
        <v>3698</v>
      </c>
      <c r="BY58" s="34">
        <f t="shared" si="52"/>
        <v>3621</v>
      </c>
      <c r="BZ58" s="34">
        <f t="shared" si="52"/>
        <v>5267</v>
      </c>
      <c r="CA58" s="34">
        <f t="shared" si="52"/>
        <v>5599</v>
      </c>
      <c r="CB58" s="34">
        <f t="shared" si="52"/>
        <v>7473</v>
      </c>
      <c r="CC58" s="34">
        <f t="shared" si="52"/>
        <v>4961</v>
      </c>
      <c r="CD58" s="34">
        <f t="shared" si="52"/>
        <v>7362</v>
      </c>
      <c r="CE58" s="34">
        <f t="shared" si="52"/>
        <v>4117</v>
      </c>
      <c r="CF58" s="34">
        <f t="shared" si="52"/>
        <v>5622</v>
      </c>
      <c r="CG58" s="34">
        <f t="shared" si="52"/>
        <v>6353</v>
      </c>
      <c r="CH58" s="34">
        <f t="shared" si="52"/>
        <v>6385</v>
      </c>
      <c r="CI58" s="34">
        <f t="shared" si="52"/>
        <v>6045</v>
      </c>
      <c r="CJ58" s="34">
        <f t="shared" si="52"/>
        <v>6669</v>
      </c>
      <c r="CK58" s="34">
        <f t="shared" si="52"/>
        <v>6658</v>
      </c>
      <c r="CL58" s="34">
        <f t="shared" si="69"/>
        <v>4875</v>
      </c>
      <c r="CM58" s="34">
        <f t="shared" si="69"/>
        <v>6267</v>
      </c>
      <c r="CN58" s="34">
        <f t="shared" si="69"/>
        <v>7410</v>
      </c>
      <c r="CO58" s="34">
        <f t="shared" si="69"/>
        <v>8695</v>
      </c>
      <c r="CP58" s="34">
        <f t="shared" si="69"/>
        <v>7177</v>
      </c>
      <c r="CQ58" s="34">
        <f t="shared" si="69"/>
        <v>8249</v>
      </c>
      <c r="CR58" s="34">
        <f t="shared" si="69"/>
        <v>6553</v>
      </c>
      <c r="CS58" s="34">
        <f t="shared" si="69"/>
        <v>5950</v>
      </c>
      <c r="CT58" s="34">
        <f t="shared" si="69"/>
        <v>7374</v>
      </c>
      <c r="CU58" s="34">
        <f t="shared" si="69"/>
        <v>10892</v>
      </c>
      <c r="CV58" s="34">
        <f t="shared" si="69"/>
        <v>13346</v>
      </c>
      <c r="CW58" s="34">
        <f t="shared" si="69"/>
        <v>6215</v>
      </c>
      <c r="CX58" s="34">
        <f t="shared" si="69"/>
        <v>3353</v>
      </c>
      <c r="CY58" s="34">
        <f t="shared" si="69"/>
        <v>6992</v>
      </c>
      <c r="CZ58" s="34">
        <f t="shared" si="69"/>
        <v>5423</v>
      </c>
      <c r="DA58" s="34">
        <f t="shared" si="69"/>
        <v>7137</v>
      </c>
      <c r="DB58" s="34">
        <f t="shared" si="69"/>
        <v>7410</v>
      </c>
      <c r="DC58" s="34">
        <f t="shared" si="69"/>
        <v>6779</v>
      </c>
      <c r="DD58" s="34">
        <f t="shared" si="69"/>
        <v>4640</v>
      </c>
      <c r="DE58" s="34">
        <f t="shared" si="69"/>
        <v>3973</v>
      </c>
      <c r="DF58" s="34">
        <f t="shared" si="69"/>
        <v>5450</v>
      </c>
      <c r="DG58" s="34">
        <f t="shared" si="69"/>
        <v>5038</v>
      </c>
      <c r="DH58" s="34">
        <f t="shared" si="69"/>
        <v>7887</v>
      </c>
      <c r="DI58" s="34">
        <f t="shared" si="69"/>
        <v>6534</v>
      </c>
      <c r="DJ58" s="34">
        <f t="shared" si="69"/>
        <v>6031</v>
      </c>
      <c r="DK58" s="34">
        <f t="shared" si="69"/>
        <v>7215</v>
      </c>
      <c r="DL58" s="34">
        <f t="shared" si="69"/>
        <v>6336</v>
      </c>
      <c r="DM58" s="34">
        <f t="shared" si="69"/>
        <v>8502</v>
      </c>
      <c r="DN58" s="34">
        <f t="shared" si="75"/>
        <v>4933</v>
      </c>
      <c r="DO58" s="34">
        <f t="shared" si="75"/>
        <v>7826</v>
      </c>
      <c r="DP58" s="34">
        <f t="shared" si="75"/>
        <v>7385</v>
      </c>
      <c r="DQ58" s="34">
        <f t="shared" si="75"/>
        <v>7640</v>
      </c>
      <c r="DR58" s="34">
        <f t="shared" si="75"/>
        <v>8792</v>
      </c>
      <c r="DS58" s="34">
        <f t="shared" si="75"/>
        <v>8527</v>
      </c>
      <c r="DT58" s="34">
        <f t="shared" si="75"/>
        <v>6247</v>
      </c>
      <c r="DU58" s="34">
        <f t="shared" si="75"/>
        <v>4470</v>
      </c>
      <c r="DV58" s="34">
        <f t="shared" si="75"/>
        <v>6396</v>
      </c>
      <c r="DW58" s="34">
        <f t="shared" si="75"/>
        <v>7847</v>
      </c>
      <c r="DX58" s="34">
        <f t="shared" si="75"/>
        <v>7330</v>
      </c>
      <c r="DY58" s="34">
        <f t="shared" si="75"/>
        <v>9533</v>
      </c>
      <c r="DZ58" s="34">
        <f t="shared" si="75"/>
        <v>6512</v>
      </c>
      <c r="EA58" s="34">
        <f t="shared" si="75"/>
        <v>6314</v>
      </c>
      <c r="EB58" s="34">
        <f t="shared" si="75"/>
        <v>4467</v>
      </c>
      <c r="EC58" s="34">
        <f t="shared" si="75"/>
        <v>7308</v>
      </c>
      <c r="ED58" s="34">
        <f t="shared" si="75"/>
        <v>7628</v>
      </c>
      <c r="EE58" s="34">
        <f t="shared" si="75"/>
        <v>7290</v>
      </c>
      <c r="EF58" s="34">
        <f t="shared" si="75"/>
        <v>8468</v>
      </c>
      <c r="EG58" s="34">
        <f t="shared" si="75"/>
        <v>6077</v>
      </c>
      <c r="EH58" s="34">
        <f t="shared" si="75"/>
        <v>5302</v>
      </c>
      <c r="EI58" s="34">
        <f t="shared" si="75"/>
        <v>4097</v>
      </c>
      <c r="EJ58" s="34">
        <f t="shared" si="75"/>
        <v>7104</v>
      </c>
      <c r="EK58" s="34">
        <f t="shared" si="75"/>
        <v>7829</v>
      </c>
      <c r="EL58" s="34">
        <f t="shared" si="75"/>
        <v>6814</v>
      </c>
      <c r="EM58" s="34">
        <f t="shared" si="75"/>
        <v>5792</v>
      </c>
      <c r="EN58" s="34">
        <f t="shared" si="75"/>
        <v>4662</v>
      </c>
      <c r="EO58" s="34">
        <f t="shared" si="75"/>
        <v>4835</v>
      </c>
      <c r="EP58" s="34">
        <f t="shared" si="75"/>
        <v>5632</v>
      </c>
      <c r="EQ58" s="34">
        <f t="shared" si="75"/>
        <v>6563</v>
      </c>
      <c r="ER58" s="34">
        <f t="shared" si="75"/>
        <v>6933</v>
      </c>
      <c r="ES58" s="34">
        <f t="shared" si="75"/>
        <v>6126</v>
      </c>
      <c r="ET58" s="34">
        <f t="shared" si="75"/>
        <v>5817</v>
      </c>
      <c r="EU58" s="34">
        <f t="shared" si="75"/>
        <v>5759</v>
      </c>
      <c r="EV58" s="34">
        <f t="shared" si="75"/>
        <v>5614</v>
      </c>
      <c r="EW58" s="34">
        <f t="shared" si="75"/>
        <v>3402</v>
      </c>
      <c r="EX58" s="34">
        <f t="shared" si="75"/>
        <v>5010</v>
      </c>
      <c r="EY58" s="34">
        <f t="shared" si="75"/>
        <v>6032</v>
      </c>
      <c r="EZ58" s="34">
        <f t="shared" si="75"/>
        <v>6562</v>
      </c>
      <c r="FA58" s="34">
        <f t="shared" si="75"/>
        <v>6611</v>
      </c>
      <c r="FB58" s="34">
        <f t="shared" si="75"/>
        <v>6359</v>
      </c>
      <c r="FC58" s="34">
        <f t="shared" si="75"/>
        <v>5304</v>
      </c>
      <c r="FD58" s="34">
        <f t="shared" si="75"/>
        <v>4867</v>
      </c>
      <c r="FE58" s="34">
        <f t="shared" si="53"/>
        <v>0</v>
      </c>
      <c r="FF58" s="34">
        <f t="shared" si="53"/>
        <v>14755</v>
      </c>
      <c r="FG58" s="34">
        <f t="shared" si="53"/>
        <v>7034</v>
      </c>
      <c r="FH58" s="34">
        <f t="shared" si="53"/>
        <v>8262</v>
      </c>
      <c r="FI58" s="34">
        <f t="shared" si="53"/>
        <v>6493</v>
      </c>
      <c r="FJ58" s="34">
        <f t="shared" si="53"/>
        <v>5540</v>
      </c>
      <c r="FK58" s="34">
        <f t="shared" si="53"/>
        <v>5478</v>
      </c>
      <c r="FL58" s="34">
        <f t="shared" si="53"/>
        <v>6548</v>
      </c>
      <c r="FM58" s="34">
        <f t="shared" si="53"/>
        <v>7118</v>
      </c>
      <c r="FN58" s="34">
        <v>6701</v>
      </c>
      <c r="FO58" s="34">
        <f t="shared" si="6"/>
        <v>7198</v>
      </c>
      <c r="FP58" s="34">
        <v>9318</v>
      </c>
      <c r="FQ58" s="34">
        <v>5403</v>
      </c>
      <c r="FR58" s="34">
        <v>6539</v>
      </c>
      <c r="FS58" s="34">
        <v>6951</v>
      </c>
      <c r="FT58" s="34">
        <f t="shared" si="9"/>
        <v>6999</v>
      </c>
      <c r="FU58" s="34">
        <f t="shared" si="9"/>
        <v>15861</v>
      </c>
      <c r="FV58" s="34">
        <f t="shared" si="9"/>
        <v>12457</v>
      </c>
      <c r="FW58" s="34">
        <f t="shared" si="9"/>
        <v>16324</v>
      </c>
      <c r="FX58" s="34">
        <f t="shared" si="9"/>
        <v>10129</v>
      </c>
      <c r="FY58" s="34">
        <f t="shared" si="9"/>
        <v>10257</v>
      </c>
      <c r="FZ58" s="34">
        <f t="shared" si="9"/>
        <v>9835</v>
      </c>
      <c r="GA58" s="34">
        <f t="shared" si="9"/>
        <v>13078</v>
      </c>
      <c r="GB58" s="34">
        <f t="shared" si="9"/>
        <v>11462</v>
      </c>
      <c r="GC58" s="34">
        <f t="shared" si="9"/>
        <v>15002</v>
      </c>
      <c r="GD58" s="34">
        <f t="shared" si="9"/>
        <v>12007</v>
      </c>
      <c r="GE58" s="34">
        <f t="shared" si="9"/>
        <v>16308</v>
      </c>
      <c r="GF58" s="34">
        <f t="shared" si="9"/>
        <v>14952</v>
      </c>
      <c r="GG58" s="34">
        <f t="shared" si="64"/>
        <v>11097</v>
      </c>
      <c r="GH58" s="34">
        <f t="shared" si="10"/>
        <v>10038</v>
      </c>
      <c r="GI58" s="34">
        <f t="shared" si="10"/>
        <v>11657</v>
      </c>
      <c r="GJ58" s="34">
        <f t="shared" si="10"/>
        <v>18903</v>
      </c>
      <c r="GK58" s="34">
        <f t="shared" si="10"/>
        <v>13098</v>
      </c>
      <c r="GL58" s="34">
        <f t="shared" si="10"/>
        <v>11417</v>
      </c>
      <c r="GM58" s="34">
        <f t="shared" si="10"/>
        <v>15101</v>
      </c>
      <c r="GN58" s="34">
        <f t="shared" si="10"/>
        <v>17864</v>
      </c>
      <c r="GO58" s="34">
        <f t="shared" si="10"/>
        <v>19414</v>
      </c>
      <c r="GP58" s="34">
        <f t="shared" si="10"/>
        <v>15104</v>
      </c>
      <c r="GQ58" s="34">
        <f t="shared" si="10"/>
        <v>14452</v>
      </c>
      <c r="GR58" s="34">
        <f t="shared" si="10"/>
        <v>15901</v>
      </c>
      <c r="GS58" s="34">
        <f t="shared" si="10"/>
        <v>14086</v>
      </c>
      <c r="GT58" s="34">
        <f t="shared" si="10"/>
        <v>10912</v>
      </c>
      <c r="GU58" s="34">
        <f t="shared" si="54"/>
        <v>13955</v>
      </c>
      <c r="GV58" s="34">
        <f t="shared" si="11"/>
        <v>13395</v>
      </c>
      <c r="GW58" s="34">
        <f t="shared" si="11"/>
        <v>18209</v>
      </c>
      <c r="GX58" s="34">
        <f t="shared" si="11"/>
        <v>15815</v>
      </c>
      <c r="GY58" s="34">
        <f t="shared" si="11"/>
        <v>15345</v>
      </c>
      <c r="GZ58" s="34">
        <f t="shared" si="11"/>
        <v>12990</v>
      </c>
      <c r="HA58" s="34">
        <f t="shared" si="11"/>
        <v>14333</v>
      </c>
      <c r="HB58" s="34">
        <f t="shared" si="12"/>
        <v>28666</v>
      </c>
      <c r="HC58" s="34">
        <f t="shared" si="13"/>
        <v>14200</v>
      </c>
      <c r="HD58" s="34">
        <f t="shared" ref="HD58" si="78">HD37-HC37</f>
        <v>18835</v>
      </c>
      <c r="HE58" s="34">
        <f t="shared" si="13"/>
        <v>13496</v>
      </c>
      <c r="HF58" s="34">
        <f t="shared" si="13"/>
        <v>13108</v>
      </c>
      <c r="HG58" s="34">
        <f t="shared" si="13"/>
        <v>9765</v>
      </c>
      <c r="HH58" s="34">
        <f t="shared" si="13"/>
        <v>11273</v>
      </c>
      <c r="HI58" s="34">
        <f t="shared" si="13"/>
        <v>16076</v>
      </c>
      <c r="HJ58" s="34">
        <f t="shared" si="13"/>
        <v>17646</v>
      </c>
      <c r="HK58" s="34">
        <f t="shared" si="13"/>
        <v>17638</v>
      </c>
      <c r="HL58" s="34">
        <f t="shared" si="13"/>
        <v>14281</v>
      </c>
      <c r="HM58" s="34">
        <f t="shared" si="13"/>
        <v>13107</v>
      </c>
      <c r="HN58" s="34">
        <f t="shared" si="13"/>
        <v>13912</v>
      </c>
      <c r="HO58" s="34">
        <f t="shared" si="13"/>
        <v>10927</v>
      </c>
      <c r="HP58" s="34">
        <f t="shared" si="13"/>
        <v>14368</v>
      </c>
      <c r="HQ58" s="34">
        <f t="shared" si="77"/>
        <v>15171</v>
      </c>
      <c r="HR58" s="34">
        <f t="shared" si="14"/>
        <v>14347</v>
      </c>
      <c r="HS58" s="34">
        <f t="shared" si="14"/>
        <v>12812</v>
      </c>
      <c r="HT58" s="34">
        <f t="shared" si="14"/>
        <v>12162</v>
      </c>
      <c r="HU58" s="34">
        <f t="shared" si="14"/>
        <v>6538</v>
      </c>
      <c r="HV58" s="34">
        <f t="shared" si="14"/>
        <v>8117</v>
      </c>
      <c r="HW58" s="34">
        <f t="shared" si="14"/>
        <v>13894</v>
      </c>
      <c r="HX58" s="34">
        <f t="shared" si="14"/>
        <v>14230</v>
      </c>
      <c r="HY58" s="34">
        <f t="shared" si="14"/>
        <v>15979</v>
      </c>
      <c r="HZ58" s="34">
        <f t="shared" si="14"/>
        <v>12870</v>
      </c>
      <c r="IA58" s="34">
        <f t="shared" si="14"/>
        <v>11439</v>
      </c>
      <c r="IB58" s="34">
        <f t="shared" si="14"/>
        <v>12110</v>
      </c>
      <c r="IC58" s="34">
        <f t="shared" si="14"/>
        <v>10232</v>
      </c>
      <c r="ID58" s="34">
        <f t="shared" si="14"/>
        <v>15160</v>
      </c>
      <c r="IE58" s="34">
        <f t="shared" si="66"/>
        <v>14806</v>
      </c>
      <c r="IF58" s="34">
        <f t="shared" si="15"/>
        <v>16144</v>
      </c>
      <c r="IG58" s="34">
        <f t="shared" si="15"/>
        <v>14976</v>
      </c>
      <c r="IH58" s="34">
        <f t="shared" si="15"/>
        <v>12849</v>
      </c>
      <c r="II58" s="34">
        <f t="shared" si="15"/>
        <v>11571</v>
      </c>
      <c r="IJ58" s="34">
        <f t="shared" si="15"/>
        <v>11148</v>
      </c>
      <c r="IK58" s="34">
        <f t="shared" si="15"/>
        <v>14201</v>
      </c>
      <c r="IL58" s="34">
        <f t="shared" si="15"/>
        <v>14060</v>
      </c>
      <c r="IM58" s="34">
        <f t="shared" si="15"/>
        <v>21237</v>
      </c>
      <c r="IN58" s="34">
        <f t="shared" si="15"/>
        <v>17608</v>
      </c>
      <c r="IO58" s="34">
        <f t="shared" si="15"/>
        <v>16421</v>
      </c>
      <c r="IP58" s="34">
        <f t="shared" si="15"/>
        <v>13177</v>
      </c>
      <c r="IQ58" s="34">
        <f t="shared" si="15"/>
        <v>11723</v>
      </c>
      <c r="IR58" s="34">
        <f t="shared" si="15"/>
        <v>19179</v>
      </c>
      <c r="IS58" s="34">
        <f t="shared" si="56"/>
        <v>21368</v>
      </c>
      <c r="IT58" s="34">
        <f t="shared" si="44"/>
        <v>20597</v>
      </c>
      <c r="IU58" s="34">
        <f t="shared" si="16"/>
        <v>10658</v>
      </c>
      <c r="IV58" s="34">
        <f t="shared" si="16"/>
        <v>35795</v>
      </c>
      <c r="IW58" s="34">
        <f t="shared" si="16"/>
        <v>16377</v>
      </c>
      <c r="IX58" s="34">
        <f t="shared" si="16"/>
        <v>16889</v>
      </c>
      <c r="IY58" s="34">
        <f t="shared" si="16"/>
        <v>21699</v>
      </c>
      <c r="IZ58" s="34">
        <f t="shared" si="16"/>
        <v>23506</v>
      </c>
      <c r="JA58" s="34">
        <f t="shared" si="16"/>
        <v>18610</v>
      </c>
      <c r="JB58" s="34">
        <f t="shared" si="16"/>
        <v>21392</v>
      </c>
      <c r="JC58" s="34">
        <f t="shared" si="16"/>
        <v>32319</v>
      </c>
      <c r="JD58" s="34">
        <f t="shared" si="16"/>
        <v>16215</v>
      </c>
      <c r="JE58" s="34">
        <f t="shared" si="16"/>
        <v>16229</v>
      </c>
      <c r="JF58" s="34">
        <f t="shared" si="16"/>
        <v>23566</v>
      </c>
      <c r="JG58" s="34">
        <f t="shared" si="16"/>
        <v>22520</v>
      </c>
      <c r="JH58" s="34">
        <f t="shared" si="67"/>
        <v>23970</v>
      </c>
      <c r="JI58" s="34">
        <f t="shared" si="17"/>
        <v>21409</v>
      </c>
      <c r="JJ58" s="34">
        <f t="shared" si="17"/>
        <v>20382</v>
      </c>
      <c r="JK58" s="34">
        <f t="shared" si="17"/>
        <v>13980</v>
      </c>
      <c r="JL58" s="34">
        <f t="shared" si="17"/>
        <v>15546</v>
      </c>
      <c r="JM58" s="34">
        <f t="shared" si="17"/>
        <v>19669</v>
      </c>
      <c r="JN58" s="34">
        <f t="shared" si="17"/>
        <v>20249</v>
      </c>
      <c r="JO58" s="34">
        <f t="shared" si="17"/>
        <v>18915</v>
      </c>
      <c r="JP58" s="34">
        <f t="shared" si="17"/>
        <v>19476</v>
      </c>
      <c r="JQ58" s="34">
        <f t="shared" si="17"/>
        <v>17328</v>
      </c>
      <c r="JR58" s="34">
        <f t="shared" si="17"/>
        <v>11728</v>
      </c>
      <c r="JS58" s="34">
        <f t="shared" si="17"/>
        <v>11933</v>
      </c>
      <c r="JT58" s="34">
        <f t="shared" si="17"/>
        <v>17502</v>
      </c>
      <c r="JU58" s="34">
        <f t="shared" si="17"/>
        <v>16916</v>
      </c>
      <c r="JV58" s="34">
        <f t="shared" si="57"/>
        <v>16951</v>
      </c>
      <c r="JW58" s="34">
        <f t="shared" si="18"/>
        <v>15058</v>
      </c>
      <c r="JX58" s="34">
        <f t="shared" si="18"/>
        <v>13980</v>
      </c>
      <c r="JY58" s="34">
        <f t="shared" si="18"/>
        <v>9997</v>
      </c>
      <c r="JZ58" s="34">
        <f t="shared" si="18"/>
        <v>10883</v>
      </c>
      <c r="KA58" s="34">
        <f t="shared" si="18"/>
        <v>13184</v>
      </c>
      <c r="KB58" s="34">
        <f t="shared" si="18"/>
        <v>12116</v>
      </c>
      <c r="KC58" s="34">
        <f t="shared" si="18"/>
        <v>12464</v>
      </c>
      <c r="KD58" s="34">
        <f t="shared" si="18"/>
        <v>10637</v>
      </c>
      <c r="KE58" s="34">
        <f t="shared" si="18"/>
        <v>9414</v>
      </c>
      <c r="KF58" s="34">
        <f t="shared" si="18"/>
        <v>7602</v>
      </c>
      <c r="KG58" s="34">
        <f t="shared" si="18"/>
        <v>8034</v>
      </c>
      <c r="KH58" s="34">
        <f t="shared" si="18"/>
        <v>11129</v>
      </c>
      <c r="KI58" s="34">
        <f t="shared" si="18"/>
        <v>9443</v>
      </c>
      <c r="KJ58" s="34">
        <f t="shared" si="58"/>
        <v>10027</v>
      </c>
      <c r="KK58" s="34">
        <f t="shared" si="19"/>
        <v>9184</v>
      </c>
      <c r="KL58" s="34">
        <f t="shared" si="19"/>
        <v>8186</v>
      </c>
      <c r="KM58" s="34">
        <f t="shared" si="19"/>
        <v>5981</v>
      </c>
      <c r="KN58" s="34">
        <f t="shared" si="19"/>
        <v>6463</v>
      </c>
      <c r="KO58" s="34">
        <f t="shared" si="19"/>
        <v>9220</v>
      </c>
      <c r="KP58" s="34">
        <f t="shared" si="19"/>
        <v>9456</v>
      </c>
      <c r="KQ58" s="34">
        <f t="shared" si="19"/>
        <v>7256</v>
      </c>
      <c r="KR58" s="34">
        <f t="shared" si="19"/>
        <v>8925</v>
      </c>
      <c r="KS58" s="34">
        <f t="shared" si="19"/>
        <v>7639</v>
      </c>
      <c r="KT58" s="34">
        <f t="shared" si="19"/>
        <v>4949</v>
      </c>
      <c r="KU58" s="34">
        <f t="shared" si="19"/>
        <v>5893</v>
      </c>
      <c r="KV58" s="34">
        <f t="shared" si="19"/>
        <v>9113</v>
      </c>
      <c r="KW58" s="34">
        <f t="shared" si="19"/>
        <v>8112</v>
      </c>
      <c r="KX58" s="34">
        <f t="shared" si="59"/>
        <v>8898</v>
      </c>
      <c r="KY58" s="34">
        <f t="shared" si="20"/>
        <v>8601</v>
      </c>
      <c r="KZ58" s="34">
        <f t="shared" si="20"/>
        <v>8184</v>
      </c>
      <c r="LA58" s="34">
        <f t="shared" si="34"/>
        <v>5544</v>
      </c>
      <c r="LB58" s="34">
        <f t="shared" si="35"/>
        <v>7688</v>
      </c>
      <c r="LC58" s="34">
        <f t="shared" si="36"/>
        <v>9670</v>
      </c>
      <c r="LD58" s="34">
        <f t="shared" si="37"/>
        <v>8991</v>
      </c>
      <c r="LE58" s="34">
        <f t="shared" si="38"/>
        <v>9026</v>
      </c>
      <c r="LF58" s="34">
        <f t="shared" si="39"/>
        <v>8111</v>
      </c>
      <c r="LG58" s="34">
        <f t="shared" si="21"/>
        <v>7303</v>
      </c>
      <c r="LH58" s="34">
        <f t="shared" si="21"/>
        <v>3119</v>
      </c>
      <c r="LI58" s="34">
        <f t="shared" si="21"/>
        <v>7958</v>
      </c>
      <c r="LJ58" s="34">
        <f t="shared" si="21"/>
        <v>4949</v>
      </c>
      <c r="LK58" s="34">
        <f t="shared" si="21"/>
        <v>13540</v>
      </c>
      <c r="LL58" s="34">
        <f t="shared" si="21"/>
        <v>13325</v>
      </c>
      <c r="LM58" s="34">
        <f t="shared" si="21"/>
        <v>13778</v>
      </c>
      <c r="LN58" s="34">
        <f t="shared" si="21"/>
        <v>11457</v>
      </c>
      <c r="LO58" s="34">
        <f t="shared" si="21"/>
        <v>10109</v>
      </c>
      <c r="LP58" s="34">
        <f t="shared" si="21"/>
        <v>7709</v>
      </c>
      <c r="LQ58" s="34">
        <f t="shared" si="21"/>
        <v>9913</v>
      </c>
      <c r="LR58" s="34">
        <f t="shared" si="21"/>
        <v>10948</v>
      </c>
      <c r="LS58" s="34">
        <f t="shared" si="21"/>
        <v>10559</v>
      </c>
      <c r="LT58" s="34">
        <f t="shared" si="21"/>
        <v>10230</v>
      </c>
      <c r="LU58" s="34">
        <f t="shared" si="21"/>
        <v>8748</v>
      </c>
      <c r="LV58" s="34">
        <f t="shared" si="68"/>
        <v>6658</v>
      </c>
      <c r="LW58" s="34">
        <f t="shared" si="22"/>
        <v>6720</v>
      </c>
      <c r="LX58" s="34">
        <f t="shared" si="22"/>
        <v>10453</v>
      </c>
      <c r="LY58" s="34">
        <f t="shared" si="22"/>
        <v>10539</v>
      </c>
      <c r="LZ58" s="34">
        <f t="shared" si="22"/>
        <v>10378</v>
      </c>
      <c r="MA58" s="34">
        <f t="shared" si="22"/>
        <v>10208</v>
      </c>
      <c r="MB58" s="34">
        <f t="shared" si="22"/>
        <v>8447</v>
      </c>
      <c r="MC58" s="34">
        <f t="shared" si="22"/>
        <v>6847</v>
      </c>
      <c r="MD58" s="34">
        <f t="shared" si="22"/>
        <v>6484</v>
      </c>
      <c r="ME58" s="34">
        <f t="shared" si="22"/>
        <v>9134</v>
      </c>
      <c r="MF58" s="34">
        <f t="shared" si="22"/>
        <v>7203</v>
      </c>
      <c r="MG58" s="34">
        <f t="shared" si="22"/>
        <v>5400</v>
      </c>
      <c r="MH58" s="34">
        <f t="shared" si="22"/>
        <v>6584</v>
      </c>
      <c r="MI58" s="34">
        <f t="shared" si="22"/>
        <v>6346</v>
      </c>
      <c r="MJ58" s="34">
        <f t="shared" si="60"/>
        <v>4093</v>
      </c>
      <c r="MK58" s="34">
        <f t="shared" si="23"/>
        <v>9732</v>
      </c>
      <c r="ML58" s="34">
        <f t="shared" si="23"/>
        <v>16700</v>
      </c>
      <c r="MM58" s="34">
        <f t="shared" si="23"/>
        <v>10764</v>
      </c>
      <c r="MN58" s="34">
        <f t="shared" si="23"/>
        <v>10078</v>
      </c>
      <c r="MO58" s="34">
        <f t="shared" si="23"/>
        <v>10027</v>
      </c>
      <c r="MP58" s="34">
        <f t="shared" si="23"/>
        <v>6938</v>
      </c>
      <c r="MQ58" s="34">
        <f t="shared" si="23"/>
        <v>6324</v>
      </c>
      <c r="MR58" s="34">
        <f t="shared" si="23"/>
        <v>7444</v>
      </c>
      <c r="MS58" s="34">
        <f t="shared" si="23"/>
        <v>10327</v>
      </c>
      <c r="MT58" s="34">
        <f t="shared" si="23"/>
        <v>10326</v>
      </c>
      <c r="MU58" s="34">
        <f t="shared" si="23"/>
        <v>9716</v>
      </c>
      <c r="MV58" s="34">
        <f t="shared" si="23"/>
        <v>8380</v>
      </c>
      <c r="MW58" s="34">
        <f t="shared" si="23"/>
        <v>8285</v>
      </c>
      <c r="MX58" s="34">
        <f t="shared" si="61"/>
        <v>5128</v>
      </c>
      <c r="MY58" s="34">
        <f t="shared" si="24"/>
        <v>6923</v>
      </c>
      <c r="MZ58" s="34">
        <f t="shared" si="25"/>
        <v>9331</v>
      </c>
      <c r="NA58" s="34">
        <f t="shared" si="25"/>
        <v>10352</v>
      </c>
      <c r="NB58" s="34">
        <f t="shared" si="25"/>
        <v>7639</v>
      </c>
      <c r="NC58" s="34">
        <f t="shared" si="25"/>
        <v>8658</v>
      </c>
      <c r="ND58" s="34">
        <f t="shared" si="25"/>
        <v>8082</v>
      </c>
      <c r="NE58" s="34">
        <f t="shared" si="25"/>
        <v>5503</v>
      </c>
      <c r="NF58" s="34">
        <f t="shared" si="25"/>
        <v>0</v>
      </c>
      <c r="NG58" s="34">
        <f t="shared" si="25"/>
        <v>16112</v>
      </c>
      <c r="NH58" s="34">
        <f t="shared" si="25"/>
        <v>8417</v>
      </c>
      <c r="NI58" s="34">
        <f t="shared" si="25"/>
        <v>7204</v>
      </c>
      <c r="NJ58" s="34">
        <f t="shared" si="25"/>
        <v>7754</v>
      </c>
      <c r="NK58" s="34">
        <f t="shared" si="25"/>
        <v>6414</v>
      </c>
      <c r="NL58" s="34">
        <f t="shared" si="25"/>
        <v>5042</v>
      </c>
      <c r="NM58" s="34">
        <f t="shared" si="62"/>
        <v>6355</v>
      </c>
      <c r="NN58" s="34">
        <f t="shared" si="26"/>
        <v>7931</v>
      </c>
      <c r="NO58" s="34">
        <f t="shared" si="27"/>
        <v>7918</v>
      </c>
      <c r="NP58" s="34">
        <v>8145</v>
      </c>
      <c r="NQ58" s="34">
        <v>8982</v>
      </c>
      <c r="NR58" s="34">
        <v>6862</v>
      </c>
      <c r="NS58" s="34">
        <v>5204</v>
      </c>
      <c r="NT58" s="34">
        <v>6161</v>
      </c>
      <c r="NU58" s="34">
        <v>8168</v>
      </c>
      <c r="NV58" s="34">
        <v>8996</v>
      </c>
      <c r="NW58" s="34">
        <v>7507</v>
      </c>
      <c r="NX58">
        <v>7959</v>
      </c>
      <c r="NY58" s="34">
        <v>6662</v>
      </c>
      <c r="NZ58" s="34">
        <v>4240</v>
      </c>
      <c r="OA58" s="34">
        <v>4699</v>
      </c>
      <c r="OB58" s="34">
        <v>6937</v>
      </c>
      <c r="OC58" s="34">
        <v>10937</v>
      </c>
      <c r="OD58" s="34">
        <v>10098</v>
      </c>
      <c r="OE58" s="34">
        <v>8550</v>
      </c>
      <c r="OF58" s="34">
        <v>7728</v>
      </c>
      <c r="OG58" s="34">
        <v>5464</v>
      </c>
      <c r="OH58" s="34">
        <v>6738</v>
      </c>
      <c r="OI58" s="34">
        <v>9669</v>
      </c>
      <c r="OJ58" s="34">
        <v>10109</v>
      </c>
      <c r="OK58" s="34">
        <v>10146</v>
      </c>
      <c r="OL58" s="34">
        <v>9302</v>
      </c>
      <c r="OM58" s="34">
        <v>8105</v>
      </c>
      <c r="ON58" s="34">
        <v>5646</v>
      </c>
      <c r="OO58" s="34">
        <v>6575</v>
      </c>
      <c r="OP58" s="34">
        <v>10134</v>
      </c>
      <c r="OQ58" s="34">
        <v>10864</v>
      </c>
      <c r="OR58" s="34">
        <v>10649</v>
      </c>
      <c r="OS58" s="34">
        <f t="shared" si="40"/>
        <v>10611</v>
      </c>
      <c r="OT58" s="34">
        <f t="shared" si="40"/>
        <v>10096</v>
      </c>
      <c r="OU58" s="34">
        <v>6884</v>
      </c>
      <c r="OV58" s="34">
        <v>7014</v>
      </c>
      <c r="OW58" s="34">
        <v>9496</v>
      </c>
      <c r="OX58" s="34">
        <v>9039</v>
      </c>
      <c r="OY58" s="34">
        <v>12520</v>
      </c>
      <c r="OZ58" s="34">
        <v>10231</v>
      </c>
      <c r="PA58" s="34">
        <v>9618</v>
      </c>
      <c r="PB58" s="34">
        <v>7038</v>
      </c>
      <c r="PC58" s="34">
        <v>6952</v>
      </c>
      <c r="PD58" s="34">
        <v>10694</v>
      </c>
      <c r="PE58" s="34">
        <v>9817</v>
      </c>
      <c r="PF58" s="34">
        <v>10078</v>
      </c>
      <c r="PG58" s="34">
        <v>9784</v>
      </c>
      <c r="PH58" s="34">
        <v>9864</v>
      </c>
      <c r="PI58" s="34">
        <v>6179</v>
      </c>
      <c r="PJ58" s="34">
        <v>7214</v>
      </c>
      <c r="PK58" s="34">
        <v>9306</v>
      </c>
      <c r="PL58" s="34">
        <v>11173</v>
      </c>
      <c r="PM58" s="34">
        <v>10124</v>
      </c>
      <c r="PN58" s="34">
        <v>10128</v>
      </c>
      <c r="PO58" s="34">
        <v>8579</v>
      </c>
      <c r="PP58" s="34">
        <v>5944</v>
      </c>
      <c r="PQ58" s="34">
        <v>7811</v>
      </c>
      <c r="PR58" s="34">
        <v>10268</v>
      </c>
      <c r="PS58" s="34">
        <v>10296</v>
      </c>
      <c r="PT58" s="34">
        <v>10742</v>
      </c>
      <c r="PU58" s="34">
        <v>9938</v>
      </c>
      <c r="PV58" s="34">
        <v>9495</v>
      </c>
      <c r="PW58" s="34">
        <v>6894</v>
      </c>
      <c r="PX58" s="34">
        <v>8015</v>
      </c>
      <c r="PY58" s="34">
        <v>10518</v>
      </c>
      <c r="PZ58" s="34">
        <v>9763</v>
      </c>
      <c r="QA58" s="34">
        <v>9982</v>
      </c>
      <c r="QB58" s="34">
        <v>9703</v>
      </c>
      <c r="QC58" s="34">
        <v>7311</v>
      </c>
      <c r="QD58" s="34">
        <v>6497</v>
      </c>
      <c r="QE58" s="34">
        <v>6561</v>
      </c>
      <c r="QF58" s="34">
        <v>8887</v>
      </c>
      <c r="QG58" s="34">
        <v>8990</v>
      </c>
      <c r="QH58" s="34">
        <v>8501</v>
      </c>
      <c r="QI58" s="34">
        <v>9896</v>
      </c>
      <c r="QJ58" s="34">
        <v>6967</v>
      </c>
      <c r="QK58" s="34">
        <v>10117</v>
      </c>
      <c r="QL58" s="34">
        <v>7142</v>
      </c>
      <c r="QM58" s="34">
        <v>10865</v>
      </c>
      <c r="QN58" s="34">
        <v>9984</v>
      </c>
      <c r="QO58" s="34">
        <v>9193</v>
      </c>
      <c r="QP58" s="34">
        <v>10097</v>
      </c>
      <c r="QQ58" s="34">
        <v>9825</v>
      </c>
      <c r="QR58" s="34">
        <v>7112</v>
      </c>
      <c r="QS58" s="34">
        <v>9622</v>
      </c>
      <c r="QT58" s="34">
        <v>10632</v>
      </c>
      <c r="QU58" s="34">
        <v>11396</v>
      </c>
      <c r="QV58" s="34">
        <v>9436</v>
      </c>
      <c r="QW58" s="34">
        <v>11404</v>
      </c>
      <c r="QX58" s="34">
        <v>5354</v>
      </c>
      <c r="QY58" s="34">
        <v>3505</v>
      </c>
      <c r="QZ58" s="34">
        <v>9838</v>
      </c>
      <c r="RA58" s="34">
        <v>13047</v>
      </c>
      <c r="RB58" s="34">
        <v>18971</v>
      </c>
      <c r="RC58" s="34">
        <v>13891</v>
      </c>
      <c r="RD58" s="34">
        <v>21321</v>
      </c>
      <c r="RE58" s="34">
        <v>9945</v>
      </c>
      <c r="RF58" s="34">
        <v>7546</v>
      </c>
      <c r="RG58" s="34">
        <v>13561</v>
      </c>
      <c r="RH58" s="34">
        <v>19297</v>
      </c>
      <c r="RI58" s="34">
        <v>23550</v>
      </c>
      <c r="RJ58" s="34">
        <v>24809</v>
      </c>
      <c r="RK58" s="34">
        <v>23867</v>
      </c>
      <c r="RL58" s="34">
        <v>27499</v>
      </c>
      <c r="RM58" s="34">
        <v>24201</v>
      </c>
      <c r="RN58" s="34">
        <v>24677</v>
      </c>
      <c r="RO58" s="34">
        <v>24019</v>
      </c>
      <c r="RP58" s="34">
        <v>33224</v>
      </c>
      <c r="RQ58" s="34">
        <v>36302</v>
      </c>
      <c r="RR58" s="34">
        <v>35171</v>
      </c>
      <c r="RS58" s="34">
        <v>36487</v>
      </c>
      <c r="RT58" s="34">
        <v>26509</v>
      </c>
      <c r="RU58" s="34">
        <v>24605</v>
      </c>
      <c r="RV58" s="34">
        <v>37352</v>
      </c>
      <c r="RW58" s="34">
        <v>32043</v>
      </c>
      <c r="RX58" s="34">
        <v>35283</v>
      </c>
      <c r="RY58" s="34">
        <v>32482</v>
      </c>
      <c r="RZ58" s="34">
        <v>29915</v>
      </c>
      <c r="SA58" s="34">
        <v>25231</v>
      </c>
      <c r="SB58" s="34">
        <v>23238</v>
      </c>
      <c r="SC58" s="34">
        <v>30662</v>
      </c>
      <c r="SD58" s="34">
        <v>23657</v>
      </c>
      <c r="SE58" s="34">
        <v>23944</v>
      </c>
      <c r="SF58" s="34">
        <v>33516</v>
      </c>
      <c r="SG58" s="34">
        <v>25775</v>
      </c>
      <c r="SH58" s="34">
        <v>19241</v>
      </c>
      <c r="SI58" s="34">
        <v>19772</v>
      </c>
      <c r="SJ58" s="34">
        <v>44816</v>
      </c>
      <c r="SK58" s="34">
        <v>28115</v>
      </c>
      <c r="SL58" s="34">
        <v>27460</v>
      </c>
      <c r="SM58" s="34">
        <v>26450</v>
      </c>
      <c r="SN58" s="34">
        <v>24366</v>
      </c>
      <c r="SO58" s="34">
        <v>15811</v>
      </c>
      <c r="SP58" s="34">
        <v>17748</v>
      </c>
      <c r="SQ58" s="34">
        <v>24199</v>
      </c>
      <c r="SR58" s="34">
        <v>20546</v>
      </c>
      <c r="SS58" s="34">
        <v>22827</v>
      </c>
      <c r="ST58" s="34">
        <v>19938</v>
      </c>
      <c r="SU58" s="34">
        <v>18105</v>
      </c>
      <c r="SV58" s="34">
        <v>12764</v>
      </c>
      <c r="SW58" s="34">
        <v>13411</v>
      </c>
      <c r="SX58" s="34">
        <v>18348</v>
      </c>
      <c r="SY58" s="34">
        <v>17082</v>
      </c>
      <c r="SZ58" s="34">
        <v>15966</v>
      </c>
      <c r="TA58" s="34">
        <v>20424</v>
      </c>
      <c r="TB58" s="34">
        <v>14136</v>
      </c>
      <c r="TC58" s="34">
        <v>9864</v>
      </c>
      <c r="TD58" s="34">
        <v>11498</v>
      </c>
      <c r="TE58" s="34">
        <v>14745</v>
      </c>
      <c r="TF58" s="34">
        <v>14122</v>
      </c>
      <c r="TG58" s="34">
        <v>13701</v>
      </c>
      <c r="TH58" s="34">
        <v>11450</v>
      </c>
      <c r="TI58" s="34">
        <v>10369</v>
      </c>
      <c r="TJ58" s="34">
        <v>7890</v>
      </c>
      <c r="TK58" s="34">
        <v>6788</v>
      </c>
      <c r="TL58" s="34">
        <v>7632</v>
      </c>
      <c r="TM58" s="34">
        <v>10036</v>
      </c>
      <c r="TN58" s="34">
        <v>10008</v>
      </c>
      <c r="TO58" s="34">
        <v>9975</v>
      </c>
      <c r="TP58" s="34">
        <v>10129</v>
      </c>
      <c r="TQ58" s="34">
        <v>6021</v>
      </c>
      <c r="TR58" s="34">
        <v>7242</v>
      </c>
      <c r="TS58" s="34">
        <v>9187</v>
      </c>
      <c r="TT58" s="34">
        <v>7855</v>
      </c>
      <c r="TU58" s="34">
        <v>8804</v>
      </c>
      <c r="TV58" s="34">
        <v>9088</v>
      </c>
      <c r="TW58" s="34">
        <v>7705</v>
      </c>
      <c r="TX58" s="34">
        <v>6633</v>
      </c>
      <c r="TY58" s="34">
        <v>7567</v>
      </c>
      <c r="TZ58" s="34">
        <v>11164</v>
      </c>
      <c r="UA58" s="34">
        <v>10932</v>
      </c>
      <c r="UB58" s="34">
        <v>13151</v>
      </c>
      <c r="UC58" s="34">
        <v>22527</v>
      </c>
      <c r="UD58" s="34">
        <v>0</v>
      </c>
      <c r="UE58" s="34">
        <v>7598</v>
      </c>
      <c r="UF58" s="34">
        <v>8224</v>
      </c>
      <c r="UG58" s="34">
        <v>11426</v>
      </c>
      <c r="UH58" s="34">
        <v>15904</v>
      </c>
      <c r="UI58" s="34">
        <v>13851</v>
      </c>
      <c r="UJ58" s="34">
        <v>11408</v>
      </c>
      <c r="UK58" s="34">
        <v>9824</v>
      </c>
      <c r="UL58" s="34">
        <v>7244</v>
      </c>
      <c r="UM58" s="34">
        <v>6148</v>
      </c>
      <c r="UN58" s="34">
        <v>12258</v>
      </c>
      <c r="UO58" s="34">
        <v>10378</v>
      </c>
      <c r="UP58" s="34">
        <v>8607</v>
      </c>
      <c r="UQ58" s="34">
        <v>14116</v>
      </c>
      <c r="UR58" s="34">
        <v>4111</v>
      </c>
      <c r="US58" s="34">
        <v>0</v>
      </c>
      <c r="UT58" s="34">
        <v>6038</v>
      </c>
      <c r="UU58" s="34">
        <v>8784</v>
      </c>
      <c r="UV58" s="34">
        <v>8451</v>
      </c>
      <c r="UW58" s="34">
        <v>7348</v>
      </c>
      <c r="UX58" s="34">
        <v>6175</v>
      </c>
      <c r="UY58" s="34">
        <v>6235</v>
      </c>
      <c r="UZ58" s="34">
        <v>3466</v>
      </c>
      <c r="VA58" s="34">
        <v>3743</v>
      </c>
      <c r="VB58" s="34">
        <v>4850</v>
      </c>
      <c r="VC58" s="34">
        <v>7182</v>
      </c>
      <c r="VD58" s="34">
        <v>0</v>
      </c>
      <c r="VE58" s="34">
        <v>4472</v>
      </c>
      <c r="VF58" s="34">
        <v>2072</v>
      </c>
      <c r="VG58" s="34">
        <v>0</v>
      </c>
      <c r="VH58" s="34">
        <v>0</v>
      </c>
      <c r="VI58" s="34">
        <v>0</v>
      </c>
      <c r="VJ58" s="34">
        <v>0</v>
      </c>
      <c r="VK58" s="34">
        <v>0</v>
      </c>
      <c r="VL58" s="34">
        <v>0</v>
      </c>
      <c r="VM58" s="34">
        <v>0</v>
      </c>
      <c r="VN58" s="34">
        <v>0</v>
      </c>
      <c r="VO58" s="34">
        <v>0</v>
      </c>
      <c r="VP58" s="34">
        <v>0</v>
      </c>
      <c r="VQ58" s="34">
        <v>0</v>
      </c>
      <c r="VR58" s="34">
        <v>0</v>
      </c>
      <c r="VS58" s="34">
        <v>0</v>
      </c>
      <c r="VT58" s="34">
        <v>0</v>
      </c>
      <c r="VU58" s="34">
        <v>0</v>
      </c>
      <c r="VV58" s="34">
        <v>0</v>
      </c>
      <c r="VW58" s="34">
        <v>0</v>
      </c>
      <c r="VX58" s="34">
        <v>0</v>
      </c>
      <c r="VY58" s="34">
        <v>0</v>
      </c>
      <c r="VZ58" s="34">
        <v>0</v>
      </c>
      <c r="WA58" s="34">
        <v>0</v>
      </c>
      <c r="WB58" s="34">
        <v>0</v>
      </c>
      <c r="WC58" s="34">
        <v>0</v>
      </c>
      <c r="WD58" s="34">
        <v>0</v>
      </c>
      <c r="WE58" s="34">
        <v>23634</v>
      </c>
      <c r="WF58" s="34">
        <v>0</v>
      </c>
      <c r="WG58" s="34">
        <v>0</v>
      </c>
      <c r="WH58" s="34">
        <v>0</v>
      </c>
      <c r="WI58" s="34">
        <v>0</v>
      </c>
      <c r="WJ58" s="34">
        <v>0</v>
      </c>
      <c r="WK58" s="34">
        <v>0</v>
      </c>
      <c r="WL58" s="34">
        <v>0</v>
      </c>
      <c r="WM58">
        <v>0</v>
      </c>
      <c r="WN58">
        <v>0</v>
      </c>
      <c r="WO58">
        <v>0</v>
      </c>
      <c r="WP58">
        <v>0</v>
      </c>
      <c r="WQ58">
        <v>0</v>
      </c>
      <c r="WR58">
        <v>0</v>
      </c>
      <c r="WS58">
        <v>0</v>
      </c>
      <c r="WT58">
        <v>0</v>
      </c>
      <c r="WU58">
        <v>0</v>
      </c>
      <c r="WV58">
        <v>0</v>
      </c>
      <c r="WW58">
        <v>0</v>
      </c>
      <c r="WX58">
        <v>0</v>
      </c>
      <c r="WY58">
        <v>0</v>
      </c>
      <c r="WZ58">
        <v>0</v>
      </c>
      <c r="XA58">
        <v>0</v>
      </c>
      <c r="XB58">
        <v>0</v>
      </c>
      <c r="XC58">
        <v>0</v>
      </c>
      <c r="XD58">
        <v>0</v>
      </c>
      <c r="XE58">
        <v>0</v>
      </c>
      <c r="XF58">
        <v>0</v>
      </c>
      <c r="XG58">
        <v>0</v>
      </c>
      <c r="XH58">
        <v>0</v>
      </c>
      <c r="XI58">
        <v>0</v>
      </c>
      <c r="XJ58">
        <v>0</v>
      </c>
      <c r="XK58">
        <v>0</v>
      </c>
      <c r="XL58">
        <v>0</v>
      </c>
      <c r="XM58">
        <v>0</v>
      </c>
      <c r="XN58">
        <v>0</v>
      </c>
      <c r="XO58">
        <v>0</v>
      </c>
      <c r="XP58">
        <v>0</v>
      </c>
      <c r="XQ58">
        <v>0</v>
      </c>
      <c r="XR58">
        <v>0</v>
      </c>
      <c r="XS58">
        <v>0</v>
      </c>
      <c r="XT58">
        <v>0</v>
      </c>
      <c r="XU58">
        <v>0</v>
      </c>
      <c r="XV58">
        <v>0</v>
      </c>
      <c r="XW58">
        <v>0</v>
      </c>
      <c r="XX58">
        <v>0</v>
      </c>
      <c r="XY58">
        <v>0</v>
      </c>
      <c r="XZ58">
        <v>0</v>
      </c>
      <c r="YA58">
        <v>0</v>
      </c>
      <c r="YB58">
        <v>0</v>
      </c>
      <c r="YC58">
        <v>0</v>
      </c>
      <c r="YD58">
        <v>0</v>
      </c>
      <c r="YE58">
        <v>0</v>
      </c>
      <c r="YF58" s="1">
        <v>0</v>
      </c>
      <c r="YG58" s="1">
        <v>0</v>
      </c>
      <c r="YH58" s="1">
        <v>0</v>
      </c>
      <c r="YI58" s="1">
        <v>0</v>
      </c>
      <c r="YJ58">
        <v>0</v>
      </c>
      <c r="YK58">
        <v>0</v>
      </c>
      <c r="YL58">
        <v>0</v>
      </c>
      <c r="YM58">
        <v>0</v>
      </c>
      <c r="YN58">
        <v>0</v>
      </c>
      <c r="YO58">
        <v>0</v>
      </c>
      <c r="YP58">
        <v>0</v>
      </c>
      <c r="YQ58">
        <v>0</v>
      </c>
      <c r="YR58">
        <v>0</v>
      </c>
      <c r="YS58">
        <v>0</v>
      </c>
      <c r="YT58">
        <v>0</v>
      </c>
      <c r="YU58">
        <v>0</v>
      </c>
      <c r="YV58">
        <v>0</v>
      </c>
      <c r="YW58">
        <v>0</v>
      </c>
      <c r="YX58">
        <v>0</v>
      </c>
      <c r="YY58">
        <v>0</v>
      </c>
      <c r="YZ58">
        <v>0</v>
      </c>
      <c r="ZA58">
        <v>0</v>
      </c>
      <c r="ZB58">
        <v>0</v>
      </c>
      <c r="ZC58">
        <v>0</v>
      </c>
      <c r="ZD58">
        <v>0</v>
      </c>
      <c r="ZE58">
        <v>0</v>
      </c>
      <c r="ZF58">
        <v>0</v>
      </c>
      <c r="ZG58">
        <v>0</v>
      </c>
      <c r="ZH58">
        <v>0</v>
      </c>
      <c r="ZI58">
        <v>0</v>
      </c>
      <c r="ZJ58">
        <v>0</v>
      </c>
      <c r="ZK58">
        <v>0</v>
      </c>
      <c r="ZL58">
        <v>0</v>
      </c>
      <c r="ZM58">
        <v>0</v>
      </c>
      <c r="ZN58">
        <v>0</v>
      </c>
      <c r="ZO58">
        <v>0</v>
      </c>
      <c r="ZP58">
        <v>0</v>
      </c>
      <c r="ZQ58">
        <v>0</v>
      </c>
      <c r="ZR58">
        <v>0</v>
      </c>
      <c r="ZS58">
        <v>0</v>
      </c>
      <c r="ZT58">
        <v>0</v>
      </c>
      <c r="ZU58">
        <v>0</v>
      </c>
      <c r="ZV58">
        <v>0</v>
      </c>
      <c r="ZW58">
        <v>0</v>
      </c>
      <c r="ZX58">
        <v>0</v>
      </c>
      <c r="ZY58">
        <v>0</v>
      </c>
      <c r="ZZ58">
        <v>0</v>
      </c>
      <c r="AAA58">
        <v>0</v>
      </c>
      <c r="AAB58">
        <v>0</v>
      </c>
      <c r="AAC58">
        <v>0</v>
      </c>
      <c r="AAD58">
        <v>0</v>
      </c>
      <c r="AAE58">
        <v>0</v>
      </c>
      <c r="AAF58">
        <v>0</v>
      </c>
      <c r="AAG58">
        <v>0</v>
      </c>
      <c r="AAH58">
        <v>0</v>
      </c>
      <c r="AAI58">
        <v>0</v>
      </c>
      <c r="AAJ58">
        <v>0</v>
      </c>
      <c r="AAK58">
        <v>0</v>
      </c>
      <c r="AAL58">
        <v>0</v>
      </c>
      <c r="AAM58">
        <v>0</v>
      </c>
      <c r="AAN58">
        <v>0</v>
      </c>
      <c r="AAO58">
        <v>0</v>
      </c>
      <c r="AAP58">
        <v>0</v>
      </c>
      <c r="AAQ58">
        <v>0</v>
      </c>
      <c r="AAR58">
        <v>0</v>
      </c>
      <c r="AAS58">
        <v>0</v>
      </c>
      <c r="AAT58">
        <v>0</v>
      </c>
      <c r="AAU58">
        <v>0</v>
      </c>
      <c r="AAV58">
        <v>0</v>
      </c>
      <c r="AAW58">
        <v>0</v>
      </c>
      <c r="AAX58">
        <v>0</v>
      </c>
      <c r="AAY58">
        <v>0</v>
      </c>
      <c r="AAZ58">
        <v>0</v>
      </c>
      <c r="ABA58">
        <v>0</v>
      </c>
      <c r="ABB58">
        <v>0</v>
      </c>
      <c r="ABC58">
        <v>0</v>
      </c>
      <c r="ABD58">
        <v>0</v>
      </c>
      <c r="ABE58">
        <v>0</v>
      </c>
      <c r="ABF58">
        <v>0</v>
      </c>
      <c r="ABG58">
        <v>0</v>
      </c>
      <c r="ABH58">
        <v>0</v>
      </c>
      <c r="ABI58">
        <v>0</v>
      </c>
      <c r="ABJ58">
        <v>0</v>
      </c>
      <c r="ABK58">
        <v>0</v>
      </c>
      <c r="ABL58">
        <v>0</v>
      </c>
      <c r="ABM58">
        <v>0</v>
      </c>
      <c r="ABN58">
        <v>0</v>
      </c>
      <c r="ABO58">
        <v>0</v>
      </c>
      <c r="ABP58">
        <v>0</v>
      </c>
      <c r="ABQ58">
        <v>0</v>
      </c>
      <c r="ABR58">
        <v>0</v>
      </c>
      <c r="ABS58">
        <v>0</v>
      </c>
      <c r="ABT58">
        <v>0</v>
      </c>
      <c r="ABU58">
        <v>0</v>
      </c>
      <c r="ABV58">
        <v>0</v>
      </c>
      <c r="ABW58">
        <v>0</v>
      </c>
      <c r="ABX58">
        <v>0</v>
      </c>
      <c r="ABY58">
        <v>0</v>
      </c>
      <c r="ABZ58">
        <v>0</v>
      </c>
      <c r="ACA58">
        <v>0</v>
      </c>
      <c r="ACB58">
        <v>0</v>
      </c>
      <c r="ACC58">
        <v>0</v>
      </c>
      <c r="ACD58">
        <v>0</v>
      </c>
      <c r="ACE58">
        <v>0</v>
      </c>
      <c r="ACF58">
        <v>0</v>
      </c>
      <c r="ACG58">
        <v>0</v>
      </c>
      <c r="ACH58">
        <v>0</v>
      </c>
      <c r="ACI58">
        <v>0</v>
      </c>
      <c r="ACJ58">
        <v>0</v>
      </c>
      <c r="ACK58">
        <v>0</v>
      </c>
      <c r="ACL58">
        <v>0</v>
      </c>
      <c r="ACM58">
        <v>0</v>
      </c>
      <c r="ACN58">
        <v>0</v>
      </c>
      <c r="ACO58">
        <v>0</v>
      </c>
      <c r="ACP58">
        <v>0</v>
      </c>
      <c r="ACQ58">
        <v>0</v>
      </c>
      <c r="ACR58">
        <v>0</v>
      </c>
      <c r="ACS58">
        <v>0</v>
      </c>
      <c r="ACT58">
        <v>0</v>
      </c>
      <c r="ACU58">
        <v>0</v>
      </c>
      <c r="ACV58">
        <v>0</v>
      </c>
      <c r="ACW58">
        <v>0</v>
      </c>
      <c r="ACX58">
        <v>0</v>
      </c>
      <c r="ACY58">
        <v>0</v>
      </c>
      <c r="ACZ58">
        <v>0</v>
      </c>
      <c r="ADA58">
        <v>0</v>
      </c>
      <c r="ADB58">
        <v>0</v>
      </c>
      <c r="ADC58">
        <v>0</v>
      </c>
      <c r="ADD58">
        <v>0</v>
      </c>
      <c r="ADE58">
        <v>0</v>
      </c>
      <c r="ADF58">
        <v>0</v>
      </c>
      <c r="ADG58">
        <v>0</v>
      </c>
      <c r="ADH58">
        <v>0</v>
      </c>
      <c r="ADI58">
        <v>0</v>
      </c>
      <c r="ADJ58">
        <v>0</v>
      </c>
      <c r="ADK58">
        <v>0</v>
      </c>
      <c r="ADL58">
        <v>0</v>
      </c>
      <c r="ADM58">
        <v>0</v>
      </c>
      <c r="ADN58">
        <v>0</v>
      </c>
      <c r="ADO58">
        <v>0</v>
      </c>
      <c r="ADP58">
        <v>0</v>
      </c>
      <c r="ADQ58">
        <v>0</v>
      </c>
      <c r="ADR58">
        <v>0</v>
      </c>
      <c r="ADS58">
        <v>0</v>
      </c>
      <c r="ADT58">
        <v>0</v>
      </c>
      <c r="ADU58">
        <v>0</v>
      </c>
      <c r="ADV58">
        <v>0</v>
      </c>
      <c r="ADW58">
        <v>0</v>
      </c>
      <c r="ADX58">
        <v>0</v>
      </c>
      <c r="ADY58">
        <v>0</v>
      </c>
      <c r="ADZ58">
        <v>0</v>
      </c>
      <c r="AEA58">
        <v>0</v>
      </c>
      <c r="AEB58">
        <v>0</v>
      </c>
      <c r="AEC58">
        <v>0</v>
      </c>
      <c r="AED58">
        <v>0</v>
      </c>
      <c r="AEE58">
        <v>0</v>
      </c>
      <c r="AEF58">
        <v>0</v>
      </c>
      <c r="AEG58">
        <v>0</v>
      </c>
      <c r="AEH58">
        <v>0</v>
      </c>
      <c r="AEI58">
        <v>0</v>
      </c>
      <c r="AEJ58">
        <v>0</v>
      </c>
      <c r="AEK58">
        <v>0</v>
      </c>
      <c r="AEL58">
        <v>0</v>
      </c>
      <c r="AEM58">
        <v>0</v>
      </c>
      <c r="AEN58">
        <v>0</v>
      </c>
      <c r="AEO58">
        <v>0</v>
      </c>
      <c r="AEP58">
        <v>0</v>
      </c>
      <c r="AEQ58">
        <v>0</v>
      </c>
      <c r="AER58">
        <v>0</v>
      </c>
      <c r="AES58">
        <v>0</v>
      </c>
      <c r="AET58">
        <v>0</v>
      </c>
      <c r="AEU58">
        <v>0</v>
      </c>
      <c r="AEV58">
        <v>0</v>
      </c>
      <c r="AEW58">
        <v>0</v>
      </c>
      <c r="AEX58">
        <v>0</v>
      </c>
      <c r="AEY58">
        <v>0</v>
      </c>
      <c r="AEZ58">
        <v>0</v>
      </c>
      <c r="AFA58">
        <v>0</v>
      </c>
      <c r="AFB58">
        <v>0</v>
      </c>
      <c r="AFC58">
        <v>0</v>
      </c>
      <c r="AFD58">
        <v>0</v>
      </c>
      <c r="AFE58">
        <v>0</v>
      </c>
      <c r="AFF58">
        <v>0</v>
      </c>
      <c r="AFG58">
        <v>0</v>
      </c>
      <c r="AFH58">
        <v>0</v>
      </c>
      <c r="AFI58">
        <v>0</v>
      </c>
      <c r="AFJ58">
        <v>0</v>
      </c>
      <c r="AFK58">
        <v>0</v>
      </c>
      <c r="AFL58">
        <v>0</v>
      </c>
      <c r="AFM58">
        <v>0</v>
      </c>
      <c r="AFN58">
        <v>0</v>
      </c>
      <c r="AFO58">
        <v>0</v>
      </c>
      <c r="AFP58">
        <v>0</v>
      </c>
      <c r="AFQ58">
        <v>0</v>
      </c>
      <c r="AFR58">
        <v>0</v>
      </c>
      <c r="AFS58">
        <v>0</v>
      </c>
      <c r="AFT58">
        <v>0</v>
      </c>
      <c r="AFU58">
        <v>0</v>
      </c>
      <c r="AFV58">
        <v>0</v>
      </c>
      <c r="AFW58">
        <v>0</v>
      </c>
      <c r="AFX58">
        <v>0</v>
      </c>
      <c r="AFY58">
        <v>0</v>
      </c>
      <c r="AFZ58">
        <v>0</v>
      </c>
      <c r="AGA58">
        <v>0</v>
      </c>
      <c r="AGB58">
        <v>0</v>
      </c>
      <c r="AGC58">
        <v>0</v>
      </c>
      <c r="AGD58">
        <v>0</v>
      </c>
      <c r="AGE58">
        <v>0</v>
      </c>
      <c r="AGF58">
        <v>0</v>
      </c>
      <c r="AGG58">
        <v>0</v>
      </c>
      <c r="AGH58">
        <v>0</v>
      </c>
      <c r="AGI58">
        <v>0</v>
      </c>
      <c r="AGJ58">
        <v>0</v>
      </c>
      <c r="AGK58">
        <v>0</v>
      </c>
      <c r="AGL58">
        <v>0</v>
      </c>
      <c r="AGM58">
        <v>0</v>
      </c>
      <c r="AGN58">
        <v>0</v>
      </c>
      <c r="AGO58">
        <v>0</v>
      </c>
      <c r="AGP58">
        <v>0</v>
      </c>
      <c r="AGQ58">
        <v>0</v>
      </c>
      <c r="AGR58">
        <v>0</v>
      </c>
      <c r="AGS58">
        <v>0</v>
      </c>
      <c r="AGT58">
        <v>0</v>
      </c>
      <c r="AGU58">
        <v>0</v>
      </c>
      <c r="AGV58">
        <v>0</v>
      </c>
      <c r="AGW58">
        <v>0</v>
      </c>
      <c r="AGX58">
        <v>0</v>
      </c>
      <c r="AGY58">
        <v>0</v>
      </c>
      <c r="AGZ58">
        <v>0</v>
      </c>
      <c r="AHA58">
        <v>0</v>
      </c>
      <c r="AHB58">
        <v>0</v>
      </c>
      <c r="AHC58">
        <v>0</v>
      </c>
      <c r="AHD58">
        <v>0</v>
      </c>
      <c r="AHE58">
        <v>0</v>
      </c>
      <c r="AHF58">
        <v>0</v>
      </c>
      <c r="AHG58">
        <v>0</v>
      </c>
      <c r="AHH58">
        <v>0</v>
      </c>
      <c r="AHI58">
        <v>0</v>
      </c>
      <c r="AHJ58">
        <v>0</v>
      </c>
      <c r="AHK58">
        <v>0</v>
      </c>
      <c r="AHL58">
        <v>0</v>
      </c>
      <c r="AHM58">
        <v>0</v>
      </c>
      <c r="AHN58">
        <v>0</v>
      </c>
      <c r="AHO58">
        <v>0</v>
      </c>
      <c r="AHP58">
        <v>0</v>
      </c>
      <c r="AHQ58">
        <v>0</v>
      </c>
    </row>
    <row r="59" spans="1:901">
      <c r="A59" s="1" t="s">
        <v>95</v>
      </c>
      <c r="C59" s="34">
        <f t="shared" si="28"/>
        <v>0</v>
      </c>
      <c r="D59" s="34">
        <f t="shared" si="28"/>
        <v>33078</v>
      </c>
      <c r="E59" s="34">
        <f t="shared" si="29"/>
        <v>0</v>
      </c>
      <c r="F59" s="34">
        <f t="shared" si="30"/>
        <v>0</v>
      </c>
      <c r="G59" s="34">
        <f t="shared" si="31"/>
        <v>12055</v>
      </c>
      <c r="H59" s="34">
        <f t="shared" si="32"/>
        <v>0</v>
      </c>
      <c r="I59" s="34">
        <f t="shared" si="32"/>
        <v>10539</v>
      </c>
      <c r="J59" s="34">
        <f t="shared" si="0"/>
        <v>0</v>
      </c>
      <c r="K59" s="34">
        <f t="shared" si="0"/>
        <v>7535</v>
      </c>
      <c r="L59" s="34">
        <f t="shared" si="0"/>
        <v>8650</v>
      </c>
      <c r="M59" s="34">
        <f t="shared" si="0"/>
        <v>2762</v>
      </c>
      <c r="N59" s="34">
        <f t="shared" si="0"/>
        <v>0</v>
      </c>
      <c r="O59" s="34">
        <f t="shared" si="0"/>
        <v>8866</v>
      </c>
      <c r="P59" s="34">
        <f t="shared" si="0"/>
        <v>0</v>
      </c>
      <c r="Q59" s="34">
        <f t="shared" si="0"/>
        <v>9291</v>
      </c>
      <c r="R59" s="34">
        <f t="shared" si="0"/>
        <v>0</v>
      </c>
      <c r="S59" s="34">
        <f t="shared" si="0"/>
        <v>7928</v>
      </c>
      <c r="T59" s="34">
        <f t="shared" si="0"/>
        <v>0</v>
      </c>
      <c r="U59" s="34">
        <f t="shared" si="0"/>
        <v>4480</v>
      </c>
      <c r="V59" s="34">
        <f t="shared" si="0"/>
        <v>0</v>
      </c>
      <c r="W59" s="34">
        <f t="shared" si="0"/>
        <v>9404</v>
      </c>
      <c r="X59" s="34">
        <f t="shared" si="0"/>
        <v>0</v>
      </c>
      <c r="Y59" s="34">
        <f t="shared" si="63"/>
        <v>9235</v>
      </c>
      <c r="Z59" s="34">
        <f t="shared" si="1"/>
        <v>0</v>
      </c>
      <c r="AA59" s="34">
        <f t="shared" si="1"/>
        <v>7617</v>
      </c>
      <c r="AB59" s="34">
        <f t="shared" si="1"/>
        <v>0</v>
      </c>
      <c r="AC59" s="34">
        <f t="shared" si="1"/>
        <v>0</v>
      </c>
      <c r="AD59" s="34">
        <f t="shared" si="1"/>
        <v>0</v>
      </c>
      <c r="AE59" s="34">
        <f t="shared" si="1"/>
        <v>16971</v>
      </c>
      <c r="AF59" s="34">
        <f t="shared" si="1"/>
        <v>0</v>
      </c>
      <c r="AG59" s="34">
        <f t="shared" si="1"/>
        <v>0</v>
      </c>
      <c r="AH59" s="34">
        <f t="shared" si="1"/>
        <v>9875</v>
      </c>
      <c r="AI59" s="34">
        <f t="shared" si="1"/>
        <v>0</v>
      </c>
      <c r="AJ59" s="34">
        <f t="shared" si="1"/>
        <v>0</v>
      </c>
      <c r="AK59" s="34">
        <f t="shared" si="1"/>
        <v>0</v>
      </c>
      <c r="AL59" s="34">
        <f t="shared" si="1"/>
        <v>0</v>
      </c>
      <c r="AM59" s="34">
        <f t="shared" si="50"/>
        <v>0</v>
      </c>
      <c r="AN59" s="34">
        <f t="shared" si="2"/>
        <v>0</v>
      </c>
      <c r="AO59" s="34">
        <f t="shared" si="2"/>
        <v>55854</v>
      </c>
      <c r="AP59" s="34">
        <f t="shared" si="2"/>
        <v>0</v>
      </c>
      <c r="AQ59" s="34">
        <f t="shared" si="2"/>
        <v>24670</v>
      </c>
      <c r="AR59" s="34">
        <f t="shared" si="2"/>
        <v>0</v>
      </c>
      <c r="AS59" s="34">
        <f t="shared" si="2"/>
        <v>23559</v>
      </c>
      <c r="AT59" s="34">
        <f t="shared" si="2"/>
        <v>0</v>
      </c>
      <c r="AU59" s="34">
        <f t="shared" si="2"/>
        <v>0</v>
      </c>
      <c r="AV59" s="34">
        <f t="shared" si="2"/>
        <v>0</v>
      </c>
      <c r="AW59" s="34">
        <f t="shared" si="2"/>
        <v>0</v>
      </c>
      <c r="AX59" s="34">
        <f t="shared" si="2"/>
        <v>41610</v>
      </c>
      <c r="AY59" s="34">
        <f t="shared" si="2"/>
        <v>0</v>
      </c>
      <c r="AZ59" s="34">
        <f t="shared" si="2"/>
        <v>18223</v>
      </c>
      <c r="BA59" s="34">
        <f t="shared" si="51"/>
        <v>0</v>
      </c>
      <c r="BB59" s="34">
        <f t="shared" si="3"/>
        <v>0</v>
      </c>
      <c r="BC59" s="34">
        <f t="shared" si="3"/>
        <v>20498</v>
      </c>
      <c r="BD59" s="34">
        <f t="shared" si="3"/>
        <v>9387</v>
      </c>
      <c r="BE59" s="34">
        <f t="shared" si="3"/>
        <v>8858</v>
      </c>
      <c r="BF59" s="34">
        <f t="shared" si="3"/>
        <v>8786</v>
      </c>
      <c r="BG59" s="34">
        <f t="shared" si="3"/>
        <v>7512</v>
      </c>
      <c r="BH59" s="34">
        <f t="shared" si="3"/>
        <v>4333</v>
      </c>
      <c r="BI59" s="34">
        <f t="shared" si="3"/>
        <v>4423</v>
      </c>
      <c r="BJ59" s="34">
        <f t="shared" si="3"/>
        <v>0</v>
      </c>
      <c r="BK59" s="34">
        <f t="shared" si="3"/>
        <v>7611</v>
      </c>
      <c r="BL59" s="34">
        <f t="shared" si="3"/>
        <v>0</v>
      </c>
      <c r="BM59" s="34">
        <f t="shared" si="3"/>
        <v>9102</v>
      </c>
      <c r="BN59" s="34">
        <f t="shared" si="3"/>
        <v>0</v>
      </c>
      <c r="BO59" s="34">
        <f t="shared" si="52"/>
        <v>9034</v>
      </c>
      <c r="BP59" s="34">
        <f t="shared" si="52"/>
        <v>0</v>
      </c>
      <c r="BQ59" s="34">
        <f t="shared" si="52"/>
        <v>5155</v>
      </c>
      <c r="BR59" s="34">
        <f t="shared" si="52"/>
        <v>0</v>
      </c>
      <c r="BS59" s="34">
        <f t="shared" si="52"/>
        <v>7507</v>
      </c>
      <c r="BT59" s="34">
        <f t="shared" si="52"/>
        <v>0</v>
      </c>
      <c r="BU59" s="34">
        <f t="shared" si="52"/>
        <v>8486</v>
      </c>
      <c r="BV59" s="34">
        <f t="shared" si="52"/>
        <v>0</v>
      </c>
      <c r="BW59" s="34">
        <f t="shared" si="52"/>
        <v>0</v>
      </c>
      <c r="BX59" s="34">
        <f t="shared" si="52"/>
        <v>0</v>
      </c>
      <c r="BY59" s="34">
        <f t="shared" si="52"/>
        <v>0</v>
      </c>
      <c r="BZ59" s="34">
        <f t="shared" si="52"/>
        <v>0</v>
      </c>
      <c r="CA59" s="34">
        <f t="shared" si="52"/>
        <v>19885</v>
      </c>
      <c r="CB59" s="34">
        <f t="shared" si="52"/>
        <v>0</v>
      </c>
      <c r="CC59" s="34">
        <f t="shared" si="52"/>
        <v>0</v>
      </c>
      <c r="CD59" s="34">
        <f t="shared" si="52"/>
        <v>8464</v>
      </c>
      <c r="CE59" s="34">
        <f t="shared" si="52"/>
        <v>0</v>
      </c>
      <c r="CF59" s="34">
        <f t="shared" si="52"/>
        <v>5533</v>
      </c>
      <c r="CG59" s="34">
        <f t="shared" si="52"/>
        <v>0</v>
      </c>
      <c r="CH59" s="34">
        <f t="shared" si="52"/>
        <v>6088</v>
      </c>
      <c r="CI59" s="34">
        <f t="shared" si="52"/>
        <v>0</v>
      </c>
      <c r="CJ59" s="34">
        <f t="shared" si="52"/>
        <v>10016</v>
      </c>
      <c r="CK59" s="34">
        <f t="shared" si="52"/>
        <v>0</v>
      </c>
      <c r="CL59" s="34">
        <f t="shared" si="69"/>
        <v>0</v>
      </c>
      <c r="CM59" s="34">
        <f t="shared" si="69"/>
        <v>0</v>
      </c>
      <c r="CN59" s="34">
        <f t="shared" si="69"/>
        <v>19573</v>
      </c>
      <c r="CO59" s="34">
        <f t="shared" si="69"/>
        <v>0</v>
      </c>
      <c r="CP59" s="34">
        <f t="shared" si="69"/>
        <v>13201</v>
      </c>
      <c r="CQ59" s="34">
        <f t="shared" si="69"/>
        <v>0</v>
      </c>
      <c r="CR59" s="34">
        <f t="shared" si="69"/>
        <v>0</v>
      </c>
      <c r="CS59" s="34">
        <f t="shared" si="69"/>
        <v>11591</v>
      </c>
      <c r="CT59" s="34">
        <f t="shared" si="69"/>
        <v>0</v>
      </c>
      <c r="CU59" s="34">
        <f t="shared" si="69"/>
        <v>6672</v>
      </c>
      <c r="CV59" s="34">
        <f t="shared" si="69"/>
        <v>0</v>
      </c>
      <c r="CW59" s="34">
        <f t="shared" si="69"/>
        <v>4176</v>
      </c>
      <c r="CX59" s="34">
        <f t="shared" si="69"/>
        <v>0</v>
      </c>
      <c r="CY59" s="34">
        <f t="shared" si="69"/>
        <v>1293</v>
      </c>
      <c r="CZ59" s="34">
        <f t="shared" si="69"/>
        <v>0</v>
      </c>
      <c r="DA59" s="34">
        <f t="shared" si="69"/>
        <v>2558</v>
      </c>
      <c r="DB59" s="34">
        <f t="shared" si="69"/>
        <v>0</v>
      </c>
      <c r="DC59" s="34">
        <f t="shared" si="69"/>
        <v>7924</v>
      </c>
      <c r="DD59" s="34">
        <f t="shared" si="69"/>
        <v>0</v>
      </c>
      <c r="DE59" s="34">
        <f t="shared" si="69"/>
        <v>3367</v>
      </c>
      <c r="DF59" s="34">
        <f t="shared" si="69"/>
        <v>0</v>
      </c>
      <c r="DG59" s="34">
        <f t="shared" si="69"/>
        <v>2093</v>
      </c>
      <c r="DH59" s="34">
        <f t="shared" si="69"/>
        <v>0</v>
      </c>
      <c r="DI59" s="34">
        <f t="shared" si="69"/>
        <v>10071</v>
      </c>
      <c r="DJ59" s="34">
        <f t="shared" si="69"/>
        <v>0</v>
      </c>
      <c r="DK59" s="34">
        <f t="shared" si="69"/>
        <v>10962</v>
      </c>
      <c r="DL59" s="34">
        <f t="shared" si="69"/>
        <v>0</v>
      </c>
      <c r="DM59" s="34">
        <f t="shared" si="69"/>
        <v>0</v>
      </c>
      <c r="DN59" s="34">
        <f t="shared" si="75"/>
        <v>9814</v>
      </c>
      <c r="DO59" s="34">
        <f t="shared" si="75"/>
        <v>0</v>
      </c>
      <c r="DP59" s="34">
        <f t="shared" si="75"/>
        <v>12864</v>
      </c>
      <c r="DQ59" s="34">
        <f t="shared" si="75"/>
        <v>0</v>
      </c>
      <c r="DR59" s="34">
        <f t="shared" si="75"/>
        <v>0</v>
      </c>
      <c r="DS59" s="34">
        <f t="shared" si="75"/>
        <v>28959</v>
      </c>
      <c r="DT59" s="34">
        <f t="shared" si="75"/>
        <v>0</v>
      </c>
      <c r="DU59" s="34">
        <f t="shared" si="75"/>
        <v>0</v>
      </c>
      <c r="DV59" s="34">
        <f t="shared" si="75"/>
        <v>21959</v>
      </c>
      <c r="DW59" s="34">
        <f t="shared" si="75"/>
        <v>0</v>
      </c>
      <c r="DX59" s="34">
        <f t="shared" si="75"/>
        <v>18049</v>
      </c>
      <c r="DY59" s="34">
        <f t="shared" si="75"/>
        <v>0</v>
      </c>
      <c r="DZ59" s="34">
        <f t="shared" si="75"/>
        <v>25819</v>
      </c>
      <c r="EA59" s="34">
        <f t="shared" si="75"/>
        <v>0</v>
      </c>
      <c r="EB59" s="34">
        <f t="shared" si="75"/>
        <v>14049</v>
      </c>
      <c r="EC59" s="34">
        <f t="shared" si="75"/>
        <v>13810</v>
      </c>
      <c r="ED59" s="34">
        <f t="shared" si="75"/>
        <v>0</v>
      </c>
      <c r="EE59" s="34">
        <f t="shared" si="75"/>
        <v>27928</v>
      </c>
      <c r="EF59" s="34">
        <f t="shared" si="75"/>
        <v>0</v>
      </c>
      <c r="EG59" s="34">
        <f t="shared" si="75"/>
        <v>0</v>
      </c>
      <c r="EH59" s="34">
        <f t="shared" si="75"/>
        <v>0</v>
      </c>
      <c r="EI59" s="34">
        <f t="shared" si="75"/>
        <v>42936</v>
      </c>
      <c r="EJ59" s="34">
        <f t="shared" si="75"/>
        <v>0</v>
      </c>
      <c r="EK59" s="34">
        <f t="shared" si="75"/>
        <v>25956</v>
      </c>
      <c r="EL59" s="34">
        <f t="shared" si="75"/>
        <v>0</v>
      </c>
      <c r="EM59" s="34">
        <f t="shared" si="75"/>
        <v>24417</v>
      </c>
      <c r="EN59" s="34">
        <f t="shared" si="75"/>
        <v>0</v>
      </c>
      <c r="EO59" s="34">
        <f t="shared" si="75"/>
        <v>22330</v>
      </c>
      <c r="EP59" s="34">
        <f t="shared" si="75"/>
        <v>0</v>
      </c>
      <c r="EQ59" s="34">
        <f t="shared" si="75"/>
        <v>15208</v>
      </c>
      <c r="ER59" s="34">
        <f t="shared" si="75"/>
        <v>0</v>
      </c>
      <c r="ES59" s="34">
        <f t="shared" si="75"/>
        <v>19056</v>
      </c>
      <c r="ET59" s="34">
        <f t="shared" si="75"/>
        <v>0</v>
      </c>
      <c r="EU59" s="34">
        <f t="shared" si="75"/>
        <v>16952</v>
      </c>
      <c r="EV59" s="34">
        <f t="shared" si="75"/>
        <v>0</v>
      </c>
      <c r="EW59" s="34">
        <f t="shared" si="75"/>
        <v>0</v>
      </c>
      <c r="EX59" s="34">
        <f t="shared" si="75"/>
        <v>0</v>
      </c>
      <c r="EY59" s="34">
        <f t="shared" si="75"/>
        <v>0</v>
      </c>
      <c r="EZ59" s="34">
        <f t="shared" si="75"/>
        <v>0</v>
      </c>
      <c r="FA59" s="34">
        <f t="shared" si="75"/>
        <v>49878</v>
      </c>
      <c r="FB59" s="34">
        <f t="shared" si="75"/>
        <v>0</v>
      </c>
      <c r="FC59" s="34">
        <f t="shared" si="75"/>
        <v>13228</v>
      </c>
      <c r="FD59" s="34">
        <f t="shared" si="75"/>
        <v>0</v>
      </c>
      <c r="FE59" s="34">
        <f t="shared" si="53"/>
        <v>0</v>
      </c>
      <c r="FF59" s="34">
        <f t="shared" si="53"/>
        <v>0</v>
      </c>
      <c r="FG59" s="34">
        <f t="shared" si="53"/>
        <v>0</v>
      </c>
      <c r="FH59" s="34">
        <f t="shared" si="53"/>
        <v>0</v>
      </c>
      <c r="FI59" s="34">
        <f t="shared" si="53"/>
        <v>0</v>
      </c>
      <c r="FJ59" s="34">
        <f t="shared" si="53"/>
        <v>0</v>
      </c>
      <c r="FK59" s="34">
        <f t="shared" si="53"/>
        <v>53768</v>
      </c>
      <c r="FL59" s="34">
        <f t="shared" si="53"/>
        <v>0</v>
      </c>
      <c r="FM59" s="34">
        <f t="shared" si="53"/>
        <v>22108</v>
      </c>
      <c r="FN59" s="34">
        <v>0</v>
      </c>
      <c r="FO59" s="34">
        <f t="shared" si="6"/>
        <v>21106</v>
      </c>
      <c r="FP59" s="34">
        <v>0</v>
      </c>
      <c r="FQ59" s="34">
        <v>0</v>
      </c>
      <c r="FR59" s="34">
        <v>21134</v>
      </c>
      <c r="FS59" s="34">
        <v>0</v>
      </c>
      <c r="FT59" s="34">
        <f t="shared" si="9"/>
        <v>0</v>
      </c>
      <c r="FU59" s="34">
        <f t="shared" si="9"/>
        <v>25523</v>
      </c>
      <c r="FV59" s="34">
        <f t="shared" si="9"/>
        <v>0</v>
      </c>
      <c r="FW59" s="34">
        <f t="shared" si="9"/>
        <v>18474</v>
      </c>
      <c r="FX59" s="34">
        <f t="shared" si="9"/>
        <v>0</v>
      </c>
      <c r="FY59" s="34">
        <f t="shared" si="9"/>
        <v>0</v>
      </c>
      <c r="FZ59" s="34">
        <f t="shared" si="9"/>
        <v>0</v>
      </c>
      <c r="GA59" s="34">
        <f t="shared" si="9"/>
        <v>0</v>
      </c>
      <c r="GB59" s="34">
        <f t="shared" si="9"/>
        <v>38300</v>
      </c>
      <c r="GC59" s="34">
        <f t="shared" si="9"/>
        <v>0</v>
      </c>
      <c r="GD59" s="34">
        <f t="shared" si="9"/>
        <v>0</v>
      </c>
      <c r="GE59" s="34">
        <f t="shared" si="9"/>
        <v>0</v>
      </c>
      <c r="GF59" s="34">
        <f t="shared" si="9"/>
        <v>0</v>
      </c>
      <c r="GG59" s="34">
        <f t="shared" si="64"/>
        <v>0</v>
      </c>
      <c r="GH59" s="34">
        <f t="shared" si="10"/>
        <v>58347</v>
      </c>
      <c r="GI59" s="34">
        <f t="shared" si="10"/>
        <v>0</v>
      </c>
      <c r="GJ59" s="34">
        <f t="shared" si="10"/>
        <v>0</v>
      </c>
      <c r="GK59" s="34">
        <f t="shared" si="10"/>
        <v>0</v>
      </c>
      <c r="GL59" s="34">
        <f t="shared" si="10"/>
        <v>54792</v>
      </c>
      <c r="GM59" s="34">
        <f t="shared" si="10"/>
        <v>0</v>
      </c>
      <c r="GN59" s="34">
        <f t="shared" si="10"/>
        <v>21286</v>
      </c>
      <c r="GO59" s="34">
        <f t="shared" si="10"/>
        <v>0</v>
      </c>
      <c r="GP59" s="34">
        <f t="shared" si="10"/>
        <v>179940</v>
      </c>
      <c r="GQ59" s="34">
        <f t="shared" si="10"/>
        <v>0</v>
      </c>
      <c r="GR59" s="34">
        <f t="shared" si="10"/>
        <v>0</v>
      </c>
      <c r="GS59" s="34">
        <f t="shared" si="10"/>
        <v>0</v>
      </c>
      <c r="GT59" s="34">
        <f t="shared" si="10"/>
        <v>0</v>
      </c>
      <c r="GU59" s="34">
        <f t="shared" si="54"/>
        <v>0</v>
      </c>
      <c r="GV59" s="34">
        <f t="shared" si="11"/>
        <v>0</v>
      </c>
      <c r="GW59" s="34">
        <f t="shared" si="11"/>
        <v>0</v>
      </c>
      <c r="GX59" s="34">
        <f t="shared" si="11"/>
        <v>0</v>
      </c>
      <c r="GY59" s="34">
        <f t="shared" si="11"/>
        <v>0</v>
      </c>
      <c r="GZ59" s="34">
        <f t="shared" si="11"/>
        <v>0</v>
      </c>
      <c r="HA59" s="34">
        <f t="shared" si="11"/>
        <v>0</v>
      </c>
      <c r="HB59" s="34">
        <f t="shared" si="12"/>
        <v>0</v>
      </c>
      <c r="HC59" s="34">
        <f t="shared" si="13"/>
        <v>0</v>
      </c>
      <c r="HD59" s="34">
        <f t="shared" ref="HD59" si="79">HD38-HC38</f>
        <v>0</v>
      </c>
      <c r="HE59" s="34">
        <f t="shared" si="13"/>
        <v>0</v>
      </c>
      <c r="HF59" s="34">
        <f t="shared" si="13"/>
        <v>0</v>
      </c>
      <c r="HG59" s="34">
        <f t="shared" si="13"/>
        <v>0</v>
      </c>
      <c r="HH59" s="34">
        <f t="shared" si="13"/>
        <v>0</v>
      </c>
      <c r="HI59" s="34">
        <f t="shared" si="13"/>
        <v>0</v>
      </c>
      <c r="HJ59" s="34">
        <f t="shared" si="13"/>
        <v>0</v>
      </c>
      <c r="HK59" s="34">
        <f t="shared" si="13"/>
        <v>0</v>
      </c>
      <c r="HL59" s="34">
        <f t="shared" si="13"/>
        <v>0</v>
      </c>
      <c r="HM59" s="34">
        <f t="shared" si="13"/>
        <v>0</v>
      </c>
      <c r="HN59" s="34">
        <f t="shared" si="13"/>
        <v>0</v>
      </c>
      <c r="HO59" s="34">
        <f t="shared" si="13"/>
        <v>0</v>
      </c>
      <c r="HP59" s="34">
        <f t="shared" si="13"/>
        <v>0</v>
      </c>
      <c r="HQ59" s="34">
        <f t="shared" si="77"/>
        <v>0</v>
      </c>
      <c r="HR59" s="34">
        <f t="shared" si="14"/>
        <v>0</v>
      </c>
      <c r="HS59" s="34">
        <f t="shared" si="14"/>
        <v>0</v>
      </c>
      <c r="HT59" s="34">
        <f t="shared" si="14"/>
        <v>0</v>
      </c>
      <c r="HU59" s="34">
        <f t="shared" si="14"/>
        <v>0</v>
      </c>
      <c r="HV59" s="34">
        <f t="shared" si="14"/>
        <v>0</v>
      </c>
      <c r="HW59" s="34">
        <f t="shared" si="14"/>
        <v>0</v>
      </c>
      <c r="HX59" s="34">
        <f t="shared" si="14"/>
        <v>0</v>
      </c>
      <c r="HY59" s="34">
        <f t="shared" si="14"/>
        <v>0</v>
      </c>
      <c r="HZ59" s="34">
        <f t="shared" si="14"/>
        <v>0</v>
      </c>
      <c r="IA59" s="34">
        <f t="shared" si="14"/>
        <v>0</v>
      </c>
      <c r="IB59" s="34">
        <f t="shared" si="14"/>
        <v>0</v>
      </c>
      <c r="IC59" s="34">
        <f t="shared" si="14"/>
        <v>0</v>
      </c>
      <c r="ID59" s="34">
        <f t="shared" si="14"/>
        <v>0</v>
      </c>
      <c r="IE59" s="34">
        <f t="shared" si="66"/>
        <v>0</v>
      </c>
      <c r="IF59" s="34">
        <f t="shared" si="15"/>
        <v>0</v>
      </c>
      <c r="IG59" s="34">
        <f t="shared" si="15"/>
        <v>0</v>
      </c>
      <c r="IH59" s="34">
        <f t="shared" si="15"/>
        <v>0</v>
      </c>
      <c r="II59" s="34">
        <f t="shared" si="15"/>
        <v>0</v>
      </c>
      <c r="IJ59" s="34">
        <f t="shared" si="15"/>
        <v>0</v>
      </c>
      <c r="IK59" s="34">
        <f t="shared" si="15"/>
        <v>0</v>
      </c>
      <c r="IL59" s="34">
        <f t="shared" si="15"/>
        <v>0</v>
      </c>
      <c r="IM59" s="34">
        <f t="shared" si="15"/>
        <v>0</v>
      </c>
      <c r="IN59" s="34">
        <f t="shared" si="15"/>
        <v>0</v>
      </c>
      <c r="IO59" s="34">
        <f t="shared" si="15"/>
        <v>0</v>
      </c>
      <c r="IP59" s="34">
        <f t="shared" si="15"/>
        <v>0</v>
      </c>
      <c r="IQ59" s="34">
        <f t="shared" si="15"/>
        <v>0</v>
      </c>
      <c r="IR59" s="34">
        <f t="shared" si="15"/>
        <v>0</v>
      </c>
      <c r="IS59" s="34">
        <f t="shared" si="56"/>
        <v>0</v>
      </c>
      <c r="IT59" s="34">
        <f t="shared" si="44"/>
        <v>0</v>
      </c>
      <c r="IU59" s="34">
        <f t="shared" si="16"/>
        <v>0</v>
      </c>
      <c r="IV59" s="34">
        <f t="shared" si="16"/>
        <v>0</v>
      </c>
      <c r="IW59" s="34">
        <f t="shared" si="16"/>
        <v>0</v>
      </c>
      <c r="IX59" s="34">
        <f t="shared" si="16"/>
        <v>0</v>
      </c>
      <c r="IY59" s="34">
        <f t="shared" si="16"/>
        <v>0</v>
      </c>
      <c r="IZ59" s="34">
        <f t="shared" si="16"/>
        <v>0</v>
      </c>
      <c r="JA59" s="34">
        <f t="shared" si="16"/>
        <v>0</v>
      </c>
      <c r="JB59" s="34">
        <f t="shared" si="16"/>
        <v>0</v>
      </c>
      <c r="JC59" s="34">
        <f t="shared" si="16"/>
        <v>0</v>
      </c>
      <c r="JD59" s="34">
        <f t="shared" si="16"/>
        <v>0</v>
      </c>
      <c r="JE59" s="34">
        <f t="shared" si="16"/>
        <v>0</v>
      </c>
      <c r="JF59" s="34">
        <f t="shared" si="16"/>
        <v>0</v>
      </c>
      <c r="JG59" s="34">
        <f t="shared" si="16"/>
        <v>0</v>
      </c>
      <c r="JH59" s="34">
        <f t="shared" si="67"/>
        <v>0</v>
      </c>
      <c r="JI59" s="34">
        <f t="shared" si="17"/>
        <v>0</v>
      </c>
      <c r="JJ59" s="34">
        <f t="shared" si="17"/>
        <v>0</v>
      </c>
      <c r="JK59" s="34">
        <f t="shared" si="17"/>
        <v>0</v>
      </c>
      <c r="JL59" s="34">
        <f t="shared" si="17"/>
        <v>0</v>
      </c>
      <c r="JM59" s="34">
        <f t="shared" si="17"/>
        <v>0</v>
      </c>
      <c r="JN59" s="34">
        <f t="shared" si="17"/>
        <v>0</v>
      </c>
      <c r="JO59" s="34">
        <f t="shared" si="17"/>
        <v>0</v>
      </c>
      <c r="JP59" s="34">
        <f t="shared" si="17"/>
        <v>0</v>
      </c>
      <c r="JQ59" s="34">
        <f t="shared" si="17"/>
        <v>0</v>
      </c>
      <c r="JR59" s="34">
        <f t="shared" si="17"/>
        <v>0</v>
      </c>
      <c r="JS59" s="34">
        <f t="shared" si="17"/>
        <v>0</v>
      </c>
      <c r="JT59" s="34">
        <f t="shared" si="17"/>
        <v>0</v>
      </c>
      <c r="JU59" s="34">
        <f t="shared" si="17"/>
        <v>0</v>
      </c>
      <c r="JV59" s="34">
        <f t="shared" si="57"/>
        <v>0</v>
      </c>
      <c r="JW59" s="34">
        <f t="shared" si="18"/>
        <v>0</v>
      </c>
      <c r="JX59" s="34">
        <f t="shared" si="18"/>
        <v>0</v>
      </c>
      <c r="JY59" s="34">
        <f t="shared" si="18"/>
        <v>0</v>
      </c>
      <c r="JZ59" s="34">
        <f t="shared" si="18"/>
        <v>0</v>
      </c>
      <c r="KA59" s="34">
        <f t="shared" si="18"/>
        <v>0</v>
      </c>
      <c r="KB59" s="34">
        <f t="shared" si="18"/>
        <v>0</v>
      </c>
      <c r="KC59" s="34">
        <f t="shared" si="18"/>
        <v>0</v>
      </c>
      <c r="KD59" s="34">
        <f t="shared" si="18"/>
        <v>0</v>
      </c>
      <c r="KE59" s="34">
        <f t="shared" si="18"/>
        <v>0</v>
      </c>
      <c r="KF59" s="34">
        <f t="shared" si="18"/>
        <v>0</v>
      </c>
      <c r="KG59" s="34">
        <f t="shared" si="18"/>
        <v>0</v>
      </c>
      <c r="KH59" s="34">
        <f t="shared" si="18"/>
        <v>0</v>
      </c>
      <c r="KI59" s="34">
        <f t="shared" si="18"/>
        <v>0</v>
      </c>
      <c r="KJ59" s="34">
        <f t="shared" si="58"/>
        <v>0</v>
      </c>
      <c r="KK59" s="34">
        <f t="shared" si="19"/>
        <v>0</v>
      </c>
      <c r="KL59" s="34">
        <f t="shared" si="19"/>
        <v>0</v>
      </c>
      <c r="KM59" s="34">
        <f t="shared" si="19"/>
        <v>0</v>
      </c>
      <c r="KN59" s="34">
        <f t="shared" si="19"/>
        <v>0</v>
      </c>
      <c r="KO59" s="34">
        <f t="shared" si="19"/>
        <v>0</v>
      </c>
      <c r="KP59" s="34">
        <f t="shared" si="19"/>
        <v>0</v>
      </c>
      <c r="KQ59" s="34">
        <f t="shared" si="19"/>
        <v>0</v>
      </c>
      <c r="KR59" s="34">
        <f t="shared" si="19"/>
        <v>0</v>
      </c>
      <c r="KS59" s="34">
        <f t="shared" si="19"/>
        <v>0</v>
      </c>
      <c r="KT59" s="34">
        <f t="shared" si="19"/>
        <v>0</v>
      </c>
      <c r="KU59" s="34">
        <f t="shared" si="19"/>
        <v>0</v>
      </c>
      <c r="KV59" s="34">
        <f t="shared" si="19"/>
        <v>0</v>
      </c>
      <c r="KW59" s="34">
        <f t="shared" si="19"/>
        <v>0</v>
      </c>
      <c r="KX59" s="34">
        <f t="shared" si="59"/>
        <v>0</v>
      </c>
      <c r="KY59" s="34">
        <f t="shared" si="20"/>
        <v>0</v>
      </c>
      <c r="KZ59" s="34">
        <f t="shared" si="20"/>
        <v>0</v>
      </c>
      <c r="LA59" s="34">
        <f t="shared" si="34"/>
        <v>0</v>
      </c>
      <c r="LB59" s="34">
        <f t="shared" si="35"/>
        <v>0</v>
      </c>
      <c r="LC59" s="34">
        <f t="shared" si="36"/>
        <v>0</v>
      </c>
      <c r="LD59" s="34">
        <f t="shared" si="37"/>
        <v>0</v>
      </c>
      <c r="LE59" s="34">
        <f t="shared" si="38"/>
        <v>0</v>
      </c>
      <c r="LF59" s="34">
        <f t="shared" si="39"/>
        <v>0</v>
      </c>
      <c r="LG59" s="34">
        <f t="shared" si="21"/>
        <v>0</v>
      </c>
      <c r="LH59" s="34">
        <f t="shared" si="21"/>
        <v>0</v>
      </c>
      <c r="LI59" s="34">
        <f t="shared" si="21"/>
        <v>0</v>
      </c>
      <c r="LJ59" s="34">
        <f t="shared" si="21"/>
        <v>0</v>
      </c>
      <c r="LK59" s="34">
        <f t="shared" si="21"/>
        <v>0</v>
      </c>
      <c r="LL59" s="34">
        <f t="shared" si="21"/>
        <v>0</v>
      </c>
      <c r="LM59" s="34">
        <f t="shared" si="21"/>
        <v>0</v>
      </c>
      <c r="LN59" s="34">
        <f t="shared" si="21"/>
        <v>0</v>
      </c>
      <c r="LO59" s="34">
        <f t="shared" si="21"/>
        <v>0</v>
      </c>
      <c r="LP59" s="34">
        <f t="shared" si="21"/>
        <v>0</v>
      </c>
      <c r="LQ59" s="34">
        <f t="shared" si="21"/>
        <v>0</v>
      </c>
      <c r="LR59" s="34">
        <f t="shared" si="21"/>
        <v>0</v>
      </c>
      <c r="LS59" s="34">
        <f t="shared" si="21"/>
        <v>0</v>
      </c>
      <c r="LT59" s="34">
        <f t="shared" si="21"/>
        <v>0</v>
      </c>
      <c r="LU59" s="34">
        <f t="shared" si="21"/>
        <v>0</v>
      </c>
      <c r="LV59" s="34">
        <f t="shared" si="68"/>
        <v>0</v>
      </c>
      <c r="LW59" s="34">
        <f t="shared" si="22"/>
        <v>0</v>
      </c>
      <c r="LX59" s="34">
        <f t="shared" si="22"/>
        <v>0</v>
      </c>
      <c r="LY59" s="34">
        <f t="shared" si="22"/>
        <v>0</v>
      </c>
      <c r="LZ59" s="34">
        <f t="shared" si="22"/>
        <v>0</v>
      </c>
      <c r="MA59" s="34">
        <f t="shared" si="22"/>
        <v>0</v>
      </c>
      <c r="MB59" s="34">
        <f t="shared" si="22"/>
        <v>0</v>
      </c>
      <c r="MC59" s="34">
        <f t="shared" si="22"/>
        <v>0</v>
      </c>
      <c r="MD59" s="34">
        <f t="shared" si="22"/>
        <v>0</v>
      </c>
      <c r="ME59" s="34">
        <f t="shared" si="22"/>
        <v>0</v>
      </c>
      <c r="MF59" s="34">
        <f t="shared" si="22"/>
        <v>0</v>
      </c>
      <c r="MG59" s="34">
        <f t="shared" si="22"/>
        <v>0</v>
      </c>
      <c r="MH59" s="34">
        <f t="shared" si="22"/>
        <v>0</v>
      </c>
      <c r="MI59" s="34">
        <f t="shared" si="22"/>
        <v>0</v>
      </c>
      <c r="MJ59" s="34">
        <f t="shared" si="60"/>
        <v>0</v>
      </c>
      <c r="MK59" s="34">
        <f t="shared" si="23"/>
        <v>0</v>
      </c>
      <c r="ML59" s="34">
        <f t="shared" si="23"/>
        <v>0</v>
      </c>
      <c r="MM59" s="34">
        <f t="shared" si="23"/>
        <v>0</v>
      </c>
      <c r="MN59" s="34">
        <f t="shared" si="23"/>
        <v>0</v>
      </c>
      <c r="MO59" s="34">
        <f t="shared" si="23"/>
        <v>0</v>
      </c>
      <c r="MP59" s="34">
        <f t="shared" si="23"/>
        <v>0</v>
      </c>
      <c r="MQ59" s="34">
        <f t="shared" si="23"/>
        <v>0</v>
      </c>
      <c r="MR59" s="34">
        <f t="shared" si="23"/>
        <v>0</v>
      </c>
      <c r="MS59" s="34">
        <f t="shared" si="23"/>
        <v>0</v>
      </c>
      <c r="MT59" s="34">
        <f t="shared" si="23"/>
        <v>0</v>
      </c>
      <c r="MU59" s="34">
        <f t="shared" si="23"/>
        <v>0</v>
      </c>
      <c r="MV59" s="34">
        <f t="shared" si="23"/>
        <v>0</v>
      </c>
      <c r="MW59" s="34">
        <f t="shared" si="23"/>
        <v>0</v>
      </c>
      <c r="MX59" s="34">
        <f t="shared" si="61"/>
        <v>0</v>
      </c>
      <c r="MY59" s="34">
        <f t="shared" si="24"/>
        <v>0</v>
      </c>
      <c r="MZ59" s="34">
        <f t="shared" si="25"/>
        <v>0</v>
      </c>
      <c r="NA59" s="34">
        <f t="shared" si="25"/>
        <v>0</v>
      </c>
      <c r="NB59" s="34">
        <f t="shared" si="25"/>
        <v>0</v>
      </c>
      <c r="NC59" s="34">
        <f t="shared" si="25"/>
        <v>0</v>
      </c>
      <c r="ND59" s="34">
        <f t="shared" si="25"/>
        <v>0</v>
      </c>
      <c r="NE59" s="34">
        <f t="shared" si="25"/>
        <v>0</v>
      </c>
      <c r="NF59" s="34">
        <f t="shared" si="25"/>
        <v>0</v>
      </c>
      <c r="NG59" s="34">
        <f t="shared" si="25"/>
        <v>0</v>
      </c>
      <c r="NH59" s="34">
        <f t="shared" si="25"/>
        <v>0</v>
      </c>
      <c r="NI59" s="34">
        <f t="shared" si="25"/>
        <v>0</v>
      </c>
      <c r="NJ59" s="34">
        <f t="shared" si="25"/>
        <v>0</v>
      </c>
      <c r="NK59" s="34">
        <f t="shared" si="25"/>
        <v>0</v>
      </c>
      <c r="NL59" s="34">
        <f t="shared" si="25"/>
        <v>0</v>
      </c>
      <c r="NM59" s="34">
        <f t="shared" si="62"/>
        <v>0</v>
      </c>
      <c r="NN59" s="34">
        <f t="shared" si="26"/>
        <v>0</v>
      </c>
      <c r="NO59" s="34">
        <f t="shared" si="27"/>
        <v>0</v>
      </c>
      <c r="NP59" s="34">
        <v>0</v>
      </c>
      <c r="NQ59" s="34">
        <v>0</v>
      </c>
      <c r="NR59" s="34">
        <v>0</v>
      </c>
      <c r="NS59" s="34">
        <v>0</v>
      </c>
      <c r="NT59" s="34">
        <v>0</v>
      </c>
      <c r="NU59" s="34">
        <v>0</v>
      </c>
      <c r="NV59" s="34">
        <v>0</v>
      </c>
      <c r="NW59" s="34">
        <v>0</v>
      </c>
      <c r="NX59">
        <v>0</v>
      </c>
      <c r="NY59" s="34">
        <v>0</v>
      </c>
      <c r="NZ59" s="34">
        <v>0</v>
      </c>
      <c r="OA59" s="34">
        <v>0</v>
      </c>
      <c r="OB59" s="34">
        <v>0</v>
      </c>
      <c r="OC59" s="34">
        <v>0</v>
      </c>
      <c r="OD59" s="34">
        <v>0</v>
      </c>
      <c r="OE59" s="34">
        <v>0</v>
      </c>
      <c r="OF59" s="34">
        <v>0</v>
      </c>
      <c r="OG59" s="34">
        <v>0</v>
      </c>
      <c r="OH59" s="34">
        <v>0</v>
      </c>
      <c r="OI59" s="34">
        <v>0</v>
      </c>
      <c r="OJ59" s="34">
        <v>0</v>
      </c>
      <c r="OK59" s="34">
        <v>0</v>
      </c>
      <c r="OL59" s="34">
        <v>0</v>
      </c>
      <c r="OM59" s="34">
        <v>0</v>
      </c>
      <c r="ON59" s="34">
        <v>0</v>
      </c>
      <c r="OO59" s="34">
        <v>0</v>
      </c>
      <c r="OP59" s="34">
        <v>0</v>
      </c>
      <c r="OQ59" s="34">
        <v>0</v>
      </c>
      <c r="OR59" s="34">
        <v>0</v>
      </c>
      <c r="OS59" s="34">
        <f t="shared" si="40"/>
        <v>0</v>
      </c>
      <c r="OT59" s="34">
        <f t="shared" si="40"/>
        <v>0</v>
      </c>
      <c r="OU59" s="34">
        <v>0</v>
      </c>
      <c r="OV59" s="34">
        <v>0</v>
      </c>
      <c r="OW59" s="34">
        <v>0</v>
      </c>
      <c r="OX59" s="34">
        <v>0</v>
      </c>
      <c r="OY59" s="34">
        <v>0</v>
      </c>
      <c r="OZ59" s="34">
        <v>0</v>
      </c>
      <c r="PA59" s="34">
        <v>0</v>
      </c>
      <c r="PB59" s="34">
        <v>0</v>
      </c>
      <c r="PC59" s="34">
        <v>0</v>
      </c>
      <c r="PD59" s="34">
        <v>0</v>
      </c>
      <c r="PE59" s="34">
        <v>0</v>
      </c>
      <c r="PF59" s="34">
        <v>0</v>
      </c>
      <c r="PG59" s="34">
        <v>0</v>
      </c>
      <c r="PH59" s="34">
        <v>0</v>
      </c>
      <c r="PI59" s="34">
        <v>0</v>
      </c>
      <c r="PJ59" s="34">
        <v>0</v>
      </c>
      <c r="PK59" s="34">
        <v>0</v>
      </c>
      <c r="PL59" s="34">
        <v>0</v>
      </c>
      <c r="PM59" s="34">
        <v>0</v>
      </c>
      <c r="PN59" s="34">
        <v>0</v>
      </c>
      <c r="PO59" s="34">
        <v>0</v>
      </c>
      <c r="PP59" s="34">
        <v>0</v>
      </c>
      <c r="PQ59" s="34">
        <v>0</v>
      </c>
      <c r="PR59" s="34">
        <v>0</v>
      </c>
      <c r="PS59" s="34">
        <v>0</v>
      </c>
      <c r="PT59" s="34">
        <v>0</v>
      </c>
      <c r="PU59" s="34">
        <v>0</v>
      </c>
      <c r="PV59" s="34">
        <v>0</v>
      </c>
      <c r="PW59" s="34">
        <v>0</v>
      </c>
      <c r="PX59" s="34">
        <v>0</v>
      </c>
      <c r="PY59" s="34">
        <v>0</v>
      </c>
      <c r="PZ59" s="34">
        <v>0</v>
      </c>
      <c r="QA59" s="34">
        <v>0</v>
      </c>
      <c r="QB59" s="34">
        <v>0</v>
      </c>
      <c r="QC59" s="34">
        <v>0</v>
      </c>
      <c r="QD59" s="34">
        <v>0</v>
      </c>
      <c r="QE59" s="34">
        <v>0</v>
      </c>
      <c r="QF59" s="34">
        <v>0</v>
      </c>
      <c r="QG59" s="34">
        <v>0</v>
      </c>
      <c r="QH59" s="34">
        <v>0</v>
      </c>
      <c r="QI59" s="34">
        <v>0</v>
      </c>
      <c r="QJ59" s="34">
        <v>0</v>
      </c>
      <c r="QK59" s="34">
        <v>0</v>
      </c>
      <c r="QL59" s="34">
        <v>0</v>
      </c>
      <c r="QM59" s="34">
        <v>0</v>
      </c>
      <c r="QN59" s="34">
        <v>0</v>
      </c>
      <c r="QO59" s="34">
        <v>0</v>
      </c>
      <c r="QP59" s="34">
        <v>0</v>
      </c>
      <c r="QQ59" s="34">
        <v>0</v>
      </c>
      <c r="QR59" s="34">
        <v>0</v>
      </c>
      <c r="QS59" s="34">
        <v>0</v>
      </c>
      <c r="QT59" s="34">
        <v>0</v>
      </c>
      <c r="QU59" s="34">
        <v>0</v>
      </c>
      <c r="QV59" s="34">
        <v>0</v>
      </c>
      <c r="QW59" s="34">
        <v>0</v>
      </c>
      <c r="QX59" s="34">
        <v>0</v>
      </c>
      <c r="QY59" s="34">
        <v>0</v>
      </c>
      <c r="QZ59" s="34">
        <v>0</v>
      </c>
      <c r="RA59" s="34">
        <v>0</v>
      </c>
      <c r="RB59" s="34">
        <v>0</v>
      </c>
      <c r="RC59" s="34">
        <v>0</v>
      </c>
      <c r="RD59" s="34">
        <v>0</v>
      </c>
      <c r="RE59" s="34">
        <v>0</v>
      </c>
      <c r="RF59" s="34">
        <v>0</v>
      </c>
      <c r="RG59" s="34">
        <v>0</v>
      </c>
      <c r="RH59" s="34">
        <v>0</v>
      </c>
      <c r="RI59" s="34">
        <v>0</v>
      </c>
      <c r="RJ59" s="34">
        <v>0</v>
      </c>
      <c r="RK59" s="34">
        <v>0</v>
      </c>
      <c r="RL59" s="34">
        <v>0</v>
      </c>
      <c r="RM59" s="34">
        <v>0</v>
      </c>
      <c r="RN59" s="34">
        <v>0</v>
      </c>
      <c r="RO59" s="34">
        <v>0</v>
      </c>
      <c r="RP59" s="34">
        <v>0</v>
      </c>
      <c r="RQ59" s="34">
        <v>0</v>
      </c>
      <c r="RR59" s="34">
        <v>0</v>
      </c>
      <c r="RS59" s="34">
        <v>0</v>
      </c>
      <c r="RT59" s="34">
        <v>0</v>
      </c>
      <c r="RU59" s="34">
        <v>0</v>
      </c>
      <c r="RV59" s="34">
        <v>0</v>
      </c>
      <c r="RW59" s="34">
        <v>0</v>
      </c>
      <c r="RX59" s="34">
        <v>0</v>
      </c>
      <c r="RY59" s="34">
        <v>0</v>
      </c>
      <c r="RZ59" s="34">
        <v>0</v>
      </c>
      <c r="SA59" s="34">
        <v>0</v>
      </c>
      <c r="SB59" s="34">
        <v>0</v>
      </c>
      <c r="SC59" s="34">
        <v>0</v>
      </c>
      <c r="SD59" s="34">
        <v>0</v>
      </c>
      <c r="SE59" s="34">
        <v>0</v>
      </c>
      <c r="SF59" s="34">
        <v>0</v>
      </c>
      <c r="SG59" s="34">
        <v>0</v>
      </c>
      <c r="SH59" s="34">
        <v>0</v>
      </c>
      <c r="SI59" s="34">
        <v>0</v>
      </c>
      <c r="SJ59" s="34">
        <v>0</v>
      </c>
      <c r="SK59" s="34">
        <v>0</v>
      </c>
      <c r="SL59" s="34">
        <v>0</v>
      </c>
      <c r="SM59" s="34">
        <v>0</v>
      </c>
      <c r="SN59" s="34">
        <v>0</v>
      </c>
      <c r="SO59" s="34">
        <v>0</v>
      </c>
      <c r="SP59" s="34">
        <v>0</v>
      </c>
      <c r="SQ59" s="34">
        <v>0</v>
      </c>
      <c r="SR59" s="34">
        <v>0</v>
      </c>
      <c r="SS59" s="34">
        <v>0</v>
      </c>
      <c r="ST59" s="34">
        <v>0</v>
      </c>
      <c r="SU59" s="34">
        <v>0</v>
      </c>
      <c r="SV59" s="34">
        <v>0</v>
      </c>
      <c r="SW59" s="34">
        <v>0</v>
      </c>
      <c r="SX59" s="34">
        <v>0</v>
      </c>
      <c r="SY59" s="34">
        <v>0</v>
      </c>
      <c r="SZ59" s="34">
        <v>0</v>
      </c>
      <c r="TA59" s="34">
        <v>0</v>
      </c>
      <c r="TB59" s="34">
        <v>0</v>
      </c>
      <c r="TC59" s="34">
        <v>0</v>
      </c>
      <c r="TD59" s="34">
        <v>0</v>
      </c>
      <c r="TE59" s="34">
        <v>0</v>
      </c>
      <c r="TF59" s="34">
        <v>0</v>
      </c>
      <c r="TG59" s="34">
        <v>0</v>
      </c>
      <c r="TH59" s="34">
        <v>0</v>
      </c>
      <c r="TI59" s="34">
        <v>0</v>
      </c>
      <c r="TJ59" s="34">
        <v>0</v>
      </c>
      <c r="TK59" s="34">
        <v>0</v>
      </c>
      <c r="TL59" s="34">
        <v>0</v>
      </c>
      <c r="TM59" s="34">
        <v>0</v>
      </c>
      <c r="TN59" s="34">
        <v>0</v>
      </c>
      <c r="TO59" s="34">
        <v>0</v>
      </c>
      <c r="TP59" s="34">
        <v>0</v>
      </c>
      <c r="TQ59" s="34">
        <v>0</v>
      </c>
      <c r="TR59" s="34">
        <v>0</v>
      </c>
      <c r="TS59" s="34">
        <v>0</v>
      </c>
      <c r="TT59" s="34">
        <v>0</v>
      </c>
      <c r="TU59" s="34">
        <v>0</v>
      </c>
      <c r="TV59" s="34">
        <v>0</v>
      </c>
      <c r="TW59" s="34">
        <v>0</v>
      </c>
      <c r="TX59" s="34">
        <v>0</v>
      </c>
      <c r="TY59" s="34">
        <v>0</v>
      </c>
      <c r="TZ59" s="34">
        <v>0</v>
      </c>
      <c r="UA59" s="34">
        <v>0</v>
      </c>
      <c r="UB59" s="34">
        <v>0</v>
      </c>
      <c r="UC59" s="34">
        <v>0</v>
      </c>
      <c r="UD59" s="34">
        <v>0</v>
      </c>
      <c r="UE59" s="34">
        <v>0</v>
      </c>
      <c r="UF59" s="34">
        <v>0</v>
      </c>
      <c r="UG59" s="34">
        <v>0</v>
      </c>
      <c r="UH59" s="34">
        <v>0</v>
      </c>
      <c r="UI59" s="34">
        <v>0</v>
      </c>
      <c r="UJ59" s="34">
        <v>0</v>
      </c>
      <c r="UK59" s="34">
        <v>0</v>
      </c>
      <c r="UL59" s="34">
        <v>0</v>
      </c>
      <c r="UM59" s="34">
        <v>0</v>
      </c>
      <c r="UN59" s="34">
        <v>0</v>
      </c>
      <c r="UO59" s="34">
        <v>0</v>
      </c>
      <c r="UP59" s="34">
        <v>0</v>
      </c>
      <c r="UQ59" s="34">
        <v>0</v>
      </c>
      <c r="UR59" s="34">
        <v>0</v>
      </c>
      <c r="US59" s="34">
        <v>0</v>
      </c>
      <c r="UT59" s="34">
        <v>0</v>
      </c>
      <c r="UU59" s="34">
        <v>0</v>
      </c>
      <c r="UV59" s="34">
        <v>0</v>
      </c>
      <c r="UW59" s="34">
        <v>0</v>
      </c>
      <c r="UX59" s="34">
        <v>0</v>
      </c>
      <c r="UY59" s="34">
        <v>0</v>
      </c>
      <c r="UZ59" s="34">
        <v>0</v>
      </c>
      <c r="VA59" s="34">
        <v>0</v>
      </c>
      <c r="VB59" s="34">
        <v>0</v>
      </c>
      <c r="VC59" s="34">
        <v>0</v>
      </c>
      <c r="VD59" s="34">
        <v>0</v>
      </c>
      <c r="VE59" s="34">
        <v>0</v>
      </c>
      <c r="VF59" s="34">
        <v>0</v>
      </c>
      <c r="VG59" s="34">
        <v>0</v>
      </c>
      <c r="VH59" s="34">
        <v>0</v>
      </c>
      <c r="VI59" s="34">
        <v>0</v>
      </c>
      <c r="VJ59" s="34">
        <v>0</v>
      </c>
      <c r="VK59" s="34">
        <v>0</v>
      </c>
      <c r="VL59" s="34">
        <v>0</v>
      </c>
      <c r="VM59" s="34">
        <v>0</v>
      </c>
      <c r="VN59" s="34">
        <v>0</v>
      </c>
      <c r="VO59" s="34">
        <v>0</v>
      </c>
      <c r="VP59" s="34">
        <v>0</v>
      </c>
      <c r="VQ59" s="34">
        <v>0</v>
      </c>
      <c r="VR59" s="34">
        <v>0</v>
      </c>
      <c r="VS59" s="34">
        <v>0</v>
      </c>
      <c r="VT59" s="34">
        <v>0</v>
      </c>
      <c r="VU59" s="34">
        <v>0</v>
      </c>
      <c r="VV59" s="34">
        <v>0</v>
      </c>
      <c r="VW59" s="34">
        <v>0</v>
      </c>
      <c r="VX59" s="34">
        <v>0</v>
      </c>
      <c r="VY59" s="34">
        <v>0</v>
      </c>
      <c r="VZ59" s="34">
        <v>0</v>
      </c>
      <c r="WA59" s="34">
        <v>0</v>
      </c>
      <c r="WB59" s="34">
        <v>0</v>
      </c>
      <c r="WC59" s="34">
        <v>0</v>
      </c>
      <c r="WD59" s="34">
        <v>0</v>
      </c>
      <c r="WE59" s="34">
        <v>0</v>
      </c>
      <c r="WF59" s="34">
        <v>0</v>
      </c>
      <c r="WG59" s="34">
        <v>0</v>
      </c>
      <c r="WH59" s="34">
        <v>0</v>
      </c>
      <c r="WI59" s="34">
        <v>0</v>
      </c>
      <c r="WJ59" s="34">
        <v>0</v>
      </c>
      <c r="WK59" s="34">
        <v>0</v>
      </c>
      <c r="WL59" s="34">
        <v>0</v>
      </c>
      <c r="WM59">
        <v>0</v>
      </c>
      <c r="WN59">
        <v>0</v>
      </c>
      <c r="WO59">
        <v>0</v>
      </c>
      <c r="WP59">
        <v>0</v>
      </c>
      <c r="WQ59">
        <v>0</v>
      </c>
      <c r="WR59">
        <v>0</v>
      </c>
      <c r="WS59">
        <v>0</v>
      </c>
      <c r="WT59">
        <v>0</v>
      </c>
      <c r="WU59">
        <v>0</v>
      </c>
      <c r="WV59">
        <v>0</v>
      </c>
      <c r="WW59">
        <v>0</v>
      </c>
      <c r="WX59">
        <v>0</v>
      </c>
      <c r="WY59">
        <v>0</v>
      </c>
      <c r="WZ59">
        <v>0</v>
      </c>
      <c r="XA59">
        <v>0</v>
      </c>
      <c r="XB59">
        <v>0</v>
      </c>
      <c r="XC59">
        <v>0</v>
      </c>
      <c r="XD59">
        <v>0</v>
      </c>
      <c r="XE59">
        <v>0</v>
      </c>
      <c r="XF59">
        <v>0</v>
      </c>
      <c r="XG59">
        <v>0</v>
      </c>
      <c r="XH59">
        <v>0</v>
      </c>
      <c r="XI59">
        <v>0</v>
      </c>
      <c r="XJ59">
        <v>0</v>
      </c>
      <c r="XK59">
        <v>0</v>
      </c>
      <c r="XL59">
        <v>0</v>
      </c>
      <c r="XM59">
        <v>0</v>
      </c>
      <c r="XN59">
        <v>0</v>
      </c>
      <c r="XO59">
        <v>0</v>
      </c>
      <c r="XP59">
        <v>0</v>
      </c>
      <c r="XQ59">
        <v>0</v>
      </c>
      <c r="XR59">
        <v>0</v>
      </c>
      <c r="XS59">
        <v>0</v>
      </c>
      <c r="XT59">
        <v>0</v>
      </c>
      <c r="XU59">
        <v>0</v>
      </c>
      <c r="XV59">
        <v>0</v>
      </c>
      <c r="XW59">
        <v>0</v>
      </c>
      <c r="XX59">
        <v>0</v>
      </c>
      <c r="XY59">
        <v>0</v>
      </c>
      <c r="XZ59">
        <v>0</v>
      </c>
      <c r="YA59">
        <v>0</v>
      </c>
      <c r="YB59">
        <v>0</v>
      </c>
      <c r="YC59">
        <v>0</v>
      </c>
      <c r="YD59">
        <v>0</v>
      </c>
      <c r="YE59">
        <v>0</v>
      </c>
      <c r="YF59" s="1">
        <v>0</v>
      </c>
      <c r="YG59" s="1">
        <v>0</v>
      </c>
      <c r="YH59" s="1">
        <v>0</v>
      </c>
      <c r="YI59" s="1">
        <v>0</v>
      </c>
      <c r="YJ59">
        <v>0</v>
      </c>
      <c r="YK59">
        <v>0</v>
      </c>
      <c r="YL59">
        <v>0</v>
      </c>
      <c r="YM59">
        <v>0</v>
      </c>
      <c r="YN59">
        <v>0</v>
      </c>
      <c r="YO59">
        <v>0</v>
      </c>
      <c r="YP59">
        <v>0</v>
      </c>
      <c r="YQ59">
        <v>0</v>
      </c>
      <c r="YR59">
        <v>0</v>
      </c>
      <c r="YS59">
        <v>0</v>
      </c>
      <c r="YT59">
        <v>0</v>
      </c>
      <c r="YU59">
        <v>0</v>
      </c>
      <c r="YV59">
        <v>0</v>
      </c>
      <c r="YW59">
        <v>0</v>
      </c>
      <c r="YX59">
        <v>0</v>
      </c>
      <c r="YY59">
        <v>0</v>
      </c>
      <c r="YZ59">
        <v>0</v>
      </c>
      <c r="ZA59">
        <v>0</v>
      </c>
      <c r="ZB59">
        <v>0</v>
      </c>
      <c r="ZC59">
        <v>0</v>
      </c>
      <c r="ZD59">
        <v>0</v>
      </c>
      <c r="ZE59">
        <v>0</v>
      </c>
      <c r="ZF59">
        <v>0</v>
      </c>
      <c r="ZG59">
        <v>0</v>
      </c>
      <c r="ZH59">
        <v>0</v>
      </c>
      <c r="ZI59">
        <v>0</v>
      </c>
      <c r="ZJ59">
        <v>0</v>
      </c>
      <c r="ZK59">
        <v>0</v>
      </c>
      <c r="ZL59">
        <v>0</v>
      </c>
      <c r="ZM59">
        <v>0</v>
      </c>
      <c r="ZN59">
        <v>0</v>
      </c>
      <c r="ZO59">
        <v>0</v>
      </c>
      <c r="ZP59">
        <v>0</v>
      </c>
      <c r="ZQ59">
        <v>0</v>
      </c>
      <c r="ZR59">
        <v>0</v>
      </c>
      <c r="ZS59">
        <v>0</v>
      </c>
      <c r="ZT59">
        <v>0</v>
      </c>
      <c r="ZU59">
        <v>0</v>
      </c>
      <c r="ZV59">
        <v>0</v>
      </c>
      <c r="ZW59">
        <v>0</v>
      </c>
      <c r="ZX59">
        <v>0</v>
      </c>
      <c r="ZY59">
        <v>0</v>
      </c>
      <c r="ZZ59">
        <v>0</v>
      </c>
      <c r="AAA59">
        <v>0</v>
      </c>
      <c r="AAB59">
        <v>0</v>
      </c>
      <c r="AAC59">
        <v>0</v>
      </c>
      <c r="AAD59">
        <v>0</v>
      </c>
      <c r="AAE59">
        <v>0</v>
      </c>
      <c r="AAF59">
        <v>0</v>
      </c>
      <c r="AAG59">
        <v>0</v>
      </c>
      <c r="AAH59">
        <v>0</v>
      </c>
      <c r="AAI59">
        <v>0</v>
      </c>
      <c r="AAJ59">
        <v>0</v>
      </c>
      <c r="AAK59">
        <v>0</v>
      </c>
      <c r="AAL59">
        <v>0</v>
      </c>
      <c r="AAM59">
        <v>0</v>
      </c>
      <c r="AAN59">
        <v>0</v>
      </c>
      <c r="AAO59">
        <v>0</v>
      </c>
      <c r="AAP59">
        <v>0</v>
      </c>
      <c r="AAQ59">
        <v>0</v>
      </c>
      <c r="AAR59">
        <v>0</v>
      </c>
      <c r="AAS59">
        <v>0</v>
      </c>
      <c r="AAT59">
        <v>0</v>
      </c>
      <c r="AAU59">
        <v>0</v>
      </c>
      <c r="AAV59">
        <v>0</v>
      </c>
      <c r="AAW59">
        <v>0</v>
      </c>
      <c r="AAX59">
        <v>0</v>
      </c>
      <c r="AAY59">
        <v>0</v>
      </c>
      <c r="AAZ59">
        <v>0</v>
      </c>
      <c r="ABA59">
        <v>0</v>
      </c>
      <c r="ABB59">
        <v>0</v>
      </c>
      <c r="ABC59">
        <v>0</v>
      </c>
      <c r="ABD59">
        <v>0</v>
      </c>
      <c r="ABE59">
        <v>0</v>
      </c>
      <c r="ABF59">
        <v>0</v>
      </c>
      <c r="ABG59">
        <v>0</v>
      </c>
      <c r="ABH59">
        <v>0</v>
      </c>
      <c r="ABI59">
        <v>0</v>
      </c>
      <c r="ABJ59">
        <v>0</v>
      </c>
      <c r="ABK59">
        <v>0</v>
      </c>
      <c r="ABL59">
        <v>0</v>
      </c>
      <c r="ABM59">
        <v>0</v>
      </c>
      <c r="ABN59">
        <v>0</v>
      </c>
      <c r="ABO59">
        <v>0</v>
      </c>
      <c r="ABP59">
        <v>0</v>
      </c>
      <c r="ABQ59">
        <v>0</v>
      </c>
      <c r="ABR59">
        <v>0</v>
      </c>
      <c r="ABS59">
        <v>0</v>
      </c>
      <c r="ABT59">
        <v>0</v>
      </c>
      <c r="ABU59">
        <v>0</v>
      </c>
      <c r="ABV59">
        <v>0</v>
      </c>
      <c r="ABW59">
        <v>0</v>
      </c>
      <c r="ABX59">
        <v>0</v>
      </c>
      <c r="ABY59">
        <v>0</v>
      </c>
      <c r="ABZ59">
        <v>0</v>
      </c>
      <c r="ACA59">
        <v>0</v>
      </c>
      <c r="ACB59">
        <v>0</v>
      </c>
      <c r="ACC59">
        <v>0</v>
      </c>
      <c r="ACD59">
        <v>0</v>
      </c>
      <c r="ACE59">
        <v>0</v>
      </c>
      <c r="ACF59">
        <v>0</v>
      </c>
      <c r="ACG59">
        <v>0</v>
      </c>
      <c r="ACH59">
        <v>0</v>
      </c>
      <c r="ACI59">
        <v>0</v>
      </c>
      <c r="ACJ59">
        <v>0</v>
      </c>
      <c r="ACK59">
        <v>0</v>
      </c>
      <c r="ACL59">
        <v>0</v>
      </c>
      <c r="ACM59">
        <v>0</v>
      </c>
      <c r="ACN59">
        <v>0</v>
      </c>
      <c r="ACO59">
        <v>0</v>
      </c>
      <c r="ACP59">
        <v>0</v>
      </c>
      <c r="ACQ59">
        <v>0</v>
      </c>
      <c r="ACR59">
        <v>0</v>
      </c>
      <c r="ACS59">
        <v>0</v>
      </c>
      <c r="ACT59">
        <v>0</v>
      </c>
      <c r="ACU59">
        <v>0</v>
      </c>
      <c r="ACV59">
        <v>0</v>
      </c>
      <c r="ACW59">
        <v>0</v>
      </c>
      <c r="ACX59">
        <v>0</v>
      </c>
      <c r="ACY59">
        <v>0</v>
      </c>
      <c r="ACZ59">
        <v>0</v>
      </c>
      <c r="ADA59">
        <v>0</v>
      </c>
      <c r="ADB59">
        <v>0</v>
      </c>
      <c r="ADC59">
        <v>0</v>
      </c>
      <c r="ADD59">
        <v>0</v>
      </c>
      <c r="ADE59">
        <v>0</v>
      </c>
      <c r="ADF59">
        <v>0</v>
      </c>
      <c r="ADG59">
        <v>0</v>
      </c>
      <c r="ADH59">
        <v>0</v>
      </c>
      <c r="ADI59">
        <v>0</v>
      </c>
      <c r="ADJ59">
        <v>0</v>
      </c>
      <c r="ADK59">
        <v>0</v>
      </c>
      <c r="ADL59">
        <v>0</v>
      </c>
      <c r="ADM59">
        <v>0</v>
      </c>
      <c r="ADN59">
        <v>0</v>
      </c>
      <c r="ADO59">
        <v>0</v>
      </c>
      <c r="ADP59">
        <v>0</v>
      </c>
      <c r="ADQ59">
        <v>0</v>
      </c>
      <c r="ADR59">
        <v>0</v>
      </c>
      <c r="ADS59">
        <v>0</v>
      </c>
      <c r="ADT59">
        <v>0</v>
      </c>
      <c r="ADU59">
        <v>0</v>
      </c>
      <c r="ADV59">
        <v>0</v>
      </c>
      <c r="ADW59">
        <v>0</v>
      </c>
      <c r="ADX59">
        <v>0</v>
      </c>
      <c r="ADY59">
        <v>0</v>
      </c>
      <c r="ADZ59">
        <v>0</v>
      </c>
      <c r="AEA59">
        <v>0</v>
      </c>
      <c r="AEB59">
        <v>0</v>
      </c>
      <c r="AEC59">
        <v>0</v>
      </c>
      <c r="AED59">
        <v>0</v>
      </c>
      <c r="AEE59">
        <v>0</v>
      </c>
      <c r="AEF59">
        <v>0</v>
      </c>
      <c r="AEG59">
        <v>0</v>
      </c>
      <c r="AEH59">
        <v>0</v>
      </c>
      <c r="AEI59">
        <v>0</v>
      </c>
      <c r="AEJ59">
        <v>0</v>
      </c>
      <c r="AEK59">
        <v>0</v>
      </c>
      <c r="AEL59">
        <v>0</v>
      </c>
      <c r="AEM59">
        <v>0</v>
      </c>
      <c r="AEN59">
        <v>0</v>
      </c>
      <c r="AEO59">
        <v>0</v>
      </c>
      <c r="AEP59">
        <v>0</v>
      </c>
      <c r="AEQ59">
        <v>0</v>
      </c>
      <c r="AER59">
        <v>0</v>
      </c>
      <c r="AES59">
        <v>0</v>
      </c>
      <c r="AET59">
        <v>0</v>
      </c>
      <c r="AEU59">
        <v>0</v>
      </c>
      <c r="AEV59">
        <v>0</v>
      </c>
      <c r="AEW59">
        <v>0</v>
      </c>
      <c r="AEX59">
        <v>0</v>
      </c>
      <c r="AEY59">
        <v>0</v>
      </c>
      <c r="AEZ59">
        <v>0</v>
      </c>
      <c r="AFA59">
        <v>0</v>
      </c>
      <c r="AFB59">
        <v>0</v>
      </c>
      <c r="AFC59">
        <v>0</v>
      </c>
      <c r="AFD59">
        <v>0</v>
      </c>
      <c r="AFE59">
        <v>0</v>
      </c>
      <c r="AFF59">
        <v>0</v>
      </c>
      <c r="AFG59">
        <v>0</v>
      </c>
      <c r="AFH59">
        <v>0</v>
      </c>
      <c r="AFI59">
        <v>0</v>
      </c>
      <c r="AFJ59">
        <v>0</v>
      </c>
      <c r="AFK59">
        <v>0</v>
      </c>
      <c r="AFL59">
        <v>0</v>
      </c>
      <c r="AFM59">
        <v>0</v>
      </c>
      <c r="AFN59">
        <v>0</v>
      </c>
      <c r="AFO59">
        <v>0</v>
      </c>
      <c r="AFP59">
        <v>0</v>
      </c>
      <c r="AFQ59">
        <v>0</v>
      </c>
      <c r="AFR59">
        <v>0</v>
      </c>
      <c r="AFS59">
        <v>0</v>
      </c>
      <c r="AFT59">
        <v>0</v>
      </c>
      <c r="AFU59">
        <v>0</v>
      </c>
      <c r="AFV59">
        <v>0</v>
      </c>
      <c r="AFW59">
        <v>0</v>
      </c>
      <c r="AFX59">
        <v>0</v>
      </c>
      <c r="AFY59">
        <v>0</v>
      </c>
      <c r="AFZ59">
        <v>0</v>
      </c>
      <c r="AGA59">
        <v>0</v>
      </c>
      <c r="AGB59">
        <v>0</v>
      </c>
      <c r="AGC59">
        <v>0</v>
      </c>
      <c r="AGD59">
        <v>0</v>
      </c>
      <c r="AGE59">
        <v>0</v>
      </c>
      <c r="AGF59">
        <v>0</v>
      </c>
      <c r="AGG59">
        <v>0</v>
      </c>
      <c r="AGH59">
        <v>0</v>
      </c>
      <c r="AGI59">
        <v>0</v>
      </c>
      <c r="AGJ59">
        <v>0</v>
      </c>
      <c r="AGK59">
        <v>0</v>
      </c>
      <c r="AGL59">
        <v>0</v>
      </c>
      <c r="AGM59">
        <v>0</v>
      </c>
      <c r="AGN59">
        <v>0</v>
      </c>
      <c r="AGO59">
        <v>0</v>
      </c>
      <c r="AGP59">
        <v>0</v>
      </c>
      <c r="AGQ59">
        <v>0</v>
      </c>
      <c r="AGR59">
        <v>0</v>
      </c>
      <c r="AGS59">
        <v>0</v>
      </c>
      <c r="AGT59">
        <v>0</v>
      </c>
      <c r="AGU59">
        <v>0</v>
      </c>
      <c r="AGV59">
        <v>0</v>
      </c>
      <c r="AGW59">
        <v>0</v>
      </c>
      <c r="AGX59">
        <v>0</v>
      </c>
      <c r="AGY59">
        <v>0</v>
      </c>
      <c r="AGZ59">
        <v>0</v>
      </c>
      <c r="AHA59">
        <v>0</v>
      </c>
      <c r="AHB59">
        <v>0</v>
      </c>
      <c r="AHC59">
        <v>0</v>
      </c>
      <c r="AHD59">
        <v>0</v>
      </c>
      <c r="AHE59">
        <v>0</v>
      </c>
      <c r="AHF59">
        <v>0</v>
      </c>
      <c r="AHG59">
        <v>0</v>
      </c>
      <c r="AHH59">
        <v>0</v>
      </c>
      <c r="AHI59">
        <v>0</v>
      </c>
      <c r="AHJ59">
        <v>0</v>
      </c>
      <c r="AHK59">
        <v>0</v>
      </c>
      <c r="AHL59">
        <v>0</v>
      </c>
      <c r="AHM59">
        <v>0</v>
      </c>
      <c r="AHN59">
        <v>0</v>
      </c>
      <c r="AHO59">
        <v>0</v>
      </c>
      <c r="AHP59">
        <v>0</v>
      </c>
      <c r="AHQ59">
        <v>0</v>
      </c>
    </row>
    <row r="60" spans="1:901">
      <c r="A60" s="1" t="s">
        <v>140</v>
      </c>
      <c r="C60" s="34">
        <f t="shared" si="28"/>
        <v>7745</v>
      </c>
      <c r="D60" s="34">
        <f t="shared" si="28"/>
        <v>8405</v>
      </c>
      <c r="E60" s="34">
        <f t="shared" si="29"/>
        <v>7554</v>
      </c>
      <c r="F60" s="34">
        <f t="shared" si="30"/>
        <v>0</v>
      </c>
      <c r="G60" s="34">
        <f t="shared" si="31"/>
        <v>14322</v>
      </c>
      <c r="H60" s="34">
        <f t="shared" si="32"/>
        <v>8175</v>
      </c>
      <c r="I60" s="34">
        <f t="shared" si="32"/>
        <v>7321</v>
      </c>
      <c r="J60" s="34">
        <f t="shared" si="32"/>
        <v>7625</v>
      </c>
      <c r="K60" s="34">
        <f t="shared" si="32"/>
        <v>7779</v>
      </c>
      <c r="L60" s="34">
        <f t="shared" si="32"/>
        <v>14771</v>
      </c>
      <c r="M60" s="34">
        <f t="shared" si="32"/>
        <v>7099</v>
      </c>
      <c r="N60" s="34">
        <f t="shared" si="32"/>
        <v>7424</v>
      </c>
      <c r="O60" s="34">
        <f t="shared" si="32"/>
        <v>7550</v>
      </c>
      <c r="P60" s="34">
        <f t="shared" si="32"/>
        <v>7186</v>
      </c>
      <c r="Q60" s="34">
        <f t="shared" si="32"/>
        <v>7545</v>
      </c>
      <c r="R60" s="34">
        <f t="shared" si="32"/>
        <v>7438</v>
      </c>
      <c r="S60" s="34">
        <f t="shared" si="32"/>
        <v>7538</v>
      </c>
      <c r="T60" s="34">
        <f t="shared" si="32"/>
        <v>7334</v>
      </c>
      <c r="U60" s="34">
        <f t="shared" si="32"/>
        <v>5770</v>
      </c>
      <c r="V60" s="34">
        <f t="shared" si="32"/>
        <v>6807</v>
      </c>
      <c r="W60" s="34">
        <f t="shared" si="32"/>
        <v>7132</v>
      </c>
      <c r="X60" s="34">
        <f t="shared" ref="X60:X62" si="80">X39-W39</f>
        <v>7208</v>
      </c>
      <c r="Y60" s="34">
        <f t="shared" si="63"/>
        <v>7066</v>
      </c>
      <c r="Z60" s="34">
        <f t="shared" si="1"/>
        <v>6725</v>
      </c>
      <c r="AA60" s="34">
        <f t="shared" si="1"/>
        <v>7903</v>
      </c>
      <c r="AB60" s="34">
        <f t="shared" si="1"/>
        <v>6655</v>
      </c>
      <c r="AC60" s="34">
        <f t="shared" si="1"/>
        <v>6758</v>
      </c>
      <c r="AD60" s="34">
        <f t="shared" si="1"/>
        <v>7775</v>
      </c>
      <c r="AE60" s="34">
        <f t="shared" si="1"/>
        <v>7592</v>
      </c>
      <c r="AF60" s="34">
        <f t="shared" si="1"/>
        <v>7085</v>
      </c>
      <c r="AG60" s="34">
        <f t="shared" si="1"/>
        <v>7905</v>
      </c>
      <c r="AH60" s="34">
        <f t="shared" si="1"/>
        <v>6508</v>
      </c>
      <c r="AI60" s="34">
        <f t="shared" si="1"/>
        <v>6699</v>
      </c>
      <c r="AJ60" s="34">
        <f t="shared" si="1"/>
        <v>6719</v>
      </c>
      <c r="AK60" s="34">
        <f t="shared" si="1"/>
        <v>0</v>
      </c>
      <c r="AL60" s="34">
        <f t="shared" si="1"/>
        <v>13905</v>
      </c>
      <c r="AM60" s="34">
        <f t="shared" si="50"/>
        <v>7099</v>
      </c>
      <c r="AN60" s="34">
        <f t="shared" si="2"/>
        <v>7872</v>
      </c>
      <c r="AO60" s="34">
        <f t="shared" si="2"/>
        <v>7979</v>
      </c>
      <c r="AP60" s="34">
        <f t="shared" si="2"/>
        <v>7880</v>
      </c>
      <c r="AQ60" s="34">
        <f t="shared" si="2"/>
        <v>0</v>
      </c>
      <c r="AR60" s="34">
        <f t="shared" si="2"/>
        <v>15965</v>
      </c>
      <c r="AS60" s="34">
        <f t="shared" si="2"/>
        <v>8245</v>
      </c>
      <c r="AT60" s="34">
        <f t="shared" si="2"/>
        <v>8994</v>
      </c>
      <c r="AU60" s="34">
        <f t="shared" si="2"/>
        <v>8658</v>
      </c>
      <c r="AV60" s="34">
        <f t="shared" si="2"/>
        <v>8192</v>
      </c>
      <c r="AW60" s="34">
        <f t="shared" si="2"/>
        <v>8097</v>
      </c>
      <c r="AX60" s="34">
        <f t="shared" si="2"/>
        <v>0</v>
      </c>
      <c r="AY60" s="34">
        <f t="shared" si="2"/>
        <v>17473</v>
      </c>
      <c r="AZ60" s="34">
        <f t="shared" si="2"/>
        <v>8176</v>
      </c>
      <c r="BA60" s="34">
        <f t="shared" si="51"/>
        <v>9664</v>
      </c>
      <c r="BB60" s="34">
        <f t="shared" si="3"/>
        <v>8091</v>
      </c>
      <c r="BC60" s="34">
        <f t="shared" si="3"/>
        <v>8927</v>
      </c>
      <c r="BD60" s="34">
        <f t="shared" si="3"/>
        <v>8219</v>
      </c>
      <c r="BE60" s="34">
        <f t="shared" si="3"/>
        <v>0</v>
      </c>
      <c r="BF60" s="34">
        <f t="shared" si="3"/>
        <v>17006</v>
      </c>
      <c r="BG60" s="34">
        <f t="shared" si="3"/>
        <v>8721</v>
      </c>
      <c r="BH60" s="34">
        <f t="shared" si="3"/>
        <v>8074</v>
      </c>
      <c r="BI60" s="34">
        <f t="shared" si="3"/>
        <v>8760</v>
      </c>
      <c r="BJ60" s="34">
        <f t="shared" si="3"/>
        <v>8577</v>
      </c>
      <c r="BK60" s="34">
        <f t="shared" si="3"/>
        <v>7785</v>
      </c>
      <c r="BL60" s="34">
        <f t="shared" si="3"/>
        <v>7985</v>
      </c>
      <c r="BM60" s="34">
        <f t="shared" si="3"/>
        <v>8684</v>
      </c>
      <c r="BN60" s="34">
        <f t="shared" si="3"/>
        <v>10416</v>
      </c>
      <c r="BO60" s="34">
        <f t="shared" si="52"/>
        <v>9593</v>
      </c>
      <c r="BP60" s="34">
        <f t="shared" si="52"/>
        <v>10113</v>
      </c>
      <c r="BQ60" s="34">
        <f t="shared" si="52"/>
        <v>9967</v>
      </c>
      <c r="BR60" s="34">
        <f t="shared" si="52"/>
        <v>9071</v>
      </c>
      <c r="BS60" s="34">
        <f t="shared" si="52"/>
        <v>9981</v>
      </c>
      <c r="BT60" s="34">
        <f t="shared" si="52"/>
        <v>10596</v>
      </c>
      <c r="BU60" s="34">
        <f t="shared" si="52"/>
        <v>10921</v>
      </c>
      <c r="BV60" s="34">
        <f t="shared" si="52"/>
        <v>10147</v>
      </c>
      <c r="BW60" s="34">
        <f t="shared" si="52"/>
        <v>10466</v>
      </c>
      <c r="BX60" s="34">
        <f t="shared" si="52"/>
        <v>11503</v>
      </c>
      <c r="BY60" s="34">
        <f t="shared" si="52"/>
        <v>0</v>
      </c>
      <c r="BZ60" s="34">
        <f t="shared" si="52"/>
        <v>0</v>
      </c>
      <c r="CA60" s="34">
        <f t="shared" si="52"/>
        <v>31459</v>
      </c>
      <c r="CB60" s="34">
        <f t="shared" si="52"/>
        <v>10524</v>
      </c>
      <c r="CC60" s="34">
        <f t="shared" si="52"/>
        <v>9386</v>
      </c>
      <c r="CD60" s="34">
        <f t="shared" si="52"/>
        <v>10009</v>
      </c>
      <c r="CE60" s="34">
        <f t="shared" si="52"/>
        <v>10099</v>
      </c>
      <c r="CF60" s="34">
        <f t="shared" si="52"/>
        <v>11342</v>
      </c>
      <c r="CG60" s="34">
        <f t="shared" si="52"/>
        <v>0</v>
      </c>
      <c r="CH60" s="34">
        <f t="shared" si="52"/>
        <v>20755</v>
      </c>
      <c r="CI60" s="34">
        <f t="shared" si="52"/>
        <v>10795</v>
      </c>
      <c r="CJ60" s="34">
        <f t="shared" si="52"/>
        <v>0</v>
      </c>
      <c r="CK60" s="34">
        <f t="shared" si="52"/>
        <v>22254</v>
      </c>
      <c r="CL60" s="34">
        <f t="shared" si="69"/>
        <v>9987</v>
      </c>
      <c r="CM60" s="34">
        <f t="shared" si="69"/>
        <v>10565</v>
      </c>
      <c r="CN60" s="34">
        <f t="shared" si="69"/>
        <v>10869</v>
      </c>
      <c r="CO60" s="34">
        <f t="shared" si="69"/>
        <v>10864</v>
      </c>
      <c r="CP60" s="34">
        <f t="shared" si="69"/>
        <v>0</v>
      </c>
      <c r="CQ60" s="34">
        <f t="shared" si="69"/>
        <v>22921</v>
      </c>
      <c r="CR60" s="34">
        <f t="shared" si="69"/>
        <v>12642</v>
      </c>
      <c r="CS60" s="34">
        <f t="shared" si="69"/>
        <v>0</v>
      </c>
      <c r="CT60" s="34">
        <f t="shared" si="69"/>
        <v>0</v>
      </c>
      <c r="CU60" s="34">
        <f t="shared" si="69"/>
        <v>0</v>
      </c>
      <c r="CV60" s="34">
        <f t="shared" si="69"/>
        <v>0</v>
      </c>
      <c r="CW60" s="34">
        <f t="shared" si="69"/>
        <v>0</v>
      </c>
      <c r="CX60" s="34">
        <f t="shared" si="69"/>
        <v>76987</v>
      </c>
      <c r="CY60" s="34">
        <f t="shared" si="69"/>
        <v>13912</v>
      </c>
      <c r="CZ60" s="34">
        <f t="shared" si="69"/>
        <v>0</v>
      </c>
      <c r="DA60" s="34">
        <f t="shared" si="69"/>
        <v>28392</v>
      </c>
      <c r="DB60" s="34">
        <f t="shared" si="69"/>
        <v>0</v>
      </c>
      <c r="DC60" s="34">
        <f t="shared" si="69"/>
        <v>27767</v>
      </c>
      <c r="DD60" s="34">
        <f t="shared" si="69"/>
        <v>14094</v>
      </c>
      <c r="DE60" s="34">
        <f t="shared" si="69"/>
        <v>11243</v>
      </c>
      <c r="DF60" s="34">
        <f t="shared" si="69"/>
        <v>11254</v>
      </c>
      <c r="DG60" s="34">
        <f t="shared" si="69"/>
        <v>10024</v>
      </c>
      <c r="DH60" s="34">
        <f t="shared" si="69"/>
        <v>8754</v>
      </c>
      <c r="DI60" s="34">
        <f t="shared" si="69"/>
        <v>10136</v>
      </c>
      <c r="DJ60" s="34">
        <f t="shared" si="69"/>
        <v>11396</v>
      </c>
      <c r="DK60" s="34">
        <f t="shared" si="69"/>
        <v>12092</v>
      </c>
      <c r="DL60" s="34">
        <f t="shared" si="69"/>
        <v>13592</v>
      </c>
      <c r="DM60" s="34">
        <f t="shared" si="69"/>
        <v>13349</v>
      </c>
      <c r="DN60" s="34">
        <f t="shared" si="75"/>
        <v>13212</v>
      </c>
      <c r="DO60" s="34">
        <f t="shared" si="75"/>
        <v>14350</v>
      </c>
      <c r="DP60" s="34">
        <f t="shared" si="75"/>
        <v>14261</v>
      </c>
      <c r="DQ60" s="34">
        <f t="shared" si="75"/>
        <v>14579</v>
      </c>
      <c r="DR60" s="34">
        <f t="shared" si="75"/>
        <v>14550</v>
      </c>
      <c r="DS60" s="34">
        <f t="shared" si="75"/>
        <v>13323</v>
      </c>
      <c r="DT60" s="34">
        <f t="shared" si="75"/>
        <v>12865</v>
      </c>
      <c r="DU60" s="34">
        <f t="shared" si="75"/>
        <v>11387</v>
      </c>
      <c r="DV60" s="34">
        <f t="shared" si="75"/>
        <v>12676</v>
      </c>
      <c r="DW60" s="34">
        <f t="shared" si="75"/>
        <v>10931</v>
      </c>
      <c r="DX60" s="34">
        <f t="shared" si="75"/>
        <v>11433</v>
      </c>
      <c r="DY60" s="34">
        <f t="shared" si="75"/>
        <v>2016</v>
      </c>
      <c r="DZ60" s="34">
        <f t="shared" si="75"/>
        <v>25804</v>
      </c>
      <c r="EA60" s="34">
        <f t="shared" si="75"/>
        <v>0</v>
      </c>
      <c r="EB60" s="34">
        <f t="shared" si="75"/>
        <v>29389</v>
      </c>
      <c r="EC60" s="34">
        <f t="shared" si="75"/>
        <v>15544</v>
      </c>
      <c r="ED60" s="34">
        <f t="shared" si="75"/>
        <v>14527</v>
      </c>
      <c r="EE60" s="34">
        <f t="shared" si="75"/>
        <v>14593</v>
      </c>
      <c r="EF60" s="34">
        <f t="shared" si="75"/>
        <v>13903</v>
      </c>
      <c r="EG60" s="34">
        <f t="shared" si="75"/>
        <v>16529</v>
      </c>
      <c r="EH60" s="34">
        <f t="shared" si="75"/>
        <v>0</v>
      </c>
      <c r="EI60" s="34">
        <f t="shared" si="75"/>
        <v>36447</v>
      </c>
      <c r="EJ60" s="34">
        <f t="shared" si="75"/>
        <v>18004</v>
      </c>
      <c r="EK60" s="34">
        <f t="shared" si="75"/>
        <v>17076</v>
      </c>
      <c r="EL60" s="34">
        <f t="shared" si="75"/>
        <v>18095</v>
      </c>
      <c r="EM60" s="34">
        <f t="shared" si="75"/>
        <v>18017</v>
      </c>
      <c r="EN60" s="34">
        <f t="shared" si="75"/>
        <v>17500</v>
      </c>
      <c r="EO60" s="34">
        <f t="shared" si="75"/>
        <v>17787</v>
      </c>
      <c r="EP60" s="34">
        <f t="shared" si="75"/>
        <v>18981</v>
      </c>
      <c r="EQ60" s="34">
        <f t="shared" si="75"/>
        <v>19322</v>
      </c>
      <c r="ER60" s="34">
        <f t="shared" si="75"/>
        <v>19710</v>
      </c>
      <c r="ES60" s="34">
        <f t="shared" si="75"/>
        <v>18614</v>
      </c>
      <c r="ET60" s="34">
        <f t="shared" si="75"/>
        <v>18561</v>
      </c>
      <c r="EU60" s="34">
        <f t="shared" si="75"/>
        <v>18181</v>
      </c>
      <c r="EV60" s="34">
        <f t="shared" si="75"/>
        <v>18362</v>
      </c>
      <c r="EW60" s="34">
        <f t="shared" si="75"/>
        <v>17807</v>
      </c>
      <c r="EX60" s="34">
        <f t="shared" si="75"/>
        <v>16274</v>
      </c>
      <c r="EY60" s="34">
        <f t="shared" si="75"/>
        <v>16134</v>
      </c>
      <c r="EZ60" s="34">
        <f t="shared" si="75"/>
        <v>17051</v>
      </c>
      <c r="FA60" s="34">
        <f t="shared" si="75"/>
        <v>17949</v>
      </c>
      <c r="FB60" s="34">
        <f t="shared" si="75"/>
        <v>17145</v>
      </c>
      <c r="FC60" s="34">
        <f t="shared" si="75"/>
        <v>18156</v>
      </c>
      <c r="FD60" s="34">
        <f t="shared" ref="FD60:FM62" si="81">FD39-FC39</f>
        <v>18060</v>
      </c>
      <c r="FE60" s="34">
        <f t="shared" si="81"/>
        <v>18718</v>
      </c>
      <c r="FF60" s="34">
        <f t="shared" si="81"/>
        <v>18792</v>
      </c>
      <c r="FG60" s="34">
        <f t="shared" si="81"/>
        <v>18337</v>
      </c>
      <c r="FH60" s="34">
        <f t="shared" si="81"/>
        <v>18568</v>
      </c>
      <c r="FI60" s="34">
        <f t="shared" si="81"/>
        <v>17892</v>
      </c>
      <c r="FJ60" s="34">
        <f t="shared" si="81"/>
        <v>18113</v>
      </c>
      <c r="FK60" s="34">
        <f t="shared" si="81"/>
        <v>19155</v>
      </c>
      <c r="FL60" s="34">
        <f t="shared" si="81"/>
        <v>17577</v>
      </c>
      <c r="FM60" s="34">
        <f t="shared" si="81"/>
        <v>17580</v>
      </c>
      <c r="FN60" s="34">
        <v>18077</v>
      </c>
      <c r="FO60" s="34">
        <f t="shared" ref="FO60:FO62" si="82">FO39-FN39</f>
        <v>18036</v>
      </c>
      <c r="FP60" s="34">
        <v>18317</v>
      </c>
      <c r="FQ60" s="34">
        <v>18570</v>
      </c>
      <c r="FR60" s="34">
        <v>20578</v>
      </c>
      <c r="FS60" s="34">
        <v>18274</v>
      </c>
      <c r="FT60" s="34">
        <f t="shared" si="9"/>
        <v>18678</v>
      </c>
      <c r="FU60" s="34">
        <f t="shared" si="9"/>
        <v>17541</v>
      </c>
      <c r="FV60" s="34">
        <f t="shared" si="9"/>
        <v>17759</v>
      </c>
      <c r="FW60" s="34">
        <f t="shared" si="9"/>
        <v>18362</v>
      </c>
      <c r="FX60" s="34">
        <f t="shared" si="9"/>
        <v>19310</v>
      </c>
      <c r="FY60" s="34">
        <f t="shared" si="9"/>
        <v>20878</v>
      </c>
      <c r="FZ60" s="34">
        <f t="shared" si="9"/>
        <v>19812</v>
      </c>
      <c r="GA60" s="34">
        <f t="shared" si="9"/>
        <v>20132</v>
      </c>
      <c r="GB60" s="34">
        <f t="shared" si="9"/>
        <v>19537</v>
      </c>
      <c r="GC60" s="34">
        <f t="shared" si="9"/>
        <v>19381</v>
      </c>
      <c r="GD60" s="34">
        <f t="shared" si="9"/>
        <v>19788</v>
      </c>
      <c r="GE60" s="34">
        <f t="shared" si="9"/>
        <v>18690</v>
      </c>
      <c r="GF60" s="34">
        <f t="shared" si="9"/>
        <v>18966</v>
      </c>
      <c r="GG60" s="34">
        <f t="shared" si="64"/>
        <v>18162</v>
      </c>
      <c r="GH60" s="34">
        <f t="shared" si="10"/>
        <v>18177</v>
      </c>
      <c r="GI60" s="34">
        <f t="shared" si="10"/>
        <v>19812</v>
      </c>
      <c r="GJ60" s="34">
        <f t="shared" si="10"/>
        <v>19842</v>
      </c>
      <c r="GK60" s="34">
        <f t="shared" si="10"/>
        <v>20935</v>
      </c>
      <c r="GL60" s="34">
        <f t="shared" si="10"/>
        <v>20013</v>
      </c>
      <c r="GM60" s="34">
        <f t="shared" si="10"/>
        <v>19360</v>
      </c>
      <c r="GN60" s="34">
        <f t="shared" si="10"/>
        <v>20421</v>
      </c>
      <c r="GO60" s="34">
        <f t="shared" si="10"/>
        <v>20412</v>
      </c>
      <c r="GP60" s="34">
        <f t="shared" si="10"/>
        <v>0</v>
      </c>
      <c r="GQ60" s="34">
        <f t="shared" si="10"/>
        <v>41663</v>
      </c>
      <c r="GR60" s="34">
        <f t="shared" si="10"/>
        <v>20974</v>
      </c>
      <c r="GS60" s="34">
        <f t="shared" si="10"/>
        <v>21488</v>
      </c>
      <c r="GT60" s="34">
        <f t="shared" si="10"/>
        <v>21200</v>
      </c>
      <c r="GU60" s="34">
        <f t="shared" si="54"/>
        <v>19328</v>
      </c>
      <c r="GV60" s="34">
        <f t="shared" si="11"/>
        <v>20127</v>
      </c>
      <c r="GW60" s="34">
        <f t="shared" si="11"/>
        <v>20302</v>
      </c>
      <c r="GX60" s="34">
        <f t="shared" si="11"/>
        <v>21180</v>
      </c>
      <c r="GY60" s="34">
        <f t="shared" si="11"/>
        <v>21332</v>
      </c>
      <c r="GZ60" s="34">
        <f t="shared" si="11"/>
        <v>21487</v>
      </c>
      <c r="HA60" s="34">
        <f t="shared" si="11"/>
        <v>21599</v>
      </c>
      <c r="HB60" s="34">
        <f t="shared" si="12"/>
        <v>43198</v>
      </c>
      <c r="HC60" s="34">
        <f t="shared" si="13"/>
        <v>20993</v>
      </c>
      <c r="HD60" s="34">
        <f t="shared" ref="HD60" si="83">HD39-HC39</f>
        <v>20672</v>
      </c>
      <c r="HE60" s="34">
        <f t="shared" si="13"/>
        <v>22418</v>
      </c>
      <c r="HF60" s="34">
        <f t="shared" si="13"/>
        <v>21187</v>
      </c>
      <c r="HG60" s="34">
        <f t="shared" si="13"/>
        <v>22088</v>
      </c>
      <c r="HH60" s="34">
        <f t="shared" si="13"/>
        <v>21568</v>
      </c>
      <c r="HI60" s="34">
        <f t="shared" si="13"/>
        <v>22239</v>
      </c>
      <c r="HJ60" s="34">
        <f t="shared" si="13"/>
        <v>21380</v>
      </c>
      <c r="HK60" s="34">
        <f t="shared" si="13"/>
        <v>21830</v>
      </c>
      <c r="HL60" s="34">
        <f t="shared" si="13"/>
        <v>22217</v>
      </c>
      <c r="HM60" s="34">
        <f t="shared" si="13"/>
        <v>22587</v>
      </c>
      <c r="HN60" s="34">
        <f t="shared" si="13"/>
        <v>22237</v>
      </c>
      <c r="HO60" s="34">
        <f t="shared" si="13"/>
        <v>24019</v>
      </c>
      <c r="HP60" s="34">
        <f t="shared" si="13"/>
        <v>22795</v>
      </c>
      <c r="HQ60" s="34">
        <f t="shared" si="77"/>
        <v>21441</v>
      </c>
      <c r="HR60" s="34">
        <f t="shared" si="14"/>
        <v>0</v>
      </c>
      <c r="HS60" s="34">
        <f t="shared" si="14"/>
        <v>45256</v>
      </c>
      <c r="HT60" s="34">
        <f t="shared" si="14"/>
        <v>23384</v>
      </c>
      <c r="HU60" s="34">
        <f t="shared" si="14"/>
        <v>22237</v>
      </c>
      <c r="HV60" s="34">
        <f t="shared" si="14"/>
        <v>22938</v>
      </c>
      <c r="HW60" s="34">
        <f t="shared" si="14"/>
        <v>20700</v>
      </c>
      <c r="HX60" s="34">
        <f t="shared" si="14"/>
        <v>21067</v>
      </c>
      <c r="HY60" s="34">
        <f t="shared" si="14"/>
        <v>22818</v>
      </c>
      <c r="HZ60" s="34">
        <f t="shared" si="14"/>
        <v>23282</v>
      </c>
      <c r="IA60" s="34">
        <f t="shared" si="14"/>
        <v>24777</v>
      </c>
      <c r="IB60" s="34">
        <f t="shared" si="14"/>
        <v>24672</v>
      </c>
      <c r="IC60" s="34">
        <f t="shared" si="14"/>
        <v>24111</v>
      </c>
      <c r="ID60" s="34">
        <f t="shared" si="14"/>
        <v>18417</v>
      </c>
      <c r="IE60" s="34">
        <f t="shared" si="66"/>
        <v>20606</v>
      </c>
      <c r="IF60" s="34">
        <f t="shared" si="15"/>
        <v>22934</v>
      </c>
      <c r="IG60" s="34">
        <f t="shared" si="15"/>
        <v>23137</v>
      </c>
      <c r="IH60" s="34">
        <f t="shared" si="15"/>
        <v>23533</v>
      </c>
      <c r="II60" s="34">
        <f t="shared" si="15"/>
        <v>23021</v>
      </c>
      <c r="IJ60" s="34">
        <f t="shared" si="15"/>
        <v>22779</v>
      </c>
      <c r="IK60" s="34">
        <f t="shared" si="15"/>
        <v>21995</v>
      </c>
      <c r="IL60" s="34">
        <f t="shared" si="15"/>
        <v>22648</v>
      </c>
      <c r="IM60" s="34">
        <f t="shared" si="15"/>
        <v>21574</v>
      </c>
      <c r="IN60" s="34">
        <f t="shared" si="15"/>
        <v>22896</v>
      </c>
      <c r="IO60" s="34">
        <f t="shared" si="15"/>
        <v>0</v>
      </c>
      <c r="IP60" s="34">
        <f t="shared" si="15"/>
        <v>45245</v>
      </c>
      <c r="IQ60" s="34">
        <f t="shared" si="15"/>
        <v>21259</v>
      </c>
      <c r="IR60" s="34">
        <f t="shared" si="15"/>
        <v>22372</v>
      </c>
      <c r="IS60" s="34">
        <f t="shared" si="56"/>
        <v>21228</v>
      </c>
      <c r="IT60" s="34">
        <f t="shared" si="44"/>
        <v>23078</v>
      </c>
      <c r="IU60" s="34">
        <f t="shared" si="16"/>
        <v>21978</v>
      </c>
      <c r="IV60" s="34">
        <f t="shared" si="16"/>
        <v>23299</v>
      </c>
      <c r="IW60" s="34">
        <f t="shared" si="16"/>
        <v>23002</v>
      </c>
      <c r="IX60" s="34">
        <f t="shared" si="16"/>
        <v>22407</v>
      </c>
      <c r="IY60" s="34">
        <f t="shared" si="16"/>
        <v>20474</v>
      </c>
      <c r="IZ60" s="34">
        <f t="shared" si="16"/>
        <v>21412</v>
      </c>
      <c r="JA60" s="34">
        <f t="shared" si="16"/>
        <v>22620</v>
      </c>
      <c r="JB60" s="34">
        <f t="shared" si="16"/>
        <v>24399</v>
      </c>
      <c r="JC60" s="34">
        <f t="shared" si="16"/>
        <v>23963</v>
      </c>
      <c r="JD60" s="34">
        <f t="shared" si="16"/>
        <v>21730</v>
      </c>
      <c r="JE60" s="34">
        <f t="shared" si="16"/>
        <v>20992</v>
      </c>
      <c r="JF60" s="34">
        <f t="shared" si="16"/>
        <v>22511</v>
      </c>
      <c r="JG60" s="34">
        <f t="shared" si="16"/>
        <v>22332</v>
      </c>
      <c r="JH60" s="34">
        <f t="shared" si="67"/>
        <v>23608</v>
      </c>
      <c r="JI60" s="34">
        <f t="shared" si="17"/>
        <v>22690</v>
      </c>
      <c r="JJ60" s="34">
        <f t="shared" si="17"/>
        <v>20730</v>
      </c>
      <c r="JK60" s="34">
        <f t="shared" si="17"/>
        <v>19600</v>
      </c>
      <c r="JL60" s="34">
        <f t="shared" si="17"/>
        <v>22093</v>
      </c>
      <c r="JM60" s="34">
        <f t="shared" si="17"/>
        <v>19862</v>
      </c>
      <c r="JN60" s="34">
        <f t="shared" si="17"/>
        <v>19791</v>
      </c>
      <c r="JO60" s="34">
        <f t="shared" si="17"/>
        <v>28757</v>
      </c>
      <c r="JP60" s="34">
        <f t="shared" si="17"/>
        <v>27635</v>
      </c>
      <c r="JQ60" s="34">
        <f t="shared" si="17"/>
        <v>30575</v>
      </c>
      <c r="JR60" s="34">
        <f t="shared" si="17"/>
        <v>31158</v>
      </c>
      <c r="JS60" s="34">
        <f t="shared" si="17"/>
        <v>29281</v>
      </c>
      <c r="JT60" s="34">
        <f t="shared" si="17"/>
        <v>27126</v>
      </c>
      <c r="JU60" s="34">
        <f t="shared" si="17"/>
        <v>30462</v>
      </c>
      <c r="JV60" s="34">
        <f t="shared" si="57"/>
        <v>33471</v>
      </c>
      <c r="JW60" s="34">
        <f t="shared" si="18"/>
        <v>32380</v>
      </c>
      <c r="JX60" s="34">
        <f t="shared" si="18"/>
        <v>34608</v>
      </c>
      <c r="JY60" s="34">
        <f t="shared" si="18"/>
        <v>0</v>
      </c>
      <c r="JZ60" s="34">
        <f t="shared" si="18"/>
        <v>64430</v>
      </c>
      <c r="KA60" s="34">
        <f t="shared" si="18"/>
        <v>30945</v>
      </c>
      <c r="KB60" s="34">
        <f t="shared" si="18"/>
        <v>34585</v>
      </c>
      <c r="KC60" s="34">
        <f t="shared" si="18"/>
        <v>36202</v>
      </c>
      <c r="KD60" s="34">
        <f t="shared" si="18"/>
        <v>36000</v>
      </c>
      <c r="KE60" s="34">
        <f t="shared" si="18"/>
        <v>34849</v>
      </c>
      <c r="KF60" s="34">
        <f t="shared" si="18"/>
        <v>37801</v>
      </c>
      <c r="KG60" s="34">
        <f t="shared" si="18"/>
        <v>38826</v>
      </c>
      <c r="KH60" s="34">
        <f t="shared" si="18"/>
        <v>35243</v>
      </c>
      <c r="KI60" s="34">
        <f t="shared" si="18"/>
        <v>36905</v>
      </c>
      <c r="KJ60" s="34">
        <f t="shared" si="58"/>
        <v>39101</v>
      </c>
      <c r="KK60" s="34">
        <f t="shared" si="19"/>
        <v>44653</v>
      </c>
      <c r="KL60" s="34">
        <f t="shared" si="19"/>
        <v>49198</v>
      </c>
      <c r="KM60" s="34">
        <f t="shared" si="19"/>
        <v>46648</v>
      </c>
      <c r="KN60" s="34">
        <f t="shared" si="19"/>
        <v>41705</v>
      </c>
      <c r="KO60" s="34">
        <f t="shared" si="19"/>
        <v>38721</v>
      </c>
      <c r="KP60" s="34">
        <f t="shared" si="19"/>
        <v>43246</v>
      </c>
      <c r="KQ60" s="34">
        <f t="shared" si="19"/>
        <v>45721</v>
      </c>
      <c r="KR60" s="34">
        <f t="shared" si="19"/>
        <v>0</v>
      </c>
      <c r="KS60" s="34">
        <f t="shared" si="19"/>
        <v>94822</v>
      </c>
      <c r="KT60" s="34">
        <f t="shared" si="19"/>
        <v>49965</v>
      </c>
      <c r="KU60" s="34">
        <f t="shared" si="19"/>
        <v>44310</v>
      </c>
      <c r="KV60" s="34">
        <f t="shared" si="19"/>
        <v>43808</v>
      </c>
      <c r="KW60" s="34">
        <f t="shared" si="19"/>
        <v>46350</v>
      </c>
      <c r="KX60" s="34">
        <f t="shared" si="59"/>
        <v>50844</v>
      </c>
      <c r="KY60" s="34">
        <f t="shared" si="20"/>
        <v>51425</v>
      </c>
      <c r="KZ60" s="34">
        <f t="shared" si="20"/>
        <v>53006</v>
      </c>
      <c r="LA60" s="34">
        <f t="shared" si="34"/>
        <v>56424</v>
      </c>
      <c r="LB60" s="34">
        <f t="shared" si="35"/>
        <v>53310</v>
      </c>
      <c r="LC60" s="34">
        <f t="shared" si="36"/>
        <v>47616</v>
      </c>
      <c r="LD60" s="34">
        <f t="shared" si="37"/>
        <v>51209</v>
      </c>
      <c r="LE60" s="34">
        <f t="shared" si="38"/>
        <v>53469</v>
      </c>
      <c r="LF60" s="34">
        <f t="shared" si="39"/>
        <v>51142</v>
      </c>
      <c r="LG60" s="34">
        <f t="shared" si="39"/>
        <v>50758</v>
      </c>
      <c r="LH60" s="34">
        <f t="shared" si="39"/>
        <v>47753</v>
      </c>
      <c r="LI60" s="34">
        <f t="shared" si="39"/>
        <v>45314</v>
      </c>
      <c r="LJ60" s="34">
        <f t="shared" si="39"/>
        <v>39294</v>
      </c>
      <c r="LK60" s="34">
        <f t="shared" si="39"/>
        <v>39671</v>
      </c>
      <c r="LL60" s="34">
        <f t="shared" si="39"/>
        <v>46306</v>
      </c>
      <c r="LM60" s="34">
        <f t="shared" si="39"/>
        <v>43398</v>
      </c>
      <c r="LN60" s="34">
        <f t="shared" si="39"/>
        <v>40238</v>
      </c>
      <c r="LO60" s="34">
        <f t="shared" si="39"/>
        <v>41730</v>
      </c>
      <c r="LP60" s="34">
        <f t="shared" si="39"/>
        <v>39358</v>
      </c>
      <c r="LQ60" s="34">
        <f t="shared" si="39"/>
        <v>37373</v>
      </c>
      <c r="LR60" s="34">
        <f t="shared" si="39"/>
        <v>37405</v>
      </c>
      <c r="LS60" s="34">
        <f t="shared" si="39"/>
        <v>44026</v>
      </c>
      <c r="LT60" s="34">
        <f t="shared" si="39"/>
        <v>45581</v>
      </c>
      <c r="LU60" s="34">
        <f t="shared" si="39"/>
        <v>48802</v>
      </c>
      <c r="LV60" s="34">
        <f t="shared" si="68"/>
        <v>46109</v>
      </c>
      <c r="LW60" s="34">
        <f t="shared" si="22"/>
        <v>44360</v>
      </c>
      <c r="LX60" s="34">
        <f t="shared" si="22"/>
        <v>41023</v>
      </c>
      <c r="LY60" s="34">
        <f t="shared" si="22"/>
        <v>45939</v>
      </c>
      <c r="LZ60" s="34">
        <f t="shared" si="22"/>
        <v>48651</v>
      </c>
      <c r="MA60" s="34">
        <f t="shared" si="22"/>
        <v>49635</v>
      </c>
      <c r="MB60" s="34">
        <f t="shared" si="22"/>
        <v>48705</v>
      </c>
      <c r="MC60" s="34">
        <f t="shared" si="22"/>
        <v>53853</v>
      </c>
      <c r="MD60" s="34">
        <f t="shared" si="22"/>
        <v>47223</v>
      </c>
      <c r="ME60" s="34">
        <f t="shared" si="22"/>
        <v>45529</v>
      </c>
      <c r="MF60" s="34">
        <f t="shared" si="22"/>
        <v>50543</v>
      </c>
      <c r="MG60" s="34">
        <f t="shared" si="22"/>
        <v>54488</v>
      </c>
      <c r="MH60" s="34">
        <f t="shared" si="22"/>
        <v>55138</v>
      </c>
      <c r="MI60" s="34">
        <f t="shared" si="22"/>
        <v>53675</v>
      </c>
      <c r="MJ60" s="34">
        <f t="shared" si="60"/>
        <v>47764</v>
      </c>
      <c r="MK60" s="34">
        <f t="shared" si="23"/>
        <v>46364</v>
      </c>
      <c r="ML60" s="34">
        <f t="shared" si="23"/>
        <v>43834</v>
      </c>
      <c r="MM60" s="34">
        <f t="shared" si="23"/>
        <v>49674</v>
      </c>
      <c r="MN60" s="34">
        <f t="shared" si="23"/>
        <v>57137</v>
      </c>
      <c r="MO60" s="34">
        <f t="shared" si="23"/>
        <v>58405</v>
      </c>
      <c r="MP60" s="34">
        <f t="shared" si="23"/>
        <v>60938</v>
      </c>
      <c r="MQ60" s="34">
        <f t="shared" si="23"/>
        <v>59589</v>
      </c>
      <c r="MR60" s="34">
        <f t="shared" si="23"/>
        <v>56808</v>
      </c>
      <c r="MS60" s="34">
        <f t="shared" si="23"/>
        <v>54636</v>
      </c>
      <c r="MT60" s="34">
        <f t="shared" si="23"/>
        <v>57276</v>
      </c>
      <c r="MU60" s="34">
        <f t="shared" si="23"/>
        <v>62569</v>
      </c>
      <c r="MV60" s="34">
        <f t="shared" si="23"/>
        <v>59905</v>
      </c>
      <c r="MW60" s="34">
        <f t="shared" si="23"/>
        <v>56043</v>
      </c>
      <c r="MX60" s="34">
        <f t="shared" si="61"/>
        <v>56514</v>
      </c>
      <c r="MY60" s="34">
        <f t="shared" si="24"/>
        <v>53586</v>
      </c>
      <c r="MZ60" s="34">
        <f t="shared" si="25"/>
        <v>49778</v>
      </c>
      <c r="NA60" s="34">
        <f t="shared" si="25"/>
        <v>51130</v>
      </c>
      <c r="NB60" s="34">
        <f t="shared" si="25"/>
        <v>56070</v>
      </c>
      <c r="NC60" s="34">
        <f t="shared" si="25"/>
        <v>53918</v>
      </c>
      <c r="ND60" s="34">
        <f t="shared" si="25"/>
        <v>58915</v>
      </c>
      <c r="NE60" s="34">
        <f t="shared" si="25"/>
        <v>57131</v>
      </c>
      <c r="NF60" s="34">
        <f t="shared" si="25"/>
        <v>55402</v>
      </c>
      <c r="NG60" s="34">
        <f t="shared" si="25"/>
        <v>51261</v>
      </c>
      <c r="NH60" s="34">
        <f t="shared" si="25"/>
        <v>53249</v>
      </c>
      <c r="NI60" s="34">
        <f t="shared" si="25"/>
        <v>54739</v>
      </c>
      <c r="NJ60" s="34">
        <f t="shared" si="25"/>
        <v>50925</v>
      </c>
      <c r="NK60" s="34">
        <f t="shared" si="25"/>
        <v>53249</v>
      </c>
      <c r="NL60" s="34">
        <f t="shared" si="25"/>
        <v>51000</v>
      </c>
      <c r="NM60" s="34">
        <f t="shared" si="62"/>
        <v>48370</v>
      </c>
      <c r="NN60" s="34">
        <f t="shared" si="26"/>
        <v>42581</v>
      </c>
      <c r="NO60" s="34">
        <f t="shared" si="27"/>
        <v>43062</v>
      </c>
      <c r="NP60" s="34">
        <v>46821</v>
      </c>
      <c r="NQ60" s="34">
        <v>0</v>
      </c>
      <c r="NR60" s="34">
        <v>92683</v>
      </c>
      <c r="NS60" s="34">
        <v>42532</v>
      </c>
      <c r="NT60" s="34">
        <v>40644</v>
      </c>
      <c r="NU60" s="34">
        <v>33290</v>
      </c>
      <c r="NV60" s="34">
        <v>38066</v>
      </c>
      <c r="NW60" s="34">
        <v>42344</v>
      </c>
      <c r="NX60">
        <v>40431</v>
      </c>
      <c r="NY60" s="34">
        <v>39347</v>
      </c>
      <c r="NZ60" s="34">
        <v>37234</v>
      </c>
      <c r="OA60" s="34">
        <v>32049</v>
      </c>
      <c r="OB60" s="34">
        <v>27134</v>
      </c>
      <c r="OC60" s="34">
        <v>27279</v>
      </c>
      <c r="OD60" s="34">
        <v>29775</v>
      </c>
      <c r="OE60" s="34">
        <v>32360</v>
      </c>
      <c r="OF60" s="34">
        <v>31021</v>
      </c>
      <c r="OG60" s="34">
        <v>30359</v>
      </c>
      <c r="OH60" s="34">
        <v>27329</v>
      </c>
      <c r="OI60" s="34">
        <v>22152</v>
      </c>
      <c r="OJ60" s="34">
        <v>25715</v>
      </c>
      <c r="OK60" s="34">
        <v>27035</v>
      </c>
      <c r="OL60" s="34">
        <v>28883</v>
      </c>
      <c r="OM60" s="34">
        <v>28519</v>
      </c>
      <c r="ON60" s="34">
        <v>28128</v>
      </c>
      <c r="OO60" s="34">
        <v>24780</v>
      </c>
      <c r="OP60" s="34">
        <v>19548</v>
      </c>
      <c r="OQ60" s="34">
        <v>21029</v>
      </c>
      <c r="OR60" s="34">
        <v>23473</v>
      </c>
      <c r="OS60" s="34">
        <f>OS39-OR39</f>
        <v>24426</v>
      </c>
      <c r="OT60" s="34">
        <f>OT39-OS39</f>
        <v>24332</v>
      </c>
      <c r="OU60" s="34">
        <v>23044</v>
      </c>
      <c r="OV60" s="34">
        <v>20856</v>
      </c>
      <c r="OW60" s="34">
        <v>17047</v>
      </c>
      <c r="OX60" s="34">
        <v>20201</v>
      </c>
      <c r="OY60" s="34">
        <v>21935</v>
      </c>
      <c r="OZ60" s="34">
        <v>22857</v>
      </c>
      <c r="PA60" s="34">
        <v>22567</v>
      </c>
      <c r="PB60" s="34">
        <v>21695</v>
      </c>
      <c r="PC60" s="34">
        <v>18886</v>
      </c>
      <c r="PD60" s="34">
        <v>16125</v>
      </c>
      <c r="PE60" s="34">
        <v>16993</v>
      </c>
      <c r="PF60" s="34">
        <v>18235</v>
      </c>
      <c r="PG60" s="34">
        <v>18720</v>
      </c>
      <c r="PH60" s="34">
        <v>20216</v>
      </c>
      <c r="PI60" s="34">
        <v>19978</v>
      </c>
      <c r="PJ60" s="34">
        <v>19065</v>
      </c>
      <c r="PK60" s="34">
        <v>15237</v>
      </c>
      <c r="PL60" s="34">
        <v>18187</v>
      </c>
      <c r="PM60" s="34">
        <v>0</v>
      </c>
      <c r="PN60" s="34">
        <v>0</v>
      </c>
      <c r="PO60" s="34">
        <v>59448</v>
      </c>
      <c r="PP60" s="34">
        <v>20167</v>
      </c>
      <c r="PQ60" s="34">
        <v>17944</v>
      </c>
      <c r="PR60" s="34">
        <v>14134</v>
      </c>
      <c r="PS60" s="34">
        <v>17943</v>
      </c>
      <c r="PT60" s="34">
        <v>0</v>
      </c>
      <c r="PU60" s="34">
        <v>44590</v>
      </c>
      <c r="PV60" s="34">
        <v>21494</v>
      </c>
      <c r="PW60" s="34">
        <v>20718</v>
      </c>
      <c r="PX60" s="34">
        <v>16905</v>
      </c>
      <c r="PY60" s="34">
        <v>14738</v>
      </c>
      <c r="PZ60" s="34">
        <v>18275</v>
      </c>
      <c r="QA60" s="34">
        <v>22572</v>
      </c>
      <c r="QB60" s="34">
        <v>22069</v>
      </c>
      <c r="QC60" s="34">
        <v>0</v>
      </c>
      <c r="QD60" s="34">
        <v>41215</v>
      </c>
      <c r="QE60" s="34">
        <v>17594</v>
      </c>
      <c r="QF60" s="34">
        <v>13055</v>
      </c>
      <c r="QG60" s="34">
        <v>17448</v>
      </c>
      <c r="QH60" s="34">
        <v>19719</v>
      </c>
      <c r="QI60" s="34">
        <v>20081</v>
      </c>
      <c r="QJ60" s="34">
        <v>19703</v>
      </c>
      <c r="QK60" s="34">
        <v>18970</v>
      </c>
      <c r="QL60" s="34">
        <v>17506</v>
      </c>
      <c r="QM60" s="34">
        <v>13465</v>
      </c>
      <c r="QN60" s="34">
        <v>0</v>
      </c>
      <c r="QO60" s="34">
        <v>36400</v>
      </c>
      <c r="QP60" s="34">
        <v>18499</v>
      </c>
      <c r="QQ60" s="34">
        <v>19459</v>
      </c>
      <c r="QR60" s="34">
        <v>0</v>
      </c>
      <c r="QS60" s="34">
        <v>33952</v>
      </c>
      <c r="QT60" s="34">
        <v>13674</v>
      </c>
      <c r="QU60" s="34">
        <v>16261</v>
      </c>
      <c r="QV60" s="34">
        <v>19698</v>
      </c>
      <c r="QW60" s="34">
        <v>19100</v>
      </c>
      <c r="QX60" s="34">
        <v>0</v>
      </c>
      <c r="QY60" s="34">
        <v>0</v>
      </c>
      <c r="QZ60" s="34">
        <v>56141</v>
      </c>
      <c r="RA60" s="34">
        <v>15547</v>
      </c>
      <c r="RB60" s="34">
        <v>18571</v>
      </c>
      <c r="RC60" s="34">
        <v>0</v>
      </c>
      <c r="RD60" s="34">
        <v>0</v>
      </c>
      <c r="RE60" s="34">
        <v>66893</v>
      </c>
      <c r="RF60" s="34">
        <v>0</v>
      </c>
      <c r="RG60" s="34">
        <v>37381</v>
      </c>
      <c r="RH60" s="34">
        <v>0</v>
      </c>
      <c r="RI60" s="34">
        <v>38728</v>
      </c>
      <c r="RJ60" s="34">
        <v>0</v>
      </c>
      <c r="RK60" s="34">
        <v>0</v>
      </c>
      <c r="RL60" s="34">
        <v>0</v>
      </c>
      <c r="RM60" s="34">
        <v>154709</v>
      </c>
      <c r="RN60" s="34">
        <v>0</v>
      </c>
      <c r="RO60" s="34">
        <v>77412</v>
      </c>
      <c r="RP60" s="34">
        <v>40736</v>
      </c>
      <c r="RQ60" s="34">
        <v>47262</v>
      </c>
      <c r="RR60" s="34">
        <v>44510</v>
      </c>
      <c r="RS60" s="34">
        <v>0</v>
      </c>
      <c r="RT60" s="34">
        <v>82723</v>
      </c>
      <c r="RU60" s="34">
        <v>0</v>
      </c>
      <c r="RV60" s="34">
        <v>65090</v>
      </c>
      <c r="RW60" s="34">
        <v>32409</v>
      </c>
      <c r="RX60" s="34">
        <v>38570</v>
      </c>
      <c r="RY60" s="34">
        <v>0</v>
      </c>
      <c r="RZ60" s="34">
        <v>73196</v>
      </c>
      <c r="SA60" s="34">
        <v>37034</v>
      </c>
      <c r="SB60" s="34">
        <v>31516</v>
      </c>
      <c r="SC60" s="34">
        <v>25369</v>
      </c>
      <c r="SD60" s="34">
        <v>27310</v>
      </c>
      <c r="SE60" s="34">
        <v>30224</v>
      </c>
      <c r="SF60" s="34">
        <v>30074</v>
      </c>
      <c r="SG60" s="34">
        <v>28114</v>
      </c>
      <c r="SH60" s="34">
        <v>26004</v>
      </c>
      <c r="SI60" s="34">
        <v>22624</v>
      </c>
      <c r="SJ60" s="34">
        <v>37002</v>
      </c>
      <c r="SK60" s="34">
        <v>16561</v>
      </c>
      <c r="SL60" s="34">
        <v>18117</v>
      </c>
      <c r="SM60" s="34">
        <v>18131</v>
      </c>
      <c r="SN60" s="34">
        <v>17626</v>
      </c>
      <c r="SO60" s="34">
        <v>17009</v>
      </c>
      <c r="SP60" s="34">
        <v>14703</v>
      </c>
      <c r="SQ60" s="34">
        <v>12576</v>
      </c>
      <c r="SR60" s="34">
        <v>14939</v>
      </c>
      <c r="SS60" s="34">
        <v>16300</v>
      </c>
      <c r="ST60" s="34">
        <v>0</v>
      </c>
      <c r="SU60" s="34">
        <v>34167</v>
      </c>
      <c r="SV60" s="34">
        <v>0</v>
      </c>
      <c r="SW60" s="34">
        <v>29155</v>
      </c>
      <c r="SX60" s="34">
        <v>11783</v>
      </c>
      <c r="SY60" s="34">
        <v>0</v>
      </c>
      <c r="SZ60" s="34">
        <v>0</v>
      </c>
      <c r="TA60" s="34">
        <v>0</v>
      </c>
      <c r="TB60" s="34">
        <v>0</v>
      </c>
      <c r="TC60" s="34">
        <v>0</v>
      </c>
      <c r="TD60" s="34">
        <v>0</v>
      </c>
      <c r="TE60" s="34">
        <v>0</v>
      </c>
      <c r="TF60" s="34">
        <v>0</v>
      </c>
      <c r="TG60" s="34">
        <v>0</v>
      </c>
      <c r="TH60" s="34">
        <v>0</v>
      </c>
      <c r="TI60" s="34">
        <v>0</v>
      </c>
      <c r="TJ60" s="34">
        <v>0</v>
      </c>
      <c r="TK60" s="34">
        <v>0</v>
      </c>
      <c r="TL60" s="34">
        <v>0</v>
      </c>
      <c r="TM60" s="34">
        <v>0</v>
      </c>
      <c r="TN60" s="34">
        <v>0</v>
      </c>
      <c r="TO60" s="34">
        <v>0</v>
      </c>
      <c r="TP60" s="34">
        <v>0</v>
      </c>
      <c r="TQ60" s="34">
        <v>0</v>
      </c>
      <c r="TR60" s="34">
        <v>0</v>
      </c>
      <c r="TS60" s="34">
        <v>0</v>
      </c>
      <c r="TT60" s="34">
        <v>0</v>
      </c>
      <c r="TU60" s="34">
        <v>0</v>
      </c>
      <c r="TV60" s="34">
        <v>0</v>
      </c>
      <c r="TW60" s="34">
        <v>0</v>
      </c>
      <c r="TX60" s="34">
        <v>0</v>
      </c>
      <c r="TY60" s="34">
        <v>0</v>
      </c>
      <c r="TZ60" s="34">
        <v>0</v>
      </c>
      <c r="UA60" s="34">
        <v>0</v>
      </c>
      <c r="UB60" s="34">
        <v>0</v>
      </c>
      <c r="UC60" s="34">
        <v>0</v>
      </c>
      <c r="UD60" s="34">
        <v>0</v>
      </c>
      <c r="UE60" s="34">
        <v>0</v>
      </c>
      <c r="UF60" s="34">
        <v>0</v>
      </c>
      <c r="UG60" s="34">
        <v>0</v>
      </c>
      <c r="UH60" s="34">
        <v>0</v>
      </c>
      <c r="UI60" s="34">
        <v>0</v>
      </c>
      <c r="UJ60" s="34">
        <v>0</v>
      </c>
      <c r="UK60" s="34">
        <v>0</v>
      </c>
      <c r="UL60" s="34">
        <v>0</v>
      </c>
      <c r="UM60" s="34">
        <v>0</v>
      </c>
      <c r="UN60" s="34">
        <v>0</v>
      </c>
      <c r="UO60" s="34">
        <v>0</v>
      </c>
      <c r="UP60" s="34">
        <v>0</v>
      </c>
      <c r="UQ60" s="34">
        <v>0</v>
      </c>
      <c r="UR60" s="34">
        <v>0</v>
      </c>
      <c r="US60" s="34">
        <v>0</v>
      </c>
      <c r="UT60" s="34">
        <v>0</v>
      </c>
      <c r="UU60" s="34">
        <v>0</v>
      </c>
      <c r="UV60" s="34">
        <v>0</v>
      </c>
      <c r="UW60" s="34">
        <v>0</v>
      </c>
      <c r="UX60" s="34">
        <v>0</v>
      </c>
      <c r="UY60" s="34">
        <v>0</v>
      </c>
      <c r="UZ60" s="34">
        <v>0</v>
      </c>
      <c r="VA60" s="34">
        <v>0</v>
      </c>
      <c r="VB60" s="34">
        <v>0</v>
      </c>
      <c r="VC60" s="34">
        <v>0</v>
      </c>
      <c r="VD60" s="34">
        <v>0</v>
      </c>
      <c r="VE60" s="34">
        <v>0</v>
      </c>
      <c r="VF60" s="34">
        <v>0</v>
      </c>
      <c r="VG60" s="34">
        <v>0</v>
      </c>
      <c r="VH60" s="34">
        <v>0</v>
      </c>
      <c r="VI60" s="34">
        <v>0</v>
      </c>
      <c r="VJ60" s="34">
        <v>0</v>
      </c>
      <c r="VK60" s="34">
        <v>0</v>
      </c>
      <c r="VL60" s="34">
        <v>0</v>
      </c>
      <c r="VM60" s="34">
        <v>0</v>
      </c>
      <c r="VN60" s="34">
        <v>0</v>
      </c>
      <c r="VO60" s="34">
        <v>0</v>
      </c>
      <c r="VP60" s="34">
        <v>0</v>
      </c>
      <c r="VQ60" s="34">
        <v>0</v>
      </c>
      <c r="VR60" s="34">
        <v>0</v>
      </c>
      <c r="VS60" s="34">
        <v>0</v>
      </c>
      <c r="VT60" s="34">
        <v>0</v>
      </c>
      <c r="VU60" s="34">
        <v>0</v>
      </c>
      <c r="VV60" s="34">
        <v>0</v>
      </c>
      <c r="VW60" s="34">
        <v>0</v>
      </c>
      <c r="VX60" s="34">
        <v>0</v>
      </c>
      <c r="VY60" s="34">
        <v>0</v>
      </c>
      <c r="VZ60" s="34">
        <v>0</v>
      </c>
      <c r="WA60" s="34">
        <v>0</v>
      </c>
      <c r="WB60" s="34">
        <v>0</v>
      </c>
      <c r="WC60" s="34">
        <v>0</v>
      </c>
      <c r="WD60" s="34">
        <v>0</v>
      </c>
      <c r="WE60" s="34">
        <v>0</v>
      </c>
      <c r="WF60" s="34">
        <v>0</v>
      </c>
      <c r="WG60" s="34">
        <v>0</v>
      </c>
      <c r="WH60" s="34">
        <v>0</v>
      </c>
      <c r="WI60" s="34">
        <v>0</v>
      </c>
      <c r="WJ60" s="34">
        <v>0</v>
      </c>
      <c r="WK60" s="34">
        <v>0</v>
      </c>
      <c r="WL60" s="34">
        <v>0</v>
      </c>
      <c r="WM60">
        <v>0</v>
      </c>
      <c r="WN60">
        <v>0</v>
      </c>
      <c r="WO60">
        <v>0</v>
      </c>
      <c r="WP60">
        <v>0</v>
      </c>
      <c r="WQ60">
        <v>0</v>
      </c>
      <c r="WR60">
        <v>0</v>
      </c>
      <c r="WS60">
        <v>0</v>
      </c>
      <c r="WT60">
        <v>0</v>
      </c>
      <c r="WU60">
        <v>931796</v>
      </c>
      <c r="WV60">
        <v>0</v>
      </c>
      <c r="WW60">
        <v>0</v>
      </c>
      <c r="WX60">
        <v>0</v>
      </c>
      <c r="WY60">
        <v>0</v>
      </c>
      <c r="WZ60">
        <v>0</v>
      </c>
      <c r="XA60">
        <v>0</v>
      </c>
      <c r="XB60">
        <v>0</v>
      </c>
      <c r="XC60">
        <v>0</v>
      </c>
      <c r="XD60">
        <v>0</v>
      </c>
      <c r="XE60">
        <v>0</v>
      </c>
      <c r="XF60">
        <v>0</v>
      </c>
      <c r="XG60">
        <v>0</v>
      </c>
      <c r="XH60">
        <v>0</v>
      </c>
      <c r="XI60">
        <v>0</v>
      </c>
      <c r="XJ60">
        <v>0</v>
      </c>
      <c r="XK60">
        <v>0</v>
      </c>
      <c r="XL60">
        <v>0</v>
      </c>
      <c r="XM60">
        <v>0</v>
      </c>
      <c r="XN60">
        <v>0</v>
      </c>
      <c r="XO60">
        <v>0</v>
      </c>
      <c r="XP60">
        <v>0</v>
      </c>
      <c r="XQ60">
        <v>0</v>
      </c>
      <c r="XR60">
        <v>0</v>
      </c>
      <c r="XS60">
        <v>0</v>
      </c>
      <c r="XT60">
        <v>0</v>
      </c>
      <c r="XU60">
        <v>0</v>
      </c>
      <c r="XV60">
        <v>0</v>
      </c>
      <c r="XW60">
        <v>0</v>
      </c>
      <c r="XX60">
        <v>0</v>
      </c>
      <c r="XY60">
        <v>0</v>
      </c>
      <c r="XZ60">
        <v>0</v>
      </c>
      <c r="YA60">
        <v>0</v>
      </c>
      <c r="YB60">
        <v>0</v>
      </c>
      <c r="YC60">
        <v>0</v>
      </c>
      <c r="YD60">
        <v>0</v>
      </c>
      <c r="YE60">
        <v>0</v>
      </c>
      <c r="YF60" s="1">
        <v>0</v>
      </c>
      <c r="YG60" s="1">
        <v>0</v>
      </c>
      <c r="YH60" s="1">
        <v>0</v>
      </c>
      <c r="YI60" s="1">
        <v>0</v>
      </c>
      <c r="YJ60">
        <v>0</v>
      </c>
      <c r="YK60">
        <v>0</v>
      </c>
      <c r="YL60">
        <v>0</v>
      </c>
      <c r="YM60">
        <v>0</v>
      </c>
      <c r="YN60">
        <v>0</v>
      </c>
      <c r="YO60">
        <v>0</v>
      </c>
      <c r="YP60">
        <v>0</v>
      </c>
      <c r="YQ60">
        <v>0</v>
      </c>
      <c r="YR60">
        <v>145915</v>
      </c>
      <c r="YS60">
        <v>0</v>
      </c>
      <c r="YT60">
        <v>0</v>
      </c>
      <c r="YU60">
        <v>0</v>
      </c>
      <c r="YV60">
        <v>0</v>
      </c>
      <c r="YW60">
        <v>0</v>
      </c>
      <c r="YX60">
        <v>0</v>
      </c>
      <c r="YY60">
        <v>0</v>
      </c>
      <c r="YZ60">
        <v>0</v>
      </c>
      <c r="ZA60">
        <v>0</v>
      </c>
      <c r="ZB60">
        <v>0</v>
      </c>
      <c r="ZC60">
        <v>0</v>
      </c>
      <c r="ZD60">
        <v>0</v>
      </c>
      <c r="ZE60">
        <v>0</v>
      </c>
      <c r="ZF60">
        <v>0</v>
      </c>
      <c r="ZG60">
        <v>0</v>
      </c>
      <c r="ZH60">
        <v>0</v>
      </c>
      <c r="ZI60">
        <v>0</v>
      </c>
      <c r="ZJ60">
        <v>0</v>
      </c>
      <c r="ZK60">
        <v>0</v>
      </c>
      <c r="ZL60">
        <v>0</v>
      </c>
      <c r="ZM60">
        <v>0</v>
      </c>
      <c r="ZN60">
        <v>0</v>
      </c>
      <c r="ZO60">
        <v>0</v>
      </c>
      <c r="ZP60">
        <v>0</v>
      </c>
      <c r="ZQ60">
        <v>0</v>
      </c>
      <c r="ZR60">
        <v>0</v>
      </c>
      <c r="ZS60">
        <v>0</v>
      </c>
      <c r="ZT60">
        <v>0</v>
      </c>
      <c r="ZU60">
        <v>66809</v>
      </c>
      <c r="ZV60">
        <v>0</v>
      </c>
      <c r="ZW60">
        <v>0</v>
      </c>
      <c r="ZX60">
        <v>0</v>
      </c>
      <c r="ZY60">
        <v>0</v>
      </c>
      <c r="ZZ60">
        <v>0</v>
      </c>
      <c r="AAA60">
        <v>0</v>
      </c>
      <c r="AAB60">
        <v>0</v>
      </c>
      <c r="AAC60">
        <v>0</v>
      </c>
      <c r="AAD60">
        <v>0</v>
      </c>
      <c r="AAE60">
        <v>0</v>
      </c>
      <c r="AAF60">
        <v>0</v>
      </c>
      <c r="AAG60">
        <v>0</v>
      </c>
      <c r="AAH60">
        <v>0</v>
      </c>
      <c r="AAI60">
        <v>0</v>
      </c>
      <c r="AAJ60">
        <v>0</v>
      </c>
      <c r="AAK60">
        <v>0</v>
      </c>
      <c r="AAL60">
        <v>0</v>
      </c>
      <c r="AAM60">
        <v>0</v>
      </c>
      <c r="AAN60">
        <v>0</v>
      </c>
      <c r="AAO60">
        <v>0</v>
      </c>
      <c r="AAP60">
        <v>0</v>
      </c>
      <c r="AAQ60">
        <v>0</v>
      </c>
      <c r="AAR60">
        <v>0</v>
      </c>
      <c r="AAS60">
        <v>0</v>
      </c>
      <c r="AAT60">
        <v>0</v>
      </c>
      <c r="AAU60">
        <v>0</v>
      </c>
      <c r="AAV60">
        <v>0</v>
      </c>
      <c r="AAW60">
        <v>0</v>
      </c>
      <c r="AAX60">
        <v>0</v>
      </c>
      <c r="AAY60">
        <v>0</v>
      </c>
      <c r="AAZ60">
        <v>58555</v>
      </c>
      <c r="ABA60">
        <v>2166</v>
      </c>
      <c r="ABB60">
        <v>3775</v>
      </c>
      <c r="ABC60">
        <v>0</v>
      </c>
      <c r="ABD60">
        <v>0</v>
      </c>
      <c r="ABE60">
        <v>4660</v>
      </c>
      <c r="ABF60">
        <v>407</v>
      </c>
      <c r="ABG60">
        <v>1869</v>
      </c>
      <c r="ABH60">
        <v>2002</v>
      </c>
      <c r="ABI60">
        <v>3588</v>
      </c>
      <c r="ABJ60">
        <v>0</v>
      </c>
      <c r="ABK60">
        <v>1818</v>
      </c>
      <c r="ABL60">
        <v>1630</v>
      </c>
      <c r="ABM60">
        <v>1155</v>
      </c>
      <c r="ABN60">
        <v>1565</v>
      </c>
      <c r="ABO60">
        <v>1194</v>
      </c>
      <c r="ABP60">
        <v>1086</v>
      </c>
      <c r="ABQ60">
        <v>2721</v>
      </c>
      <c r="ABR60">
        <v>0</v>
      </c>
      <c r="ABS60">
        <v>1222</v>
      </c>
      <c r="ABT60">
        <v>921</v>
      </c>
      <c r="ABU60">
        <v>1513</v>
      </c>
      <c r="ABV60">
        <v>1768</v>
      </c>
      <c r="ABW60">
        <v>1673</v>
      </c>
      <c r="ABX60">
        <v>0</v>
      </c>
      <c r="ABY60">
        <v>0</v>
      </c>
      <c r="ABZ60">
        <v>0</v>
      </c>
      <c r="ACA60">
        <v>4568</v>
      </c>
      <c r="ACB60">
        <v>2105</v>
      </c>
      <c r="ACC60">
        <v>0</v>
      </c>
      <c r="ACD60">
        <v>0</v>
      </c>
      <c r="ACE60">
        <v>0</v>
      </c>
      <c r="ACF60">
        <v>0</v>
      </c>
      <c r="ACG60">
        <v>0</v>
      </c>
      <c r="ACH60">
        <v>0</v>
      </c>
      <c r="ACI60">
        <v>0</v>
      </c>
      <c r="ACJ60">
        <v>0</v>
      </c>
      <c r="ACK60">
        <v>16381</v>
      </c>
      <c r="ACL60">
        <v>0</v>
      </c>
      <c r="ACM60">
        <v>0</v>
      </c>
      <c r="ACN60">
        <v>1451</v>
      </c>
      <c r="ACO60">
        <v>0</v>
      </c>
      <c r="ACP60">
        <v>0</v>
      </c>
      <c r="ACQ60">
        <v>0</v>
      </c>
      <c r="ACR60">
        <v>0</v>
      </c>
      <c r="ACS60">
        <v>0</v>
      </c>
      <c r="ACT60">
        <v>0</v>
      </c>
      <c r="ACU60">
        <v>0</v>
      </c>
      <c r="ACV60">
        <v>0</v>
      </c>
      <c r="ACW60">
        <v>0</v>
      </c>
      <c r="ACX60">
        <v>0</v>
      </c>
      <c r="ACY60">
        <v>0</v>
      </c>
      <c r="ACZ60">
        <v>0</v>
      </c>
      <c r="ADA60">
        <v>0</v>
      </c>
      <c r="ADB60">
        <v>0</v>
      </c>
      <c r="ADC60">
        <v>0</v>
      </c>
      <c r="ADD60">
        <v>0</v>
      </c>
      <c r="ADE60">
        <v>0</v>
      </c>
      <c r="ADF60">
        <v>0</v>
      </c>
      <c r="ADG60">
        <v>0</v>
      </c>
      <c r="ADH60">
        <v>0</v>
      </c>
      <c r="ADI60">
        <v>0</v>
      </c>
      <c r="ADJ60">
        <v>0</v>
      </c>
      <c r="ADK60">
        <v>0</v>
      </c>
      <c r="ADL60">
        <v>0</v>
      </c>
      <c r="ADM60">
        <v>0</v>
      </c>
      <c r="ADN60">
        <v>0</v>
      </c>
      <c r="ADO60">
        <v>0</v>
      </c>
      <c r="ADP60">
        <v>0</v>
      </c>
      <c r="ADQ60">
        <v>0</v>
      </c>
      <c r="ADR60">
        <v>47948</v>
      </c>
      <c r="ADS60">
        <v>0</v>
      </c>
      <c r="ADT60">
        <v>0</v>
      </c>
      <c r="ADU60">
        <v>0</v>
      </c>
      <c r="ADV60">
        <v>0</v>
      </c>
      <c r="ADW60">
        <v>1299</v>
      </c>
      <c r="ADX60">
        <v>0</v>
      </c>
      <c r="ADY60">
        <v>0</v>
      </c>
      <c r="ADZ60">
        <v>0</v>
      </c>
      <c r="AEA60">
        <v>0</v>
      </c>
      <c r="AEB60">
        <v>0</v>
      </c>
      <c r="AEC60">
        <v>0</v>
      </c>
      <c r="AED60">
        <v>0</v>
      </c>
      <c r="AEE60">
        <v>0</v>
      </c>
      <c r="AEF60">
        <v>0</v>
      </c>
      <c r="AEG60">
        <v>0</v>
      </c>
      <c r="AEH60">
        <v>0</v>
      </c>
      <c r="AEI60">
        <v>0</v>
      </c>
      <c r="AEJ60">
        <v>0</v>
      </c>
      <c r="AEK60">
        <v>0</v>
      </c>
      <c r="AEL60">
        <v>0</v>
      </c>
      <c r="AEM60">
        <v>0</v>
      </c>
      <c r="AEN60">
        <v>0</v>
      </c>
      <c r="AEO60">
        <v>0</v>
      </c>
      <c r="AEP60">
        <v>0</v>
      </c>
      <c r="AEQ60">
        <v>0</v>
      </c>
      <c r="AER60">
        <v>39946</v>
      </c>
      <c r="AES60">
        <v>0</v>
      </c>
      <c r="AET60">
        <v>0</v>
      </c>
      <c r="AEU60">
        <v>0</v>
      </c>
      <c r="AEV60">
        <v>0</v>
      </c>
      <c r="AEW60">
        <v>0</v>
      </c>
      <c r="AEX60">
        <v>0</v>
      </c>
      <c r="AEY60">
        <v>0</v>
      </c>
      <c r="AEZ60">
        <v>0</v>
      </c>
      <c r="AFA60">
        <v>0</v>
      </c>
      <c r="AFB60">
        <v>0</v>
      </c>
      <c r="AFC60">
        <v>0</v>
      </c>
      <c r="AFD60">
        <v>0</v>
      </c>
      <c r="AFE60">
        <v>3011</v>
      </c>
      <c r="AFF60">
        <v>0</v>
      </c>
      <c r="AFG60">
        <v>0</v>
      </c>
      <c r="AFH60">
        <v>0</v>
      </c>
      <c r="AFI60">
        <v>0</v>
      </c>
      <c r="AFJ60">
        <v>0</v>
      </c>
      <c r="AFK60">
        <v>0</v>
      </c>
      <c r="AFL60">
        <v>0</v>
      </c>
      <c r="AFM60">
        <v>0</v>
      </c>
      <c r="AFN60">
        <v>0</v>
      </c>
      <c r="AFO60">
        <v>0</v>
      </c>
      <c r="AFP60">
        <v>0</v>
      </c>
      <c r="AFQ60">
        <v>0</v>
      </c>
      <c r="AFR60">
        <v>0</v>
      </c>
      <c r="AFS60">
        <v>0</v>
      </c>
      <c r="AFT60">
        <v>0</v>
      </c>
      <c r="AFU60">
        <v>0</v>
      </c>
      <c r="AFV60">
        <v>0</v>
      </c>
      <c r="AFW60">
        <v>0</v>
      </c>
      <c r="AFX60">
        <v>0</v>
      </c>
      <c r="AFY60">
        <v>0</v>
      </c>
      <c r="AFZ60">
        <v>0</v>
      </c>
      <c r="AGA60">
        <v>21709</v>
      </c>
      <c r="AGB60">
        <v>0</v>
      </c>
      <c r="AGC60">
        <v>0</v>
      </c>
      <c r="AGD60">
        <v>0</v>
      </c>
      <c r="AGE60">
        <v>0</v>
      </c>
      <c r="AGF60">
        <v>0</v>
      </c>
      <c r="AGG60">
        <v>0</v>
      </c>
      <c r="AGH60">
        <v>0</v>
      </c>
      <c r="AGI60">
        <v>0</v>
      </c>
      <c r="AGJ60">
        <v>0</v>
      </c>
      <c r="AGK60">
        <v>0</v>
      </c>
      <c r="AGL60">
        <v>0</v>
      </c>
      <c r="AGM60">
        <v>0</v>
      </c>
      <c r="AGN60">
        <v>0</v>
      </c>
      <c r="AGO60">
        <v>13871</v>
      </c>
      <c r="AGP60">
        <v>0</v>
      </c>
      <c r="AGQ60">
        <v>0</v>
      </c>
      <c r="AGR60">
        <v>0</v>
      </c>
      <c r="AGS60">
        <v>0</v>
      </c>
      <c r="AGT60">
        <v>0</v>
      </c>
      <c r="AGU60">
        <v>0</v>
      </c>
      <c r="AGV60">
        <v>0</v>
      </c>
      <c r="AGW60">
        <v>0</v>
      </c>
      <c r="AGX60">
        <v>0</v>
      </c>
      <c r="AGY60">
        <v>0</v>
      </c>
      <c r="AGZ60">
        <v>0</v>
      </c>
      <c r="AHA60">
        <v>0</v>
      </c>
      <c r="AHB60">
        <v>0</v>
      </c>
      <c r="AHC60">
        <v>4846</v>
      </c>
      <c r="AHD60">
        <v>0</v>
      </c>
      <c r="AHE60">
        <v>0</v>
      </c>
      <c r="AHF60">
        <v>0</v>
      </c>
      <c r="AHG60">
        <v>0</v>
      </c>
      <c r="AHH60">
        <v>0</v>
      </c>
      <c r="AHI60">
        <v>0</v>
      </c>
      <c r="AHJ60">
        <v>0</v>
      </c>
      <c r="AHK60">
        <v>2405</v>
      </c>
      <c r="AHL60">
        <v>0</v>
      </c>
      <c r="AHM60">
        <v>0</v>
      </c>
      <c r="AHN60">
        <v>0</v>
      </c>
      <c r="AHO60">
        <v>0</v>
      </c>
      <c r="AHP60">
        <v>0</v>
      </c>
      <c r="AHQ60">
        <v>0</v>
      </c>
    </row>
    <row r="61" spans="1:901">
      <c r="A61" s="1" t="s">
        <v>114</v>
      </c>
      <c r="C61" s="34">
        <f t="shared" si="28"/>
        <v>0</v>
      </c>
      <c r="D61" s="34">
        <f t="shared" si="28"/>
        <v>0</v>
      </c>
      <c r="E61" s="34">
        <f t="shared" si="29"/>
        <v>0</v>
      </c>
      <c r="F61" s="34">
        <f t="shared" si="30"/>
        <v>0</v>
      </c>
      <c r="G61" s="34">
        <f t="shared" si="31"/>
        <v>980</v>
      </c>
      <c r="H61" s="34">
        <f t="shared" si="32"/>
        <v>243</v>
      </c>
      <c r="I61" s="34">
        <f t="shared" si="32"/>
        <v>0</v>
      </c>
      <c r="J61" s="34">
        <f t="shared" si="32"/>
        <v>142</v>
      </c>
      <c r="K61" s="34">
        <f t="shared" si="32"/>
        <v>327</v>
      </c>
      <c r="L61" s="34">
        <f t="shared" si="32"/>
        <v>521</v>
      </c>
      <c r="M61" s="34">
        <f t="shared" si="32"/>
        <v>21</v>
      </c>
      <c r="N61" s="34">
        <f t="shared" si="32"/>
        <v>0</v>
      </c>
      <c r="O61" s="34">
        <f t="shared" si="32"/>
        <v>0</v>
      </c>
      <c r="P61" s="34">
        <f t="shared" si="32"/>
        <v>304</v>
      </c>
      <c r="Q61" s="34">
        <f t="shared" si="32"/>
        <v>0</v>
      </c>
      <c r="R61" s="34">
        <f t="shared" si="32"/>
        <v>412</v>
      </c>
      <c r="S61" s="34">
        <f t="shared" si="32"/>
        <v>0</v>
      </c>
      <c r="T61" s="34">
        <f t="shared" si="32"/>
        <v>214</v>
      </c>
      <c r="U61" s="34">
        <f t="shared" si="32"/>
        <v>199</v>
      </c>
      <c r="V61" s="34">
        <f t="shared" si="32"/>
        <v>0</v>
      </c>
      <c r="W61" s="34">
        <f t="shared" si="32"/>
        <v>0</v>
      </c>
      <c r="X61" s="34">
        <f t="shared" si="80"/>
        <v>0</v>
      </c>
      <c r="Y61" s="34">
        <f t="shared" si="63"/>
        <v>0</v>
      </c>
      <c r="Z61" s="34">
        <f t="shared" si="1"/>
        <v>0</v>
      </c>
      <c r="AA61" s="34">
        <f t="shared" si="1"/>
        <v>0</v>
      </c>
      <c r="AB61" s="34">
        <f t="shared" si="1"/>
        <v>0</v>
      </c>
      <c r="AC61" s="34">
        <f t="shared" si="1"/>
        <v>0</v>
      </c>
      <c r="AD61" s="34">
        <f t="shared" si="1"/>
        <v>0</v>
      </c>
      <c r="AE61" s="34">
        <f t="shared" si="1"/>
        <v>0</v>
      </c>
      <c r="AF61" s="34">
        <f t="shared" si="1"/>
        <v>1069</v>
      </c>
      <c r="AG61" s="34">
        <f t="shared" si="1"/>
        <v>754</v>
      </c>
      <c r="AH61" s="34">
        <f t="shared" si="1"/>
        <v>0</v>
      </c>
      <c r="AI61" s="34">
        <f t="shared" si="1"/>
        <v>0</v>
      </c>
      <c r="AJ61" s="34">
        <f t="shared" si="1"/>
        <v>0</v>
      </c>
      <c r="AK61" s="34">
        <f t="shared" si="1"/>
        <v>449</v>
      </c>
      <c r="AL61" s="34">
        <f t="shared" si="1"/>
        <v>396</v>
      </c>
      <c r="AM61" s="34">
        <f t="shared" si="50"/>
        <v>0</v>
      </c>
      <c r="AN61" s="34">
        <f t="shared" si="2"/>
        <v>0</v>
      </c>
      <c r="AO61" s="34">
        <f t="shared" si="2"/>
        <v>0</v>
      </c>
      <c r="AP61" s="34">
        <f t="shared" si="2"/>
        <v>86</v>
      </c>
      <c r="AQ61" s="34">
        <f t="shared" si="2"/>
        <v>187</v>
      </c>
      <c r="AR61" s="34">
        <f t="shared" si="2"/>
        <v>120</v>
      </c>
      <c r="AS61" s="34">
        <f t="shared" si="2"/>
        <v>0</v>
      </c>
      <c r="AT61" s="34">
        <f t="shared" si="2"/>
        <v>0</v>
      </c>
      <c r="AU61" s="34">
        <f t="shared" si="2"/>
        <v>0</v>
      </c>
      <c r="AV61" s="34">
        <f t="shared" si="2"/>
        <v>0</v>
      </c>
      <c r="AW61" s="34">
        <f t="shared" si="2"/>
        <v>0</v>
      </c>
      <c r="AX61" s="34">
        <f t="shared" si="2"/>
        <v>843</v>
      </c>
      <c r="AY61" s="34">
        <f t="shared" si="2"/>
        <v>54</v>
      </c>
      <c r="AZ61" s="34">
        <f t="shared" si="2"/>
        <v>0</v>
      </c>
      <c r="BA61" s="34">
        <f t="shared" si="51"/>
        <v>0</v>
      </c>
      <c r="BB61" s="34">
        <f t="shared" si="3"/>
        <v>0</v>
      </c>
      <c r="BC61" s="34">
        <f t="shared" si="3"/>
        <v>0</v>
      </c>
      <c r="BD61" s="34">
        <f t="shared" si="3"/>
        <v>0</v>
      </c>
      <c r="BE61" s="34">
        <f t="shared" si="3"/>
        <v>0</v>
      </c>
      <c r="BF61" s="34">
        <f t="shared" si="3"/>
        <v>0</v>
      </c>
      <c r="BG61" s="34">
        <f t="shared" si="3"/>
        <v>0</v>
      </c>
      <c r="BH61" s="34">
        <f t="shared" si="3"/>
        <v>0</v>
      </c>
      <c r="BI61" s="34">
        <f t="shared" si="3"/>
        <v>0</v>
      </c>
      <c r="BJ61" s="34">
        <f t="shared" si="3"/>
        <v>0</v>
      </c>
      <c r="BK61" s="34">
        <f t="shared" si="3"/>
        <v>0</v>
      </c>
      <c r="BL61" s="34">
        <f t="shared" si="3"/>
        <v>0</v>
      </c>
      <c r="BM61" s="34">
        <f t="shared" si="3"/>
        <v>1661</v>
      </c>
      <c r="BN61" s="34">
        <f t="shared" si="3"/>
        <v>0</v>
      </c>
      <c r="BO61" s="34">
        <f t="shared" si="52"/>
        <v>0</v>
      </c>
      <c r="BP61" s="34">
        <f t="shared" si="52"/>
        <v>0</v>
      </c>
      <c r="BQ61" s="34">
        <f t="shared" si="52"/>
        <v>0</v>
      </c>
      <c r="BR61" s="34">
        <f t="shared" si="52"/>
        <v>0</v>
      </c>
      <c r="BS61" s="34">
        <f t="shared" si="52"/>
        <v>0</v>
      </c>
      <c r="BT61" s="34">
        <f t="shared" si="52"/>
        <v>0</v>
      </c>
      <c r="BU61" s="34">
        <f t="shared" si="52"/>
        <v>0</v>
      </c>
      <c r="BV61" s="34">
        <f t="shared" si="52"/>
        <v>0</v>
      </c>
      <c r="BW61" s="34">
        <f t="shared" si="52"/>
        <v>0</v>
      </c>
      <c r="BX61" s="34">
        <f t="shared" si="52"/>
        <v>0</v>
      </c>
      <c r="BY61" s="34">
        <f t="shared" si="52"/>
        <v>0</v>
      </c>
      <c r="BZ61" s="34">
        <f t="shared" si="52"/>
        <v>0</v>
      </c>
      <c r="CA61" s="34">
        <f t="shared" si="52"/>
        <v>0</v>
      </c>
      <c r="CB61" s="34">
        <f t="shared" si="52"/>
        <v>0</v>
      </c>
      <c r="CC61" s="34">
        <f t="shared" si="52"/>
        <v>0</v>
      </c>
      <c r="CD61" s="34">
        <f t="shared" si="52"/>
        <v>0</v>
      </c>
      <c r="CE61" s="34">
        <f t="shared" si="52"/>
        <v>0</v>
      </c>
      <c r="CF61" s="34">
        <f t="shared" si="52"/>
        <v>0</v>
      </c>
      <c r="CG61" s="34">
        <f t="shared" si="52"/>
        <v>0</v>
      </c>
      <c r="CH61" s="34">
        <f t="shared" si="52"/>
        <v>0</v>
      </c>
      <c r="CI61" s="34">
        <f t="shared" si="52"/>
        <v>0</v>
      </c>
      <c r="CJ61" s="34">
        <f t="shared" si="52"/>
        <v>0</v>
      </c>
      <c r="CK61" s="34">
        <f t="shared" si="52"/>
        <v>0</v>
      </c>
      <c r="CL61" s="34">
        <f t="shared" si="69"/>
        <v>0</v>
      </c>
      <c r="CM61" s="34">
        <f t="shared" si="69"/>
        <v>0</v>
      </c>
      <c r="CN61" s="34">
        <f t="shared" si="69"/>
        <v>0</v>
      </c>
      <c r="CO61" s="34">
        <f t="shared" si="69"/>
        <v>0</v>
      </c>
      <c r="CP61" s="34">
        <f t="shared" si="69"/>
        <v>0</v>
      </c>
      <c r="CQ61" s="34">
        <f t="shared" si="69"/>
        <v>4531</v>
      </c>
      <c r="CR61" s="34">
        <f t="shared" si="69"/>
        <v>0</v>
      </c>
      <c r="CS61" s="34">
        <f t="shared" si="69"/>
        <v>0</v>
      </c>
      <c r="CT61" s="34">
        <f t="shared" si="69"/>
        <v>0</v>
      </c>
      <c r="CU61" s="34">
        <f t="shared" si="69"/>
        <v>0</v>
      </c>
      <c r="CV61" s="34">
        <f t="shared" si="69"/>
        <v>0</v>
      </c>
      <c r="CW61" s="34">
        <f t="shared" si="69"/>
        <v>0</v>
      </c>
      <c r="CX61" s="34">
        <f t="shared" si="69"/>
        <v>0</v>
      </c>
      <c r="CY61" s="34">
        <f t="shared" si="69"/>
        <v>0</v>
      </c>
      <c r="CZ61" s="34">
        <f t="shared" si="69"/>
        <v>0</v>
      </c>
      <c r="DA61" s="34">
        <f t="shared" si="69"/>
        <v>0</v>
      </c>
      <c r="DB61" s="34">
        <f t="shared" si="69"/>
        <v>2815</v>
      </c>
      <c r="DC61" s="34">
        <f t="shared" si="69"/>
        <v>0</v>
      </c>
      <c r="DD61" s="34">
        <f t="shared" si="69"/>
        <v>0</v>
      </c>
      <c r="DE61" s="34">
        <f t="shared" si="69"/>
        <v>0</v>
      </c>
      <c r="DF61" s="34">
        <f t="shared" si="69"/>
        <v>0</v>
      </c>
      <c r="DG61" s="34">
        <f t="shared" si="69"/>
        <v>0</v>
      </c>
      <c r="DH61" s="34">
        <f t="shared" si="69"/>
        <v>0</v>
      </c>
      <c r="DI61" s="34">
        <f t="shared" si="69"/>
        <v>0</v>
      </c>
      <c r="DJ61" s="34">
        <f t="shared" si="69"/>
        <v>0</v>
      </c>
      <c r="DK61" s="34">
        <f t="shared" si="69"/>
        <v>0</v>
      </c>
      <c r="DL61" s="34">
        <f t="shared" si="69"/>
        <v>1131</v>
      </c>
      <c r="DM61" s="34">
        <f t="shared" si="69"/>
        <v>0</v>
      </c>
      <c r="DN61" s="34">
        <f t="shared" si="75"/>
        <v>0</v>
      </c>
      <c r="DO61" s="34">
        <f t="shared" si="75"/>
        <v>0</v>
      </c>
      <c r="DP61" s="34">
        <f t="shared" si="75"/>
        <v>1757</v>
      </c>
      <c r="DQ61" s="34">
        <f t="shared" si="75"/>
        <v>0</v>
      </c>
      <c r="DR61" s="34">
        <f t="shared" si="75"/>
        <v>0</v>
      </c>
      <c r="DS61" s="34">
        <f t="shared" si="75"/>
        <v>0</v>
      </c>
      <c r="DT61" s="34">
        <f t="shared" si="75"/>
        <v>926</v>
      </c>
      <c r="DU61" s="34">
        <f t="shared" si="75"/>
        <v>0</v>
      </c>
      <c r="DV61" s="34">
        <f t="shared" si="75"/>
        <v>0</v>
      </c>
      <c r="DW61" s="34">
        <f t="shared" si="75"/>
        <v>0</v>
      </c>
      <c r="DX61" s="34">
        <f t="shared" si="75"/>
        <v>0</v>
      </c>
      <c r="DY61" s="34">
        <f t="shared" si="75"/>
        <v>0</v>
      </c>
      <c r="DZ61" s="34">
        <f t="shared" si="75"/>
        <v>0</v>
      </c>
      <c r="EA61" s="34">
        <f t="shared" si="75"/>
        <v>0</v>
      </c>
      <c r="EB61" s="34">
        <f t="shared" si="75"/>
        <v>0</v>
      </c>
      <c r="EC61" s="34">
        <f t="shared" si="75"/>
        <v>2134</v>
      </c>
      <c r="ED61" s="34">
        <f t="shared" si="75"/>
        <v>0</v>
      </c>
      <c r="EE61" s="34">
        <f t="shared" si="75"/>
        <v>232</v>
      </c>
      <c r="EF61" s="34">
        <f t="shared" si="75"/>
        <v>412</v>
      </c>
      <c r="EG61" s="34">
        <f t="shared" si="75"/>
        <v>0</v>
      </c>
      <c r="EH61" s="34">
        <f t="shared" si="75"/>
        <v>661</v>
      </c>
      <c r="EI61" s="34">
        <f t="shared" si="75"/>
        <v>0</v>
      </c>
      <c r="EJ61" s="34">
        <f t="shared" si="75"/>
        <v>0</v>
      </c>
      <c r="EK61" s="34">
        <f t="shared" si="75"/>
        <v>0</v>
      </c>
      <c r="EL61" s="34">
        <f t="shared" si="75"/>
        <v>0</v>
      </c>
      <c r="EM61" s="34">
        <f t="shared" si="75"/>
        <v>0</v>
      </c>
      <c r="EN61" s="34">
        <f t="shared" si="75"/>
        <v>0</v>
      </c>
      <c r="EO61" s="34">
        <f t="shared" si="75"/>
        <v>0</v>
      </c>
      <c r="EP61" s="34">
        <f t="shared" si="75"/>
        <v>0</v>
      </c>
      <c r="EQ61" s="34">
        <f t="shared" si="75"/>
        <v>0</v>
      </c>
      <c r="ER61" s="34">
        <f t="shared" si="75"/>
        <v>0</v>
      </c>
      <c r="ES61" s="34">
        <f t="shared" si="75"/>
        <v>0</v>
      </c>
      <c r="ET61" s="34">
        <f t="shared" si="75"/>
        <v>0</v>
      </c>
      <c r="EU61" s="34">
        <f t="shared" si="75"/>
        <v>0</v>
      </c>
      <c r="EV61" s="34">
        <f t="shared" si="75"/>
        <v>0</v>
      </c>
      <c r="EW61" s="34">
        <f t="shared" si="75"/>
        <v>0</v>
      </c>
      <c r="EX61" s="34">
        <f t="shared" si="75"/>
        <v>0</v>
      </c>
      <c r="EY61" s="34">
        <f t="shared" si="75"/>
        <v>0</v>
      </c>
      <c r="EZ61" s="34">
        <f t="shared" si="75"/>
        <v>0</v>
      </c>
      <c r="FA61" s="34">
        <f t="shared" si="75"/>
        <v>0</v>
      </c>
      <c r="FB61" s="34">
        <f t="shared" si="75"/>
        <v>0</v>
      </c>
      <c r="FC61" s="34">
        <f t="shared" si="75"/>
        <v>0</v>
      </c>
      <c r="FD61" s="34">
        <f t="shared" si="81"/>
        <v>0</v>
      </c>
      <c r="FE61" s="34">
        <f t="shared" si="81"/>
        <v>4572</v>
      </c>
      <c r="FF61" s="34">
        <f t="shared" si="81"/>
        <v>0</v>
      </c>
      <c r="FG61" s="34">
        <f t="shared" si="81"/>
        <v>474</v>
      </c>
      <c r="FH61" s="34">
        <f t="shared" si="81"/>
        <v>0</v>
      </c>
      <c r="FI61" s="34">
        <f t="shared" si="81"/>
        <v>0</v>
      </c>
      <c r="FJ61" s="34">
        <f t="shared" si="81"/>
        <v>0</v>
      </c>
      <c r="FK61" s="34">
        <f t="shared" si="81"/>
        <v>0</v>
      </c>
      <c r="FL61" s="34">
        <f t="shared" si="81"/>
        <v>0</v>
      </c>
      <c r="FM61" s="34">
        <f t="shared" si="81"/>
        <v>0</v>
      </c>
      <c r="FN61" s="34">
        <v>0</v>
      </c>
      <c r="FO61" s="34">
        <f t="shared" si="82"/>
        <v>0</v>
      </c>
      <c r="FP61" s="34">
        <v>0</v>
      </c>
      <c r="FQ61" s="34">
        <v>0</v>
      </c>
      <c r="FR61" s="34">
        <v>0</v>
      </c>
      <c r="FS61" s="34">
        <v>0</v>
      </c>
      <c r="FT61" s="34">
        <f t="shared" si="9"/>
        <v>0</v>
      </c>
      <c r="FU61" s="34">
        <f t="shared" si="9"/>
        <v>0</v>
      </c>
      <c r="FV61" s="34">
        <f t="shared" si="9"/>
        <v>0</v>
      </c>
      <c r="FW61" s="34">
        <f t="shared" si="9"/>
        <v>0</v>
      </c>
      <c r="FX61" s="34">
        <f t="shared" si="9"/>
        <v>0</v>
      </c>
      <c r="FY61" s="34">
        <f t="shared" si="9"/>
        <v>0</v>
      </c>
      <c r="FZ61" s="34">
        <f t="shared" si="9"/>
        <v>0</v>
      </c>
      <c r="GA61" s="34">
        <f t="shared" si="9"/>
        <v>0</v>
      </c>
      <c r="GB61" s="34">
        <f t="shared" si="9"/>
        <v>0</v>
      </c>
      <c r="GC61" s="34">
        <f t="shared" si="9"/>
        <v>0</v>
      </c>
      <c r="GD61" s="34">
        <f t="shared" si="9"/>
        <v>0</v>
      </c>
      <c r="GE61" s="34">
        <f t="shared" si="9"/>
        <v>0</v>
      </c>
      <c r="GF61" s="34">
        <f t="shared" si="9"/>
        <v>0</v>
      </c>
      <c r="GG61" s="34">
        <f t="shared" si="64"/>
        <v>0</v>
      </c>
      <c r="GH61" s="34">
        <f t="shared" si="10"/>
        <v>0</v>
      </c>
      <c r="GI61" s="34">
        <f t="shared" si="10"/>
        <v>0</v>
      </c>
      <c r="GJ61" s="34">
        <f t="shared" si="10"/>
        <v>0</v>
      </c>
      <c r="GK61" s="34">
        <f t="shared" si="10"/>
        <v>0</v>
      </c>
      <c r="GL61" s="34">
        <f t="shared" si="10"/>
        <v>0</v>
      </c>
      <c r="GM61" s="34">
        <f t="shared" si="10"/>
        <v>0</v>
      </c>
      <c r="GN61" s="34">
        <f t="shared" si="10"/>
        <v>0</v>
      </c>
      <c r="GO61" s="34">
        <f t="shared" si="10"/>
        <v>0</v>
      </c>
      <c r="GP61" s="34">
        <f t="shared" si="10"/>
        <v>0</v>
      </c>
      <c r="GQ61" s="34">
        <f t="shared" si="10"/>
        <v>0</v>
      </c>
      <c r="GR61" s="34">
        <f t="shared" si="10"/>
        <v>0</v>
      </c>
      <c r="GS61" s="34">
        <f t="shared" si="10"/>
        <v>0</v>
      </c>
      <c r="GT61" s="34">
        <f t="shared" si="10"/>
        <v>0</v>
      </c>
      <c r="GU61" s="34">
        <f t="shared" si="54"/>
        <v>0</v>
      </c>
      <c r="GV61" s="34">
        <f t="shared" si="11"/>
        <v>0</v>
      </c>
      <c r="GW61" s="34">
        <f t="shared" si="11"/>
        <v>0</v>
      </c>
      <c r="GX61" s="34">
        <f t="shared" si="11"/>
        <v>0</v>
      </c>
      <c r="GY61" s="34">
        <f t="shared" si="11"/>
        <v>0</v>
      </c>
      <c r="GZ61" s="34">
        <f t="shared" si="11"/>
        <v>0</v>
      </c>
      <c r="HA61" s="34">
        <f t="shared" si="11"/>
        <v>2853</v>
      </c>
      <c r="HB61" s="34">
        <f t="shared" si="12"/>
        <v>5706</v>
      </c>
      <c r="HC61" s="34">
        <f t="shared" si="13"/>
        <v>0</v>
      </c>
      <c r="HD61" s="34">
        <f t="shared" ref="HD61" si="84">HD40-HC40</f>
        <v>0</v>
      </c>
      <c r="HE61" s="34">
        <f t="shared" si="13"/>
        <v>0</v>
      </c>
      <c r="HF61" s="34">
        <f t="shared" si="13"/>
        <v>0</v>
      </c>
      <c r="HG61" s="34">
        <f t="shared" si="13"/>
        <v>0</v>
      </c>
      <c r="HH61" s="34">
        <f t="shared" si="13"/>
        <v>0</v>
      </c>
      <c r="HI61" s="34">
        <f t="shared" si="13"/>
        <v>0</v>
      </c>
      <c r="HJ61" s="34">
        <f t="shared" si="13"/>
        <v>0</v>
      </c>
      <c r="HK61" s="34">
        <f t="shared" si="13"/>
        <v>0</v>
      </c>
      <c r="HL61" s="34">
        <f t="shared" si="13"/>
        <v>0</v>
      </c>
      <c r="HM61" s="34">
        <f t="shared" si="13"/>
        <v>0</v>
      </c>
      <c r="HN61" s="34">
        <f t="shared" si="13"/>
        <v>0</v>
      </c>
      <c r="HO61" s="34">
        <f t="shared" si="13"/>
        <v>0</v>
      </c>
      <c r="HP61" s="34">
        <f t="shared" si="13"/>
        <v>0</v>
      </c>
      <c r="HQ61" s="34">
        <f t="shared" si="77"/>
        <v>0</v>
      </c>
      <c r="HR61" s="34">
        <f t="shared" si="14"/>
        <v>0</v>
      </c>
      <c r="HS61" s="34">
        <f t="shared" si="14"/>
        <v>0</v>
      </c>
      <c r="HT61" s="34">
        <f t="shared" si="14"/>
        <v>0</v>
      </c>
      <c r="HU61" s="34">
        <f t="shared" si="14"/>
        <v>0</v>
      </c>
      <c r="HV61" s="34">
        <f t="shared" si="14"/>
        <v>0</v>
      </c>
      <c r="HW61" s="34">
        <f t="shared" si="14"/>
        <v>0</v>
      </c>
      <c r="HX61" s="34">
        <f t="shared" si="14"/>
        <v>0</v>
      </c>
      <c r="HY61" s="34">
        <f t="shared" si="14"/>
        <v>0</v>
      </c>
      <c r="HZ61" s="34">
        <f t="shared" si="14"/>
        <v>0</v>
      </c>
      <c r="IA61" s="34">
        <f t="shared" si="14"/>
        <v>0</v>
      </c>
      <c r="IB61" s="34">
        <f t="shared" si="14"/>
        <v>0</v>
      </c>
      <c r="IC61" s="34">
        <f t="shared" si="14"/>
        <v>0</v>
      </c>
      <c r="ID61" s="34">
        <f t="shared" si="14"/>
        <v>0</v>
      </c>
      <c r="IE61" s="34">
        <f t="shared" si="66"/>
        <v>0</v>
      </c>
      <c r="IF61" s="34">
        <f t="shared" si="15"/>
        <v>0</v>
      </c>
      <c r="IG61" s="34">
        <f t="shared" si="15"/>
        <v>0</v>
      </c>
      <c r="IH61" s="34">
        <f t="shared" si="15"/>
        <v>0</v>
      </c>
      <c r="II61" s="34">
        <f t="shared" si="15"/>
        <v>0</v>
      </c>
      <c r="IJ61" s="34">
        <f t="shared" si="15"/>
        <v>0</v>
      </c>
      <c r="IK61" s="34">
        <f t="shared" si="15"/>
        <v>0</v>
      </c>
      <c r="IL61" s="34">
        <f t="shared" si="15"/>
        <v>0</v>
      </c>
      <c r="IM61" s="34">
        <f t="shared" si="15"/>
        <v>0</v>
      </c>
      <c r="IN61" s="34">
        <f t="shared" si="15"/>
        <v>0</v>
      </c>
      <c r="IO61" s="34">
        <f t="shared" si="15"/>
        <v>0</v>
      </c>
      <c r="IP61" s="34">
        <f t="shared" si="15"/>
        <v>8815</v>
      </c>
      <c r="IQ61" s="34">
        <f t="shared" si="15"/>
        <v>0</v>
      </c>
      <c r="IR61" s="34">
        <f t="shared" si="15"/>
        <v>0</v>
      </c>
      <c r="IS61" s="34">
        <f t="shared" si="56"/>
        <v>0</v>
      </c>
      <c r="IT61" s="34">
        <f t="shared" si="44"/>
        <v>0</v>
      </c>
      <c r="IU61" s="34">
        <f t="shared" si="16"/>
        <v>0</v>
      </c>
      <c r="IV61" s="34">
        <f t="shared" si="16"/>
        <v>0</v>
      </c>
      <c r="IW61" s="34">
        <f t="shared" si="16"/>
        <v>0</v>
      </c>
      <c r="IX61" s="34">
        <f t="shared" si="16"/>
        <v>0</v>
      </c>
      <c r="IY61" s="34">
        <f t="shared" si="16"/>
        <v>2147</v>
      </c>
      <c r="IZ61" s="34">
        <f t="shared" si="16"/>
        <v>0</v>
      </c>
      <c r="JA61" s="34">
        <f t="shared" si="16"/>
        <v>0</v>
      </c>
      <c r="JB61" s="34">
        <f t="shared" si="16"/>
        <v>0</v>
      </c>
      <c r="JC61" s="34">
        <f t="shared" si="16"/>
        <v>0</v>
      </c>
      <c r="JD61" s="34">
        <f t="shared" si="16"/>
        <v>0</v>
      </c>
      <c r="JE61" s="34">
        <f t="shared" si="16"/>
        <v>0</v>
      </c>
      <c r="JF61" s="34">
        <f t="shared" si="16"/>
        <v>6000</v>
      </c>
      <c r="JG61" s="34">
        <f t="shared" si="16"/>
        <v>0</v>
      </c>
      <c r="JH61" s="34">
        <f t="shared" si="67"/>
        <v>982</v>
      </c>
      <c r="JI61" s="34">
        <f t="shared" si="17"/>
        <v>390</v>
      </c>
      <c r="JJ61" s="34">
        <f t="shared" si="17"/>
        <v>0</v>
      </c>
      <c r="JK61" s="34">
        <f t="shared" si="17"/>
        <v>798</v>
      </c>
      <c r="JL61" s="34">
        <f t="shared" si="17"/>
        <v>1350</v>
      </c>
      <c r="JM61" s="34">
        <f t="shared" si="17"/>
        <v>459</v>
      </c>
      <c r="JN61" s="34">
        <f t="shared" si="17"/>
        <v>410</v>
      </c>
      <c r="JO61" s="34">
        <f t="shared" si="17"/>
        <v>386</v>
      </c>
      <c r="JP61" s="34">
        <f t="shared" si="17"/>
        <v>234</v>
      </c>
      <c r="JQ61" s="34">
        <f t="shared" si="17"/>
        <v>741</v>
      </c>
      <c r="JR61" s="34">
        <f t="shared" si="17"/>
        <v>0</v>
      </c>
      <c r="JS61" s="34">
        <f t="shared" si="17"/>
        <v>490</v>
      </c>
      <c r="JT61" s="34">
        <f t="shared" si="17"/>
        <v>1835</v>
      </c>
      <c r="JU61" s="34">
        <f t="shared" si="17"/>
        <v>676</v>
      </c>
      <c r="JV61" s="34">
        <f t="shared" si="57"/>
        <v>0</v>
      </c>
      <c r="JW61" s="34">
        <f t="shared" si="18"/>
        <v>738</v>
      </c>
      <c r="JX61" s="34">
        <f t="shared" si="18"/>
        <v>824</v>
      </c>
      <c r="JY61" s="34">
        <f t="shared" si="18"/>
        <v>0</v>
      </c>
      <c r="JZ61" s="34">
        <f t="shared" si="18"/>
        <v>1297</v>
      </c>
      <c r="KA61" s="34">
        <f t="shared" si="18"/>
        <v>531</v>
      </c>
      <c r="KB61" s="34">
        <f t="shared" si="18"/>
        <v>597</v>
      </c>
      <c r="KC61" s="34">
        <f t="shared" si="18"/>
        <v>132</v>
      </c>
      <c r="KD61" s="34">
        <f t="shared" si="18"/>
        <v>747</v>
      </c>
      <c r="KE61" s="34">
        <f t="shared" si="18"/>
        <v>0</v>
      </c>
      <c r="KF61" s="34">
        <f t="shared" si="18"/>
        <v>1203</v>
      </c>
      <c r="KG61" s="34">
        <f t="shared" si="18"/>
        <v>0</v>
      </c>
      <c r="KH61" s="34">
        <f t="shared" si="18"/>
        <v>529</v>
      </c>
      <c r="KI61" s="34">
        <f t="shared" si="18"/>
        <v>0</v>
      </c>
      <c r="KJ61" s="34">
        <f t="shared" si="58"/>
        <v>631</v>
      </c>
      <c r="KK61" s="34">
        <f t="shared" si="19"/>
        <v>0</v>
      </c>
      <c r="KL61" s="34">
        <f t="shared" si="19"/>
        <v>0</v>
      </c>
      <c r="KM61" s="34">
        <f t="shared" si="19"/>
        <v>0</v>
      </c>
      <c r="KN61" s="34">
        <f t="shared" si="19"/>
        <v>707</v>
      </c>
      <c r="KO61" s="34">
        <f t="shared" si="19"/>
        <v>606</v>
      </c>
      <c r="KP61" s="34">
        <f t="shared" si="19"/>
        <v>0</v>
      </c>
      <c r="KQ61" s="34">
        <f t="shared" si="19"/>
        <v>0</v>
      </c>
      <c r="KR61" s="34">
        <f t="shared" si="19"/>
        <v>869</v>
      </c>
      <c r="KS61" s="34">
        <f t="shared" si="19"/>
        <v>0</v>
      </c>
      <c r="KT61" s="34">
        <f t="shared" si="19"/>
        <v>0</v>
      </c>
      <c r="KU61" s="34">
        <f t="shared" si="19"/>
        <v>0</v>
      </c>
      <c r="KV61" s="34">
        <f t="shared" si="19"/>
        <v>0</v>
      </c>
      <c r="KW61" s="34">
        <f t="shared" si="19"/>
        <v>0</v>
      </c>
      <c r="KX61" s="34">
        <f t="shared" si="59"/>
        <v>0</v>
      </c>
      <c r="KY61" s="34">
        <f t="shared" si="20"/>
        <v>0</v>
      </c>
      <c r="KZ61" s="34">
        <f t="shared" si="20"/>
        <v>0</v>
      </c>
      <c r="LA61" s="34">
        <f t="shared" si="34"/>
        <v>2385</v>
      </c>
      <c r="LB61" s="34">
        <f t="shared" si="35"/>
        <v>512</v>
      </c>
      <c r="LC61" s="34">
        <f t="shared" si="36"/>
        <v>1013</v>
      </c>
      <c r="LD61" s="34">
        <f t="shared" si="37"/>
        <v>0</v>
      </c>
      <c r="LE61" s="34">
        <f t="shared" si="38"/>
        <v>0</v>
      </c>
      <c r="LF61" s="34">
        <f t="shared" si="39"/>
        <v>0</v>
      </c>
      <c r="LG61" s="34">
        <f t="shared" si="39"/>
        <v>0</v>
      </c>
      <c r="LH61" s="34">
        <f t="shared" si="39"/>
        <v>0</v>
      </c>
      <c r="LI61" s="34">
        <f t="shared" si="39"/>
        <v>0</v>
      </c>
      <c r="LJ61" s="34">
        <f t="shared" si="39"/>
        <v>0</v>
      </c>
      <c r="LK61" s="34">
        <f t="shared" si="39"/>
        <v>2521</v>
      </c>
      <c r="LL61" s="34">
        <f t="shared" si="39"/>
        <v>0</v>
      </c>
      <c r="LM61" s="34">
        <f t="shared" si="39"/>
        <v>0</v>
      </c>
      <c r="LN61" s="34">
        <f t="shared" si="39"/>
        <v>0</v>
      </c>
      <c r="LO61" s="34">
        <f t="shared" si="39"/>
        <v>630</v>
      </c>
      <c r="LP61" s="34">
        <f t="shared" si="39"/>
        <v>461</v>
      </c>
      <c r="LQ61" s="34">
        <f t="shared" si="39"/>
        <v>0</v>
      </c>
      <c r="LR61" s="34">
        <f t="shared" si="39"/>
        <v>712</v>
      </c>
      <c r="LS61" s="34">
        <f t="shared" si="39"/>
        <v>0</v>
      </c>
      <c r="LT61" s="34">
        <f t="shared" si="39"/>
        <v>0</v>
      </c>
      <c r="LU61" s="34">
        <f t="shared" si="39"/>
        <v>0</v>
      </c>
      <c r="LV61" s="34">
        <f t="shared" si="68"/>
        <v>0</v>
      </c>
      <c r="LW61" s="34">
        <f t="shared" si="22"/>
        <v>1246</v>
      </c>
      <c r="LX61" s="34">
        <f t="shared" si="22"/>
        <v>0</v>
      </c>
      <c r="LY61" s="34">
        <f t="shared" si="22"/>
        <v>1110</v>
      </c>
      <c r="LZ61" s="34">
        <f t="shared" si="22"/>
        <v>0</v>
      </c>
      <c r="MA61" s="34">
        <f t="shared" si="22"/>
        <v>0</v>
      </c>
      <c r="MB61" s="34">
        <f t="shared" si="22"/>
        <v>0</v>
      </c>
      <c r="MC61" s="34">
        <f t="shared" si="22"/>
        <v>0</v>
      </c>
      <c r="MD61" s="34">
        <f t="shared" si="22"/>
        <v>0</v>
      </c>
      <c r="ME61" s="34">
        <f t="shared" si="22"/>
        <v>1476</v>
      </c>
      <c r="MF61" s="34">
        <f t="shared" si="22"/>
        <v>427</v>
      </c>
      <c r="MG61" s="34">
        <f t="shared" si="22"/>
        <v>0</v>
      </c>
      <c r="MH61" s="34">
        <f t="shared" si="22"/>
        <v>0</v>
      </c>
      <c r="MI61" s="34">
        <f t="shared" si="22"/>
        <v>0</v>
      </c>
      <c r="MJ61" s="34">
        <f t="shared" si="60"/>
        <v>0</v>
      </c>
      <c r="MK61" s="34">
        <f t="shared" si="23"/>
        <v>0</v>
      </c>
      <c r="ML61" s="34">
        <f t="shared" si="23"/>
        <v>0</v>
      </c>
      <c r="MM61" s="34">
        <f t="shared" si="23"/>
        <v>0</v>
      </c>
      <c r="MN61" s="34">
        <f t="shared" si="23"/>
        <v>0</v>
      </c>
      <c r="MO61" s="34">
        <f t="shared" si="23"/>
        <v>2823</v>
      </c>
      <c r="MP61" s="34">
        <f t="shared" si="23"/>
        <v>0</v>
      </c>
      <c r="MQ61" s="34">
        <f t="shared" si="23"/>
        <v>0</v>
      </c>
      <c r="MR61" s="34">
        <f t="shared" si="23"/>
        <v>0</v>
      </c>
      <c r="MS61" s="34">
        <f t="shared" si="23"/>
        <v>0</v>
      </c>
      <c r="MT61" s="34">
        <f t="shared" si="23"/>
        <v>0</v>
      </c>
      <c r="MU61" s="34">
        <f t="shared" si="23"/>
        <v>0</v>
      </c>
      <c r="MV61" s="34">
        <f t="shared" si="23"/>
        <v>0</v>
      </c>
      <c r="MW61" s="34">
        <f t="shared" si="23"/>
        <v>0</v>
      </c>
      <c r="MX61" s="34">
        <f t="shared" si="61"/>
        <v>4136</v>
      </c>
      <c r="MY61" s="34">
        <f t="shared" si="24"/>
        <v>0</v>
      </c>
      <c r="MZ61" s="34">
        <f t="shared" si="25"/>
        <v>0</v>
      </c>
      <c r="NA61" s="34">
        <f t="shared" si="25"/>
        <v>0</v>
      </c>
      <c r="NB61" s="34">
        <f t="shared" si="25"/>
        <v>0</v>
      </c>
      <c r="NC61" s="34">
        <f t="shared" si="25"/>
        <v>1080</v>
      </c>
      <c r="ND61" s="34">
        <f t="shared" si="25"/>
        <v>0</v>
      </c>
      <c r="NE61" s="34">
        <f t="shared" si="25"/>
        <v>0</v>
      </c>
      <c r="NF61" s="34">
        <f t="shared" si="25"/>
        <v>0</v>
      </c>
      <c r="NG61" s="34">
        <f t="shared" si="25"/>
        <v>0</v>
      </c>
      <c r="NH61" s="34">
        <f t="shared" si="25"/>
        <v>0</v>
      </c>
      <c r="NI61" s="34">
        <f t="shared" si="25"/>
        <v>0</v>
      </c>
      <c r="NJ61" s="34">
        <f t="shared" si="25"/>
        <v>0</v>
      </c>
      <c r="NK61" s="34">
        <f t="shared" si="25"/>
        <v>0</v>
      </c>
      <c r="NL61" s="34">
        <f t="shared" si="25"/>
        <v>0</v>
      </c>
      <c r="NM61" s="34">
        <f t="shared" si="62"/>
        <v>0</v>
      </c>
      <c r="NN61" s="34">
        <f t="shared" si="26"/>
        <v>0</v>
      </c>
      <c r="NO61" s="34">
        <f t="shared" si="27"/>
        <v>0</v>
      </c>
      <c r="NP61" s="34">
        <v>4541</v>
      </c>
      <c r="NQ61" s="34">
        <v>225</v>
      </c>
      <c r="NR61" s="34">
        <v>0</v>
      </c>
      <c r="NS61" s="34">
        <v>0</v>
      </c>
      <c r="NT61" s="34">
        <v>0</v>
      </c>
      <c r="NU61" s="34">
        <v>0</v>
      </c>
      <c r="NV61" s="34">
        <v>0</v>
      </c>
      <c r="NW61" s="34">
        <v>0</v>
      </c>
      <c r="NX61">
        <v>0</v>
      </c>
      <c r="NY61" s="34">
        <v>0</v>
      </c>
      <c r="NZ61" s="34">
        <v>0</v>
      </c>
      <c r="OA61" s="34">
        <v>0</v>
      </c>
      <c r="OB61" s="34">
        <v>0</v>
      </c>
      <c r="OC61" s="34">
        <v>0</v>
      </c>
      <c r="OD61" s="34">
        <v>0</v>
      </c>
      <c r="OE61" s="34">
        <v>0</v>
      </c>
      <c r="OF61" s="34">
        <v>0</v>
      </c>
      <c r="OG61" s="34">
        <v>0</v>
      </c>
      <c r="OH61" s="34">
        <v>0</v>
      </c>
      <c r="OI61" s="34">
        <v>0</v>
      </c>
      <c r="OJ61" s="34">
        <v>0</v>
      </c>
      <c r="OK61" s="34">
        <v>0</v>
      </c>
      <c r="OL61" s="34">
        <v>0</v>
      </c>
      <c r="OM61" s="34">
        <v>0</v>
      </c>
      <c r="ON61" s="34">
        <v>0</v>
      </c>
      <c r="OO61" s="34">
        <v>0</v>
      </c>
      <c r="OP61" s="34">
        <v>0</v>
      </c>
      <c r="OQ61" s="34">
        <v>0</v>
      </c>
      <c r="OR61" s="34">
        <v>0</v>
      </c>
      <c r="OS61" s="34">
        <f t="shared" si="40"/>
        <v>0</v>
      </c>
      <c r="OT61" s="34">
        <f>OT40-OS40</f>
        <v>11176</v>
      </c>
      <c r="OU61" s="34">
        <v>0</v>
      </c>
      <c r="OV61" s="34">
        <v>0</v>
      </c>
      <c r="OW61" s="34">
        <v>0</v>
      </c>
      <c r="OX61" s="34">
        <v>314</v>
      </c>
      <c r="OY61" s="34">
        <v>425</v>
      </c>
      <c r="OZ61" s="34">
        <v>0</v>
      </c>
      <c r="PA61" s="34">
        <v>0</v>
      </c>
      <c r="PB61" s="34">
        <v>0</v>
      </c>
      <c r="PC61" s="34">
        <v>0</v>
      </c>
      <c r="PD61" s="34">
        <v>0</v>
      </c>
      <c r="PE61" s="34">
        <v>0</v>
      </c>
      <c r="PF61" s="34">
        <v>0</v>
      </c>
      <c r="PG61" s="34">
        <v>0</v>
      </c>
      <c r="PH61" s="34">
        <v>0</v>
      </c>
      <c r="PI61" s="34">
        <v>0</v>
      </c>
      <c r="PJ61" s="34">
        <v>0</v>
      </c>
      <c r="PK61" s="34">
        <v>0</v>
      </c>
      <c r="PL61" s="34">
        <v>0</v>
      </c>
      <c r="PM61" s="34">
        <v>0</v>
      </c>
      <c r="PN61" s="34">
        <v>0</v>
      </c>
      <c r="PO61" s="34">
        <v>0</v>
      </c>
      <c r="PP61" s="34">
        <v>0</v>
      </c>
      <c r="PQ61" s="34">
        <v>0</v>
      </c>
      <c r="PR61" s="34">
        <v>0</v>
      </c>
      <c r="PS61" s="34">
        <v>0</v>
      </c>
      <c r="PT61" s="34">
        <v>0</v>
      </c>
      <c r="PU61" s="34">
        <v>0</v>
      </c>
      <c r="PV61" s="34">
        <v>0</v>
      </c>
      <c r="PW61" s="34">
        <v>0</v>
      </c>
      <c r="PX61" s="34">
        <v>0</v>
      </c>
      <c r="PY61" s="34">
        <v>0</v>
      </c>
      <c r="PZ61" s="34">
        <v>0</v>
      </c>
      <c r="QA61" s="34">
        <v>0</v>
      </c>
      <c r="QB61" s="34">
        <v>0</v>
      </c>
      <c r="QC61" s="34">
        <v>0</v>
      </c>
      <c r="QD61" s="34">
        <v>0</v>
      </c>
      <c r="QE61" s="34">
        <v>0</v>
      </c>
      <c r="QF61" s="34">
        <v>0</v>
      </c>
      <c r="QG61" s="34">
        <v>0</v>
      </c>
      <c r="QH61" s="34">
        <v>0</v>
      </c>
      <c r="QI61" s="34">
        <v>0</v>
      </c>
      <c r="QJ61" s="34">
        <v>0</v>
      </c>
      <c r="QK61" s="34">
        <v>0</v>
      </c>
      <c r="QL61" s="34">
        <v>0</v>
      </c>
      <c r="QM61" s="34">
        <v>0</v>
      </c>
      <c r="QN61" s="34">
        <v>0</v>
      </c>
      <c r="QO61" s="34">
        <v>0</v>
      </c>
      <c r="QP61" s="34">
        <v>0</v>
      </c>
      <c r="QQ61" s="34">
        <v>0</v>
      </c>
      <c r="QR61" s="34">
        <v>0</v>
      </c>
      <c r="QS61" s="34">
        <v>0</v>
      </c>
      <c r="QT61" s="34">
        <v>0</v>
      </c>
      <c r="QU61" s="34">
        <v>0</v>
      </c>
      <c r="QV61" s="34">
        <v>0</v>
      </c>
      <c r="QW61" s="34">
        <v>0</v>
      </c>
      <c r="QX61" s="34">
        <v>0</v>
      </c>
      <c r="QY61" s="34">
        <v>0</v>
      </c>
      <c r="QZ61" s="34">
        <v>0</v>
      </c>
      <c r="RA61" s="34">
        <v>0</v>
      </c>
      <c r="RB61" s="34">
        <v>0</v>
      </c>
      <c r="RC61" s="34">
        <v>0</v>
      </c>
      <c r="RD61" s="34">
        <v>0</v>
      </c>
      <c r="RE61" s="34">
        <v>0</v>
      </c>
      <c r="RF61" s="34">
        <v>0</v>
      </c>
      <c r="RG61" s="34">
        <v>0</v>
      </c>
      <c r="RH61" s="34">
        <v>0</v>
      </c>
      <c r="RI61" s="34">
        <v>0</v>
      </c>
      <c r="RJ61" s="34">
        <v>0</v>
      </c>
      <c r="RK61" s="34">
        <v>0</v>
      </c>
      <c r="RL61" s="34">
        <v>0</v>
      </c>
      <c r="RM61" s="34">
        <v>0</v>
      </c>
      <c r="RN61" s="34">
        <v>0</v>
      </c>
      <c r="RO61" s="34">
        <v>0</v>
      </c>
      <c r="RP61" s="34">
        <v>0</v>
      </c>
      <c r="RQ61" s="34">
        <v>0</v>
      </c>
      <c r="RR61" s="34">
        <v>0</v>
      </c>
      <c r="RS61" s="34">
        <v>0</v>
      </c>
      <c r="RT61" s="34">
        <v>0</v>
      </c>
      <c r="RU61" s="34">
        <v>0</v>
      </c>
      <c r="RV61" s="34">
        <v>0</v>
      </c>
      <c r="RW61" s="34">
        <v>0</v>
      </c>
      <c r="RX61" s="34">
        <v>0</v>
      </c>
      <c r="RY61" s="34">
        <v>0</v>
      </c>
      <c r="RZ61" s="34">
        <v>0</v>
      </c>
      <c r="SA61" s="34">
        <v>0</v>
      </c>
      <c r="SB61" s="34">
        <v>0</v>
      </c>
      <c r="SC61" s="34">
        <v>0</v>
      </c>
      <c r="SD61" s="34">
        <v>0</v>
      </c>
      <c r="SE61" s="34">
        <v>0</v>
      </c>
      <c r="SF61" s="34">
        <v>0</v>
      </c>
      <c r="SG61" s="34">
        <v>0</v>
      </c>
      <c r="SH61" s="34">
        <v>0</v>
      </c>
      <c r="SI61" s="34">
        <v>0</v>
      </c>
      <c r="SJ61" s="34">
        <v>0</v>
      </c>
      <c r="SK61" s="34">
        <v>0</v>
      </c>
      <c r="SL61" s="34">
        <v>0</v>
      </c>
      <c r="SM61" s="34">
        <v>0</v>
      </c>
      <c r="SN61" s="34">
        <v>0</v>
      </c>
      <c r="SO61" s="34">
        <v>0</v>
      </c>
      <c r="SP61" s="34">
        <v>0</v>
      </c>
      <c r="SQ61" s="34">
        <v>0</v>
      </c>
      <c r="SR61" s="34">
        <v>0</v>
      </c>
      <c r="SS61" s="34">
        <v>0</v>
      </c>
      <c r="ST61" s="34">
        <v>0</v>
      </c>
      <c r="SU61" s="34">
        <v>0</v>
      </c>
      <c r="SV61" s="34">
        <v>0</v>
      </c>
      <c r="SW61" s="34">
        <v>0</v>
      </c>
      <c r="SX61" s="34">
        <v>0</v>
      </c>
      <c r="SY61" s="34">
        <v>0</v>
      </c>
      <c r="SZ61" s="34">
        <v>0</v>
      </c>
      <c r="TA61" s="34">
        <v>0</v>
      </c>
      <c r="TB61" s="34">
        <v>0</v>
      </c>
      <c r="TC61" s="34">
        <v>0</v>
      </c>
      <c r="TD61" s="34">
        <v>0</v>
      </c>
      <c r="TE61" s="34">
        <v>0</v>
      </c>
      <c r="TF61" s="34">
        <v>0</v>
      </c>
      <c r="TG61" s="34">
        <v>0</v>
      </c>
      <c r="TH61" s="34">
        <v>0</v>
      </c>
      <c r="TI61" s="34">
        <v>0</v>
      </c>
      <c r="TJ61" s="34">
        <v>0</v>
      </c>
      <c r="TK61" s="34">
        <v>0</v>
      </c>
      <c r="TL61" s="34">
        <v>0</v>
      </c>
      <c r="TM61" s="34">
        <v>0</v>
      </c>
      <c r="TN61" s="34">
        <v>0</v>
      </c>
      <c r="TO61" s="34">
        <v>0</v>
      </c>
      <c r="TP61" s="34">
        <v>0</v>
      </c>
      <c r="TQ61" s="34">
        <v>0</v>
      </c>
      <c r="TR61" s="34">
        <v>0</v>
      </c>
      <c r="TS61" s="34">
        <v>0</v>
      </c>
      <c r="TT61" s="34">
        <v>0</v>
      </c>
      <c r="TU61" s="34">
        <v>0</v>
      </c>
      <c r="TV61" s="34">
        <v>0</v>
      </c>
      <c r="TW61" s="34">
        <v>0</v>
      </c>
      <c r="TX61" s="34">
        <v>0</v>
      </c>
      <c r="TY61" s="34">
        <v>0</v>
      </c>
      <c r="TZ61" s="34">
        <v>0</v>
      </c>
      <c r="UA61" s="34">
        <v>0</v>
      </c>
      <c r="UB61" s="34">
        <v>0</v>
      </c>
      <c r="UC61" s="34">
        <v>0</v>
      </c>
      <c r="UD61" s="34">
        <v>0</v>
      </c>
      <c r="UE61" s="34">
        <v>0</v>
      </c>
      <c r="UF61" s="34">
        <v>0</v>
      </c>
      <c r="UG61" s="34">
        <v>0</v>
      </c>
      <c r="UH61" s="34">
        <v>0</v>
      </c>
      <c r="UI61" s="34">
        <v>0</v>
      </c>
      <c r="UJ61" s="34">
        <v>0</v>
      </c>
      <c r="UK61" s="34">
        <v>0</v>
      </c>
      <c r="UL61" s="34">
        <v>0</v>
      </c>
      <c r="UM61" s="34">
        <v>0</v>
      </c>
      <c r="UN61" s="34">
        <v>0</v>
      </c>
      <c r="UO61" s="34">
        <v>0</v>
      </c>
      <c r="UP61" s="34">
        <v>0</v>
      </c>
      <c r="UQ61" s="34">
        <v>0</v>
      </c>
      <c r="UR61" s="34">
        <v>0</v>
      </c>
      <c r="US61" s="34">
        <v>0</v>
      </c>
      <c r="UT61" s="34">
        <v>0</v>
      </c>
      <c r="UU61" s="34">
        <v>0</v>
      </c>
      <c r="UV61" s="34">
        <v>0</v>
      </c>
      <c r="UW61" s="34">
        <v>0</v>
      </c>
      <c r="UX61" s="34">
        <v>0</v>
      </c>
      <c r="UY61" s="34">
        <v>0</v>
      </c>
      <c r="UZ61" s="34">
        <v>0</v>
      </c>
      <c r="VA61" s="34">
        <v>0</v>
      </c>
      <c r="VB61" s="34">
        <v>0</v>
      </c>
      <c r="VC61" s="34">
        <v>0</v>
      </c>
      <c r="VD61" s="34">
        <v>0</v>
      </c>
      <c r="VE61" s="34">
        <v>0</v>
      </c>
      <c r="VF61" s="34">
        <v>0</v>
      </c>
      <c r="VG61" s="34">
        <v>0</v>
      </c>
      <c r="VH61" s="34">
        <v>0</v>
      </c>
      <c r="VI61" s="34">
        <v>0</v>
      </c>
      <c r="VJ61" s="34">
        <v>0</v>
      </c>
      <c r="VK61" s="34">
        <v>0</v>
      </c>
      <c r="VL61" s="34">
        <v>0</v>
      </c>
      <c r="VM61" s="34">
        <v>0</v>
      </c>
      <c r="VN61" s="34">
        <v>0</v>
      </c>
      <c r="VO61" s="34">
        <v>0</v>
      </c>
      <c r="VP61" s="34">
        <v>0</v>
      </c>
      <c r="VQ61" s="34">
        <v>0</v>
      </c>
      <c r="VR61" s="34">
        <v>0</v>
      </c>
      <c r="VS61" s="34">
        <v>0</v>
      </c>
      <c r="VT61" s="34">
        <v>0</v>
      </c>
      <c r="VU61" s="34">
        <v>0</v>
      </c>
      <c r="VV61" s="34">
        <v>0</v>
      </c>
      <c r="VW61" s="34">
        <v>0</v>
      </c>
      <c r="VX61" s="34">
        <v>0</v>
      </c>
      <c r="VY61" s="34">
        <v>0</v>
      </c>
      <c r="VZ61" s="34">
        <v>0</v>
      </c>
      <c r="WA61" s="34">
        <v>0</v>
      </c>
      <c r="WB61" s="34">
        <v>0</v>
      </c>
      <c r="WC61" s="34">
        <v>0</v>
      </c>
      <c r="WD61" s="34">
        <v>0</v>
      </c>
      <c r="WE61" s="34">
        <v>0</v>
      </c>
      <c r="WF61" s="34">
        <v>0</v>
      </c>
      <c r="WG61" s="34">
        <v>0</v>
      </c>
      <c r="WH61" s="34">
        <v>0</v>
      </c>
      <c r="WI61" s="34">
        <v>0</v>
      </c>
      <c r="WJ61" s="34">
        <v>0</v>
      </c>
      <c r="WK61" s="34">
        <v>0</v>
      </c>
      <c r="WL61" s="34">
        <v>0</v>
      </c>
      <c r="WM61">
        <v>0</v>
      </c>
      <c r="WN61">
        <v>0</v>
      </c>
      <c r="WO61">
        <v>0</v>
      </c>
      <c r="WP61">
        <v>0</v>
      </c>
      <c r="WQ61">
        <v>0</v>
      </c>
      <c r="WR61">
        <v>0</v>
      </c>
      <c r="WS61">
        <v>0</v>
      </c>
      <c r="WT61">
        <v>0</v>
      </c>
      <c r="WU61">
        <v>0</v>
      </c>
      <c r="WV61">
        <v>0</v>
      </c>
      <c r="WW61">
        <v>0</v>
      </c>
      <c r="WX61">
        <v>0</v>
      </c>
      <c r="WY61">
        <v>0</v>
      </c>
      <c r="WZ61">
        <v>0</v>
      </c>
      <c r="XA61">
        <v>0</v>
      </c>
      <c r="XB61">
        <v>0</v>
      </c>
      <c r="XC61">
        <v>0</v>
      </c>
      <c r="XD61">
        <v>0</v>
      </c>
      <c r="XE61">
        <v>0</v>
      </c>
      <c r="XF61">
        <v>0</v>
      </c>
      <c r="XG61">
        <v>0</v>
      </c>
      <c r="XH61">
        <v>0</v>
      </c>
      <c r="XI61">
        <v>0</v>
      </c>
      <c r="XJ61">
        <v>0</v>
      </c>
      <c r="XK61">
        <v>0</v>
      </c>
      <c r="XL61">
        <v>0</v>
      </c>
      <c r="XM61">
        <v>0</v>
      </c>
      <c r="XN61">
        <v>0</v>
      </c>
      <c r="XO61">
        <v>0</v>
      </c>
      <c r="XP61">
        <v>0</v>
      </c>
      <c r="XQ61">
        <v>0</v>
      </c>
      <c r="XR61">
        <v>0</v>
      </c>
      <c r="XS61">
        <v>0</v>
      </c>
      <c r="XT61">
        <v>0</v>
      </c>
      <c r="XU61">
        <v>0</v>
      </c>
      <c r="XV61">
        <v>0</v>
      </c>
      <c r="XW61">
        <v>0</v>
      </c>
      <c r="XX61">
        <v>0</v>
      </c>
      <c r="XY61">
        <v>0</v>
      </c>
      <c r="XZ61">
        <v>0</v>
      </c>
      <c r="YA61">
        <v>0</v>
      </c>
      <c r="YB61">
        <v>0</v>
      </c>
      <c r="YC61">
        <v>0</v>
      </c>
      <c r="YD61">
        <v>0</v>
      </c>
      <c r="YE61">
        <v>0</v>
      </c>
      <c r="YF61" s="1">
        <v>0</v>
      </c>
      <c r="YG61" s="1">
        <v>0</v>
      </c>
      <c r="YH61" s="1">
        <v>0</v>
      </c>
      <c r="YI61" s="1">
        <v>0</v>
      </c>
      <c r="YJ61">
        <v>0</v>
      </c>
      <c r="YK61">
        <v>0</v>
      </c>
      <c r="YL61">
        <v>0</v>
      </c>
      <c r="YM61">
        <v>0</v>
      </c>
      <c r="YN61">
        <v>0</v>
      </c>
      <c r="YO61">
        <v>0</v>
      </c>
      <c r="YP61">
        <v>0</v>
      </c>
      <c r="YQ61">
        <v>0</v>
      </c>
      <c r="YR61">
        <v>0</v>
      </c>
      <c r="YS61">
        <v>0</v>
      </c>
      <c r="YT61">
        <v>0</v>
      </c>
      <c r="YU61">
        <v>0</v>
      </c>
      <c r="YV61">
        <v>0</v>
      </c>
      <c r="YW61">
        <v>0</v>
      </c>
      <c r="YX61">
        <v>0</v>
      </c>
      <c r="YY61">
        <v>0</v>
      </c>
      <c r="YZ61">
        <v>0</v>
      </c>
      <c r="ZA61">
        <v>0</v>
      </c>
      <c r="ZB61">
        <v>0</v>
      </c>
      <c r="ZC61">
        <v>0</v>
      </c>
      <c r="ZD61">
        <v>0</v>
      </c>
      <c r="ZE61">
        <v>0</v>
      </c>
      <c r="ZF61">
        <v>0</v>
      </c>
      <c r="ZG61">
        <v>0</v>
      </c>
      <c r="ZH61">
        <v>0</v>
      </c>
      <c r="ZI61">
        <v>0</v>
      </c>
      <c r="ZJ61">
        <v>0</v>
      </c>
      <c r="ZK61">
        <v>0</v>
      </c>
      <c r="ZL61">
        <v>0</v>
      </c>
      <c r="ZM61">
        <v>0</v>
      </c>
      <c r="ZN61">
        <v>0</v>
      </c>
      <c r="ZO61">
        <v>0</v>
      </c>
      <c r="ZP61">
        <v>0</v>
      </c>
      <c r="ZQ61">
        <v>0</v>
      </c>
      <c r="ZR61">
        <v>0</v>
      </c>
      <c r="ZS61">
        <v>0</v>
      </c>
      <c r="ZT61">
        <v>0</v>
      </c>
      <c r="ZU61">
        <v>0</v>
      </c>
      <c r="ZV61">
        <v>0</v>
      </c>
      <c r="ZW61">
        <v>0</v>
      </c>
      <c r="ZX61">
        <v>0</v>
      </c>
      <c r="ZY61">
        <v>0</v>
      </c>
      <c r="ZZ61">
        <v>0</v>
      </c>
      <c r="AAA61">
        <v>0</v>
      </c>
      <c r="AAB61">
        <v>0</v>
      </c>
      <c r="AAC61">
        <v>0</v>
      </c>
      <c r="AAD61">
        <v>0</v>
      </c>
      <c r="AAE61">
        <v>0</v>
      </c>
      <c r="AAF61">
        <v>0</v>
      </c>
      <c r="AAG61">
        <v>0</v>
      </c>
      <c r="AAH61">
        <v>0</v>
      </c>
      <c r="AAI61">
        <v>0</v>
      </c>
      <c r="AAJ61">
        <v>0</v>
      </c>
      <c r="AAK61">
        <v>0</v>
      </c>
      <c r="AAL61">
        <v>0</v>
      </c>
      <c r="AAM61">
        <v>0</v>
      </c>
      <c r="AAN61">
        <v>0</v>
      </c>
      <c r="AAO61">
        <v>0</v>
      </c>
      <c r="AAP61">
        <v>0</v>
      </c>
      <c r="AAQ61">
        <v>0</v>
      </c>
      <c r="AAR61">
        <v>0</v>
      </c>
      <c r="AAS61">
        <v>0</v>
      </c>
      <c r="AAT61">
        <v>0</v>
      </c>
      <c r="AAU61">
        <v>0</v>
      </c>
      <c r="AAV61">
        <v>0</v>
      </c>
      <c r="AAW61">
        <v>0</v>
      </c>
      <c r="AAX61">
        <v>0</v>
      </c>
      <c r="AAY61">
        <v>0</v>
      </c>
      <c r="AAZ61">
        <v>0</v>
      </c>
      <c r="ABA61">
        <v>0</v>
      </c>
      <c r="ABB61">
        <v>0</v>
      </c>
      <c r="ABC61">
        <v>0</v>
      </c>
      <c r="ABD61">
        <v>0</v>
      </c>
      <c r="ABE61">
        <v>0</v>
      </c>
      <c r="ABF61">
        <v>0</v>
      </c>
      <c r="ABG61">
        <v>0</v>
      </c>
      <c r="ABH61">
        <v>0</v>
      </c>
      <c r="ABI61">
        <v>0</v>
      </c>
      <c r="ABJ61">
        <v>0</v>
      </c>
      <c r="ABK61">
        <v>0</v>
      </c>
      <c r="ABL61">
        <v>0</v>
      </c>
      <c r="ABM61">
        <v>0</v>
      </c>
      <c r="ABN61">
        <v>0</v>
      </c>
      <c r="ABO61">
        <v>0</v>
      </c>
      <c r="ABP61">
        <v>0</v>
      </c>
      <c r="ABQ61">
        <v>0</v>
      </c>
      <c r="ABR61">
        <v>0</v>
      </c>
      <c r="ABS61">
        <v>0</v>
      </c>
      <c r="ABT61">
        <v>0</v>
      </c>
      <c r="ABU61">
        <v>0</v>
      </c>
      <c r="ABV61">
        <v>0</v>
      </c>
      <c r="ABW61">
        <v>0</v>
      </c>
      <c r="ABX61">
        <v>0</v>
      </c>
      <c r="ABY61">
        <v>0</v>
      </c>
      <c r="ABZ61">
        <v>0</v>
      </c>
      <c r="ACA61">
        <v>0</v>
      </c>
      <c r="ACB61">
        <v>0</v>
      </c>
      <c r="ACC61">
        <v>0</v>
      </c>
      <c r="ACD61">
        <v>0</v>
      </c>
      <c r="ACE61">
        <v>0</v>
      </c>
      <c r="ACF61">
        <v>0</v>
      </c>
      <c r="ACG61">
        <v>0</v>
      </c>
      <c r="ACH61">
        <v>0</v>
      </c>
      <c r="ACI61">
        <v>0</v>
      </c>
      <c r="ACJ61">
        <v>0</v>
      </c>
      <c r="ACK61">
        <v>0</v>
      </c>
      <c r="ACL61">
        <v>0</v>
      </c>
      <c r="ACM61">
        <v>0</v>
      </c>
      <c r="ACN61">
        <v>0</v>
      </c>
      <c r="ACO61">
        <v>0</v>
      </c>
      <c r="ACP61">
        <v>0</v>
      </c>
      <c r="ACQ61">
        <v>0</v>
      </c>
      <c r="ACR61">
        <v>0</v>
      </c>
      <c r="ACS61">
        <v>0</v>
      </c>
      <c r="ACT61">
        <v>0</v>
      </c>
      <c r="ACU61">
        <v>0</v>
      </c>
      <c r="ACV61">
        <v>0</v>
      </c>
      <c r="ACW61">
        <v>0</v>
      </c>
      <c r="ACX61">
        <v>0</v>
      </c>
      <c r="ACY61">
        <v>0</v>
      </c>
      <c r="ACZ61">
        <v>0</v>
      </c>
      <c r="ADA61">
        <v>0</v>
      </c>
      <c r="ADB61">
        <v>0</v>
      </c>
      <c r="ADC61">
        <v>0</v>
      </c>
      <c r="ADD61">
        <v>0</v>
      </c>
      <c r="ADE61">
        <v>0</v>
      </c>
      <c r="ADF61">
        <v>0</v>
      </c>
      <c r="ADG61">
        <v>0</v>
      </c>
      <c r="ADH61">
        <v>0</v>
      </c>
      <c r="ADI61">
        <v>0</v>
      </c>
      <c r="ADJ61">
        <v>0</v>
      </c>
      <c r="ADK61">
        <v>0</v>
      </c>
      <c r="ADL61">
        <v>0</v>
      </c>
      <c r="ADM61">
        <v>0</v>
      </c>
      <c r="ADN61">
        <v>0</v>
      </c>
      <c r="ADO61">
        <v>0</v>
      </c>
      <c r="ADP61">
        <v>0</v>
      </c>
      <c r="ADQ61">
        <v>0</v>
      </c>
      <c r="ADR61">
        <v>0</v>
      </c>
      <c r="ADS61">
        <v>0</v>
      </c>
      <c r="ADT61">
        <v>0</v>
      </c>
      <c r="ADU61">
        <v>0</v>
      </c>
      <c r="ADV61">
        <v>0</v>
      </c>
      <c r="ADW61">
        <v>0</v>
      </c>
      <c r="ADX61">
        <v>0</v>
      </c>
      <c r="ADY61">
        <v>0</v>
      </c>
      <c r="ADZ61">
        <v>0</v>
      </c>
      <c r="AEA61">
        <v>0</v>
      </c>
      <c r="AEB61">
        <v>0</v>
      </c>
      <c r="AEC61">
        <v>0</v>
      </c>
      <c r="AED61">
        <v>0</v>
      </c>
      <c r="AEE61">
        <v>0</v>
      </c>
      <c r="AEF61">
        <v>0</v>
      </c>
      <c r="AEG61">
        <v>0</v>
      </c>
      <c r="AEH61">
        <v>0</v>
      </c>
      <c r="AEI61">
        <v>0</v>
      </c>
      <c r="AEJ61">
        <v>0</v>
      </c>
      <c r="AEK61">
        <v>0</v>
      </c>
      <c r="AEL61">
        <v>0</v>
      </c>
      <c r="AEM61">
        <v>0</v>
      </c>
      <c r="AEN61">
        <v>0</v>
      </c>
      <c r="AEO61">
        <v>0</v>
      </c>
      <c r="AEP61">
        <v>0</v>
      </c>
      <c r="AEQ61">
        <v>0</v>
      </c>
      <c r="AER61">
        <v>0</v>
      </c>
      <c r="AES61">
        <v>0</v>
      </c>
      <c r="AET61">
        <v>0</v>
      </c>
      <c r="AEU61">
        <v>0</v>
      </c>
      <c r="AEV61">
        <v>0</v>
      </c>
      <c r="AEW61">
        <v>0</v>
      </c>
      <c r="AEX61">
        <v>0</v>
      </c>
      <c r="AEY61">
        <v>0</v>
      </c>
      <c r="AEZ61">
        <v>0</v>
      </c>
      <c r="AFA61">
        <v>0</v>
      </c>
      <c r="AFB61">
        <v>0</v>
      </c>
      <c r="AFC61">
        <v>0</v>
      </c>
      <c r="AFD61">
        <v>0</v>
      </c>
      <c r="AFE61">
        <v>0</v>
      </c>
      <c r="AFF61">
        <v>0</v>
      </c>
      <c r="AFG61">
        <v>0</v>
      </c>
      <c r="AFH61">
        <v>0</v>
      </c>
      <c r="AFI61">
        <v>0</v>
      </c>
      <c r="AFJ61">
        <v>0</v>
      </c>
      <c r="AFK61">
        <v>0</v>
      </c>
      <c r="AFL61">
        <v>0</v>
      </c>
      <c r="AFM61">
        <v>0</v>
      </c>
      <c r="AFN61">
        <v>0</v>
      </c>
      <c r="AFO61">
        <v>0</v>
      </c>
      <c r="AFP61">
        <v>0</v>
      </c>
      <c r="AFQ61">
        <v>0</v>
      </c>
      <c r="AFR61">
        <v>0</v>
      </c>
      <c r="AFS61">
        <v>0</v>
      </c>
      <c r="AFT61">
        <v>0</v>
      </c>
      <c r="AFU61">
        <v>0</v>
      </c>
      <c r="AFV61">
        <v>0</v>
      </c>
      <c r="AFW61">
        <v>0</v>
      </c>
      <c r="AFX61">
        <v>0</v>
      </c>
      <c r="AFY61">
        <v>0</v>
      </c>
      <c r="AFZ61">
        <v>0</v>
      </c>
      <c r="AGA61">
        <v>0</v>
      </c>
      <c r="AGB61">
        <v>0</v>
      </c>
      <c r="AGC61">
        <v>0</v>
      </c>
      <c r="AGD61">
        <v>0</v>
      </c>
      <c r="AGE61">
        <v>0</v>
      </c>
      <c r="AGF61">
        <v>0</v>
      </c>
      <c r="AGG61">
        <v>0</v>
      </c>
      <c r="AGH61">
        <v>0</v>
      </c>
      <c r="AGI61">
        <v>0</v>
      </c>
      <c r="AGJ61">
        <v>0</v>
      </c>
      <c r="AGK61">
        <v>0</v>
      </c>
      <c r="AGL61">
        <v>0</v>
      </c>
      <c r="AGM61">
        <v>0</v>
      </c>
      <c r="AGN61">
        <v>0</v>
      </c>
      <c r="AGO61">
        <v>0</v>
      </c>
      <c r="AGP61">
        <v>0</v>
      </c>
      <c r="AGQ61">
        <v>0</v>
      </c>
      <c r="AGR61">
        <v>0</v>
      </c>
      <c r="AGS61">
        <v>0</v>
      </c>
      <c r="AGT61">
        <v>0</v>
      </c>
      <c r="AGU61">
        <v>0</v>
      </c>
      <c r="AGV61">
        <v>0</v>
      </c>
      <c r="AGW61">
        <v>0</v>
      </c>
      <c r="AGX61">
        <v>0</v>
      </c>
      <c r="AGY61">
        <v>0</v>
      </c>
      <c r="AGZ61">
        <v>0</v>
      </c>
      <c r="AHA61">
        <v>0</v>
      </c>
      <c r="AHB61">
        <v>0</v>
      </c>
      <c r="AHC61">
        <v>0</v>
      </c>
      <c r="AHD61">
        <v>0</v>
      </c>
      <c r="AHE61">
        <v>0</v>
      </c>
      <c r="AHF61">
        <v>0</v>
      </c>
      <c r="AHG61">
        <v>0</v>
      </c>
      <c r="AHH61">
        <v>0</v>
      </c>
      <c r="AHI61">
        <v>0</v>
      </c>
      <c r="AHJ61">
        <v>0</v>
      </c>
      <c r="AHK61">
        <v>0</v>
      </c>
      <c r="AHL61">
        <v>0</v>
      </c>
      <c r="AHM61">
        <v>0</v>
      </c>
      <c r="AHN61">
        <v>0</v>
      </c>
      <c r="AHO61">
        <v>0</v>
      </c>
      <c r="AHP61">
        <v>0</v>
      </c>
      <c r="AHQ61">
        <v>0</v>
      </c>
    </row>
    <row r="62" spans="1:901">
      <c r="A62" s="1" t="s">
        <v>120</v>
      </c>
      <c r="C62" s="34">
        <f t="shared" si="28"/>
        <v>2665</v>
      </c>
      <c r="D62" s="34">
        <f t="shared" si="28"/>
        <v>3434</v>
      </c>
      <c r="E62" s="34">
        <f t="shared" si="29"/>
        <v>3105</v>
      </c>
      <c r="F62" s="34">
        <f t="shared" si="30"/>
        <v>2506</v>
      </c>
      <c r="G62" s="34">
        <f t="shared" si="31"/>
        <v>2061</v>
      </c>
      <c r="H62" s="34">
        <f t="shared" si="32"/>
        <v>2908</v>
      </c>
      <c r="I62" s="34">
        <f t="shared" si="32"/>
        <v>2977</v>
      </c>
      <c r="J62" s="34">
        <f t="shared" si="32"/>
        <v>2735</v>
      </c>
      <c r="K62" s="34">
        <f t="shared" si="32"/>
        <v>2468</v>
      </c>
      <c r="L62" s="34">
        <f t="shared" si="32"/>
        <v>5679</v>
      </c>
      <c r="M62" s="34">
        <f t="shared" si="32"/>
        <v>2784</v>
      </c>
      <c r="N62" s="34">
        <f t="shared" si="32"/>
        <v>2061</v>
      </c>
      <c r="O62" s="34">
        <f t="shared" si="32"/>
        <v>2937</v>
      </c>
      <c r="P62" s="34">
        <f t="shared" si="32"/>
        <v>3417</v>
      </c>
      <c r="Q62" s="34">
        <f t="shared" si="32"/>
        <v>2628</v>
      </c>
      <c r="R62" s="34">
        <f t="shared" si="32"/>
        <v>2725</v>
      </c>
      <c r="S62" s="34">
        <f t="shared" si="32"/>
        <v>2240</v>
      </c>
      <c r="T62" s="34">
        <f t="shared" si="32"/>
        <v>2005</v>
      </c>
      <c r="U62" s="34">
        <f t="shared" si="32"/>
        <v>2867</v>
      </c>
      <c r="V62" s="34">
        <f t="shared" si="32"/>
        <v>3162</v>
      </c>
      <c r="W62" s="34">
        <f t="shared" si="32"/>
        <v>3021</v>
      </c>
      <c r="X62" s="34">
        <f t="shared" si="80"/>
        <v>3100</v>
      </c>
      <c r="Y62" s="34">
        <f t="shared" si="63"/>
        <v>2895</v>
      </c>
      <c r="Z62" s="34">
        <f t="shared" si="1"/>
        <v>2891</v>
      </c>
      <c r="AA62" s="34">
        <f t="shared" si="1"/>
        <v>2883</v>
      </c>
      <c r="AB62" s="34">
        <f t="shared" si="1"/>
        <v>2727</v>
      </c>
      <c r="AC62" s="34">
        <f t="shared" si="1"/>
        <v>3031</v>
      </c>
      <c r="AD62" s="34">
        <f t="shared" si="1"/>
        <v>2922</v>
      </c>
      <c r="AE62" s="34">
        <f t="shared" si="1"/>
        <v>2972</v>
      </c>
      <c r="AF62" s="34">
        <f t="shared" si="1"/>
        <v>2931</v>
      </c>
      <c r="AG62" s="34">
        <f t="shared" si="1"/>
        <v>2691</v>
      </c>
      <c r="AH62" s="34">
        <f t="shared" si="1"/>
        <v>2254</v>
      </c>
      <c r="AI62" s="34">
        <f t="shared" si="1"/>
        <v>3031</v>
      </c>
      <c r="AJ62" s="34">
        <f t="shared" si="1"/>
        <v>2754</v>
      </c>
      <c r="AK62" s="34">
        <f t="shared" si="1"/>
        <v>2838</v>
      </c>
      <c r="AL62" s="34">
        <f t="shared" si="1"/>
        <v>2854</v>
      </c>
      <c r="AM62" s="34">
        <f t="shared" si="50"/>
        <v>3005</v>
      </c>
      <c r="AN62" s="34">
        <f t="shared" si="2"/>
        <v>2527</v>
      </c>
      <c r="AO62" s="34">
        <f t="shared" si="2"/>
        <v>2426</v>
      </c>
      <c r="AP62" s="34">
        <f t="shared" si="2"/>
        <v>2422</v>
      </c>
      <c r="AQ62" s="34">
        <f t="shared" si="2"/>
        <v>2842</v>
      </c>
      <c r="AR62" s="34">
        <f t="shared" si="2"/>
        <v>3141</v>
      </c>
      <c r="AS62" s="34">
        <f t="shared" si="2"/>
        <v>3002</v>
      </c>
      <c r="AT62" s="34">
        <f t="shared" si="2"/>
        <v>2861</v>
      </c>
      <c r="AU62" s="34">
        <f t="shared" si="2"/>
        <v>2667</v>
      </c>
      <c r="AV62" s="34">
        <f t="shared" si="2"/>
        <v>1535</v>
      </c>
      <c r="AW62" s="34">
        <f t="shared" si="2"/>
        <v>3003</v>
      </c>
      <c r="AX62" s="34">
        <f t="shared" si="2"/>
        <v>2724</v>
      </c>
      <c r="AY62" s="34">
        <f t="shared" si="2"/>
        <v>2823</v>
      </c>
      <c r="AZ62" s="34">
        <f t="shared" si="2"/>
        <v>2928</v>
      </c>
      <c r="BA62" s="34">
        <f t="shared" si="51"/>
        <v>2635</v>
      </c>
      <c r="BB62" s="34">
        <f t="shared" si="3"/>
        <v>2581</v>
      </c>
      <c r="BC62" s="34">
        <f t="shared" si="3"/>
        <v>2488</v>
      </c>
      <c r="BD62" s="34">
        <f t="shared" si="3"/>
        <v>2239</v>
      </c>
      <c r="BE62" s="34">
        <f t="shared" si="3"/>
        <v>2696</v>
      </c>
      <c r="BF62" s="34">
        <f t="shared" si="3"/>
        <v>2642</v>
      </c>
      <c r="BG62" s="34">
        <f t="shared" si="3"/>
        <v>2910</v>
      </c>
      <c r="BH62" s="34">
        <f t="shared" si="3"/>
        <v>2589</v>
      </c>
      <c r="BI62" s="34">
        <f t="shared" si="3"/>
        <v>1547</v>
      </c>
      <c r="BJ62" s="34">
        <f t="shared" si="3"/>
        <v>3252</v>
      </c>
      <c r="BK62" s="34">
        <f t="shared" si="3"/>
        <v>2901</v>
      </c>
      <c r="BL62" s="34">
        <f t="shared" si="3"/>
        <v>3010</v>
      </c>
      <c r="BM62" s="34">
        <f t="shared" si="3"/>
        <v>3261</v>
      </c>
      <c r="BN62" s="34">
        <f t="shared" si="3"/>
        <v>2522</v>
      </c>
      <c r="BO62" s="34">
        <f t="shared" si="52"/>
        <v>2748</v>
      </c>
      <c r="BP62" s="34">
        <f t="shared" si="52"/>
        <v>2884</v>
      </c>
      <c r="BQ62" s="34">
        <f t="shared" si="52"/>
        <v>2760</v>
      </c>
      <c r="BR62" s="34">
        <f t="shared" si="52"/>
        <v>3010</v>
      </c>
      <c r="BS62" s="34">
        <f t="shared" si="52"/>
        <v>3136</v>
      </c>
      <c r="BT62" s="34">
        <f t="shared" si="52"/>
        <v>3619</v>
      </c>
      <c r="BU62" s="34">
        <f t="shared" si="52"/>
        <v>3508</v>
      </c>
      <c r="BV62" s="34">
        <f t="shared" si="52"/>
        <v>3657</v>
      </c>
      <c r="BW62" s="34">
        <f t="shared" si="52"/>
        <v>3154</v>
      </c>
      <c r="BX62" s="34">
        <f t="shared" si="52"/>
        <v>3071</v>
      </c>
      <c r="BY62" s="34">
        <f t="shared" si="52"/>
        <v>3794</v>
      </c>
      <c r="BZ62" s="34">
        <f t="shared" si="52"/>
        <v>4065</v>
      </c>
      <c r="CA62" s="34">
        <f t="shared" si="52"/>
        <v>4195</v>
      </c>
      <c r="CB62" s="34">
        <f t="shared" si="52"/>
        <v>4155</v>
      </c>
      <c r="CC62" s="34">
        <f t="shared" si="52"/>
        <v>4080</v>
      </c>
      <c r="CD62" s="34">
        <f t="shared" si="52"/>
        <v>4092</v>
      </c>
      <c r="CE62" s="34">
        <f t="shared" si="52"/>
        <v>3912</v>
      </c>
      <c r="CF62" s="34">
        <f t="shared" si="52"/>
        <v>3830</v>
      </c>
      <c r="CG62" s="34">
        <f t="shared" si="52"/>
        <v>3920</v>
      </c>
      <c r="CH62" s="34">
        <f t="shared" si="52"/>
        <v>3970</v>
      </c>
      <c r="CI62" s="34">
        <f t="shared" si="52"/>
        <v>4010</v>
      </c>
      <c r="CJ62" s="34">
        <f t="shared" si="52"/>
        <v>3810</v>
      </c>
      <c r="CK62" s="34">
        <f t="shared" si="52"/>
        <v>3854</v>
      </c>
      <c r="CL62" s="34">
        <f t="shared" si="69"/>
        <v>3540</v>
      </c>
      <c r="CM62" s="34">
        <f t="shared" si="69"/>
        <v>3510</v>
      </c>
      <c r="CN62" s="34">
        <f t="shared" si="69"/>
        <v>3724</v>
      </c>
      <c r="CO62" s="34">
        <f t="shared" si="69"/>
        <v>3627</v>
      </c>
      <c r="CP62" s="34">
        <f t="shared" si="69"/>
        <v>3880</v>
      </c>
      <c r="CQ62" s="34">
        <f t="shared" si="69"/>
        <v>3761</v>
      </c>
      <c r="CR62" s="34">
        <f t="shared" si="69"/>
        <v>3244</v>
      </c>
      <c r="CS62" s="34">
        <f t="shared" si="69"/>
        <v>3683</v>
      </c>
      <c r="CT62" s="34">
        <f t="shared" si="69"/>
        <v>3568</v>
      </c>
      <c r="CU62" s="34">
        <f t="shared" si="69"/>
        <v>3549</v>
      </c>
      <c r="CV62" s="34">
        <f t="shared" si="69"/>
        <v>3627</v>
      </c>
      <c r="CW62" s="34">
        <f t="shared" si="69"/>
        <v>3911</v>
      </c>
      <c r="CX62" s="34">
        <f t="shared" si="69"/>
        <v>1745</v>
      </c>
      <c r="CY62" s="34">
        <f t="shared" si="69"/>
        <v>2150</v>
      </c>
      <c r="CZ62" s="34">
        <f t="shared" si="69"/>
        <v>2927</v>
      </c>
      <c r="DA62" s="34">
        <f t="shared" si="69"/>
        <v>3297</v>
      </c>
      <c r="DB62" s="34">
        <f t="shared" si="69"/>
        <v>2628</v>
      </c>
      <c r="DC62" s="34">
        <f t="shared" si="69"/>
        <v>3274</v>
      </c>
      <c r="DD62" s="34">
        <f t="shared" si="69"/>
        <v>3107</v>
      </c>
      <c r="DE62" s="34">
        <f t="shared" si="69"/>
        <v>1040</v>
      </c>
      <c r="DF62" s="34">
        <f t="shared" si="69"/>
        <v>1267</v>
      </c>
      <c r="DG62" s="34">
        <f t="shared" si="69"/>
        <v>2568</v>
      </c>
      <c r="DH62" s="34">
        <f t="shared" si="69"/>
        <v>2844</v>
      </c>
      <c r="DI62" s="34">
        <f t="shared" si="69"/>
        <v>3011</v>
      </c>
      <c r="DJ62" s="34">
        <f t="shared" si="69"/>
        <v>3003</v>
      </c>
      <c r="DK62" s="34">
        <f t="shared" si="69"/>
        <v>3257</v>
      </c>
      <c r="DL62" s="34">
        <f t="shared" si="69"/>
        <v>3147</v>
      </c>
      <c r="DM62" s="34">
        <f t="shared" si="69"/>
        <v>3008</v>
      </c>
      <c r="DN62" s="34">
        <f t="shared" si="75"/>
        <v>2481</v>
      </c>
      <c r="DO62" s="34">
        <f t="shared" si="75"/>
        <v>2906</v>
      </c>
      <c r="DP62" s="34">
        <f t="shared" si="75"/>
        <v>3119</v>
      </c>
      <c r="DQ62" s="34">
        <f t="shared" si="75"/>
        <v>3157</v>
      </c>
      <c r="DR62" s="34">
        <f t="shared" si="75"/>
        <v>3107</v>
      </c>
      <c r="DS62" s="34">
        <f t="shared" si="75"/>
        <v>3402</v>
      </c>
      <c r="DT62" s="34">
        <f t="shared" si="75"/>
        <v>3120</v>
      </c>
      <c r="DU62" s="34">
        <f t="shared" si="75"/>
        <v>3135</v>
      </c>
      <c r="DV62" s="34">
        <f t="shared" si="75"/>
        <v>3239</v>
      </c>
      <c r="DW62" s="34">
        <f t="shared" si="75"/>
        <v>3449</v>
      </c>
      <c r="DX62" s="34">
        <f t="shared" si="75"/>
        <v>3232</v>
      </c>
      <c r="DY62" s="34">
        <f t="shared" si="75"/>
        <v>3412</v>
      </c>
      <c r="DZ62" s="34">
        <f t="shared" si="75"/>
        <v>3144</v>
      </c>
      <c r="EA62" s="34">
        <f t="shared" si="75"/>
        <v>2887</v>
      </c>
      <c r="EB62" s="34">
        <f t="shared" si="75"/>
        <v>2717</v>
      </c>
      <c r="EC62" s="34">
        <f t="shared" si="75"/>
        <v>3161</v>
      </c>
      <c r="ED62" s="34">
        <f t="shared" si="75"/>
        <v>3415</v>
      </c>
      <c r="EE62" s="34">
        <f t="shared" si="75"/>
        <v>3113</v>
      </c>
      <c r="EF62" s="34">
        <f t="shared" si="75"/>
        <v>3275</v>
      </c>
      <c r="EG62" s="34">
        <f t="shared" si="75"/>
        <v>3241</v>
      </c>
      <c r="EH62" s="34">
        <f t="shared" si="75"/>
        <v>3232</v>
      </c>
      <c r="EI62" s="34">
        <f t="shared" si="75"/>
        <v>3403</v>
      </c>
      <c r="EJ62" s="34">
        <f t="shared" si="75"/>
        <v>3428</v>
      </c>
      <c r="EK62" s="34">
        <f t="shared" si="75"/>
        <v>3358</v>
      </c>
      <c r="EL62" s="34">
        <f t="shared" si="75"/>
        <v>3491</v>
      </c>
      <c r="EM62" s="34">
        <f t="shared" si="75"/>
        <v>3569</v>
      </c>
      <c r="EN62" s="34">
        <f t="shared" si="75"/>
        <v>3547</v>
      </c>
      <c r="EO62" s="34">
        <f t="shared" si="75"/>
        <v>3007</v>
      </c>
      <c r="EP62" s="34">
        <f t="shared" si="75"/>
        <v>3003</v>
      </c>
      <c r="EQ62" s="34">
        <f t="shared" si="75"/>
        <v>3539</v>
      </c>
      <c r="ER62" s="34">
        <f t="shared" si="75"/>
        <v>3549</v>
      </c>
      <c r="ES62" s="34">
        <f t="shared" si="75"/>
        <v>3794</v>
      </c>
      <c r="ET62" s="34">
        <f t="shared" si="75"/>
        <v>3530</v>
      </c>
      <c r="EU62" s="34">
        <f t="shared" si="75"/>
        <v>3486</v>
      </c>
      <c r="EV62" s="34">
        <f t="shared" si="75"/>
        <v>3474</v>
      </c>
      <c r="EW62" s="34">
        <f t="shared" si="75"/>
        <v>3443</v>
      </c>
      <c r="EX62" s="34">
        <f t="shared" si="75"/>
        <v>3619</v>
      </c>
      <c r="EY62" s="34">
        <f t="shared" si="75"/>
        <v>3773</v>
      </c>
      <c r="EZ62" s="34">
        <f t="shared" si="75"/>
        <v>3796</v>
      </c>
      <c r="FA62" s="34">
        <f t="shared" si="75"/>
        <v>3703</v>
      </c>
      <c r="FB62" s="34">
        <f t="shared" si="75"/>
        <v>3613</v>
      </c>
      <c r="FC62" s="34">
        <f t="shared" si="75"/>
        <v>3754</v>
      </c>
      <c r="FD62" s="34">
        <f t="shared" si="81"/>
        <v>3677</v>
      </c>
      <c r="FE62" s="34">
        <f t="shared" si="81"/>
        <v>3739</v>
      </c>
      <c r="FF62" s="34">
        <f t="shared" si="81"/>
        <v>3309</v>
      </c>
      <c r="FG62" s="34">
        <f t="shared" si="81"/>
        <v>3494</v>
      </c>
      <c r="FH62" s="34">
        <f t="shared" si="81"/>
        <v>3575</v>
      </c>
      <c r="FI62" s="34">
        <f t="shared" si="81"/>
        <v>3532</v>
      </c>
      <c r="FJ62" s="34">
        <f t="shared" si="81"/>
        <v>3792</v>
      </c>
      <c r="FK62" s="34">
        <f t="shared" si="81"/>
        <v>3735</v>
      </c>
      <c r="FL62" s="34">
        <f t="shared" si="81"/>
        <v>3463</v>
      </c>
      <c r="FM62" s="34">
        <f t="shared" si="81"/>
        <v>3551</v>
      </c>
      <c r="FN62" s="34">
        <v>3531</v>
      </c>
      <c r="FO62" s="34">
        <f t="shared" si="82"/>
        <v>3814</v>
      </c>
      <c r="FP62" s="34">
        <v>3825</v>
      </c>
      <c r="FQ62" s="34">
        <v>4113</v>
      </c>
      <c r="FR62" s="34">
        <v>4302</v>
      </c>
      <c r="FS62" s="34">
        <v>4709</v>
      </c>
      <c r="FT62" s="34">
        <f t="shared" si="9"/>
        <v>4637</v>
      </c>
      <c r="FU62" s="34">
        <f t="shared" si="9"/>
        <v>5083</v>
      </c>
      <c r="FV62" s="34">
        <f t="shared" si="9"/>
        <v>5029</v>
      </c>
      <c r="FW62" s="34">
        <f t="shared" si="9"/>
        <v>4961</v>
      </c>
      <c r="FX62" s="34">
        <f t="shared" si="9"/>
        <v>4842</v>
      </c>
      <c r="FY62" s="34">
        <f t="shared" si="9"/>
        <v>5097</v>
      </c>
      <c r="FZ62" s="34">
        <f t="shared" si="9"/>
        <v>5118</v>
      </c>
      <c r="GA62" s="34">
        <f t="shared" si="9"/>
        <v>5187</v>
      </c>
      <c r="GB62" s="34">
        <f t="shared" si="9"/>
        <v>5810</v>
      </c>
      <c r="GC62" s="34">
        <f t="shared" si="9"/>
        <v>6035</v>
      </c>
      <c r="GD62" s="34">
        <f t="shared" si="9"/>
        <v>6021</v>
      </c>
      <c r="GE62" s="34">
        <f t="shared" si="9"/>
        <v>6005</v>
      </c>
      <c r="GF62" s="34">
        <f t="shared" si="9"/>
        <v>6070</v>
      </c>
      <c r="GG62" s="34">
        <f t="shared" si="64"/>
        <v>6020</v>
      </c>
      <c r="GH62" s="34">
        <f t="shared" si="10"/>
        <v>6374</v>
      </c>
      <c r="GI62" s="34">
        <f t="shared" si="10"/>
        <v>6104</v>
      </c>
      <c r="GJ62" s="34">
        <f t="shared" si="10"/>
        <v>6109</v>
      </c>
      <c r="GK62" s="34">
        <f t="shared" si="10"/>
        <v>6407</v>
      </c>
      <c r="GL62" s="34">
        <f t="shared" si="10"/>
        <v>6477</v>
      </c>
      <c r="GM62" s="34">
        <f t="shared" si="10"/>
        <v>6091</v>
      </c>
      <c r="GN62" s="34">
        <f t="shared" si="10"/>
        <v>6461</v>
      </c>
      <c r="GO62" s="34">
        <f t="shared" si="10"/>
        <v>6169</v>
      </c>
      <c r="GP62" s="34">
        <f t="shared" si="10"/>
        <v>6011</v>
      </c>
      <c r="GQ62" s="34">
        <f t="shared" si="10"/>
        <v>5811</v>
      </c>
      <c r="GR62" s="34">
        <f t="shared" si="10"/>
        <v>5779</v>
      </c>
      <c r="GS62" s="34">
        <f t="shared" si="10"/>
        <v>5008</v>
      </c>
      <c r="GT62" s="34">
        <f t="shared" si="10"/>
        <v>5139</v>
      </c>
      <c r="GU62" s="34">
        <f t="shared" si="54"/>
        <v>5022</v>
      </c>
      <c r="GV62" s="34">
        <f t="shared" si="11"/>
        <v>5716</v>
      </c>
      <c r="GW62" s="34">
        <f t="shared" si="11"/>
        <v>5811</v>
      </c>
      <c r="GX62" s="34">
        <f t="shared" si="11"/>
        <v>5958</v>
      </c>
      <c r="GY62" s="34">
        <f t="shared" si="11"/>
        <v>6057</v>
      </c>
      <c r="GZ62" s="34">
        <f t="shared" si="11"/>
        <v>6143</v>
      </c>
      <c r="HA62" s="34">
        <f t="shared" si="11"/>
        <v>6428.5</v>
      </c>
      <c r="HB62" s="34">
        <f t="shared" si="12"/>
        <v>12857</v>
      </c>
      <c r="HC62" s="34">
        <f t="shared" si="13"/>
        <v>6664</v>
      </c>
      <c r="HD62" s="34">
        <f t="shared" ref="HD62" si="85">HD41-HC41</f>
        <v>6450</v>
      </c>
      <c r="HE62" s="34">
        <f t="shared" si="13"/>
        <v>0</v>
      </c>
      <c r="HF62" s="34">
        <f t="shared" si="13"/>
        <v>12831</v>
      </c>
      <c r="HG62" s="34">
        <f t="shared" si="13"/>
        <v>6124</v>
      </c>
      <c r="HH62" s="34">
        <f t="shared" si="13"/>
        <v>6512</v>
      </c>
      <c r="HI62" s="34">
        <f t="shared" si="13"/>
        <v>6510</v>
      </c>
      <c r="HJ62" s="34">
        <f t="shared" si="13"/>
        <v>6422</v>
      </c>
      <c r="HK62" s="34">
        <f t="shared" si="13"/>
        <v>6421</v>
      </c>
      <c r="HL62" s="34">
        <f t="shared" si="13"/>
        <v>6409</v>
      </c>
      <c r="HM62" s="34">
        <f t="shared" si="13"/>
        <v>6559</v>
      </c>
      <c r="HN62" s="34">
        <f t="shared" si="13"/>
        <v>6416</v>
      </c>
      <c r="HO62" s="34">
        <f t="shared" si="13"/>
        <v>6280</v>
      </c>
      <c r="HP62" s="34">
        <f t="shared" si="13"/>
        <v>6394</v>
      </c>
      <c r="HQ62" s="34">
        <f t="shared" si="77"/>
        <v>6460</v>
      </c>
      <c r="HR62" s="34">
        <f t="shared" si="14"/>
        <v>6401</v>
      </c>
      <c r="HS62" s="34">
        <f t="shared" si="14"/>
        <v>6016</v>
      </c>
      <c r="HT62" s="34">
        <f t="shared" si="14"/>
        <v>6067</v>
      </c>
      <c r="HU62" s="34">
        <f t="shared" si="14"/>
        <v>6063</v>
      </c>
      <c r="HV62" s="34">
        <f t="shared" si="14"/>
        <v>6011</v>
      </c>
      <c r="HW62" s="34">
        <f t="shared" si="14"/>
        <v>6106</v>
      </c>
      <c r="HX62" s="34">
        <f t="shared" si="14"/>
        <v>6030</v>
      </c>
      <c r="HY62" s="34">
        <f t="shared" si="14"/>
        <v>6087</v>
      </c>
      <c r="HZ62" s="34">
        <f t="shared" si="14"/>
        <v>6019</v>
      </c>
      <c r="IA62" s="34">
        <f t="shared" si="14"/>
        <v>6175</v>
      </c>
      <c r="IB62" s="34">
        <f t="shared" si="14"/>
        <v>6137</v>
      </c>
      <c r="IC62" s="34">
        <f t="shared" si="14"/>
        <v>6044</v>
      </c>
      <c r="ID62" s="34">
        <f t="shared" si="14"/>
        <v>6088</v>
      </c>
      <c r="IE62" s="34">
        <f t="shared" si="66"/>
        <v>6283</v>
      </c>
      <c r="IF62" s="34">
        <f t="shared" si="15"/>
        <v>6081</v>
      </c>
      <c r="IG62" s="34">
        <f t="shared" si="15"/>
        <v>6007</v>
      </c>
      <c r="IH62" s="34">
        <f t="shared" si="15"/>
        <v>6030</v>
      </c>
      <c r="II62" s="34">
        <f t="shared" si="15"/>
        <v>6091</v>
      </c>
      <c r="IJ62" s="34">
        <f t="shared" si="15"/>
        <v>6067</v>
      </c>
      <c r="IK62" s="34">
        <f t="shared" si="15"/>
        <v>6021</v>
      </c>
      <c r="IL62" s="34">
        <f t="shared" si="15"/>
        <v>6063</v>
      </c>
      <c r="IM62" s="34">
        <f t="shared" si="15"/>
        <v>6111</v>
      </c>
      <c r="IN62" s="34">
        <f t="shared" si="15"/>
        <v>6056</v>
      </c>
      <c r="IO62" s="34">
        <f t="shared" si="15"/>
        <v>6455</v>
      </c>
      <c r="IP62" s="34">
        <f t="shared" si="15"/>
        <v>6615</v>
      </c>
      <c r="IQ62" s="34">
        <f t="shared" si="15"/>
        <v>6952</v>
      </c>
      <c r="IR62" s="34">
        <f t="shared" si="15"/>
        <v>6993</v>
      </c>
      <c r="IS62" s="34">
        <f t="shared" si="56"/>
        <v>7230</v>
      </c>
      <c r="IT62" s="34">
        <f t="shared" si="44"/>
        <v>7866</v>
      </c>
      <c r="IU62" s="34">
        <f t="shared" si="16"/>
        <v>8087</v>
      </c>
      <c r="IV62" s="34">
        <f t="shared" si="16"/>
        <v>7895</v>
      </c>
      <c r="IW62" s="34">
        <f t="shared" si="16"/>
        <v>8506</v>
      </c>
      <c r="IX62" s="34">
        <f t="shared" si="16"/>
        <v>8400</v>
      </c>
      <c r="IY62" s="34">
        <f t="shared" si="16"/>
        <v>8306</v>
      </c>
      <c r="IZ62" s="34">
        <f t="shared" si="16"/>
        <v>8651</v>
      </c>
      <c r="JA62" s="34">
        <f t="shared" si="16"/>
        <v>8655</v>
      </c>
      <c r="JB62" s="34">
        <f t="shared" si="16"/>
        <v>8643</v>
      </c>
      <c r="JC62" s="34">
        <f t="shared" si="16"/>
        <v>8771</v>
      </c>
      <c r="JD62" s="34">
        <f t="shared" si="16"/>
        <v>7344</v>
      </c>
      <c r="JE62" s="34">
        <f t="shared" si="16"/>
        <v>8153</v>
      </c>
      <c r="JF62" s="34">
        <f t="shared" si="16"/>
        <v>9564</v>
      </c>
      <c r="JG62" s="34">
        <f t="shared" si="16"/>
        <v>9581</v>
      </c>
      <c r="JH62" s="34">
        <f t="shared" si="67"/>
        <v>9356</v>
      </c>
      <c r="JI62" s="34">
        <f t="shared" si="17"/>
        <v>9258</v>
      </c>
      <c r="JJ62" s="34">
        <f t="shared" si="17"/>
        <v>7046</v>
      </c>
      <c r="JK62" s="34">
        <f t="shared" si="17"/>
        <v>7052</v>
      </c>
      <c r="JL62" s="34">
        <f t="shared" si="17"/>
        <v>6798</v>
      </c>
      <c r="JM62" s="34">
        <f t="shared" si="17"/>
        <v>7316</v>
      </c>
      <c r="JN62" s="34">
        <f t="shared" si="17"/>
        <v>8509</v>
      </c>
      <c r="JO62" s="34">
        <f t="shared" si="17"/>
        <v>8717</v>
      </c>
      <c r="JP62" s="34">
        <f t="shared" si="17"/>
        <v>8646</v>
      </c>
      <c r="JQ62" s="34">
        <f t="shared" si="17"/>
        <v>8191</v>
      </c>
      <c r="JR62" s="34">
        <f t="shared" si="17"/>
        <v>7242</v>
      </c>
      <c r="JS62" s="34">
        <f t="shared" si="17"/>
        <v>6521</v>
      </c>
      <c r="JT62" s="34">
        <f t="shared" si="17"/>
        <v>7049</v>
      </c>
      <c r="JU62" s="34">
        <f t="shared" si="17"/>
        <v>7217</v>
      </c>
      <c r="JV62" s="34">
        <f t="shared" si="57"/>
        <v>7339</v>
      </c>
      <c r="JW62" s="34">
        <f t="shared" si="18"/>
        <v>6048</v>
      </c>
      <c r="JX62" s="34">
        <f t="shared" si="18"/>
        <v>6425</v>
      </c>
      <c r="JY62" s="34">
        <f t="shared" si="18"/>
        <v>6465</v>
      </c>
      <c r="JZ62" s="34">
        <f t="shared" si="18"/>
        <v>6021</v>
      </c>
      <c r="KA62" s="34">
        <f t="shared" si="18"/>
        <v>6227</v>
      </c>
      <c r="KB62" s="34">
        <f t="shared" si="18"/>
        <v>6443</v>
      </c>
      <c r="KC62" s="34">
        <f t="shared" si="18"/>
        <v>6384</v>
      </c>
      <c r="KD62" s="34">
        <f t="shared" si="18"/>
        <v>6003</v>
      </c>
      <c r="KE62" s="34">
        <f t="shared" si="18"/>
        <v>4532</v>
      </c>
      <c r="KF62" s="34">
        <f t="shared" si="18"/>
        <v>4128</v>
      </c>
      <c r="KG62" s="34">
        <f t="shared" si="18"/>
        <v>4173</v>
      </c>
      <c r="KH62" s="34">
        <f t="shared" si="18"/>
        <v>5541</v>
      </c>
      <c r="KI62" s="34">
        <f t="shared" si="18"/>
        <v>5872</v>
      </c>
      <c r="KJ62" s="34">
        <f t="shared" si="58"/>
        <v>5819</v>
      </c>
      <c r="KK62" s="34">
        <f t="shared" si="19"/>
        <v>5907</v>
      </c>
      <c r="KL62" s="34">
        <f t="shared" si="19"/>
        <v>5846</v>
      </c>
      <c r="KM62" s="34">
        <f t="shared" si="19"/>
        <v>5672</v>
      </c>
      <c r="KN62" s="34">
        <f t="shared" si="19"/>
        <v>4374</v>
      </c>
      <c r="KO62" s="34">
        <f t="shared" si="19"/>
        <v>5509</v>
      </c>
      <c r="KP62" s="34">
        <f t="shared" si="19"/>
        <v>6022</v>
      </c>
      <c r="KQ62" s="34">
        <f t="shared" si="19"/>
        <v>5763</v>
      </c>
      <c r="KR62" s="34">
        <f t="shared" si="19"/>
        <v>5726</v>
      </c>
      <c r="KS62" s="34">
        <f t="shared" si="19"/>
        <v>5440</v>
      </c>
      <c r="KT62" s="34">
        <f t="shared" si="19"/>
        <v>4029</v>
      </c>
      <c r="KU62" s="34">
        <f t="shared" si="19"/>
        <v>4007</v>
      </c>
      <c r="KV62" s="34">
        <f t="shared" si="19"/>
        <v>4253</v>
      </c>
      <c r="KW62" s="34">
        <f t="shared" si="19"/>
        <v>4412</v>
      </c>
      <c r="KX62" s="34">
        <f t="shared" si="59"/>
        <v>4268</v>
      </c>
      <c r="KY62" s="34">
        <f t="shared" si="20"/>
        <v>4236</v>
      </c>
      <c r="KZ62" s="34">
        <f t="shared" si="20"/>
        <v>4230</v>
      </c>
      <c r="LA62" s="34">
        <f t="shared" si="34"/>
        <v>4018</v>
      </c>
      <c r="LB62" s="34">
        <f t="shared" si="35"/>
        <v>4473</v>
      </c>
      <c r="LC62" s="34">
        <f t="shared" si="36"/>
        <v>4359</v>
      </c>
      <c r="LD62" s="34">
        <f t="shared" si="37"/>
        <v>4438</v>
      </c>
      <c r="LE62" s="34">
        <f t="shared" si="38"/>
        <v>4318</v>
      </c>
      <c r="LF62" s="34">
        <f t="shared" si="39"/>
        <v>3287</v>
      </c>
      <c r="LG62" s="34">
        <f t="shared" si="39"/>
        <v>3307</v>
      </c>
      <c r="LH62" s="34">
        <f t="shared" si="39"/>
        <v>3509</v>
      </c>
      <c r="LI62" s="34">
        <f t="shared" si="39"/>
        <v>3426</v>
      </c>
      <c r="LJ62" s="34">
        <f t="shared" si="39"/>
        <v>3463</v>
      </c>
      <c r="LK62" s="34">
        <f t="shared" si="39"/>
        <v>4079</v>
      </c>
      <c r="LL62" s="34">
        <f t="shared" si="39"/>
        <v>3862</v>
      </c>
      <c r="LM62" s="34">
        <f t="shared" si="39"/>
        <v>3559</v>
      </c>
      <c r="LN62" s="34">
        <f t="shared" si="39"/>
        <v>3282</v>
      </c>
      <c r="LO62" s="34">
        <f t="shared" si="39"/>
        <v>3142</v>
      </c>
      <c r="LP62" s="34">
        <f t="shared" si="39"/>
        <v>3028</v>
      </c>
      <c r="LQ62" s="34">
        <f t="shared" si="39"/>
        <v>3268</v>
      </c>
      <c r="LR62" s="34">
        <f t="shared" si="39"/>
        <v>3270</v>
      </c>
      <c r="LS62" s="34">
        <f t="shared" si="39"/>
        <v>3553</v>
      </c>
      <c r="LT62" s="34">
        <f t="shared" si="39"/>
        <v>3463</v>
      </c>
      <c r="LU62" s="34">
        <f t="shared" si="39"/>
        <v>3283</v>
      </c>
      <c r="LV62" s="34">
        <f t="shared" si="68"/>
        <v>3043</v>
      </c>
      <c r="LW62" s="34">
        <f t="shared" si="22"/>
        <v>2906</v>
      </c>
      <c r="LX62" s="34">
        <f t="shared" si="22"/>
        <v>0</v>
      </c>
      <c r="LY62" s="34">
        <f t="shared" si="22"/>
        <v>3481</v>
      </c>
      <c r="LZ62" s="34">
        <f t="shared" si="22"/>
        <v>3559</v>
      </c>
      <c r="MA62" s="34">
        <f t="shared" si="22"/>
        <v>3277</v>
      </c>
      <c r="MB62" s="34">
        <f t="shared" si="22"/>
        <v>3253</v>
      </c>
      <c r="MC62" s="34">
        <f t="shared" si="22"/>
        <v>2722</v>
      </c>
      <c r="MD62" s="34">
        <f t="shared" si="22"/>
        <v>3189</v>
      </c>
      <c r="ME62" s="34">
        <f t="shared" si="22"/>
        <v>3125</v>
      </c>
      <c r="MF62" s="34">
        <f t="shared" si="22"/>
        <v>3126</v>
      </c>
      <c r="MG62" s="34">
        <f t="shared" si="22"/>
        <v>3036</v>
      </c>
      <c r="MH62" s="34">
        <f t="shared" si="22"/>
        <v>3006</v>
      </c>
      <c r="MI62" s="34">
        <f t="shared" si="22"/>
        <v>3001</v>
      </c>
      <c r="MJ62" s="34">
        <f t="shared" si="60"/>
        <v>1863</v>
      </c>
      <c r="MK62" s="34">
        <f t="shared" si="23"/>
        <v>2038</v>
      </c>
      <c r="ML62" s="34">
        <f t="shared" si="23"/>
        <v>2190</v>
      </c>
      <c r="MM62" s="34">
        <f t="shared" si="23"/>
        <v>2247</v>
      </c>
      <c r="MN62" s="34">
        <f t="shared" si="23"/>
        <v>2337</v>
      </c>
      <c r="MO62" s="34">
        <f t="shared" si="23"/>
        <v>2322</v>
      </c>
      <c r="MP62" s="34">
        <f t="shared" si="23"/>
        <v>2285</v>
      </c>
      <c r="MQ62" s="34">
        <f t="shared" si="23"/>
        <v>2285</v>
      </c>
      <c r="MR62" s="34">
        <f t="shared" si="23"/>
        <v>2289</v>
      </c>
      <c r="MS62" s="34">
        <f t="shared" si="23"/>
        <v>0</v>
      </c>
      <c r="MT62" s="34">
        <f t="shared" si="23"/>
        <v>2280</v>
      </c>
      <c r="MU62" s="34">
        <f t="shared" si="23"/>
        <v>2288</v>
      </c>
      <c r="MV62" s="34">
        <f t="shared" si="23"/>
        <v>2259</v>
      </c>
      <c r="MW62" s="34">
        <f t="shared" si="23"/>
        <v>2234</v>
      </c>
      <c r="MX62" s="34">
        <f t="shared" si="61"/>
        <v>2166</v>
      </c>
      <c r="MY62" s="34">
        <f t="shared" si="24"/>
        <v>2167</v>
      </c>
      <c r="MZ62" s="34">
        <f t="shared" si="25"/>
        <v>2262</v>
      </c>
      <c r="NA62" s="34">
        <f t="shared" si="25"/>
        <v>2217</v>
      </c>
      <c r="NB62" s="34">
        <f t="shared" si="25"/>
        <v>2232</v>
      </c>
      <c r="NC62" s="34">
        <f t="shared" si="25"/>
        <v>2175</v>
      </c>
      <c r="ND62" s="34">
        <f t="shared" si="25"/>
        <v>2240</v>
      </c>
      <c r="NE62" s="34">
        <f t="shared" si="25"/>
        <v>2124</v>
      </c>
      <c r="NF62" s="34">
        <f t="shared" si="25"/>
        <v>2077</v>
      </c>
      <c r="NG62" s="34">
        <f t="shared" si="25"/>
        <v>2053</v>
      </c>
      <c r="NH62" s="34">
        <f t="shared" si="25"/>
        <v>2129</v>
      </c>
      <c r="NI62" s="34">
        <f t="shared" si="25"/>
        <v>2164</v>
      </c>
      <c r="NJ62" s="34">
        <f t="shared" si="25"/>
        <v>2096</v>
      </c>
      <c r="NK62" s="34">
        <f t="shared" si="25"/>
        <v>2051</v>
      </c>
      <c r="NL62" s="34">
        <f t="shared" si="25"/>
        <v>2010</v>
      </c>
      <c r="NM62" s="34">
        <f t="shared" si="62"/>
        <v>1948</v>
      </c>
      <c r="NN62" s="34">
        <f t="shared" si="26"/>
        <v>1913</v>
      </c>
      <c r="NO62" s="34">
        <f t="shared" si="27"/>
        <v>1729</v>
      </c>
      <c r="NP62" s="34">
        <v>1680</v>
      </c>
      <c r="NQ62" s="34">
        <v>1783</v>
      </c>
      <c r="NR62" s="34">
        <v>1796</v>
      </c>
      <c r="NS62" s="34">
        <v>1823</v>
      </c>
      <c r="NT62" s="34">
        <v>1806</v>
      </c>
      <c r="NU62" s="34">
        <v>1870</v>
      </c>
      <c r="NV62" s="34">
        <v>1928</v>
      </c>
      <c r="NW62" s="34">
        <v>1887</v>
      </c>
      <c r="NX62">
        <v>1999</v>
      </c>
      <c r="NY62" s="34">
        <v>1829</v>
      </c>
      <c r="NZ62" s="34">
        <v>1793</v>
      </c>
      <c r="OA62" s="34">
        <v>1699</v>
      </c>
      <c r="OB62" s="34">
        <v>1764</v>
      </c>
      <c r="OC62" s="34">
        <v>1871</v>
      </c>
      <c r="OD62" s="34">
        <v>1861</v>
      </c>
      <c r="OE62" s="34">
        <v>1760</v>
      </c>
      <c r="OF62" s="34">
        <v>1871</v>
      </c>
      <c r="OG62" s="34">
        <v>1781</v>
      </c>
      <c r="OH62" s="34">
        <v>1710</v>
      </c>
      <c r="OI62" s="34">
        <v>1758</v>
      </c>
      <c r="OJ62" s="34">
        <v>1912</v>
      </c>
      <c r="OK62" s="34">
        <v>1754</v>
      </c>
      <c r="OL62" s="34">
        <v>1884</v>
      </c>
      <c r="OM62" s="34">
        <v>1789</v>
      </c>
      <c r="ON62" s="34">
        <v>1813</v>
      </c>
      <c r="OO62" s="34">
        <v>1783</v>
      </c>
      <c r="OP62" s="34">
        <v>1789</v>
      </c>
      <c r="OQ62" s="34">
        <v>1908</v>
      </c>
      <c r="OR62" s="34">
        <v>1813</v>
      </c>
      <c r="OS62" s="34">
        <f t="shared" si="40"/>
        <v>1922</v>
      </c>
      <c r="OT62" s="34">
        <f>OT41-OS41</f>
        <v>1837</v>
      </c>
      <c r="OU62" s="34">
        <v>1821</v>
      </c>
      <c r="OV62" s="34">
        <v>1825</v>
      </c>
      <c r="OW62" s="34">
        <v>1715</v>
      </c>
      <c r="OX62" s="34">
        <v>1871</v>
      </c>
      <c r="OY62" s="34">
        <v>1921</v>
      </c>
      <c r="OZ62" s="34">
        <v>1889</v>
      </c>
      <c r="PA62" s="34">
        <v>1923</v>
      </c>
      <c r="PB62" s="34">
        <v>1845</v>
      </c>
      <c r="PC62" s="34">
        <v>1791</v>
      </c>
      <c r="PD62" s="34">
        <v>1848</v>
      </c>
      <c r="PE62" s="34">
        <v>1879</v>
      </c>
      <c r="PF62" s="34">
        <v>1894</v>
      </c>
      <c r="PG62" s="34">
        <v>0</v>
      </c>
      <c r="PH62" s="34">
        <v>1925</v>
      </c>
      <c r="PI62" s="34">
        <v>1934</v>
      </c>
      <c r="PJ62" s="34">
        <v>1844</v>
      </c>
      <c r="PK62" s="34">
        <v>1832</v>
      </c>
      <c r="PL62" s="34">
        <v>0</v>
      </c>
      <c r="PM62" s="34">
        <v>1847</v>
      </c>
      <c r="PN62" s="34">
        <v>1871</v>
      </c>
      <c r="PO62" s="34">
        <v>1888</v>
      </c>
      <c r="PP62" s="34">
        <v>1861</v>
      </c>
      <c r="PQ62" s="34">
        <v>1834</v>
      </c>
      <c r="PR62" s="34">
        <v>1929</v>
      </c>
      <c r="PS62" s="34">
        <v>2197</v>
      </c>
      <c r="PT62" s="34">
        <v>2242</v>
      </c>
      <c r="PU62" s="34">
        <v>0</v>
      </c>
      <c r="PV62" s="34">
        <v>2479</v>
      </c>
      <c r="PW62" s="34">
        <v>2330</v>
      </c>
      <c r="PX62" s="34">
        <v>2307</v>
      </c>
      <c r="PY62" s="34">
        <v>2466</v>
      </c>
      <c r="PZ62" s="34">
        <v>2588</v>
      </c>
      <c r="QA62" s="34">
        <v>2522</v>
      </c>
      <c r="QB62" s="34">
        <v>2631</v>
      </c>
      <c r="QC62" s="34">
        <v>2617</v>
      </c>
      <c r="QD62" s="34">
        <v>2689</v>
      </c>
      <c r="QE62" s="34">
        <v>2605</v>
      </c>
      <c r="QF62" s="34">
        <v>2885</v>
      </c>
      <c r="QG62" s="34">
        <v>2794</v>
      </c>
      <c r="QH62" s="34">
        <v>2801</v>
      </c>
      <c r="QI62" s="34">
        <v>2878</v>
      </c>
      <c r="QJ62" s="34">
        <v>2812</v>
      </c>
      <c r="QK62" s="34">
        <v>2865</v>
      </c>
      <c r="QL62" s="34">
        <v>2679</v>
      </c>
      <c r="QM62" s="34">
        <v>2873</v>
      </c>
      <c r="QN62" s="34">
        <v>2563</v>
      </c>
      <c r="QO62" s="34">
        <v>2542</v>
      </c>
      <c r="QP62" s="34">
        <v>2586</v>
      </c>
      <c r="QQ62" s="34">
        <v>2713</v>
      </c>
      <c r="QR62" s="34">
        <v>2538</v>
      </c>
      <c r="QS62" s="34">
        <v>2503</v>
      </c>
      <c r="QT62" s="34">
        <v>2559</v>
      </c>
      <c r="QU62" s="34">
        <v>2719</v>
      </c>
      <c r="QV62" s="34">
        <v>2795</v>
      </c>
      <c r="QW62" s="34">
        <v>2801</v>
      </c>
      <c r="QX62" s="34">
        <v>2812</v>
      </c>
      <c r="QY62" s="34">
        <v>2774</v>
      </c>
      <c r="QZ62" s="34">
        <v>2861</v>
      </c>
      <c r="RA62" s="34">
        <v>3009</v>
      </c>
      <c r="RB62" s="34">
        <v>3213</v>
      </c>
      <c r="RC62" s="34">
        <v>4462</v>
      </c>
      <c r="RD62" s="34">
        <v>4975</v>
      </c>
      <c r="RE62" s="34">
        <v>4182</v>
      </c>
      <c r="RF62" s="34">
        <v>4268</v>
      </c>
      <c r="RG62" s="34">
        <v>4473</v>
      </c>
      <c r="RH62" s="34">
        <v>4579</v>
      </c>
      <c r="RI62" s="34">
        <v>4866</v>
      </c>
      <c r="RJ62" s="34">
        <v>5084</v>
      </c>
      <c r="RK62" s="34">
        <v>5276</v>
      </c>
      <c r="RL62" s="34">
        <v>5546</v>
      </c>
      <c r="RM62" s="34">
        <v>8416</v>
      </c>
      <c r="RN62" s="34">
        <v>9922</v>
      </c>
      <c r="RO62" s="34">
        <v>12089</v>
      </c>
      <c r="RP62" s="34">
        <v>13386</v>
      </c>
      <c r="RQ62" s="34">
        <v>14914</v>
      </c>
      <c r="RR62" s="34">
        <v>13001</v>
      </c>
      <c r="RS62" s="34">
        <v>12455</v>
      </c>
      <c r="RT62" s="34">
        <v>11767</v>
      </c>
      <c r="RU62" s="34">
        <v>10978</v>
      </c>
      <c r="RV62" s="34">
        <v>12068</v>
      </c>
      <c r="RW62" s="34">
        <v>13030</v>
      </c>
      <c r="RX62" s="34">
        <v>13729</v>
      </c>
      <c r="RY62" s="34">
        <v>13223</v>
      </c>
      <c r="RZ62" s="34">
        <v>12693</v>
      </c>
      <c r="SA62" s="34">
        <v>11748</v>
      </c>
      <c r="SB62" s="34">
        <v>11380</v>
      </c>
      <c r="SC62" s="34">
        <v>12160</v>
      </c>
      <c r="SD62" s="34">
        <v>13026</v>
      </c>
      <c r="SE62" s="34">
        <v>13010</v>
      </c>
      <c r="SF62" s="34">
        <v>12557</v>
      </c>
      <c r="SG62" s="34">
        <v>11224</v>
      </c>
      <c r="SH62" s="34">
        <v>11023</v>
      </c>
      <c r="SI62" s="34">
        <v>11520</v>
      </c>
      <c r="SJ62" s="34">
        <v>23640</v>
      </c>
      <c r="SK62" s="34">
        <v>12981</v>
      </c>
      <c r="SL62" s="34">
        <v>12481</v>
      </c>
      <c r="SM62" s="34">
        <v>12159</v>
      </c>
      <c r="SN62" s="34">
        <v>12076</v>
      </c>
      <c r="SO62" s="34">
        <v>11715</v>
      </c>
      <c r="SP62" s="34">
        <v>0</v>
      </c>
      <c r="SQ62" s="34">
        <v>9108</v>
      </c>
      <c r="SR62" s="34">
        <v>8478</v>
      </c>
      <c r="SS62" s="34">
        <v>8507</v>
      </c>
      <c r="ST62" s="34">
        <v>8001</v>
      </c>
      <c r="SU62" s="34">
        <v>7856</v>
      </c>
      <c r="SV62" s="34">
        <v>6265</v>
      </c>
      <c r="SW62" s="34">
        <v>5503</v>
      </c>
      <c r="SX62" s="34">
        <v>5650</v>
      </c>
      <c r="SY62" s="34">
        <v>5714</v>
      </c>
      <c r="SZ62" s="34">
        <v>5783</v>
      </c>
      <c r="TA62" s="34">
        <v>4001</v>
      </c>
      <c r="TB62" s="34">
        <v>0</v>
      </c>
      <c r="TC62" s="34">
        <v>3559</v>
      </c>
      <c r="TD62" s="34">
        <v>3135</v>
      </c>
      <c r="TE62" s="34">
        <v>3001</v>
      </c>
      <c r="TF62" s="34">
        <v>3116</v>
      </c>
      <c r="TG62" s="34">
        <v>2789</v>
      </c>
      <c r="TH62" s="34">
        <v>2688</v>
      </c>
      <c r="TI62" s="34">
        <v>2621</v>
      </c>
      <c r="TJ62" s="34">
        <v>2547</v>
      </c>
      <c r="TK62" s="34">
        <v>2443</v>
      </c>
      <c r="TL62" s="34">
        <v>2383</v>
      </c>
      <c r="TM62" s="34">
        <v>2628</v>
      </c>
      <c r="TN62" s="34">
        <v>2479</v>
      </c>
      <c r="TO62" s="34">
        <v>2331</v>
      </c>
      <c r="TP62" s="34">
        <v>2291</v>
      </c>
      <c r="TQ62" s="34">
        <v>2200</v>
      </c>
      <c r="TR62" s="34">
        <v>1979</v>
      </c>
      <c r="TS62" s="34">
        <v>2121</v>
      </c>
      <c r="TT62" s="34">
        <v>2553</v>
      </c>
      <c r="TU62" s="34">
        <v>2301</v>
      </c>
      <c r="TV62" s="34">
        <v>1932</v>
      </c>
      <c r="TW62" s="34">
        <v>1926</v>
      </c>
      <c r="TX62" s="34">
        <v>1922</v>
      </c>
      <c r="TY62" s="34">
        <v>1922</v>
      </c>
      <c r="TZ62" s="34">
        <v>1922</v>
      </c>
      <c r="UA62" s="34">
        <v>1900</v>
      </c>
      <c r="UB62" s="34">
        <v>2102</v>
      </c>
      <c r="UC62" s="34">
        <v>4278</v>
      </c>
      <c r="UD62" s="34">
        <v>0</v>
      </c>
      <c r="UE62" s="34">
        <v>1757</v>
      </c>
      <c r="UF62" s="34">
        <v>1596</v>
      </c>
      <c r="UG62" s="34">
        <v>1730</v>
      </c>
      <c r="UH62" s="34">
        <v>1829</v>
      </c>
      <c r="UI62" s="34">
        <v>1907</v>
      </c>
      <c r="UJ62" s="34">
        <v>1850</v>
      </c>
      <c r="UK62" s="34">
        <v>1788</v>
      </c>
      <c r="UL62" s="34">
        <v>1640</v>
      </c>
      <c r="UM62" s="34">
        <v>0</v>
      </c>
      <c r="UN62" s="34">
        <v>0</v>
      </c>
      <c r="UO62" s="34">
        <v>0</v>
      </c>
      <c r="UP62" s="34">
        <v>0</v>
      </c>
      <c r="UQ62" s="34">
        <v>16968</v>
      </c>
      <c r="UR62" s="34">
        <v>0</v>
      </c>
      <c r="US62" s="34">
        <v>0</v>
      </c>
      <c r="UT62" s="34">
        <v>0</v>
      </c>
      <c r="UU62" s="34">
        <v>0</v>
      </c>
      <c r="UV62" s="34">
        <v>0</v>
      </c>
      <c r="UW62" s="34">
        <v>0</v>
      </c>
      <c r="UX62" s="34">
        <v>14153</v>
      </c>
      <c r="UY62" s="34">
        <v>0</v>
      </c>
      <c r="UZ62" s="34">
        <v>0</v>
      </c>
      <c r="VA62" s="34">
        <v>0</v>
      </c>
      <c r="VB62" s="34">
        <v>0</v>
      </c>
      <c r="VC62" s="34">
        <v>0</v>
      </c>
      <c r="VD62" s="34">
        <v>0</v>
      </c>
      <c r="VE62" s="34">
        <v>0</v>
      </c>
      <c r="VF62" s="34">
        <v>0</v>
      </c>
      <c r="VG62" s="34">
        <v>0</v>
      </c>
      <c r="VH62" s="34">
        <v>0</v>
      </c>
      <c r="VI62" s="34">
        <v>0</v>
      </c>
      <c r="VJ62" s="34">
        <v>0</v>
      </c>
      <c r="VK62" s="34">
        <v>0</v>
      </c>
      <c r="VL62" s="34">
        <v>7847</v>
      </c>
      <c r="VM62" s="34">
        <v>0</v>
      </c>
      <c r="VN62" s="34">
        <v>0</v>
      </c>
      <c r="VO62" s="34">
        <v>0</v>
      </c>
      <c r="VP62" s="34">
        <v>0</v>
      </c>
      <c r="VQ62" s="34">
        <v>0</v>
      </c>
      <c r="VR62" s="34">
        <v>0</v>
      </c>
      <c r="VS62" s="34">
        <v>0</v>
      </c>
      <c r="VT62" s="34">
        <v>0</v>
      </c>
      <c r="VU62" s="34">
        <v>0</v>
      </c>
      <c r="VV62" s="34">
        <v>0</v>
      </c>
      <c r="VW62" s="34">
        <v>0</v>
      </c>
      <c r="VX62" s="34">
        <v>0</v>
      </c>
      <c r="VY62" s="34">
        <v>10437</v>
      </c>
      <c r="VZ62" s="34">
        <v>0</v>
      </c>
      <c r="WA62" s="34">
        <v>0</v>
      </c>
      <c r="WB62" s="34">
        <v>0</v>
      </c>
      <c r="WC62" s="34">
        <v>0</v>
      </c>
      <c r="WD62" s="34">
        <v>0</v>
      </c>
      <c r="WE62" s="34">
        <v>0</v>
      </c>
      <c r="WF62" s="34">
        <v>0</v>
      </c>
      <c r="WG62" s="34">
        <v>0</v>
      </c>
      <c r="WH62" s="34">
        <v>0</v>
      </c>
      <c r="WI62" s="34">
        <v>0</v>
      </c>
      <c r="WJ62" s="34">
        <v>0</v>
      </c>
      <c r="WK62" s="34">
        <v>0</v>
      </c>
      <c r="WL62" s="34">
        <v>0</v>
      </c>
      <c r="WM62">
        <v>0</v>
      </c>
      <c r="WN62">
        <v>0</v>
      </c>
      <c r="WO62">
        <v>0</v>
      </c>
      <c r="WP62">
        <v>0</v>
      </c>
      <c r="WQ62">
        <v>0</v>
      </c>
      <c r="WR62">
        <v>0</v>
      </c>
      <c r="WS62">
        <v>0</v>
      </c>
      <c r="WT62">
        <v>0</v>
      </c>
      <c r="WU62">
        <v>0</v>
      </c>
      <c r="WV62">
        <v>0</v>
      </c>
      <c r="WW62">
        <v>0</v>
      </c>
      <c r="WX62">
        <v>0</v>
      </c>
      <c r="WY62">
        <v>0</v>
      </c>
      <c r="WZ62">
        <v>0</v>
      </c>
      <c r="XA62">
        <v>12426</v>
      </c>
      <c r="XB62">
        <v>0</v>
      </c>
      <c r="XC62">
        <v>0</v>
      </c>
      <c r="XD62">
        <v>0</v>
      </c>
      <c r="XE62">
        <v>0</v>
      </c>
      <c r="XF62">
        <v>0</v>
      </c>
      <c r="XG62">
        <v>0</v>
      </c>
      <c r="XH62">
        <v>0</v>
      </c>
      <c r="XI62">
        <v>0</v>
      </c>
      <c r="XJ62">
        <v>0</v>
      </c>
      <c r="XK62">
        <v>0</v>
      </c>
      <c r="XL62">
        <v>0</v>
      </c>
      <c r="XM62">
        <v>0</v>
      </c>
      <c r="XN62">
        <v>0</v>
      </c>
      <c r="XO62">
        <v>0</v>
      </c>
      <c r="XP62">
        <v>0</v>
      </c>
      <c r="XQ62">
        <v>0</v>
      </c>
      <c r="XR62">
        <v>0</v>
      </c>
      <c r="XS62">
        <v>0</v>
      </c>
      <c r="XT62">
        <v>0</v>
      </c>
      <c r="XU62">
        <v>0</v>
      </c>
      <c r="XV62">
        <v>0</v>
      </c>
      <c r="XW62">
        <v>0</v>
      </c>
      <c r="XX62">
        <v>0</v>
      </c>
      <c r="XY62">
        <v>0</v>
      </c>
      <c r="XZ62">
        <v>0</v>
      </c>
      <c r="YA62">
        <v>0</v>
      </c>
      <c r="YB62">
        <v>0</v>
      </c>
      <c r="YC62">
        <v>0</v>
      </c>
      <c r="YD62">
        <v>0</v>
      </c>
      <c r="YE62">
        <v>0</v>
      </c>
      <c r="YF62" s="1">
        <v>0</v>
      </c>
      <c r="YG62" s="1">
        <v>0</v>
      </c>
      <c r="YH62" s="1">
        <v>0</v>
      </c>
      <c r="YI62" s="1">
        <v>0</v>
      </c>
      <c r="YJ62">
        <v>0</v>
      </c>
      <c r="YK62">
        <v>0</v>
      </c>
      <c r="YL62">
        <v>0</v>
      </c>
      <c r="YM62">
        <v>0</v>
      </c>
      <c r="YN62">
        <v>0</v>
      </c>
      <c r="YO62">
        <v>0</v>
      </c>
      <c r="YP62">
        <v>0</v>
      </c>
      <c r="YQ62">
        <v>0</v>
      </c>
      <c r="YR62">
        <v>0</v>
      </c>
      <c r="YS62">
        <v>0</v>
      </c>
      <c r="YT62">
        <v>0</v>
      </c>
      <c r="YU62">
        <v>0</v>
      </c>
      <c r="YV62">
        <v>0</v>
      </c>
      <c r="YW62">
        <v>0</v>
      </c>
      <c r="YX62">
        <v>0</v>
      </c>
      <c r="YY62">
        <v>0</v>
      </c>
      <c r="YZ62">
        <v>0</v>
      </c>
      <c r="ZA62">
        <v>0</v>
      </c>
      <c r="ZB62">
        <v>0</v>
      </c>
      <c r="ZC62">
        <v>0</v>
      </c>
      <c r="ZD62">
        <v>0</v>
      </c>
      <c r="ZE62">
        <v>0</v>
      </c>
      <c r="ZF62">
        <v>0</v>
      </c>
      <c r="ZG62">
        <v>0</v>
      </c>
      <c r="ZH62">
        <v>0</v>
      </c>
      <c r="ZI62">
        <v>0</v>
      </c>
      <c r="ZJ62">
        <v>0</v>
      </c>
      <c r="ZK62">
        <v>0</v>
      </c>
      <c r="ZL62">
        <v>0</v>
      </c>
      <c r="ZM62">
        <v>0</v>
      </c>
      <c r="ZN62">
        <v>0</v>
      </c>
      <c r="ZO62">
        <v>0</v>
      </c>
      <c r="ZP62">
        <v>0</v>
      </c>
      <c r="ZQ62">
        <v>0</v>
      </c>
      <c r="ZR62">
        <v>0</v>
      </c>
      <c r="ZS62">
        <v>0</v>
      </c>
      <c r="ZT62">
        <v>0</v>
      </c>
      <c r="ZU62">
        <v>0</v>
      </c>
      <c r="ZV62">
        <v>0</v>
      </c>
      <c r="ZW62">
        <v>0</v>
      </c>
      <c r="ZX62">
        <v>0</v>
      </c>
      <c r="ZY62">
        <v>0</v>
      </c>
      <c r="ZZ62">
        <v>11343</v>
      </c>
      <c r="AAA62">
        <v>0</v>
      </c>
      <c r="AAB62">
        <v>0</v>
      </c>
      <c r="AAC62">
        <v>0</v>
      </c>
      <c r="AAD62">
        <v>0</v>
      </c>
      <c r="AAE62">
        <v>0</v>
      </c>
      <c r="AAF62">
        <v>0</v>
      </c>
      <c r="AAG62">
        <v>0</v>
      </c>
      <c r="AAH62">
        <v>0</v>
      </c>
      <c r="AAI62">
        <v>0</v>
      </c>
      <c r="AAJ62">
        <v>0</v>
      </c>
      <c r="AAK62">
        <v>0</v>
      </c>
      <c r="AAL62">
        <v>0</v>
      </c>
      <c r="AAM62">
        <v>0</v>
      </c>
      <c r="AAN62">
        <v>0</v>
      </c>
      <c r="AAO62">
        <v>0</v>
      </c>
      <c r="AAP62">
        <v>0</v>
      </c>
      <c r="AAQ62">
        <v>0</v>
      </c>
      <c r="AAR62">
        <v>0</v>
      </c>
      <c r="AAS62">
        <v>0</v>
      </c>
      <c r="AAT62">
        <v>0</v>
      </c>
      <c r="AAU62">
        <v>0</v>
      </c>
      <c r="AAV62">
        <v>0</v>
      </c>
      <c r="AAW62">
        <v>0</v>
      </c>
      <c r="AAX62">
        <v>0</v>
      </c>
      <c r="AAY62">
        <v>0</v>
      </c>
      <c r="AAZ62">
        <v>0</v>
      </c>
      <c r="ABA62">
        <v>0</v>
      </c>
      <c r="ABB62">
        <v>0</v>
      </c>
      <c r="ABC62">
        <v>0</v>
      </c>
      <c r="ABD62">
        <v>0</v>
      </c>
      <c r="ABE62">
        <v>0</v>
      </c>
      <c r="ABF62">
        <v>0</v>
      </c>
      <c r="ABG62">
        <v>0</v>
      </c>
      <c r="ABH62">
        <v>0</v>
      </c>
      <c r="ABI62">
        <v>0</v>
      </c>
      <c r="ABJ62">
        <v>0</v>
      </c>
      <c r="ABK62">
        <v>0</v>
      </c>
      <c r="ABL62">
        <v>0</v>
      </c>
      <c r="ABM62">
        <v>0</v>
      </c>
      <c r="ABN62">
        <v>0</v>
      </c>
      <c r="ABO62">
        <v>0</v>
      </c>
      <c r="ABP62">
        <v>0</v>
      </c>
      <c r="ABQ62">
        <v>0</v>
      </c>
      <c r="ABR62">
        <v>0</v>
      </c>
      <c r="ABS62">
        <v>0</v>
      </c>
      <c r="ABT62">
        <v>0</v>
      </c>
      <c r="ABU62">
        <v>0</v>
      </c>
      <c r="ABV62">
        <v>0</v>
      </c>
      <c r="ABW62">
        <v>0</v>
      </c>
      <c r="ABX62">
        <v>0</v>
      </c>
      <c r="ABY62">
        <v>0</v>
      </c>
      <c r="ABZ62">
        <v>0</v>
      </c>
      <c r="ACA62">
        <v>0</v>
      </c>
      <c r="ACB62">
        <v>0</v>
      </c>
      <c r="ACC62">
        <v>0</v>
      </c>
      <c r="ACD62">
        <v>0</v>
      </c>
      <c r="ACE62">
        <v>0</v>
      </c>
      <c r="ACF62">
        <v>0</v>
      </c>
      <c r="ACG62">
        <v>0</v>
      </c>
      <c r="ACH62">
        <v>0</v>
      </c>
      <c r="ACI62">
        <v>0</v>
      </c>
      <c r="ACJ62">
        <v>0</v>
      </c>
      <c r="ACK62">
        <v>0</v>
      </c>
      <c r="ACL62">
        <v>0</v>
      </c>
      <c r="ACM62">
        <v>0</v>
      </c>
      <c r="ACN62">
        <v>0</v>
      </c>
      <c r="ACO62">
        <v>0</v>
      </c>
      <c r="ACP62">
        <v>0</v>
      </c>
      <c r="ACQ62">
        <v>0</v>
      </c>
      <c r="ACR62">
        <v>0</v>
      </c>
      <c r="ACS62">
        <v>0</v>
      </c>
      <c r="ACT62">
        <v>0</v>
      </c>
      <c r="ACU62">
        <v>0</v>
      </c>
      <c r="ACV62">
        <v>0</v>
      </c>
      <c r="ACW62">
        <v>0</v>
      </c>
      <c r="ACX62">
        <v>0</v>
      </c>
      <c r="ACY62">
        <v>0</v>
      </c>
      <c r="ACZ62">
        <v>0</v>
      </c>
      <c r="ADA62">
        <v>0</v>
      </c>
      <c r="ADB62">
        <v>0</v>
      </c>
      <c r="ADC62">
        <v>0</v>
      </c>
      <c r="ADD62">
        <v>0</v>
      </c>
      <c r="ADE62">
        <v>0</v>
      </c>
      <c r="ADF62">
        <v>0</v>
      </c>
      <c r="ADG62">
        <v>0</v>
      </c>
      <c r="ADH62">
        <v>0</v>
      </c>
      <c r="ADI62">
        <v>0</v>
      </c>
      <c r="ADJ62">
        <v>0</v>
      </c>
      <c r="ADK62">
        <v>0</v>
      </c>
      <c r="ADL62">
        <v>0</v>
      </c>
      <c r="ADM62">
        <v>0</v>
      </c>
      <c r="ADN62">
        <v>0</v>
      </c>
      <c r="ADO62">
        <v>0</v>
      </c>
      <c r="ADP62">
        <v>0</v>
      </c>
      <c r="ADQ62">
        <v>0</v>
      </c>
      <c r="ADR62">
        <v>0</v>
      </c>
      <c r="ADS62">
        <v>0</v>
      </c>
      <c r="ADT62">
        <v>0</v>
      </c>
      <c r="ADU62">
        <v>0</v>
      </c>
      <c r="ADV62">
        <v>0</v>
      </c>
      <c r="ADW62">
        <v>0</v>
      </c>
      <c r="ADX62">
        <v>0</v>
      </c>
      <c r="ADY62">
        <v>0</v>
      </c>
      <c r="ADZ62">
        <v>0</v>
      </c>
      <c r="AEA62">
        <v>0</v>
      </c>
      <c r="AEB62">
        <v>0</v>
      </c>
      <c r="AEC62">
        <v>0</v>
      </c>
      <c r="AED62">
        <v>0</v>
      </c>
      <c r="AEE62">
        <v>0</v>
      </c>
      <c r="AEF62">
        <v>0</v>
      </c>
      <c r="AEG62">
        <v>0</v>
      </c>
      <c r="AEH62">
        <v>0</v>
      </c>
      <c r="AEI62">
        <v>0</v>
      </c>
      <c r="AEJ62">
        <v>0</v>
      </c>
      <c r="AEK62">
        <v>0</v>
      </c>
      <c r="AEL62">
        <v>0</v>
      </c>
      <c r="AEM62">
        <v>0</v>
      </c>
      <c r="AEN62">
        <v>0</v>
      </c>
      <c r="AEO62">
        <v>0</v>
      </c>
      <c r="AEP62">
        <v>0</v>
      </c>
      <c r="AEQ62">
        <v>0</v>
      </c>
      <c r="AER62">
        <v>0</v>
      </c>
      <c r="AES62">
        <v>0</v>
      </c>
      <c r="AET62">
        <v>0</v>
      </c>
      <c r="AEU62">
        <v>0</v>
      </c>
      <c r="AEV62">
        <v>0</v>
      </c>
      <c r="AEW62">
        <v>0</v>
      </c>
      <c r="AEX62">
        <v>0</v>
      </c>
      <c r="AEY62">
        <v>0</v>
      </c>
      <c r="AEZ62">
        <v>0</v>
      </c>
      <c r="AFA62">
        <v>0</v>
      </c>
      <c r="AFB62">
        <v>0</v>
      </c>
      <c r="AFC62">
        <v>0</v>
      </c>
      <c r="AFD62">
        <v>0</v>
      </c>
      <c r="AFE62">
        <v>0</v>
      </c>
      <c r="AFF62">
        <v>0</v>
      </c>
      <c r="AFG62">
        <v>0</v>
      </c>
      <c r="AFH62">
        <v>0</v>
      </c>
      <c r="AFI62">
        <v>0</v>
      </c>
      <c r="AFJ62">
        <v>0</v>
      </c>
      <c r="AFK62">
        <v>0</v>
      </c>
      <c r="AFL62">
        <v>0</v>
      </c>
      <c r="AFM62">
        <v>0</v>
      </c>
      <c r="AFN62">
        <v>0</v>
      </c>
      <c r="AFO62">
        <v>0</v>
      </c>
      <c r="AFP62">
        <v>0</v>
      </c>
      <c r="AFQ62">
        <v>0</v>
      </c>
      <c r="AFR62">
        <v>0</v>
      </c>
      <c r="AFS62">
        <v>0</v>
      </c>
      <c r="AFT62">
        <v>0</v>
      </c>
      <c r="AFU62">
        <v>0</v>
      </c>
      <c r="AFV62">
        <v>0</v>
      </c>
      <c r="AFW62">
        <v>0</v>
      </c>
      <c r="AFX62">
        <v>0</v>
      </c>
      <c r="AFY62">
        <v>0</v>
      </c>
      <c r="AFZ62">
        <v>0</v>
      </c>
      <c r="AGA62">
        <v>0</v>
      </c>
      <c r="AGB62">
        <v>0</v>
      </c>
      <c r="AGC62">
        <v>0</v>
      </c>
      <c r="AGD62">
        <v>0</v>
      </c>
      <c r="AGE62">
        <v>0</v>
      </c>
      <c r="AGF62">
        <v>0</v>
      </c>
      <c r="AGG62">
        <v>0</v>
      </c>
      <c r="AGH62">
        <v>0</v>
      </c>
      <c r="AGI62">
        <v>0</v>
      </c>
      <c r="AGJ62">
        <v>0</v>
      </c>
      <c r="AGK62">
        <v>0</v>
      </c>
      <c r="AGL62">
        <v>0</v>
      </c>
      <c r="AGM62">
        <v>0</v>
      </c>
      <c r="AGN62">
        <v>0</v>
      </c>
      <c r="AGO62">
        <v>0</v>
      </c>
      <c r="AGP62">
        <v>0</v>
      </c>
      <c r="AGQ62">
        <v>0</v>
      </c>
      <c r="AGR62">
        <v>0</v>
      </c>
      <c r="AGS62">
        <v>0</v>
      </c>
      <c r="AGT62">
        <v>0</v>
      </c>
      <c r="AGU62">
        <v>0</v>
      </c>
      <c r="AGV62">
        <v>0</v>
      </c>
      <c r="AGW62">
        <v>0</v>
      </c>
      <c r="AGX62">
        <v>0</v>
      </c>
      <c r="AGY62">
        <v>0</v>
      </c>
      <c r="AGZ62">
        <v>0</v>
      </c>
      <c r="AHA62">
        <v>0</v>
      </c>
      <c r="AHB62">
        <v>0</v>
      </c>
      <c r="AHC62">
        <v>0</v>
      </c>
      <c r="AHD62">
        <v>0</v>
      </c>
      <c r="AHE62">
        <v>0</v>
      </c>
      <c r="AHF62">
        <v>0</v>
      </c>
      <c r="AHG62">
        <v>0</v>
      </c>
      <c r="AHH62">
        <v>0</v>
      </c>
      <c r="AHI62">
        <v>0</v>
      </c>
      <c r="AHJ62">
        <v>0</v>
      </c>
      <c r="AHK62">
        <v>0</v>
      </c>
      <c r="AHL62">
        <v>0</v>
      </c>
      <c r="AHM62">
        <v>0</v>
      </c>
      <c r="AHN62">
        <v>0</v>
      </c>
      <c r="AHO62">
        <v>0</v>
      </c>
      <c r="AHP62">
        <v>0</v>
      </c>
      <c r="AHQ62">
        <v>0</v>
      </c>
    </row>
    <row r="64" spans="1:901">
      <c r="A64" s="43" t="s">
        <v>242</v>
      </c>
      <c r="B64" s="38"/>
      <c r="C64" s="38"/>
    </row>
    <row r="65" spans="1:901">
      <c r="A65" s="1" t="s">
        <v>33</v>
      </c>
      <c r="C65" s="39">
        <f t="shared" ref="C65:R65" si="86">IFERROR(C2/C44,0)</f>
        <v>0.49960663991818111</v>
      </c>
      <c r="D65" s="39">
        <f t="shared" si="86"/>
        <v>0.41717598575070725</v>
      </c>
      <c r="E65" s="39">
        <f t="shared" si="86"/>
        <v>0.36096194256362363</v>
      </c>
      <c r="F65" s="39">
        <f t="shared" si="86"/>
        <v>0.39970606362300287</v>
      </c>
      <c r="G65" s="39">
        <f t="shared" si="86"/>
        <v>0.24374809181492688</v>
      </c>
      <c r="H65" s="39">
        <f t="shared" si="86"/>
        <v>0.46677792439649152</v>
      </c>
      <c r="I65" s="39">
        <f t="shared" si="86"/>
        <v>0.50696703208448779</v>
      </c>
      <c r="J65" s="39">
        <f t="shared" si="86"/>
        <v>0.49414743331009431</v>
      </c>
      <c r="K65" s="39">
        <f t="shared" si="86"/>
        <v>0.5167344011475018</v>
      </c>
      <c r="L65" s="39">
        <f t="shared" si="86"/>
        <v>0.23720218931101095</v>
      </c>
      <c r="M65" s="39">
        <f t="shared" si="86"/>
        <v>0.55286570518823752</v>
      </c>
      <c r="N65" s="39">
        <f t="shared" si="86"/>
        <v>0.53753190810465856</v>
      </c>
      <c r="O65" s="39">
        <f t="shared" si="86"/>
        <v>0</v>
      </c>
      <c r="P65" s="39">
        <f t="shared" si="86"/>
        <v>0.27353182510842811</v>
      </c>
      <c r="Q65" s="39">
        <f t="shared" si="86"/>
        <v>0.53335512219922288</v>
      </c>
      <c r="R65" s="39">
        <f t="shared" si="86"/>
        <v>0.54221680876979295</v>
      </c>
      <c r="S65" s="39">
        <f t="shared" ref="S65:V65" si="87">IFERROR(S2/S44,0)</f>
        <v>0.58033754635586166</v>
      </c>
      <c r="T65" s="39">
        <f t="shared" si="87"/>
        <v>0.55480432315057004</v>
      </c>
      <c r="U65" s="39">
        <f t="shared" si="87"/>
        <v>0.55662550507911335</v>
      </c>
      <c r="V65" s="39">
        <f t="shared" si="87"/>
        <v>0.55864270914710779</v>
      </c>
      <c r="W65" s="39">
        <f t="shared" ref="W65:AM65" si="88">IFERROR(W2/W44,0)</f>
        <v>0.59804187144460352</v>
      </c>
      <c r="X65" s="39">
        <f t="shared" si="88"/>
        <v>0.59978549296893624</v>
      </c>
      <c r="Y65" s="39">
        <f t="shared" si="88"/>
        <v>0.62472950530924465</v>
      </c>
      <c r="Z65" s="39">
        <f t="shared" si="88"/>
        <v>0.72515277094893582</v>
      </c>
      <c r="AA65" s="39">
        <f t="shared" si="88"/>
        <v>0.68243049584408144</v>
      </c>
      <c r="AB65" s="39">
        <f t="shared" si="88"/>
        <v>0.6476343457943925</v>
      </c>
      <c r="AC65" s="39">
        <f t="shared" si="88"/>
        <v>0.63489093924061402</v>
      </c>
      <c r="AD65" s="39">
        <f t="shared" si="88"/>
        <v>0.61803195719759962</v>
      </c>
      <c r="AE65" s="39">
        <f t="shared" si="88"/>
        <v>0.60360426090763164</v>
      </c>
      <c r="AF65" s="39">
        <f t="shared" si="88"/>
        <v>0.64471486518730614</v>
      </c>
      <c r="AG65" s="39">
        <f t="shared" si="88"/>
        <v>0.76033117350611956</v>
      </c>
      <c r="AH65" s="39">
        <f t="shared" si="88"/>
        <v>5.1330512830651223E-2</v>
      </c>
      <c r="AI65" s="39">
        <f t="shared" si="88"/>
        <v>0.43595559587980998</v>
      </c>
      <c r="AJ65" s="39">
        <f t="shared" si="88"/>
        <v>0.47798643714136674</v>
      </c>
      <c r="AK65" s="39">
        <f t="shared" si="88"/>
        <v>0.41649658128380446</v>
      </c>
      <c r="AL65" s="39">
        <f t="shared" si="88"/>
        <v>0.44063805332062461</v>
      </c>
      <c r="AM65" s="39">
        <f t="shared" si="88"/>
        <v>0.44281644281644283</v>
      </c>
      <c r="AN65" s="39">
        <f t="shared" ref="AN65:AV65" si="89">IFERROR(AN2/AN44,0)</f>
        <v>0.47354145342886389</v>
      </c>
      <c r="AO65" s="39">
        <f t="shared" si="89"/>
        <v>0.44283121597096187</v>
      </c>
      <c r="AP65" s="39">
        <f t="shared" si="89"/>
        <v>0.43559533595153288</v>
      </c>
      <c r="AQ65" s="39">
        <f t="shared" si="89"/>
        <v>0.42416303652481191</v>
      </c>
      <c r="AR65" s="39">
        <f t="shared" si="89"/>
        <v>0.42026735935124176</v>
      </c>
      <c r="AS65" s="39">
        <f t="shared" si="89"/>
        <v>0.40838191752388509</v>
      </c>
      <c r="AT65" s="39">
        <f t="shared" si="89"/>
        <v>0.36499494363084761</v>
      </c>
      <c r="AU65" s="39">
        <f t="shared" si="89"/>
        <v>0.42243528283796739</v>
      </c>
      <c r="AV65" s="39">
        <f t="shared" si="89"/>
        <v>0.38601994851994853</v>
      </c>
      <c r="AW65" s="39">
        <f t="shared" ref="S65:AX66" si="90">IFERROR(AW2/AW44,0)</f>
        <v>0.39178683183328494</v>
      </c>
      <c r="AX65" s="39">
        <f t="shared" si="90"/>
        <v>0.29235625085769179</v>
      </c>
      <c r="AY65" s="39">
        <f t="shared" ref="AY65:BC80" si="91">IFERROR(AY2/AY44,0)</f>
        <v>0.39515841936632251</v>
      </c>
      <c r="AZ65" s="39">
        <f t="shared" si="91"/>
        <v>0.33939009992225072</v>
      </c>
      <c r="BA65" s="39">
        <f t="shared" si="91"/>
        <v>0.21685284118504128</v>
      </c>
      <c r="BB65" s="39">
        <f t="shared" si="91"/>
        <v>0.38010695187165777</v>
      </c>
      <c r="BC65" s="39">
        <f t="shared" si="91"/>
        <v>0.28126479540074401</v>
      </c>
      <c r="BD65" s="39">
        <f t="shared" ref="BD65:BF65" si="92">IFERROR(BD2/BD44,0)</f>
        <v>0.37980022197558266</v>
      </c>
      <c r="BE65" s="39">
        <f t="shared" si="92"/>
        <v>0.19265843854585377</v>
      </c>
      <c r="BF65" s="39">
        <f t="shared" si="92"/>
        <v>0.35415609137055837</v>
      </c>
      <c r="BG65" s="39">
        <f t="shared" ref="BG65:BK80" si="93">IFERROR(BG2/BG44,0)</f>
        <v>0.37365303421765705</v>
      </c>
      <c r="BH65" s="39">
        <f t="shared" si="93"/>
        <v>0.33451844828948407</v>
      </c>
      <c r="BI65" s="39">
        <f t="shared" si="93"/>
        <v>0.31860255107799978</v>
      </c>
      <c r="BJ65" s="39">
        <f t="shared" si="93"/>
        <v>0.36589096977563507</v>
      </c>
      <c r="BK65" s="39">
        <f t="shared" si="93"/>
        <v>0.3072050443988083</v>
      </c>
      <c r="BL65" s="39">
        <f t="shared" ref="BL65:BM65" si="94">IFERROR(BL2/BL44,0)</f>
        <v>0</v>
      </c>
      <c r="BM65" s="39">
        <f t="shared" si="94"/>
        <v>0.13213720178503657</v>
      </c>
      <c r="BN65" s="39">
        <f t="shared" ref="BN65:BO65" si="95">IFERROR(BN2/BN44,0)</f>
        <v>0.25407235032790354</v>
      </c>
      <c r="BO65" s="39">
        <f t="shared" si="95"/>
        <v>0.18281910126744336</v>
      </c>
      <c r="BP65" s="39">
        <f t="shared" ref="BP65:BQ65" si="96">IFERROR(BP2/BP44,0)</f>
        <v>0.26581956797966966</v>
      </c>
      <c r="BQ65" s="39">
        <f t="shared" si="96"/>
        <v>0.32435926686440031</v>
      </c>
      <c r="BR65" s="39">
        <f t="shared" ref="BR65:BS65" si="97">IFERROR(BR2/BR44,0)</f>
        <v>0.32500113414689469</v>
      </c>
      <c r="BS65" s="39">
        <f t="shared" si="97"/>
        <v>0.29191153989876684</v>
      </c>
      <c r="BT65" s="39">
        <f t="shared" ref="BT65:BU65" si="98">IFERROR(BT2/BT44,0)</f>
        <v>0.27586101705256094</v>
      </c>
      <c r="BU65" s="39">
        <f t="shared" si="98"/>
        <v>0.14182166549174846</v>
      </c>
      <c r="BV65" s="39">
        <f t="shared" ref="BV65:BW65" si="99">IFERROR(BV2/BV44,0)</f>
        <v>0.2394001256281407</v>
      </c>
      <c r="BW65" s="39">
        <f t="shared" si="99"/>
        <v>0.31330026531318489</v>
      </c>
      <c r="BX65" s="39">
        <f t="shared" ref="BX65:BY65" si="100">IFERROR(BX2/BX44,0)</f>
        <v>0.29682235239230731</v>
      </c>
      <c r="BY65" s="39">
        <f t="shared" si="100"/>
        <v>0.23803459305769459</v>
      </c>
      <c r="BZ65" s="39">
        <f t="shared" ref="BZ65:CA65" si="101">IFERROR(BZ2/BZ44,0)</f>
        <v>0.15226179407365484</v>
      </c>
      <c r="CA65" s="39">
        <f t="shared" si="101"/>
        <v>0.1619332654100866</v>
      </c>
      <c r="CB65" s="39">
        <f t="shared" ref="CB65:CC65" si="102">IFERROR(CB2/CB44,0)</f>
        <v>0.20954955502232481</v>
      </c>
      <c r="CC65" s="39">
        <f t="shared" si="102"/>
        <v>0.18206321979906886</v>
      </c>
      <c r="CD65" s="39">
        <f t="shared" ref="CD65:CE65" si="103">IFERROR(CD2/CD44,0)</f>
        <v>0.1948175442767146</v>
      </c>
      <c r="CE65" s="39">
        <f t="shared" si="103"/>
        <v>0.3214752286202392</v>
      </c>
      <c r="CF65" s="39">
        <f t="shared" ref="CF65:CG65" si="104">IFERROR(CF2/CF44,0)</f>
        <v>0.27138776123891145</v>
      </c>
      <c r="CG65" s="39">
        <f t="shared" si="104"/>
        <v>0.25513591532355062</v>
      </c>
      <c r="CH65" s="39">
        <f t="shared" ref="CH65:CI65" si="105">IFERROR(CH2/CH44,0)</f>
        <v>0.24831356955194206</v>
      </c>
      <c r="CI65" s="39">
        <f t="shared" si="105"/>
        <v>0.19323461486211113</v>
      </c>
      <c r="CJ65" s="39">
        <f t="shared" ref="CJ65:CK65" si="106">IFERROR(CJ2/CJ44,0)</f>
        <v>0.19386854874283194</v>
      </c>
      <c r="CK65" s="39">
        <f t="shared" si="106"/>
        <v>0.16326343321249942</v>
      </c>
      <c r="CL65" s="39">
        <f t="shared" ref="CL65:CM65" si="107">IFERROR(CL2/CL44,0)</f>
        <v>0.11772093023255814</v>
      </c>
      <c r="CM65" s="39">
        <f t="shared" si="107"/>
        <v>0.19078461916864803</v>
      </c>
      <c r="CN65" s="39">
        <f t="shared" ref="CN65:CO65" si="108">IFERROR(CN2/CN44,0)</f>
        <v>0.1977802826671291</v>
      </c>
      <c r="CO65" s="39">
        <f t="shared" si="108"/>
        <v>0.22939629258517033</v>
      </c>
      <c r="CP65" s="39">
        <f t="shared" ref="CP65:CQ65" si="109">IFERROR(CP2/CP44,0)</f>
        <v>0.2187988250734329</v>
      </c>
      <c r="CQ65" s="39">
        <f t="shared" si="109"/>
        <v>0.21147319636536147</v>
      </c>
      <c r="CR65" s="39">
        <f t="shared" ref="CR65:CS65" si="110">IFERROR(CR2/CR44,0)</f>
        <v>0.1280328480776409</v>
      </c>
      <c r="CS65" s="39">
        <f t="shared" si="110"/>
        <v>0.2431051669712577</v>
      </c>
      <c r="CT65" s="39">
        <f t="shared" ref="CT65:CU65" si="111">IFERROR(CT2/CT44,0)</f>
        <v>0.21601040118870729</v>
      </c>
      <c r="CU65" s="39">
        <f t="shared" si="111"/>
        <v>0.21834549754596547</v>
      </c>
      <c r="CV65" s="39">
        <f t="shared" ref="CV65:CW65" si="112">IFERROR(CV2/CV44,0)</f>
        <v>0</v>
      </c>
      <c r="CW65" s="39">
        <f t="shared" si="112"/>
        <v>0</v>
      </c>
      <c r="CX65" s="39">
        <f t="shared" ref="CX65:CY65" si="113">IFERROR(CX2/CX44,0)</f>
        <v>5.8110963299162689E-2</v>
      </c>
      <c r="CY65" s="39">
        <f t="shared" si="113"/>
        <v>0.23444418550454441</v>
      </c>
      <c r="CZ65" s="39">
        <f t="shared" ref="CZ65:DA65" si="114">IFERROR(CZ2/CZ44,0)</f>
        <v>0.24901649527227551</v>
      </c>
      <c r="DA65" s="39">
        <f t="shared" si="114"/>
        <v>0.2584065300328276</v>
      </c>
      <c r="DB65" s="39">
        <f t="shared" ref="DB65:DC65" si="115">IFERROR(DB2/DB44,0)</f>
        <v>0.21736318959464951</v>
      </c>
      <c r="DC65" s="39">
        <f t="shared" si="115"/>
        <v>0</v>
      </c>
      <c r="DD65" s="39">
        <f t="shared" ref="DD65:DE65" si="116">IFERROR(DD2/DD44,0)</f>
        <v>0</v>
      </c>
      <c r="DE65" s="39">
        <f t="shared" si="116"/>
        <v>6.116564918465256E-2</v>
      </c>
      <c r="DF65" s="39">
        <f t="shared" ref="DF65:DG65" si="117">IFERROR(DF2/DF44,0)</f>
        <v>0.26528403967538322</v>
      </c>
      <c r="DG65" s="39">
        <f t="shared" si="117"/>
        <v>0.25839906973820675</v>
      </c>
      <c r="DH65" s="39">
        <f t="shared" ref="DH65:DI65" si="118">IFERROR(DH2/DH44,0)</f>
        <v>0.2754254214268595</v>
      </c>
      <c r="DI65" s="39">
        <f t="shared" si="118"/>
        <v>0.27365827836143009</v>
      </c>
      <c r="DJ65" s="39">
        <f t="shared" ref="DJ65:DK65" si="119">IFERROR(DJ2/DJ44,0)</f>
        <v>0.28139364601553918</v>
      </c>
      <c r="DK65" s="39">
        <f t="shared" si="119"/>
        <v>0.2288055684136536</v>
      </c>
      <c r="DL65" s="39">
        <f t="shared" ref="DL65:DM65" si="120">IFERROR(DL2/DL44,0)</f>
        <v>0.34563926226945918</v>
      </c>
      <c r="DM65" s="39">
        <f t="shared" si="120"/>
        <v>0.20351883226899517</v>
      </c>
      <c r="DN65" s="39">
        <f t="shared" ref="DN65:DO65" si="121">IFERROR(DN2/DN44,0)</f>
        <v>0.26894910854988724</v>
      </c>
      <c r="DO65" s="39">
        <f t="shared" si="121"/>
        <v>0.2550942977179767</v>
      </c>
      <c r="DP65" s="39">
        <f t="shared" ref="DP65:DQ65" si="122">IFERROR(DP2/DP44,0)</f>
        <v>0</v>
      </c>
      <c r="DQ65" s="39">
        <f t="shared" si="122"/>
        <v>0.26190147647302331</v>
      </c>
      <c r="DR65" s="39">
        <f t="shared" ref="DR65:DS65" si="123">IFERROR(DR2/DR44,0)</f>
        <v>0.23660782808902533</v>
      </c>
      <c r="DS65" s="39">
        <f t="shared" si="123"/>
        <v>0.20527198768184221</v>
      </c>
      <c r="DT65" s="39">
        <f t="shared" ref="DT65:DU65" si="124">IFERROR(DT2/DT44,0)</f>
        <v>0.18347604253491956</v>
      </c>
      <c r="DU65" s="39">
        <f t="shared" si="124"/>
        <v>0.19746206364140792</v>
      </c>
      <c r="DV65" s="39">
        <f t="shared" ref="DV65:DW83" si="125">IFERROR(DV2/DV44,0)</f>
        <v>0.24494613242948796</v>
      </c>
      <c r="DW65" s="39">
        <f t="shared" si="125"/>
        <v>0.22022619004327429</v>
      </c>
      <c r="DX65" s="39">
        <f t="shared" ref="DX65:DY65" si="126">IFERROR(DX2/DX44,0)</f>
        <v>0.21118173563367493</v>
      </c>
      <c r="DY65" s="39">
        <f t="shared" si="126"/>
        <v>0.19396093003120546</v>
      </c>
      <c r="DZ65" s="39">
        <f t="shared" ref="DZ65:EA65" si="127">IFERROR(DZ2/DZ44,0)</f>
        <v>0.17927663314966877</v>
      </c>
      <c r="EA65" s="39">
        <f t="shared" si="127"/>
        <v>0.16962810613978893</v>
      </c>
      <c r="EB65" s="39">
        <f t="shared" ref="EB65:EC65" si="128">IFERROR(EB2/EB44,0)</f>
        <v>0.20533246626564786</v>
      </c>
      <c r="EC65" s="39">
        <f t="shared" si="128"/>
        <v>0.18883224788200934</v>
      </c>
      <c r="ED65" s="39">
        <f t="shared" ref="ED65:EE65" si="129">IFERROR(ED2/ED44,0)</f>
        <v>0.22059242381088009</v>
      </c>
      <c r="EE65" s="39">
        <f t="shared" si="129"/>
        <v>0.20262290873304523</v>
      </c>
      <c r="EF65" s="39">
        <f t="shared" ref="EF65:EG65" si="130">IFERROR(EF2/EF44,0)</f>
        <v>0.21476129144927852</v>
      </c>
      <c r="EG65" s="39">
        <f t="shared" si="130"/>
        <v>0.1700921681699443</v>
      </c>
      <c r="EH65" s="39">
        <f t="shared" ref="EH65:EI65" si="131">IFERROR(EH2/EH44,0)</f>
        <v>0.14457166104847147</v>
      </c>
      <c r="EI65" s="39">
        <f t="shared" si="131"/>
        <v>0.18925801928634789</v>
      </c>
      <c r="EJ65" s="39">
        <f t="shared" ref="EJ65:EK65" si="132">IFERROR(EJ2/EJ44,0)</f>
        <v>0.14644572671520498</v>
      </c>
      <c r="EK65" s="39">
        <f t="shared" si="132"/>
        <v>0.1909468438538206</v>
      </c>
      <c r="EL65" s="39">
        <f t="shared" ref="EL65:EM65" si="133">IFERROR(EL2/EL44,0)</f>
        <v>0.16916871206499609</v>
      </c>
      <c r="EM65" s="39">
        <f t="shared" si="133"/>
        <v>0.17539009320347682</v>
      </c>
      <c r="EN65" s="39">
        <f t="shared" ref="EN65:EO65" si="134">IFERROR(EN2/EN44,0)</f>
        <v>0.15812896506012689</v>
      </c>
      <c r="EO65" s="39">
        <f t="shared" si="134"/>
        <v>0.14797136038186157</v>
      </c>
      <c r="EP65" s="39">
        <f t="shared" ref="EP65" si="135">IFERROR(EP2/EP44,0)</f>
        <v>0.16815112068121757</v>
      </c>
      <c r="EQ65" s="39">
        <f t="shared" ref="EQ65:ER65" si="136">IFERROR(EQ2/EQ44,0)</f>
        <v>0.15656575802012815</v>
      </c>
      <c r="ER65" s="39">
        <f t="shared" si="136"/>
        <v>0.15369796631712743</v>
      </c>
      <c r="ES65" s="39">
        <f t="shared" ref="ES65:ET65" si="137">IFERROR(ES2/ES44,0)</f>
        <v>0.14333326798282589</v>
      </c>
      <c r="ET65" s="39">
        <f t="shared" si="137"/>
        <v>0.14571871051880833</v>
      </c>
      <c r="EU65" s="39">
        <f t="shared" ref="EU65:EV65" si="138">IFERROR(EU2/EU44,0)</f>
        <v>0.11069483533754888</v>
      </c>
      <c r="EV65" s="39">
        <f t="shared" si="138"/>
        <v>0.1018645165934778</v>
      </c>
      <c r="EW65" s="39">
        <f t="shared" ref="EW65:EX65" si="139">IFERROR(EW2/EW44,0)</f>
        <v>0.10848868175765645</v>
      </c>
      <c r="EX65" s="39">
        <f t="shared" si="139"/>
        <v>0.1103301912794223</v>
      </c>
      <c r="EY65" s="39">
        <f t="shared" ref="EY65:EZ65" si="140">IFERROR(EY2/EY44,0)</f>
        <v>0.13216511921886578</v>
      </c>
      <c r="EZ65" s="39">
        <f t="shared" si="140"/>
        <v>0.14107586206896552</v>
      </c>
      <c r="FA65" s="39">
        <f t="shared" ref="FA65:FB65" si="141">IFERROR(FA2/FA44,0)</f>
        <v>0.13238207151250631</v>
      </c>
      <c r="FB65" s="39">
        <f t="shared" si="141"/>
        <v>0.13143754284324349</v>
      </c>
      <c r="FC65" s="39">
        <f t="shared" ref="FC65:FD65" si="142">IFERROR(FC2/FC44,0)</f>
        <v>0.14631163708086786</v>
      </c>
      <c r="FD65" s="39">
        <f t="shared" si="142"/>
        <v>0.12853244750266934</v>
      </c>
      <c r="FE65" s="39">
        <f t="shared" ref="FE65:FF65" si="143">IFERROR(FE2/FE44,0)</f>
        <v>0.14693051407011476</v>
      </c>
      <c r="FF65" s="39">
        <f t="shared" si="143"/>
        <v>0.17488779653772174</v>
      </c>
      <c r="FG65" s="39">
        <f t="shared" ref="FG65:FH65" si="144">IFERROR(FG2/FG44,0)</f>
        <v>0.16358073744437382</v>
      </c>
      <c r="FH65" s="39">
        <f t="shared" si="144"/>
        <v>0.11699850385544942</v>
      </c>
      <c r="FI65" s="39">
        <f t="shared" ref="FI65:FJ65" si="145">IFERROR(FI2/FI44,0)</f>
        <v>0.13640104751215862</v>
      </c>
      <c r="FJ65" s="39">
        <f t="shared" si="145"/>
        <v>0.1024745269286754</v>
      </c>
      <c r="FK65" s="39">
        <f t="shared" ref="FK65:GP65" si="146">IFERROR(FK2/FK44,0)</f>
        <v>0.15456596761348554</v>
      </c>
      <c r="FL65" s="39">
        <f t="shared" si="146"/>
        <v>0.15150756057569684</v>
      </c>
      <c r="FM65" s="39">
        <f t="shared" si="146"/>
        <v>0.14397258014259792</v>
      </c>
      <c r="FN65" s="39">
        <f t="shared" si="146"/>
        <v>0.14141913877418988</v>
      </c>
      <c r="FO65" s="39">
        <f t="shared" si="146"/>
        <v>0.18759955305137532</v>
      </c>
      <c r="FP65" s="39">
        <f t="shared" si="146"/>
        <v>0.12880996554465943</v>
      </c>
      <c r="FQ65" s="39">
        <f t="shared" si="146"/>
        <v>0.12793905162222513</v>
      </c>
      <c r="FR65" s="39">
        <v>0.17805470482627522</v>
      </c>
      <c r="FS65" s="39">
        <f t="shared" si="146"/>
        <v>0.17166686244567134</v>
      </c>
      <c r="FT65" s="39">
        <f t="shared" si="146"/>
        <v>0.16922569291684997</v>
      </c>
      <c r="FU65" s="39">
        <f t="shared" si="146"/>
        <v>0.16327017990765802</v>
      </c>
      <c r="FV65" s="39">
        <f t="shared" si="146"/>
        <v>0.18528398092630188</v>
      </c>
      <c r="FW65" s="39">
        <f t="shared" si="146"/>
        <v>0.14664112865551715</v>
      </c>
      <c r="FX65" s="39">
        <f t="shared" si="146"/>
        <v>0.14099385988329965</v>
      </c>
      <c r="FY65" s="39">
        <f t="shared" si="146"/>
        <v>0.18108108108108109</v>
      </c>
      <c r="FZ65" s="39">
        <f t="shared" si="146"/>
        <v>0.16511278195488721</v>
      </c>
      <c r="GA65" s="39">
        <f t="shared" si="146"/>
        <v>0.15093516549430175</v>
      </c>
      <c r="GB65" s="39">
        <f t="shared" si="146"/>
        <v>0.15956468424279582</v>
      </c>
      <c r="GC65" s="39">
        <f t="shared" si="146"/>
        <v>0.13251270725409636</v>
      </c>
      <c r="GD65" s="39">
        <f t="shared" si="146"/>
        <v>0.11811936527712887</v>
      </c>
      <c r="GE65" s="39">
        <f t="shared" si="146"/>
        <v>0.12909422725962924</v>
      </c>
      <c r="GF65" s="39">
        <f t="shared" si="146"/>
        <v>0.14735945485519591</v>
      </c>
      <c r="GG65" s="39">
        <f t="shared" si="146"/>
        <v>0.18922399050359134</v>
      </c>
      <c r="GH65" s="39">
        <f t="shared" si="146"/>
        <v>0.18838803395524081</v>
      </c>
      <c r="GI65" s="39">
        <f t="shared" si="146"/>
        <v>0.20480310262529833</v>
      </c>
      <c r="GJ65" s="39">
        <f t="shared" si="146"/>
        <v>0.14687649022412971</v>
      </c>
      <c r="GK65" s="39">
        <f t="shared" si="146"/>
        <v>0.23061479432497548</v>
      </c>
      <c r="GL65" s="39">
        <f t="shared" si="146"/>
        <v>0.19379990858494878</v>
      </c>
      <c r="GM65" s="39">
        <f t="shared" si="146"/>
        <v>0.24233097008473112</v>
      </c>
      <c r="GN65" s="39">
        <f t="shared" si="146"/>
        <v>0</v>
      </c>
      <c r="GO65" s="39">
        <f t="shared" si="146"/>
        <v>0.11916813870292577</v>
      </c>
      <c r="GP65" s="39">
        <f t="shared" si="146"/>
        <v>0.27595043218848009</v>
      </c>
      <c r="GQ65" s="39">
        <f t="shared" ref="GQ65:HA65" si="147">IFERROR(GQ2/GQ44,0)</f>
        <v>0.1978698319445277</v>
      </c>
      <c r="GR65" s="39">
        <f t="shared" si="147"/>
        <v>0.19221086924329928</v>
      </c>
      <c r="GS65" s="39">
        <f t="shared" si="147"/>
        <v>0.30022015139177899</v>
      </c>
      <c r="GT65" s="39">
        <f t="shared" si="147"/>
        <v>0.29686990898625021</v>
      </c>
      <c r="GU65" s="39">
        <f t="shared" si="147"/>
        <v>0.27681982173174874</v>
      </c>
      <c r="GV65" s="39">
        <f t="shared" si="147"/>
        <v>0.29511643166084173</v>
      </c>
      <c r="GW65" s="39">
        <f t="shared" si="147"/>
        <v>0.24931835647587666</v>
      </c>
      <c r="GX65" s="39">
        <f t="shared" si="147"/>
        <v>0.26616808409720155</v>
      </c>
      <c r="GY65" s="39">
        <f t="shared" si="147"/>
        <v>0.25648171384042373</v>
      </c>
      <c r="GZ65" s="39">
        <f t="shared" si="147"/>
        <v>0.24122016753595701</v>
      </c>
      <c r="HA65" s="39">
        <f t="shared" si="147"/>
        <v>0.25473107569721115</v>
      </c>
      <c r="HB65" s="39">
        <f t="shared" ref="HB65:HG83" si="148">IFERROR(HB2/HB44,0)</f>
        <v>0.17693043615013629</v>
      </c>
      <c r="HC65" s="39">
        <f t="shared" si="148"/>
        <v>0.28026648544468086</v>
      </c>
      <c r="HD65" s="39">
        <f t="shared" si="148"/>
        <v>0.35560961037852601</v>
      </c>
      <c r="HE65" s="39">
        <f t="shared" si="148"/>
        <v>0.24376364719115992</v>
      </c>
      <c r="HF65" s="39">
        <f t="shared" si="148"/>
        <v>0.28768545547563873</v>
      </c>
      <c r="HG65" s="39">
        <f t="shared" si="148"/>
        <v>0.25511660367297651</v>
      </c>
      <c r="HH65" s="39">
        <f t="shared" ref="HH65:JC65" si="149">IFERROR(HH2/HH44,0)</f>
        <v>0.30674782243677196</v>
      </c>
      <c r="HI65" s="39">
        <f t="shared" si="149"/>
        <v>0.29324170682872353</v>
      </c>
      <c r="HJ65" s="39">
        <f t="shared" si="149"/>
        <v>0.25595925498208522</v>
      </c>
      <c r="HK65" s="39">
        <f t="shared" si="149"/>
        <v>0.27401508210585662</v>
      </c>
      <c r="HL65" s="39">
        <f t="shared" si="149"/>
        <v>0.32102233479161868</v>
      </c>
      <c r="HM65" s="39">
        <f t="shared" si="149"/>
        <v>0.25938466427899132</v>
      </c>
      <c r="HN65" s="39">
        <f t="shared" si="149"/>
        <v>0.34470723306544204</v>
      </c>
      <c r="HO65" s="39">
        <f t="shared" si="149"/>
        <v>0.27901417860589417</v>
      </c>
      <c r="HP65" s="39">
        <f t="shared" si="149"/>
        <v>0.29289111504262116</v>
      </c>
      <c r="HQ65" s="39">
        <f t="shared" si="149"/>
        <v>0.25732326519984378</v>
      </c>
      <c r="HR65" s="39">
        <f t="shared" si="149"/>
        <v>0.30984123208657904</v>
      </c>
      <c r="HS65" s="39">
        <f t="shared" si="149"/>
        <v>0.26622335688416554</v>
      </c>
      <c r="HT65" s="39">
        <f t="shared" si="149"/>
        <v>0.26833829292485811</v>
      </c>
      <c r="HU65" s="39">
        <f t="shared" si="149"/>
        <v>0.31999325975229592</v>
      </c>
      <c r="HV65" s="39">
        <f t="shared" si="149"/>
        <v>0.18885382808607559</v>
      </c>
      <c r="HW65" s="39">
        <f t="shared" si="149"/>
        <v>0.24859303052697401</v>
      </c>
      <c r="HX65" s="39">
        <f t="shared" si="149"/>
        <v>0.3559454824976348</v>
      </c>
      <c r="HY65" s="39">
        <f t="shared" si="149"/>
        <v>0.22423937735076155</v>
      </c>
      <c r="HZ65" s="39">
        <f t="shared" si="149"/>
        <v>0.30655882552844421</v>
      </c>
      <c r="IA65" s="39">
        <f t="shared" si="149"/>
        <v>0.18837989527482521</v>
      </c>
      <c r="IB65" s="39">
        <f t="shared" si="149"/>
        <v>0.27653224458610892</v>
      </c>
      <c r="IC65" s="39">
        <f t="shared" si="149"/>
        <v>0.24872994748064511</v>
      </c>
      <c r="ID65" s="39">
        <f t="shared" si="149"/>
        <v>0.28053350612884065</v>
      </c>
      <c r="IE65" s="39">
        <f t="shared" si="149"/>
        <v>0.29639721465334545</v>
      </c>
      <c r="IF65" s="39">
        <f t="shared" si="149"/>
        <v>0.3504107562670048</v>
      </c>
      <c r="IG65" s="39">
        <f t="shared" si="149"/>
        <v>0.33089062216578996</v>
      </c>
      <c r="IH65" s="39">
        <f t="shared" si="149"/>
        <v>0.20080249915821766</v>
      </c>
      <c r="II65" s="39">
        <f t="shared" si="149"/>
        <v>0.24219710548535708</v>
      </c>
      <c r="IJ65" s="39">
        <f t="shared" si="149"/>
        <v>0.313593421973408</v>
      </c>
      <c r="IK65" s="39">
        <f t="shared" si="149"/>
        <v>0.31803824368943334</v>
      </c>
      <c r="IL65" s="39">
        <f t="shared" si="149"/>
        <v>0.31575594451257388</v>
      </c>
      <c r="IM65" s="39">
        <f t="shared" si="149"/>
        <v>0.37112037314744911</v>
      </c>
      <c r="IN65" s="39">
        <f t="shared" si="149"/>
        <v>0.35577222071760306</v>
      </c>
      <c r="IO65" s="39">
        <f t="shared" si="149"/>
        <v>0.17834433745225542</v>
      </c>
      <c r="IP65" s="39">
        <f t="shared" si="149"/>
        <v>0.30205707186963354</v>
      </c>
      <c r="IQ65" s="39">
        <f t="shared" si="149"/>
        <v>0.32697693218234836</v>
      </c>
      <c r="IR65" s="39">
        <f t="shared" si="149"/>
        <v>0.28493166550845495</v>
      </c>
      <c r="IS65" s="39">
        <f t="shared" si="149"/>
        <v>0.32813006924296217</v>
      </c>
      <c r="IT65" s="39">
        <f t="shared" si="149"/>
        <v>0.33918176939272593</v>
      </c>
      <c r="IU65" s="39">
        <f t="shared" si="149"/>
        <v>0.35325758872660762</v>
      </c>
      <c r="IV65" s="39">
        <f t="shared" si="149"/>
        <v>0.28266820752304178</v>
      </c>
      <c r="IW65" s="39">
        <f t="shared" si="149"/>
        <v>0.25285177858589686</v>
      </c>
      <c r="IX65" s="39">
        <f t="shared" si="149"/>
        <v>0.32367199705909383</v>
      </c>
      <c r="IY65" s="39">
        <f t="shared" si="149"/>
        <v>0.32828212485027436</v>
      </c>
      <c r="IZ65" s="39">
        <f t="shared" si="149"/>
        <v>0.31611208406304731</v>
      </c>
      <c r="JA65" s="39">
        <f t="shared" si="149"/>
        <v>0.27748083731481799</v>
      </c>
      <c r="JB65" s="39">
        <f t="shared" si="149"/>
        <v>0.2929622793317242</v>
      </c>
      <c r="JC65" s="39">
        <f t="shared" si="149"/>
        <v>0.24403015905804587</v>
      </c>
      <c r="JD65" s="39">
        <f t="shared" ref="JD65:KB65" si="150">IFERROR(JD2/JD44,0)</f>
        <v>0.24778106508875739</v>
      </c>
      <c r="JE65" s="39">
        <f t="shared" si="150"/>
        <v>0.28995257815459785</v>
      </c>
      <c r="JF65" s="39">
        <f t="shared" si="150"/>
        <v>0.27685454399957321</v>
      </c>
      <c r="JG65" s="39">
        <f t="shared" si="150"/>
        <v>0.27176335208592095</v>
      </c>
      <c r="JH65" s="39">
        <f t="shared" si="150"/>
        <v>0.27110993356687962</v>
      </c>
      <c r="JI65" s="39">
        <f t="shared" si="150"/>
        <v>0.2592924187725632</v>
      </c>
      <c r="JJ65" s="39">
        <f t="shared" si="150"/>
        <v>0.2119913592711733</v>
      </c>
      <c r="JK65" s="39">
        <f t="shared" si="150"/>
        <v>0.20785326130260873</v>
      </c>
      <c r="JL65" s="39">
        <f t="shared" si="150"/>
        <v>0.29020035436827041</v>
      </c>
      <c r="JM65" s="39">
        <f t="shared" si="150"/>
        <v>0.25412036691774181</v>
      </c>
      <c r="JN65" s="39">
        <f t="shared" si="150"/>
        <v>0.21798057565470827</v>
      </c>
      <c r="JO65" s="39">
        <f t="shared" si="150"/>
        <v>0.24033311098983284</v>
      </c>
      <c r="JP65" s="39">
        <f t="shared" si="150"/>
        <v>0.2030857302429489</v>
      </c>
      <c r="JQ65" s="39">
        <f t="shared" si="150"/>
        <v>0.20272618800581033</v>
      </c>
      <c r="JR65" s="39">
        <f t="shared" si="150"/>
        <v>0.21082626860828296</v>
      </c>
      <c r="JS65" s="39">
        <f t="shared" si="150"/>
        <v>0.21642691882104417</v>
      </c>
      <c r="JT65" s="39">
        <f t="shared" si="150"/>
        <v>0.28454538197493412</v>
      </c>
      <c r="JU65" s="39">
        <f t="shared" si="150"/>
        <v>0.2360907063968059</v>
      </c>
      <c r="JV65" s="39">
        <f t="shared" si="150"/>
        <v>0.22577965648044745</v>
      </c>
      <c r="JW65" s="39">
        <f t="shared" si="150"/>
        <v>0.25014317398502661</v>
      </c>
      <c r="JX65" s="39">
        <f t="shared" si="150"/>
        <v>0.2005317251888597</v>
      </c>
      <c r="JY65" s="39">
        <f t="shared" si="150"/>
        <v>0.20064311879464952</v>
      </c>
      <c r="JZ65" s="39">
        <f t="shared" si="150"/>
        <v>0.24669975851891601</v>
      </c>
      <c r="KA65" s="39">
        <f t="shared" si="150"/>
        <v>0.26356139178814331</v>
      </c>
      <c r="KB65" s="39">
        <f t="shared" si="150"/>
        <v>0.22336170548134138</v>
      </c>
      <c r="KC65" s="39">
        <f t="shared" ref="KC65:KH65" si="151">IFERROR(KC2/KC44,0)</f>
        <v>0.20533082531802668</v>
      </c>
      <c r="KD65" s="39">
        <f t="shared" si="151"/>
        <v>0.21306458851850341</v>
      </c>
      <c r="KE65" s="39">
        <f t="shared" si="151"/>
        <v>0.16268475047817771</v>
      </c>
      <c r="KF65" s="39">
        <f t="shared" si="151"/>
        <v>0.19239402295902008</v>
      </c>
      <c r="KG65" s="39">
        <f t="shared" si="151"/>
        <v>0.23557725084879805</v>
      </c>
      <c r="KH65" s="39">
        <f t="shared" si="151"/>
        <v>0.24414515271793827</v>
      </c>
      <c r="KI65" s="39">
        <f t="shared" ref="KI65:KZ65" si="152">IFERROR(KI2/KI44,0)</f>
        <v>0.16568708573963337</v>
      </c>
      <c r="KJ65" s="39">
        <f t="shared" si="152"/>
        <v>0.17790096082779008</v>
      </c>
      <c r="KK65" s="39">
        <f t="shared" si="152"/>
        <v>0.16855524079320114</v>
      </c>
      <c r="KL65" s="39">
        <f t="shared" si="152"/>
        <v>0.16548338152357506</v>
      </c>
      <c r="KM65" s="39">
        <f t="shared" si="152"/>
        <v>0.1765269078868632</v>
      </c>
      <c r="KN65" s="39">
        <f t="shared" si="152"/>
        <v>0.19741330488495529</v>
      </c>
      <c r="KO65" s="39">
        <f t="shared" si="152"/>
        <v>0.18944490174372949</v>
      </c>
      <c r="KP65" s="39">
        <f t="shared" si="152"/>
        <v>0.1799700308828098</v>
      </c>
      <c r="KQ65" s="39">
        <f t="shared" si="152"/>
        <v>0.17834309519881208</v>
      </c>
      <c r="KR65" s="39">
        <f t="shared" si="152"/>
        <v>0.15306647275822929</v>
      </c>
      <c r="KS65" s="39">
        <f t="shared" si="152"/>
        <v>0.15410009576130235</v>
      </c>
      <c r="KT65" s="39">
        <f t="shared" si="152"/>
        <v>0.13111127916209778</v>
      </c>
      <c r="KU65" s="39">
        <f t="shared" si="152"/>
        <v>0.17937043282743115</v>
      </c>
      <c r="KV65" s="39">
        <f t="shared" si="152"/>
        <v>0.16136351474286936</v>
      </c>
      <c r="KW65" s="39">
        <f t="shared" si="152"/>
        <v>0.16526050666937733</v>
      </c>
      <c r="KX65" s="39">
        <f t="shared" si="152"/>
        <v>0.13653050698328259</v>
      </c>
      <c r="KY65" s="39">
        <f t="shared" si="152"/>
        <v>0.14979815317345402</v>
      </c>
      <c r="KZ65" s="39">
        <f t="shared" si="152"/>
        <v>0.13064442332735016</v>
      </c>
      <c r="LA65" s="39">
        <f t="shared" ref="LA65:LS65" si="153">IFERROR(LA2/LA44,0)</f>
        <v>0.13026048626416534</v>
      </c>
      <c r="LB65" s="39">
        <f t="shared" si="153"/>
        <v>0.16174538146401793</v>
      </c>
      <c r="LC65" s="39">
        <f t="shared" si="153"/>
        <v>0.14859184904054198</v>
      </c>
      <c r="LD65" s="39">
        <f t="shared" si="153"/>
        <v>0.16142900701290783</v>
      </c>
      <c r="LE65" s="39">
        <f t="shared" si="153"/>
        <v>0.14381195936789984</v>
      </c>
      <c r="LF65" s="39">
        <f t="shared" si="153"/>
        <v>0.14647951589948613</v>
      </c>
      <c r="LG65" s="39">
        <f t="shared" si="153"/>
        <v>0.11624069771357376</v>
      </c>
      <c r="LH65" s="39">
        <f t="shared" si="153"/>
        <v>0.11126150019205092</v>
      </c>
      <c r="LI65" s="39">
        <f t="shared" si="153"/>
        <v>0.16325070800852529</v>
      </c>
      <c r="LJ65" s="39">
        <f t="shared" si="153"/>
        <v>0.13921178941052947</v>
      </c>
      <c r="LK65" s="39">
        <f t="shared" si="153"/>
        <v>0.12157150822661014</v>
      </c>
      <c r="LL65" s="39">
        <f t="shared" si="153"/>
        <v>0.1348435497911715</v>
      </c>
      <c r="LM65" s="39">
        <f t="shared" si="153"/>
        <v>0.11052378272112506</v>
      </c>
      <c r="LN65" s="39">
        <f t="shared" si="153"/>
        <v>0.11546661326988539</v>
      </c>
      <c r="LO65" s="39">
        <f t="shared" si="153"/>
        <v>0.12113381726368944</v>
      </c>
      <c r="LP65" s="39">
        <f t="shared" si="153"/>
        <v>0.13967016985429301</v>
      </c>
      <c r="LQ65" s="39">
        <f t="shared" si="153"/>
        <v>0.12160043890587037</v>
      </c>
      <c r="LR65" s="39">
        <f t="shared" si="153"/>
        <v>0.13420234562667796</v>
      </c>
      <c r="LS65" s="39">
        <f t="shared" si="153"/>
        <v>9.5109700919154258E-2</v>
      </c>
      <c r="LT65" s="39">
        <f t="shared" ref="LT65:NN65" si="154">IFERROR(LT2/LT44,0)</f>
        <v>0.10251197909104109</v>
      </c>
      <c r="LU65" s="39">
        <f t="shared" si="154"/>
        <v>6.6361850790482013E-2</v>
      </c>
      <c r="LV65" s="39">
        <f t="shared" si="154"/>
        <v>7.2270700019391121E-2</v>
      </c>
      <c r="LW65" s="39">
        <f t="shared" si="154"/>
        <v>9.1799636437083415E-2</v>
      </c>
      <c r="LX65" s="39">
        <f t="shared" si="154"/>
        <v>0.10395491725076643</v>
      </c>
      <c r="LY65" s="39">
        <f t="shared" si="154"/>
        <v>9.4214365664440927E-2</v>
      </c>
      <c r="LZ65" s="39">
        <f t="shared" si="154"/>
        <v>8.9149895672073765E-2</v>
      </c>
      <c r="MA65" s="39">
        <f t="shared" si="154"/>
        <v>8.348509340917927E-2</v>
      </c>
      <c r="MB65" s="39">
        <f t="shared" si="154"/>
        <v>6.8685195768553406E-2</v>
      </c>
      <c r="MC65" s="39">
        <f t="shared" si="154"/>
        <v>6.3551999999999997E-2</v>
      </c>
      <c r="MD65" s="39">
        <f t="shared" si="154"/>
        <v>8.2990639034684274E-2</v>
      </c>
      <c r="ME65" s="39">
        <f t="shared" si="154"/>
        <v>7.6605902777777776E-2</v>
      </c>
      <c r="MF65" s="39">
        <f t="shared" si="154"/>
        <v>6.4722702917796429E-2</v>
      </c>
      <c r="MG65" s="39">
        <f t="shared" si="154"/>
        <v>6.5314026251526255E-2</v>
      </c>
      <c r="MH65" s="39">
        <f t="shared" si="154"/>
        <v>5.9795704017958279E-2</v>
      </c>
      <c r="MI65" s="39">
        <f t="shared" si="154"/>
        <v>4.2829876282021798E-2</v>
      </c>
      <c r="MJ65" s="39">
        <f t="shared" si="154"/>
        <v>4.7675996412226029E-2</v>
      </c>
      <c r="MK65" s="39">
        <f t="shared" si="154"/>
        <v>7.498740413144489E-2</v>
      </c>
      <c r="ML65" s="39">
        <f t="shared" si="154"/>
        <v>6.7606793824891279E-2</v>
      </c>
      <c r="MM65" s="39">
        <f t="shared" si="154"/>
        <v>5.3845376452753918E-2</v>
      </c>
      <c r="MN65" s="39">
        <f t="shared" si="154"/>
        <v>5.0994016176051551E-2</v>
      </c>
      <c r="MO65" s="39">
        <f t="shared" si="154"/>
        <v>5.3109318114729902E-2</v>
      </c>
      <c r="MP65" s="39">
        <f t="shared" si="154"/>
        <v>3.5337597725657428E-2</v>
      </c>
      <c r="MQ65" s="39">
        <f t="shared" si="154"/>
        <v>3.8068506962421998E-2</v>
      </c>
      <c r="MR65" s="39">
        <f t="shared" si="154"/>
        <v>6.1699632306326864E-2</v>
      </c>
      <c r="MS65" s="39">
        <f t="shared" si="154"/>
        <v>4.5497357252872669E-2</v>
      </c>
      <c r="MT65" s="39">
        <f t="shared" si="154"/>
        <v>4.0886511272449369E-2</v>
      </c>
      <c r="MU65" s="39">
        <f t="shared" si="154"/>
        <v>2.5256445015663688E-3</v>
      </c>
      <c r="MV65" s="39">
        <f t="shared" si="154"/>
        <v>4.1442846841013112E-2</v>
      </c>
      <c r="MW65" s="39">
        <f t="shared" si="154"/>
        <v>0</v>
      </c>
      <c r="MX65" s="39">
        <f t="shared" si="154"/>
        <v>0</v>
      </c>
      <c r="MY65" s="39">
        <f t="shared" si="154"/>
        <v>0</v>
      </c>
      <c r="MZ65" s="39">
        <f t="shared" si="154"/>
        <v>0</v>
      </c>
      <c r="NA65" s="39">
        <f t="shared" si="154"/>
        <v>0</v>
      </c>
      <c r="NB65" s="39">
        <f t="shared" si="154"/>
        <v>0</v>
      </c>
      <c r="NC65" s="39">
        <f t="shared" si="154"/>
        <v>0</v>
      </c>
      <c r="ND65" s="39">
        <f t="shared" si="154"/>
        <v>0</v>
      </c>
      <c r="NE65" s="39">
        <f t="shared" si="154"/>
        <v>0</v>
      </c>
      <c r="NF65" s="39">
        <f t="shared" si="154"/>
        <v>0</v>
      </c>
      <c r="NG65" s="39">
        <f t="shared" si="154"/>
        <v>0</v>
      </c>
      <c r="NH65" s="39">
        <f t="shared" si="154"/>
        <v>0</v>
      </c>
      <c r="NI65" s="39">
        <f t="shared" si="154"/>
        <v>0</v>
      </c>
      <c r="NJ65" s="39">
        <f t="shared" si="154"/>
        <v>0</v>
      </c>
      <c r="NK65" s="39">
        <f t="shared" si="154"/>
        <v>0</v>
      </c>
      <c r="NL65" s="39">
        <f t="shared" si="154"/>
        <v>0</v>
      </c>
      <c r="NM65" s="39">
        <f t="shared" si="154"/>
        <v>0</v>
      </c>
      <c r="NN65" s="39">
        <f t="shared" si="154"/>
        <v>0</v>
      </c>
      <c r="NO65" s="39">
        <f t="shared" ref="NO65" si="155">IFERROR(NO2/NO44,0)</f>
        <v>0</v>
      </c>
      <c r="NP65" s="39">
        <v>0</v>
      </c>
      <c r="NQ65" s="39">
        <v>0</v>
      </c>
      <c r="NR65" s="39">
        <v>0</v>
      </c>
      <c r="NS65" s="39">
        <v>0</v>
      </c>
      <c r="NT65" s="39">
        <v>0</v>
      </c>
      <c r="NU65" s="39">
        <v>0</v>
      </c>
      <c r="NV65" s="39">
        <v>0</v>
      </c>
      <c r="NW65" s="39">
        <v>0</v>
      </c>
      <c r="NX65" s="39">
        <v>0</v>
      </c>
      <c r="NY65" s="39">
        <v>0</v>
      </c>
      <c r="NZ65" s="39">
        <v>0</v>
      </c>
      <c r="OA65" s="39">
        <v>0</v>
      </c>
      <c r="OB65" s="39">
        <v>2.8824533362230099E-2</v>
      </c>
      <c r="OC65" s="39">
        <v>2.3719267843604501E-2</v>
      </c>
      <c r="OD65" s="39">
        <v>2.5614268096006101E-2</v>
      </c>
      <c r="OE65" s="39">
        <v>3.0360616155067199E-2</v>
      </c>
      <c r="OF65" s="39">
        <v>2.2024589478379701E-2</v>
      </c>
      <c r="OG65" s="39">
        <v>2.1054847878724098E-2</v>
      </c>
      <c r="OH65" s="39">
        <v>2.27607377274202E-2</v>
      </c>
      <c r="OI65" s="39">
        <v>2.5562552723991099E-2</v>
      </c>
      <c r="OJ65" s="39">
        <v>2.42190451571852E-2</v>
      </c>
      <c r="OK65" s="39">
        <v>2.89384236915739E-2</v>
      </c>
      <c r="OL65" s="39">
        <v>2.6641275703541301E-2</v>
      </c>
      <c r="OM65" s="39">
        <v>2.4444743572486199E-2</v>
      </c>
      <c r="ON65" s="39">
        <v>2.2652907123080799E-2</v>
      </c>
      <c r="OO65" s="39">
        <v>2.9083410367631402E-2</v>
      </c>
      <c r="OP65" s="39">
        <v>2.8445641685429401E-2</v>
      </c>
      <c r="OQ65" s="39">
        <v>2.6483334225028101E-2</v>
      </c>
      <c r="OR65" s="39">
        <v>3.1117203564085E-2</v>
      </c>
      <c r="OS65" s="39">
        <f>IFERROR(OS2/OS44,0)</f>
        <v>2.8221993833504624E-2</v>
      </c>
      <c r="OT65" s="39">
        <f t="shared" ref="OT65:OT83" si="156">IFERROR(OT2/OT44,0)</f>
        <v>2.240123593025822E-2</v>
      </c>
      <c r="OU65" s="39">
        <v>2.57555106452977E-2</v>
      </c>
      <c r="OV65" s="39">
        <v>3.5508128178726298E-2</v>
      </c>
      <c r="OW65" s="39">
        <v>3.12820991689233E-2</v>
      </c>
      <c r="OX65" s="39">
        <v>2.576226968857E-2</v>
      </c>
      <c r="OY65" s="39">
        <v>2.8833446798285998E-2</v>
      </c>
      <c r="OZ65" s="39">
        <v>3.0444572195075199E-2</v>
      </c>
      <c r="PA65" s="39">
        <v>2.7139264198397399E-2</v>
      </c>
      <c r="PB65" s="39">
        <v>2.8626599082790201E-2</v>
      </c>
      <c r="PC65" s="39">
        <v>3.5370039818755999E-2</v>
      </c>
      <c r="PD65" s="39">
        <v>3.3532189908028802E-2</v>
      </c>
      <c r="PE65" s="39">
        <v>3.3604254680362801E-2</v>
      </c>
      <c r="PF65" s="39">
        <v>3.1899320500775603E-2</v>
      </c>
      <c r="PG65" s="39">
        <v>4.0823553217320903E-2</v>
      </c>
      <c r="PH65" s="39">
        <v>3.2904450537861202E-2</v>
      </c>
      <c r="PI65" s="39">
        <v>2.9948312557008201E-2</v>
      </c>
      <c r="PJ65" s="39">
        <v>4.5187830856559703E-2</v>
      </c>
      <c r="PK65" s="39">
        <v>3.7372410773945298E-2</v>
      </c>
      <c r="PL65" s="39">
        <v>3.6277418299890202E-2</v>
      </c>
      <c r="PM65" s="39">
        <v>3.5259372363081097E-2</v>
      </c>
      <c r="PN65" s="39">
        <v>3.37205944420996E-2</v>
      </c>
      <c r="PO65" s="39">
        <v>3.4357252674845497E-2</v>
      </c>
      <c r="PP65" s="39">
        <v>3.7154195663426703E-2</v>
      </c>
      <c r="PQ65" s="39">
        <v>4.4225196633089603E-2</v>
      </c>
      <c r="PR65" s="39">
        <v>5.6141788751152499E-2</v>
      </c>
      <c r="PS65" s="39">
        <v>5.41785904835815E-2</v>
      </c>
      <c r="PT65" s="39">
        <v>5.5515979267483799E-2</v>
      </c>
      <c r="PU65" s="39">
        <v>3.9474770831612799E-2</v>
      </c>
      <c r="PV65" s="39">
        <v>4.5440965583174002E-2</v>
      </c>
      <c r="PW65" s="39">
        <v>4.3268527992983502E-2</v>
      </c>
      <c r="PX65" s="39">
        <v>4.70520728733324E-2</v>
      </c>
      <c r="PY65" s="39">
        <v>4.7621964916579898E-2</v>
      </c>
      <c r="PZ65" s="39">
        <v>4.9476563732968597E-2</v>
      </c>
      <c r="QA65" s="39">
        <v>6.0241776020133003E-2</v>
      </c>
      <c r="QB65" s="39">
        <v>4.7953616652910001E-2</v>
      </c>
      <c r="QC65" s="39">
        <v>5.1584152371650101E-2</v>
      </c>
      <c r="QD65" s="39">
        <v>5.6871621324660497E-2</v>
      </c>
      <c r="QE65" s="39">
        <v>5.8494308789496102E-2</v>
      </c>
      <c r="QF65" s="39">
        <v>6.2912423625254593E-2</v>
      </c>
      <c r="QG65" s="39">
        <v>5.5196901226597803E-2</v>
      </c>
      <c r="QH65" s="39">
        <v>7.0157496420535898E-2</v>
      </c>
      <c r="QI65" s="39">
        <v>8.0413206400648196E-2</v>
      </c>
      <c r="QJ65" s="39">
        <v>5.6066408310211202E-2</v>
      </c>
      <c r="QK65" s="39">
        <v>6.8911030154062206E-2</v>
      </c>
      <c r="QL65" s="39">
        <v>9.2523315243163498E-2</v>
      </c>
      <c r="QM65" s="39">
        <v>8.6156348710964795E-2</v>
      </c>
      <c r="QN65" s="39">
        <v>8.0544877151930497E-2</v>
      </c>
      <c r="QO65" s="39">
        <v>8.7367119901112497E-2</v>
      </c>
      <c r="QP65" s="39">
        <v>8.7749553328672403E-2</v>
      </c>
      <c r="QQ65" s="39">
        <v>9.4538435335528595E-2</v>
      </c>
      <c r="QR65" s="39">
        <v>0.10848474745790999</v>
      </c>
      <c r="QS65" s="39">
        <v>0.11396053980184501</v>
      </c>
      <c r="QT65" s="39">
        <v>0.13141151962164299</v>
      </c>
      <c r="QU65" s="39">
        <v>0.16403864591784101</v>
      </c>
      <c r="QV65" s="39">
        <v>0.166279472097276</v>
      </c>
      <c r="QW65" s="39">
        <v>0.17063047010114801</v>
      </c>
      <c r="QX65" s="39">
        <v>0.19869436530109799</v>
      </c>
      <c r="QY65" s="39">
        <v>0.22785831714242999</v>
      </c>
      <c r="QZ65" s="39">
        <v>0.28728803947144599</v>
      </c>
      <c r="RA65" s="39">
        <v>0.29070983896139502</v>
      </c>
      <c r="RB65" s="39">
        <v>0.309867669283792</v>
      </c>
      <c r="RC65" s="39">
        <v>0.30762577658667301</v>
      </c>
      <c r="RD65" s="39">
        <v>0.301007294199375</v>
      </c>
      <c r="RE65" s="39">
        <v>0.31907433380084099</v>
      </c>
      <c r="RF65" s="39">
        <v>0.38964593192314301</v>
      </c>
      <c r="RG65" s="39">
        <v>0.47675604858195297</v>
      </c>
      <c r="RH65" s="39">
        <v>0.52443284921829103</v>
      </c>
      <c r="RI65" s="39">
        <v>0.55766266797156605</v>
      </c>
      <c r="RJ65" s="39">
        <v>0.56206924844108996</v>
      </c>
      <c r="RK65" s="39">
        <v>0.57625996423562797</v>
      </c>
      <c r="RL65" s="39">
        <v>0.59441875690494705</v>
      </c>
      <c r="RM65" s="39">
        <v>0.64188224994528298</v>
      </c>
      <c r="RN65" s="39">
        <v>0.63225538675120396</v>
      </c>
      <c r="RO65" s="39">
        <v>0.66690974030805905</v>
      </c>
      <c r="RP65" s="39">
        <v>0.66149576100121099</v>
      </c>
      <c r="RQ65" s="39">
        <v>0.64675719783208796</v>
      </c>
      <c r="RR65" s="39">
        <v>0.698339699897636</v>
      </c>
      <c r="RS65" s="39">
        <v>0.65469078100657097</v>
      </c>
      <c r="RT65" s="39">
        <v>0.60976886338358605</v>
      </c>
      <c r="RU65" s="39">
        <v>0.42294847820612802</v>
      </c>
      <c r="RV65" s="39">
        <v>0.73267362709236705</v>
      </c>
      <c r="RW65" s="39">
        <v>0.72559230986711898</v>
      </c>
      <c r="RX65" s="39">
        <v>0.70639139100979198</v>
      </c>
      <c r="RY65" s="39">
        <v>0.68325893889634104</v>
      </c>
      <c r="RZ65" s="39">
        <v>0.647533466605968</v>
      </c>
      <c r="SA65" s="39">
        <v>0.69649281919929795</v>
      </c>
      <c r="SB65" s="39">
        <v>0.66860947783740299</v>
      </c>
      <c r="SC65" s="39">
        <v>0.63528944931881304</v>
      </c>
      <c r="SD65" s="39">
        <v>0.63145615274299505</v>
      </c>
      <c r="SE65" s="39">
        <v>0.590726695140673</v>
      </c>
      <c r="SF65" s="39">
        <v>0.57353192024203903</v>
      </c>
      <c r="SG65" s="39">
        <v>0.542015287676893</v>
      </c>
      <c r="SH65" s="39">
        <v>0.46823105476805499</v>
      </c>
      <c r="SI65" s="39">
        <v>0.52271989418625597</v>
      </c>
      <c r="SJ65" s="39">
        <v>0.27689654006155501</v>
      </c>
      <c r="SK65" s="39">
        <v>0.54093304048296298</v>
      </c>
      <c r="SL65" s="39">
        <v>0.49733384898451899</v>
      </c>
      <c r="SM65" s="39">
        <v>0.43160557618816903</v>
      </c>
      <c r="SN65" s="39">
        <v>0.362971458967071</v>
      </c>
      <c r="SO65" s="39">
        <v>0.32898633553280998</v>
      </c>
      <c r="SP65" s="39">
        <v>0.41074806395809399</v>
      </c>
      <c r="SQ65" s="39">
        <v>0.38410177115546801</v>
      </c>
      <c r="SR65" s="39">
        <v>0.35739859149388198</v>
      </c>
      <c r="SS65" s="39">
        <v>0.33210771346947399</v>
      </c>
      <c r="ST65" s="39">
        <v>0.29287121333120397</v>
      </c>
      <c r="SU65" s="39">
        <v>0.19938715131022799</v>
      </c>
      <c r="SV65" s="39">
        <v>0.15217286101432401</v>
      </c>
      <c r="SW65" s="39">
        <v>0.23866566689222601</v>
      </c>
      <c r="SX65" s="39">
        <v>0.26359262570783798</v>
      </c>
      <c r="SY65" s="39">
        <v>0.24746491559403799</v>
      </c>
      <c r="SZ65" s="39">
        <v>0.25548957326336103</v>
      </c>
      <c r="TA65" s="39">
        <v>0.23338944750291901</v>
      </c>
      <c r="TB65" s="39">
        <v>0.18860221288109399</v>
      </c>
      <c r="TC65" s="39">
        <v>0.18038102959059599</v>
      </c>
      <c r="TD65" s="39">
        <v>0.24610571308965101</v>
      </c>
      <c r="TE65" s="39">
        <v>0.21644468848565299</v>
      </c>
      <c r="TF65" s="39">
        <v>0.197587557205089</v>
      </c>
      <c r="TG65" s="39">
        <v>0.17572179373421601</v>
      </c>
      <c r="TH65" s="39">
        <v>0.17051295876918701</v>
      </c>
      <c r="TI65" s="39">
        <v>0.148858617570372</v>
      </c>
      <c r="TJ65" s="39">
        <v>0.13274987129513899</v>
      </c>
      <c r="TK65" s="39">
        <v>0.152711306256861</v>
      </c>
      <c r="TL65" s="39">
        <v>0.16224936621341299</v>
      </c>
      <c r="TM65" s="39">
        <v>0.186960316002205</v>
      </c>
      <c r="TN65" s="39">
        <v>0.16339081580206699</v>
      </c>
      <c r="TO65" s="39">
        <v>0.154391536345341</v>
      </c>
      <c r="TP65" s="39">
        <v>0.111008093818127</v>
      </c>
      <c r="TQ65" s="39">
        <v>0.11007309163076601</v>
      </c>
      <c r="TR65" s="39">
        <v>0.14951714951715001</v>
      </c>
      <c r="TS65" s="39">
        <v>0.120379323168464</v>
      </c>
      <c r="TT65" s="39">
        <v>0.119646712463199</v>
      </c>
      <c r="TU65" s="39">
        <v>0.11899637407170401</v>
      </c>
      <c r="TV65" s="39">
        <v>0.12032056913879199</v>
      </c>
      <c r="TW65" s="39">
        <v>9.0430042398546295E-2</v>
      </c>
      <c r="TX65" s="39">
        <v>7.1511224253645006E-2</v>
      </c>
      <c r="TY65" s="39">
        <v>0.12384734289217</v>
      </c>
      <c r="TZ65" s="39">
        <v>0.101113523634987</v>
      </c>
      <c r="UA65" s="39">
        <v>9.8183572447352999E-2</v>
      </c>
      <c r="UB65" s="39">
        <v>9.8311710628060794E-2</v>
      </c>
      <c r="UC65" s="39">
        <v>2.05996601116776E-2</v>
      </c>
      <c r="UD65" s="39">
        <v>0</v>
      </c>
      <c r="UE65" s="39">
        <v>8.0049582463465593E-2</v>
      </c>
      <c r="UF65" s="39">
        <v>0.120090383465143</v>
      </c>
      <c r="UG65" s="39">
        <v>0.109830921268325</v>
      </c>
      <c r="UH65" s="45">
        <v>8.8689230769230798E-2</v>
      </c>
      <c r="UI65" s="45">
        <v>5.8527189213216799E-2</v>
      </c>
      <c r="UJ65" s="45">
        <v>9.5930774682033496E-2</v>
      </c>
      <c r="UK65" s="45">
        <v>6.3202554345448997E-2</v>
      </c>
      <c r="UL65" s="45">
        <v>6.6159818828858005E-2</v>
      </c>
      <c r="UM65" s="45">
        <v>9.78044647461873E-2</v>
      </c>
      <c r="UN65" s="45">
        <v>9.2277909227790902E-2</v>
      </c>
      <c r="UO65" s="45">
        <v>8.4711865375275003E-2</v>
      </c>
      <c r="UP65" s="45">
        <v>9.3294460641399402E-2</v>
      </c>
      <c r="UQ65" s="45">
        <v>1.82534082891413E-2</v>
      </c>
      <c r="UR65" s="45">
        <v>4.6953822273961998E-2</v>
      </c>
      <c r="US65" s="45">
        <v>0</v>
      </c>
      <c r="UT65" s="45">
        <v>8.6465177398160301E-2</v>
      </c>
      <c r="UU65" s="45">
        <v>6.8723010487353506E-2</v>
      </c>
      <c r="UV65" s="45">
        <v>8.2743820046101299E-2</v>
      </c>
      <c r="UW65" s="45">
        <v>7.1464597478176503E-2</v>
      </c>
      <c r="UX65" s="45">
        <v>8.2461003765153695E-2</v>
      </c>
      <c r="UY65" s="45">
        <v>5.3000189286390303E-2</v>
      </c>
      <c r="UZ65" s="45">
        <v>4.4368266405484802E-2</v>
      </c>
      <c r="VA65" s="45">
        <v>7.7394859813084096E-2</v>
      </c>
      <c r="VB65" s="45">
        <v>8.2140314798702804E-2</v>
      </c>
      <c r="VC65" s="45">
        <v>3.66934758588792E-2</v>
      </c>
      <c r="VD65" s="45">
        <v>0</v>
      </c>
      <c r="VE65" s="45">
        <v>2.7997967479674798E-2</v>
      </c>
      <c r="VF65" s="45">
        <v>0</v>
      </c>
      <c r="VG65" s="45">
        <v>0</v>
      </c>
      <c r="VH65" s="45">
        <v>0</v>
      </c>
      <c r="VI65" s="45">
        <v>0</v>
      </c>
      <c r="VJ65" s="45">
        <v>0</v>
      </c>
      <c r="VK65" s="45">
        <v>0</v>
      </c>
      <c r="VL65" s="45">
        <v>0</v>
      </c>
      <c r="VM65" s="45">
        <v>0</v>
      </c>
      <c r="VN65" s="45">
        <v>0</v>
      </c>
      <c r="VO65" s="45">
        <v>0</v>
      </c>
      <c r="VP65" s="45">
        <v>0</v>
      </c>
      <c r="VQ65" s="45">
        <v>0</v>
      </c>
      <c r="VR65" s="45">
        <v>0</v>
      </c>
      <c r="VS65" s="45">
        <v>0</v>
      </c>
      <c r="VT65" s="45">
        <v>0</v>
      </c>
      <c r="VU65" s="45">
        <v>0</v>
      </c>
      <c r="VV65" s="45">
        <v>0</v>
      </c>
      <c r="VW65" s="45">
        <v>0</v>
      </c>
      <c r="VX65" s="35">
        <v>0</v>
      </c>
      <c r="VY65" s="35">
        <v>0</v>
      </c>
      <c r="VZ65" s="35">
        <v>0</v>
      </c>
      <c r="WA65" s="35">
        <v>0</v>
      </c>
      <c r="WB65" s="35">
        <v>0</v>
      </c>
      <c r="WC65" s="35">
        <v>0</v>
      </c>
      <c r="WD65" s="35">
        <v>0</v>
      </c>
      <c r="WE65" s="35">
        <v>0</v>
      </c>
      <c r="WF65" s="35">
        <v>0</v>
      </c>
      <c r="WG65" s="35">
        <v>0</v>
      </c>
      <c r="WH65" s="35">
        <v>0</v>
      </c>
      <c r="WI65" s="35">
        <v>0</v>
      </c>
      <c r="WJ65" s="35">
        <v>0</v>
      </c>
      <c r="WK65" s="35">
        <v>0</v>
      </c>
      <c r="WL65" s="35">
        <v>0</v>
      </c>
      <c r="WM65" s="35">
        <v>0</v>
      </c>
      <c r="WN65" s="35">
        <v>0</v>
      </c>
      <c r="WO65" s="35">
        <v>0</v>
      </c>
      <c r="WP65" s="35">
        <v>0</v>
      </c>
      <c r="WQ65" s="35">
        <v>0</v>
      </c>
      <c r="WR65" s="35">
        <v>0</v>
      </c>
      <c r="WS65" s="35">
        <v>0</v>
      </c>
      <c r="WT65" s="35">
        <v>0</v>
      </c>
      <c r="WU65" s="35">
        <v>0</v>
      </c>
      <c r="WV65" s="45">
        <v>0</v>
      </c>
      <c r="WW65" s="45">
        <v>0</v>
      </c>
      <c r="WX65" s="45">
        <v>0</v>
      </c>
      <c r="WY65" s="45">
        <v>0</v>
      </c>
      <c r="WZ65" s="45">
        <v>0</v>
      </c>
      <c r="XA65" s="45">
        <v>0</v>
      </c>
      <c r="XB65" s="45">
        <v>0</v>
      </c>
      <c r="XC65" s="45">
        <v>0</v>
      </c>
      <c r="XD65" s="45">
        <v>0</v>
      </c>
      <c r="XE65" s="45">
        <v>0</v>
      </c>
      <c r="XF65" s="45">
        <v>0</v>
      </c>
      <c r="XG65" s="45">
        <v>0</v>
      </c>
      <c r="XH65" s="45">
        <v>0</v>
      </c>
      <c r="XI65" s="45">
        <v>0</v>
      </c>
      <c r="XJ65" s="45">
        <v>0</v>
      </c>
      <c r="XK65" s="45">
        <v>0</v>
      </c>
      <c r="XL65" s="45">
        <v>0</v>
      </c>
      <c r="XM65" s="45">
        <v>0</v>
      </c>
      <c r="XN65" s="45">
        <v>0</v>
      </c>
      <c r="XO65" s="45">
        <v>0</v>
      </c>
      <c r="XP65" s="45">
        <v>0</v>
      </c>
      <c r="XQ65" s="45">
        <v>0</v>
      </c>
      <c r="XR65" s="45">
        <v>0</v>
      </c>
      <c r="XS65" s="45">
        <v>0</v>
      </c>
      <c r="XT65" s="45">
        <v>0</v>
      </c>
      <c r="XU65" s="45">
        <v>0</v>
      </c>
      <c r="XV65" s="45">
        <v>0</v>
      </c>
      <c r="XW65" s="45">
        <v>0</v>
      </c>
      <c r="XX65" s="45">
        <v>0</v>
      </c>
      <c r="XY65">
        <v>0</v>
      </c>
      <c r="XZ65">
        <v>0</v>
      </c>
      <c r="YA65">
        <v>0</v>
      </c>
      <c r="YB65">
        <v>0</v>
      </c>
      <c r="YC65">
        <v>0</v>
      </c>
      <c r="YD65">
        <v>0</v>
      </c>
      <c r="YE65">
        <v>0</v>
      </c>
      <c r="YF65" s="1">
        <v>0</v>
      </c>
      <c r="YG65" s="1">
        <v>0</v>
      </c>
      <c r="YH65" s="1">
        <v>0</v>
      </c>
      <c r="YI65" s="1">
        <v>0</v>
      </c>
      <c r="YJ65">
        <v>0</v>
      </c>
      <c r="YK65">
        <v>0</v>
      </c>
      <c r="YL65">
        <v>0</v>
      </c>
      <c r="YM65">
        <v>0</v>
      </c>
      <c r="YN65">
        <v>0</v>
      </c>
      <c r="YO65">
        <v>0</v>
      </c>
      <c r="YP65">
        <v>0</v>
      </c>
      <c r="YQ65">
        <v>0</v>
      </c>
      <c r="YR65">
        <v>0</v>
      </c>
      <c r="YS65">
        <v>0</v>
      </c>
      <c r="YT65">
        <v>0</v>
      </c>
      <c r="YU65">
        <v>0</v>
      </c>
      <c r="YV65">
        <v>0</v>
      </c>
      <c r="YW65">
        <v>0</v>
      </c>
      <c r="YX65">
        <v>0</v>
      </c>
      <c r="YY65">
        <v>0</v>
      </c>
      <c r="YZ65">
        <v>0</v>
      </c>
      <c r="ZA65">
        <v>0</v>
      </c>
      <c r="ZB65">
        <v>0</v>
      </c>
      <c r="ZC65">
        <v>0</v>
      </c>
      <c r="ZD65">
        <v>0</v>
      </c>
      <c r="ZE65">
        <v>0</v>
      </c>
      <c r="ZF65">
        <v>0</v>
      </c>
      <c r="ZG65">
        <v>0</v>
      </c>
      <c r="ZH65">
        <v>0</v>
      </c>
      <c r="ZI65">
        <v>0</v>
      </c>
      <c r="ZJ65">
        <v>0</v>
      </c>
      <c r="ZK65">
        <v>0</v>
      </c>
      <c r="ZL65">
        <v>0</v>
      </c>
      <c r="ZM65">
        <v>0</v>
      </c>
      <c r="ZN65">
        <v>0</v>
      </c>
      <c r="ZO65">
        <v>0</v>
      </c>
      <c r="ZP65">
        <v>0</v>
      </c>
      <c r="ZQ65">
        <v>0</v>
      </c>
      <c r="ZR65">
        <v>0</v>
      </c>
      <c r="ZS65">
        <v>0</v>
      </c>
      <c r="ZT65">
        <v>0</v>
      </c>
      <c r="ZU65">
        <v>0</v>
      </c>
      <c r="ZV65">
        <v>0</v>
      </c>
      <c r="ZW65">
        <v>0</v>
      </c>
      <c r="ZX65">
        <v>0</v>
      </c>
      <c r="ZY65">
        <v>0</v>
      </c>
      <c r="ZZ65">
        <v>0</v>
      </c>
      <c r="AAA65">
        <v>0</v>
      </c>
      <c r="AAB65">
        <v>0</v>
      </c>
      <c r="AAC65">
        <v>0</v>
      </c>
      <c r="AAD65">
        <v>0</v>
      </c>
      <c r="AAE65">
        <v>0</v>
      </c>
      <c r="AAF65">
        <v>0</v>
      </c>
      <c r="AAG65">
        <v>0</v>
      </c>
      <c r="AAH65">
        <v>0</v>
      </c>
      <c r="AAI65">
        <v>0</v>
      </c>
      <c r="AAJ65">
        <v>0</v>
      </c>
      <c r="AAK65">
        <v>0</v>
      </c>
      <c r="AAL65">
        <v>0</v>
      </c>
      <c r="AAM65">
        <v>0</v>
      </c>
      <c r="AAN65">
        <v>0</v>
      </c>
      <c r="AAO65">
        <v>0</v>
      </c>
      <c r="AAP65">
        <v>0</v>
      </c>
      <c r="AAQ65">
        <v>0</v>
      </c>
      <c r="AAR65">
        <v>0</v>
      </c>
      <c r="AAS65">
        <v>0</v>
      </c>
      <c r="AAT65">
        <v>0</v>
      </c>
      <c r="AAU65">
        <v>0</v>
      </c>
      <c r="AAV65">
        <v>0</v>
      </c>
      <c r="AAW65">
        <v>0</v>
      </c>
      <c r="AAX65">
        <v>0</v>
      </c>
      <c r="AAY65">
        <v>0</v>
      </c>
      <c r="AAZ65">
        <v>0</v>
      </c>
      <c r="ABA65">
        <v>0</v>
      </c>
      <c r="ABB65">
        <v>0</v>
      </c>
      <c r="ABC65">
        <v>0</v>
      </c>
      <c r="ABD65">
        <v>0</v>
      </c>
      <c r="ABE65">
        <v>0</v>
      </c>
      <c r="ABF65">
        <v>0</v>
      </c>
      <c r="ABG65">
        <v>0</v>
      </c>
      <c r="ABH65">
        <v>0</v>
      </c>
      <c r="ABI65">
        <v>0</v>
      </c>
      <c r="ABJ65">
        <v>0</v>
      </c>
      <c r="ABK65">
        <v>0</v>
      </c>
      <c r="ABL65">
        <v>0</v>
      </c>
      <c r="ABM65">
        <v>0</v>
      </c>
      <c r="ABN65">
        <v>0</v>
      </c>
      <c r="ABO65">
        <v>0</v>
      </c>
      <c r="ABP65">
        <v>0</v>
      </c>
      <c r="ABQ65">
        <v>0</v>
      </c>
      <c r="ABR65">
        <v>0</v>
      </c>
      <c r="ABS65">
        <v>0</v>
      </c>
      <c r="ABT65">
        <v>0</v>
      </c>
      <c r="ABU65">
        <v>0</v>
      </c>
      <c r="ABV65">
        <v>0</v>
      </c>
      <c r="ABW65">
        <v>0</v>
      </c>
      <c r="ABX65">
        <v>0</v>
      </c>
      <c r="ABY65">
        <v>0</v>
      </c>
      <c r="ABZ65">
        <v>0</v>
      </c>
      <c r="ACA65">
        <v>0</v>
      </c>
      <c r="ACB65">
        <v>0</v>
      </c>
      <c r="ACC65">
        <v>0</v>
      </c>
      <c r="ACD65">
        <v>0</v>
      </c>
      <c r="ACE65">
        <v>0</v>
      </c>
      <c r="ACF65">
        <v>0</v>
      </c>
      <c r="ACG65">
        <v>0</v>
      </c>
      <c r="ACH65">
        <v>0</v>
      </c>
      <c r="ACI65">
        <v>0</v>
      </c>
      <c r="ACJ65">
        <v>0</v>
      </c>
      <c r="ACK65">
        <v>0</v>
      </c>
      <c r="ACL65">
        <v>0</v>
      </c>
      <c r="ACM65">
        <v>0</v>
      </c>
      <c r="ACN65">
        <v>0</v>
      </c>
      <c r="ACO65">
        <v>0</v>
      </c>
      <c r="ACP65">
        <v>0</v>
      </c>
      <c r="ACQ65">
        <v>0</v>
      </c>
      <c r="ACR65">
        <v>0</v>
      </c>
      <c r="ACS65">
        <v>0</v>
      </c>
      <c r="ACT65">
        <v>0</v>
      </c>
      <c r="ACU65">
        <v>0</v>
      </c>
      <c r="ACV65">
        <v>0</v>
      </c>
      <c r="ACW65">
        <v>0</v>
      </c>
      <c r="ACX65">
        <v>0</v>
      </c>
      <c r="ACY65">
        <v>0</v>
      </c>
      <c r="ACZ65">
        <v>0</v>
      </c>
      <c r="ADA65">
        <v>0</v>
      </c>
      <c r="ADB65">
        <v>0</v>
      </c>
      <c r="ADC65">
        <v>0</v>
      </c>
      <c r="ADD65">
        <v>0</v>
      </c>
      <c r="ADE65">
        <v>0</v>
      </c>
      <c r="ADF65">
        <v>0</v>
      </c>
      <c r="ADG65">
        <v>0</v>
      </c>
      <c r="ADH65">
        <v>0</v>
      </c>
      <c r="ADI65">
        <v>0</v>
      </c>
      <c r="ADJ65">
        <v>0</v>
      </c>
      <c r="ADK65">
        <v>0</v>
      </c>
      <c r="ADL65">
        <v>0</v>
      </c>
      <c r="ADM65">
        <v>0</v>
      </c>
      <c r="ADN65">
        <v>0</v>
      </c>
      <c r="ADO65">
        <v>0</v>
      </c>
      <c r="ADP65">
        <v>0</v>
      </c>
      <c r="ADQ65">
        <v>0</v>
      </c>
      <c r="ADR65">
        <v>0</v>
      </c>
      <c r="ADS65">
        <v>0</v>
      </c>
      <c r="ADT65">
        <v>0</v>
      </c>
      <c r="ADU65">
        <v>0</v>
      </c>
      <c r="ADV65">
        <v>0</v>
      </c>
      <c r="ADW65">
        <v>0</v>
      </c>
      <c r="ADX65">
        <v>0</v>
      </c>
      <c r="ADY65">
        <v>0</v>
      </c>
      <c r="ADZ65">
        <v>0</v>
      </c>
      <c r="AEA65">
        <v>0</v>
      </c>
      <c r="AEB65">
        <v>0</v>
      </c>
      <c r="AEC65">
        <v>0</v>
      </c>
      <c r="AED65">
        <v>0</v>
      </c>
      <c r="AEE65">
        <v>0</v>
      </c>
      <c r="AEF65">
        <v>0</v>
      </c>
      <c r="AEG65">
        <v>0</v>
      </c>
      <c r="AEH65">
        <v>0</v>
      </c>
      <c r="AEI65">
        <v>0</v>
      </c>
      <c r="AEJ65">
        <v>0</v>
      </c>
      <c r="AEK65">
        <v>0</v>
      </c>
      <c r="AEL65">
        <v>0</v>
      </c>
      <c r="AEM65">
        <v>0</v>
      </c>
      <c r="AEN65">
        <v>0</v>
      </c>
      <c r="AEO65">
        <v>0</v>
      </c>
      <c r="AEP65">
        <v>0</v>
      </c>
      <c r="AEQ65">
        <v>0</v>
      </c>
      <c r="AER65">
        <v>0</v>
      </c>
      <c r="AES65">
        <v>0</v>
      </c>
      <c r="AET65">
        <v>0</v>
      </c>
      <c r="AEU65">
        <v>0</v>
      </c>
      <c r="AEV65">
        <v>0</v>
      </c>
      <c r="AEW65">
        <v>0</v>
      </c>
      <c r="AEX65">
        <v>0</v>
      </c>
      <c r="AEY65">
        <v>0</v>
      </c>
      <c r="AEZ65">
        <v>0</v>
      </c>
      <c r="AFA65">
        <v>0</v>
      </c>
      <c r="AFB65">
        <v>0</v>
      </c>
      <c r="AFC65">
        <v>0</v>
      </c>
      <c r="AFD65">
        <v>0</v>
      </c>
      <c r="AFE65">
        <v>0</v>
      </c>
      <c r="AFF65">
        <v>0</v>
      </c>
      <c r="AFG65">
        <v>0</v>
      </c>
      <c r="AFH65">
        <v>0</v>
      </c>
      <c r="AFI65">
        <v>0</v>
      </c>
      <c r="AFJ65">
        <v>0</v>
      </c>
      <c r="AFK65">
        <v>0</v>
      </c>
      <c r="AFL65">
        <v>0</v>
      </c>
      <c r="AFM65">
        <v>0</v>
      </c>
      <c r="AFN65">
        <v>0</v>
      </c>
      <c r="AFO65">
        <v>0</v>
      </c>
      <c r="AFP65">
        <v>0</v>
      </c>
      <c r="AFQ65">
        <v>0</v>
      </c>
      <c r="AFR65">
        <v>0</v>
      </c>
      <c r="AFS65">
        <v>0</v>
      </c>
      <c r="AFT65">
        <v>0</v>
      </c>
      <c r="AFU65">
        <v>0</v>
      </c>
      <c r="AFV65">
        <v>0</v>
      </c>
      <c r="AFW65">
        <v>0</v>
      </c>
      <c r="AFX65">
        <v>0</v>
      </c>
      <c r="AFY65">
        <v>0</v>
      </c>
      <c r="AFZ65">
        <v>0</v>
      </c>
      <c r="AGA65">
        <v>0</v>
      </c>
      <c r="AGB65">
        <v>0</v>
      </c>
      <c r="AGC65">
        <v>0</v>
      </c>
      <c r="AGD65">
        <v>0</v>
      </c>
      <c r="AGE65">
        <v>0</v>
      </c>
      <c r="AGF65">
        <v>0</v>
      </c>
      <c r="AGG65">
        <v>0</v>
      </c>
      <c r="AGH65">
        <v>0</v>
      </c>
      <c r="AGI65">
        <v>0</v>
      </c>
      <c r="AGJ65">
        <v>0</v>
      </c>
      <c r="AGK65">
        <v>0</v>
      </c>
      <c r="AGL65">
        <v>0</v>
      </c>
      <c r="AGM65">
        <v>0</v>
      </c>
      <c r="AGN65">
        <v>0</v>
      </c>
      <c r="AGO65">
        <v>0</v>
      </c>
      <c r="AGP65">
        <v>0</v>
      </c>
      <c r="AGQ65">
        <v>0</v>
      </c>
      <c r="AGR65">
        <v>0</v>
      </c>
      <c r="AGS65">
        <v>0</v>
      </c>
      <c r="AGT65">
        <v>0</v>
      </c>
      <c r="AGU65">
        <v>0</v>
      </c>
      <c r="AGV65">
        <v>0</v>
      </c>
      <c r="AGW65">
        <v>0</v>
      </c>
      <c r="AGX65">
        <v>0</v>
      </c>
      <c r="AGY65">
        <v>0</v>
      </c>
      <c r="AGZ65">
        <v>0</v>
      </c>
      <c r="AHA65">
        <v>0</v>
      </c>
      <c r="AHB65">
        <v>0</v>
      </c>
      <c r="AHC65">
        <v>0</v>
      </c>
      <c r="AHD65">
        <v>0</v>
      </c>
      <c r="AHE65">
        <v>0</v>
      </c>
      <c r="AHF65">
        <v>0</v>
      </c>
      <c r="AHG65">
        <v>0</v>
      </c>
      <c r="AHH65">
        <v>0</v>
      </c>
      <c r="AHI65">
        <v>0</v>
      </c>
      <c r="AHJ65">
        <v>0</v>
      </c>
      <c r="AHK65">
        <v>0</v>
      </c>
      <c r="AHL65">
        <v>0</v>
      </c>
      <c r="AHM65">
        <v>0</v>
      </c>
      <c r="AHN65">
        <v>0</v>
      </c>
      <c r="AHO65">
        <v>0</v>
      </c>
      <c r="AHP65">
        <v>0</v>
      </c>
      <c r="AHQ65">
        <v>0</v>
      </c>
    </row>
    <row r="66" spans="1:901">
      <c r="A66" s="1" t="s">
        <v>32</v>
      </c>
      <c r="C66" s="39">
        <f t="shared" ref="C66:R83" si="157">IFERROR(C3/C45,0)</f>
        <v>0.2755054066760696</v>
      </c>
      <c r="D66" s="39">
        <f t="shared" si="157"/>
        <v>0.23628509719222462</v>
      </c>
      <c r="E66" s="39">
        <f t="shared" si="157"/>
        <v>0.26137303556658398</v>
      </c>
      <c r="F66" s="39">
        <f t="shared" si="157"/>
        <v>0.26057213930348261</v>
      </c>
      <c r="G66" s="39">
        <f t="shared" si="157"/>
        <v>0.34974533106960953</v>
      </c>
      <c r="H66" s="39">
        <f t="shared" si="157"/>
        <v>0.22912047302291205</v>
      </c>
      <c r="I66" s="39">
        <f t="shared" si="157"/>
        <v>0.24034997426659804</v>
      </c>
      <c r="J66" s="39">
        <f t="shared" si="157"/>
        <v>0.4238358326756117</v>
      </c>
      <c r="K66" s="39">
        <f t="shared" si="157"/>
        <v>0.40127795527156551</v>
      </c>
      <c r="L66" s="39">
        <f t="shared" si="157"/>
        <v>0.13261648745519714</v>
      </c>
      <c r="M66" s="39">
        <f t="shared" si="157"/>
        <v>0.38385093167701861</v>
      </c>
      <c r="N66" s="39">
        <f t="shared" si="157"/>
        <v>0.23676470588235293</v>
      </c>
      <c r="O66" s="39">
        <f t="shared" si="157"/>
        <v>0.30028735632183906</v>
      </c>
      <c r="P66" s="39">
        <f t="shared" si="157"/>
        <v>0.34148827726809378</v>
      </c>
      <c r="Q66" s="39">
        <f t="shared" si="157"/>
        <v>0.33278553820870993</v>
      </c>
      <c r="R66" s="39">
        <f t="shared" si="157"/>
        <v>0.25087281795511224</v>
      </c>
      <c r="S66" s="39">
        <f t="shared" si="90"/>
        <v>0.25566106647187731</v>
      </c>
      <c r="T66" s="39">
        <f t="shared" si="90"/>
        <v>0.53488372093023251</v>
      </c>
      <c r="U66" s="39">
        <f t="shared" si="90"/>
        <v>0.21946740128558309</v>
      </c>
      <c r="V66" s="39">
        <f t="shared" si="90"/>
        <v>0.25896700143472023</v>
      </c>
      <c r="W66" s="39">
        <f t="shared" si="90"/>
        <v>0.17221418234442837</v>
      </c>
      <c r="X66" s="39">
        <f t="shared" si="90"/>
        <v>0.2104</v>
      </c>
      <c r="Y66" s="39">
        <f t="shared" si="90"/>
        <v>0.24711538461538463</v>
      </c>
      <c r="Z66" s="39">
        <f t="shared" si="90"/>
        <v>0.27816901408450706</v>
      </c>
      <c r="AA66" s="39">
        <f t="shared" si="90"/>
        <v>0.59042553191489366</v>
      </c>
      <c r="AB66" s="39">
        <f t="shared" si="90"/>
        <v>0.10679611650485436</v>
      </c>
      <c r="AC66" s="39">
        <f t="shared" si="90"/>
        <v>0.18203688853247796</v>
      </c>
      <c r="AD66" s="39">
        <f t="shared" si="90"/>
        <v>0.18879310344827585</v>
      </c>
      <c r="AE66" s="39">
        <f t="shared" si="90"/>
        <v>0.19712070874861573</v>
      </c>
      <c r="AF66" s="39">
        <f t="shared" si="90"/>
        <v>0.18479087452471482</v>
      </c>
      <c r="AG66" s="39">
        <f t="shared" si="90"/>
        <v>0.19654714475431606</v>
      </c>
      <c r="AH66" s="39">
        <f t="shared" si="90"/>
        <v>0.19365079365079366</v>
      </c>
      <c r="AI66" s="39">
        <f t="shared" si="90"/>
        <v>0.11152764761012184</v>
      </c>
      <c r="AJ66" s="39">
        <f t="shared" si="90"/>
        <v>0.26873857404021939</v>
      </c>
      <c r="AK66" s="39">
        <f t="shared" si="90"/>
        <v>0.17222723174030657</v>
      </c>
      <c r="AL66" s="39">
        <f t="shared" si="90"/>
        <v>0.13946015424164523</v>
      </c>
      <c r="AM66" s="39">
        <f t="shared" si="90"/>
        <v>0.1374485596707819</v>
      </c>
      <c r="AN66" s="39">
        <f t="shared" si="90"/>
        <v>0.39952153110047844</v>
      </c>
      <c r="AO66" s="39">
        <f t="shared" si="90"/>
        <v>0.19680851063829788</v>
      </c>
      <c r="AP66" s="39">
        <f t="shared" si="90"/>
        <v>0.10903083700440529</v>
      </c>
      <c r="AQ66" s="39">
        <f t="shared" si="90"/>
        <v>0.10082063305978899</v>
      </c>
      <c r="AR66" s="39">
        <f t="shared" si="90"/>
        <v>0.19466403162055335</v>
      </c>
      <c r="AS66" s="39">
        <f t="shared" si="90"/>
        <v>0.11915204678362573</v>
      </c>
      <c r="AT66" s="39">
        <f t="shared" si="90"/>
        <v>0.15654952076677317</v>
      </c>
      <c r="AU66" s="39">
        <f t="shared" si="90"/>
        <v>0</v>
      </c>
      <c r="AV66" s="39">
        <f t="shared" si="90"/>
        <v>6.4957264957264962E-2</v>
      </c>
      <c r="AW66" s="39">
        <f t="shared" si="90"/>
        <v>0</v>
      </c>
      <c r="AX66" s="39">
        <f t="shared" ref="AX66:AY66" si="158">IFERROR(AX3/AX45,0)</f>
        <v>8.5080147965474723E-2</v>
      </c>
      <c r="AY66" s="39">
        <f t="shared" si="158"/>
        <v>8.7621696801112661E-2</v>
      </c>
      <c r="AZ66" s="39">
        <f t="shared" si="91"/>
        <v>1.0451127819548873</v>
      </c>
      <c r="BA66" s="39">
        <f t="shared" ref="BA66:BF66" si="159">IFERROR(BA3/BA45,0)</f>
        <v>0.12116040955631399</v>
      </c>
      <c r="BB66" s="39">
        <f t="shared" si="159"/>
        <v>0.10120481927710843</v>
      </c>
      <c r="BC66" s="39">
        <f t="shared" si="159"/>
        <v>9.1603053435114504E-2</v>
      </c>
      <c r="BD66" s="39">
        <f t="shared" si="159"/>
        <v>0.1075</v>
      </c>
      <c r="BE66" s="39">
        <f t="shared" si="159"/>
        <v>9.6713615023474184E-2</v>
      </c>
      <c r="BF66" s="39">
        <f t="shared" si="159"/>
        <v>0.12240437158469945</v>
      </c>
      <c r="BG66" s="39">
        <f t="shared" ref="BG66" si="160">IFERROR(BG3/BG45,0)</f>
        <v>0.12176724137931035</v>
      </c>
      <c r="BH66" s="39">
        <f t="shared" si="93"/>
        <v>0.13996889580093314</v>
      </c>
      <c r="BI66" s="39">
        <f t="shared" ref="BI66:BK66" si="161">IFERROR(BI3/BI45,0)</f>
        <v>0.11324570273003033</v>
      </c>
      <c r="BJ66" s="39">
        <f t="shared" si="161"/>
        <v>0.11711711711711711</v>
      </c>
      <c r="BK66" s="39">
        <f t="shared" si="161"/>
        <v>0.1152073732718894</v>
      </c>
      <c r="BL66" s="39">
        <f t="shared" ref="BL66:BM66" si="162">IFERROR(BL3/BL45,0)</f>
        <v>9.6590909090909088E-2</v>
      </c>
      <c r="BM66" s="39">
        <f t="shared" si="162"/>
        <v>9.8259979529170927E-2</v>
      </c>
      <c r="BN66" s="39">
        <f t="shared" ref="BN66:BO66" si="163">IFERROR(BN3/BN45,0)</f>
        <v>0.11278648974668275</v>
      </c>
      <c r="BO66" s="39">
        <f t="shared" si="163"/>
        <v>7.4581430745814303E-2</v>
      </c>
      <c r="BP66" s="39">
        <f t="shared" ref="BP66:BQ66" si="164">IFERROR(BP3/BP45,0)</f>
        <v>0.12734082397003746</v>
      </c>
      <c r="BQ66" s="39">
        <f t="shared" si="164"/>
        <v>6.8459657701711488E-2</v>
      </c>
      <c r="BR66" s="39">
        <f t="shared" ref="BR66:BS66" si="165">IFERROR(BR3/BR45,0)</f>
        <v>9.1056910569105698E-2</v>
      </c>
      <c r="BS66" s="39">
        <f t="shared" si="165"/>
        <v>8.835027365129007E-2</v>
      </c>
      <c r="BT66" s="39">
        <f t="shared" ref="BT66:BU66" si="166">IFERROR(BT3/BT45,0)</f>
        <v>0.10470779220779221</v>
      </c>
      <c r="BU66" s="39">
        <f t="shared" si="166"/>
        <v>0.1</v>
      </c>
      <c r="BV66" s="39">
        <f t="shared" ref="BV66:BW66" si="167">IFERROR(BV3/BV45,0)</f>
        <v>8.462164361269324E-2</v>
      </c>
      <c r="BW66" s="39">
        <f t="shared" si="167"/>
        <v>0.10652173913043478</v>
      </c>
      <c r="BX66" s="39">
        <f t="shared" ref="BX66:BY66" si="168">IFERROR(BX3/BX45,0)</f>
        <v>6.9124423963133647E-2</v>
      </c>
      <c r="BY66" s="39">
        <f t="shared" si="168"/>
        <v>7.7547339945897201E-2</v>
      </c>
      <c r="BZ66" s="39">
        <f t="shared" ref="BZ66:CA66" si="169">IFERROR(BZ3/BZ45,0)</f>
        <v>7.4780058651026396E-2</v>
      </c>
      <c r="CA66" s="39">
        <f t="shared" si="169"/>
        <v>0.11971372804163956</v>
      </c>
      <c r="CB66" s="39">
        <f t="shared" ref="CB66:CC66" si="170">IFERROR(CB3/CB45,0)</f>
        <v>0.12315586914688903</v>
      </c>
      <c r="CC66" s="39">
        <f t="shared" si="170"/>
        <v>9.9856321839080456E-2</v>
      </c>
      <c r="CD66" s="39">
        <f t="shared" ref="CD66:CE66" si="171">IFERROR(CD3/CD45,0)</f>
        <v>0.15168029064486829</v>
      </c>
      <c r="CE66" s="39">
        <f t="shared" si="171"/>
        <v>0.22666666666666666</v>
      </c>
      <c r="CF66" s="39">
        <f t="shared" ref="CF66:CG66" si="172">IFERROR(CF3/CF45,0)</f>
        <v>0.1096045197740113</v>
      </c>
      <c r="CG66" s="39">
        <f t="shared" si="172"/>
        <v>0.13404255319148936</v>
      </c>
      <c r="CH66" s="39">
        <f t="shared" ref="CH66:CI66" si="173">IFERROR(CH3/CH45,0)</f>
        <v>0.17455138662316477</v>
      </c>
      <c r="CI66" s="39">
        <f t="shared" si="173"/>
        <v>0.15025427646786871</v>
      </c>
      <c r="CJ66" s="39">
        <f t="shared" ref="CJ66:CK66" si="174">IFERROR(CJ3/CJ45,0)</f>
        <v>0.18505338078291814</v>
      </c>
      <c r="CK66" s="39">
        <f t="shared" si="174"/>
        <v>0.25934579439252337</v>
      </c>
      <c r="CL66" s="39">
        <f t="shared" ref="CL66:CM66" si="175">IFERROR(CL3/CL45,0)</f>
        <v>0.33613445378151263</v>
      </c>
      <c r="CM66" s="39">
        <f t="shared" si="175"/>
        <v>0.16142384105960264</v>
      </c>
      <c r="CN66" s="39">
        <f t="shared" ref="CN66:CO66" si="176">IFERROR(CN3/CN45,0)</f>
        <v>0.21721311475409835</v>
      </c>
      <c r="CO66" s="39">
        <f t="shared" si="176"/>
        <v>0.21689895470383275</v>
      </c>
      <c r="CP66" s="39">
        <f t="shared" ref="CP66:CQ66" si="177">IFERROR(CP3/CP45,0)</f>
        <v>0.27550397067806964</v>
      </c>
      <c r="CQ66" s="39">
        <f t="shared" si="177"/>
        <v>0.25540897097625331</v>
      </c>
      <c r="CR66" s="39">
        <f t="shared" ref="CR66:CS66" si="178">IFERROR(CR3/CR45,0)</f>
        <v>0.30561023622047245</v>
      </c>
      <c r="CS66" s="39">
        <f t="shared" si="178"/>
        <v>0.32188295165394404</v>
      </c>
      <c r="CT66" s="39">
        <f t="shared" ref="CT66:CU66" si="179">IFERROR(CT3/CT45,0)</f>
        <v>0.1792079207920792</v>
      </c>
      <c r="CU66" s="39">
        <f t="shared" si="179"/>
        <v>0.40823743185947908</v>
      </c>
      <c r="CV66" s="39">
        <f t="shared" ref="CV66:CW66" si="180">IFERROR(CV3/CV45,0)</f>
        <v>0.37696924231057766</v>
      </c>
      <c r="CW66" s="39">
        <f t="shared" si="180"/>
        <v>0.35989104528430371</v>
      </c>
      <c r="CX66" s="39">
        <f t="shared" ref="CX66:CY66" si="181">IFERROR(CX3/CX45,0)</f>
        <v>0.4571150097465887</v>
      </c>
      <c r="CY66" s="39">
        <f t="shared" si="181"/>
        <v>0.40350877192982454</v>
      </c>
      <c r="CZ66" s="39">
        <f t="shared" ref="CZ66:DA66" si="182">IFERROR(CZ3/CZ45,0)</f>
        <v>0.35693641618497107</v>
      </c>
      <c r="DA66" s="39">
        <f t="shared" si="182"/>
        <v>0.44046920821114371</v>
      </c>
      <c r="DB66" s="39">
        <f t="shared" ref="DB66:DC66" si="183">IFERROR(DB3/DB45,0)</f>
        <v>0.34870550161812297</v>
      </c>
      <c r="DC66" s="39">
        <f t="shared" si="183"/>
        <v>0.41445715880547029</v>
      </c>
      <c r="DD66" s="39">
        <f t="shared" ref="DD66:DE66" si="184">IFERROR(DD3/DD45,0)</f>
        <v>0.40886814469078181</v>
      </c>
      <c r="DE66" s="39">
        <f t="shared" si="184"/>
        <v>0.64014869888475834</v>
      </c>
      <c r="DF66" s="39">
        <f t="shared" ref="DF66:DG66" si="185">IFERROR(DF3/DF45,0)</f>
        <v>0.35139573070607555</v>
      </c>
      <c r="DG66" s="39">
        <f t="shared" si="185"/>
        <v>0.37407407407407406</v>
      </c>
      <c r="DH66" s="39">
        <f t="shared" ref="DH66:DI66" si="186">IFERROR(DH3/DH45,0)</f>
        <v>0.35426166257453523</v>
      </c>
      <c r="DI66" s="39">
        <f t="shared" si="186"/>
        <v>0.37620730270906949</v>
      </c>
      <c r="DJ66" s="39">
        <f t="shared" ref="DJ66:DK66" si="187">IFERROR(DJ3/DJ45,0)</f>
        <v>0.36055567249000209</v>
      </c>
      <c r="DK66" s="39">
        <f t="shared" si="187"/>
        <v>0.3651309501051424</v>
      </c>
      <c r="DL66" s="39">
        <f t="shared" ref="DL66:DM66" si="188">IFERROR(DL3/DL45,0)</f>
        <v>0.40796827113755185</v>
      </c>
      <c r="DM66" s="39">
        <f t="shared" si="188"/>
        <v>0.60463405663847003</v>
      </c>
      <c r="DN66" s="39">
        <f t="shared" ref="DN66:DO66" si="189">IFERROR(DN3/DN45,0)</f>
        <v>0.3724559023066486</v>
      </c>
      <c r="DO66" s="39">
        <f t="shared" si="189"/>
        <v>0.3463548146305051</v>
      </c>
      <c r="DP66" s="39">
        <f t="shared" ref="DP66:DQ66" si="190">IFERROR(DP3/DP45,0)</f>
        <v>0.3966074313408724</v>
      </c>
      <c r="DQ66" s="39">
        <f t="shared" si="190"/>
        <v>0.34977044720285666</v>
      </c>
      <c r="DR66" s="39">
        <f t="shared" ref="DR66:DS66" si="191">IFERROR(DR3/DR45,0)</f>
        <v>0.40893023255813954</v>
      </c>
      <c r="DS66" s="39">
        <f t="shared" si="191"/>
        <v>0.46268656716417911</v>
      </c>
      <c r="DT66" s="39">
        <f t="shared" ref="DT66:DU66" si="192">IFERROR(DT3/DT45,0)</f>
        <v>0.47052205220522053</v>
      </c>
      <c r="DU66" s="39">
        <f t="shared" si="192"/>
        <v>0.44905885867941442</v>
      </c>
      <c r="DV66" s="39">
        <f t="shared" si="125"/>
        <v>0.41059602649006621</v>
      </c>
      <c r="DW66" s="39">
        <f t="shared" si="125"/>
        <v>0.37705967045272759</v>
      </c>
      <c r="DX66" s="39">
        <f t="shared" ref="DX66:DY66" si="193">IFERROR(DX3/DX45,0)</f>
        <v>0.50427350427350426</v>
      </c>
      <c r="DY66" s="39">
        <f t="shared" si="193"/>
        <v>0.40151630022744506</v>
      </c>
      <c r="DZ66" s="39">
        <f t="shared" ref="DZ66:EA66" si="194">IFERROR(DZ3/DZ45,0)</f>
        <v>0.40460169307575428</v>
      </c>
      <c r="EA66" s="39">
        <f t="shared" si="194"/>
        <v>0.36663844199830653</v>
      </c>
      <c r="EB66" s="39">
        <f t="shared" ref="EB66:EC66" si="195">IFERROR(EB3/EB45,0)</f>
        <v>0.35513385293120975</v>
      </c>
      <c r="EC66" s="39">
        <f t="shared" si="195"/>
        <v>0.31169058452922649</v>
      </c>
      <c r="ED66" s="39">
        <f t="shared" ref="ED66:EE66" si="196">IFERROR(ED3/ED45,0)</f>
        <v>0.35360260393549342</v>
      </c>
      <c r="EE66" s="39">
        <f t="shared" si="196"/>
        <v>0.3778510217534608</v>
      </c>
      <c r="EF66" s="39">
        <f t="shared" ref="EF66:EG66" si="197">IFERROR(EF3/EF45,0)</f>
        <v>0.32623938983884859</v>
      </c>
      <c r="EG66" s="39">
        <f t="shared" si="197"/>
        <v>0.31901400023932031</v>
      </c>
      <c r="EH66" s="39">
        <f t="shared" ref="EH66:EI66" si="198">IFERROR(EH3/EH45,0)</f>
        <v>0.34515407126872094</v>
      </c>
      <c r="EI66" s="39">
        <f t="shared" si="198"/>
        <v>0.38666308147351436</v>
      </c>
      <c r="EJ66" s="39">
        <f t="shared" ref="EJ66:EK66" si="199">IFERROR(EJ3/EJ45,0)</f>
        <v>0.28159261396422391</v>
      </c>
      <c r="EK66" s="39">
        <f t="shared" si="199"/>
        <v>0.29117043121149899</v>
      </c>
      <c r="EL66" s="39">
        <f t="shared" ref="EL66:EM66" si="200">IFERROR(EL3/EL45,0)</f>
        <v>0.2612461220268873</v>
      </c>
      <c r="EM66" s="39">
        <f t="shared" si="200"/>
        <v>0.28275316455696203</v>
      </c>
      <c r="EN66" s="39">
        <f t="shared" ref="EN66:EO66" si="201">IFERROR(EN3/EN45,0)</f>
        <v>0.26142567462174388</v>
      </c>
      <c r="EO66" s="39">
        <f t="shared" si="201"/>
        <v>0.25631313131313133</v>
      </c>
      <c r="EP66" s="39">
        <f t="shared" ref="EP66" si="202">IFERROR(EP3/EP45,0)</f>
        <v>0.26433522369250156</v>
      </c>
      <c r="EQ66" s="39">
        <f t="shared" ref="EQ66:ER66" si="203">IFERROR(EQ3/EQ45,0)</f>
        <v>0.2335375191424196</v>
      </c>
      <c r="ER66" s="39">
        <f t="shared" si="203"/>
        <v>0.21740354829625458</v>
      </c>
      <c r="ES66" s="39">
        <f t="shared" ref="ES66:ET66" si="204">IFERROR(ES3/ES45,0)</f>
        <v>0.21794240708835835</v>
      </c>
      <c r="ET66" s="39">
        <f t="shared" si="204"/>
        <v>0.23214285714285715</v>
      </c>
      <c r="EU66" s="39">
        <f t="shared" ref="EU66:EV66" si="205">IFERROR(EU3/EU45,0)</f>
        <v>0.21290432996748246</v>
      </c>
      <c r="EV66" s="39">
        <f t="shared" si="205"/>
        <v>0.21420415620004568</v>
      </c>
      <c r="EW66" s="39">
        <f t="shared" ref="EW66:EX66" si="206">IFERROR(EW3/EW45,0)</f>
        <v>0.26135936913255725</v>
      </c>
      <c r="EX66" s="39">
        <f t="shared" si="206"/>
        <v>0.15512048192771086</v>
      </c>
      <c r="EY66" s="39">
        <f t="shared" ref="EY66:EZ66" si="207">IFERROR(EY3/EY45,0)</f>
        <v>0.24265975820379965</v>
      </c>
      <c r="EZ66" s="39">
        <f t="shared" si="207"/>
        <v>0.15897642554906308</v>
      </c>
      <c r="FA66" s="39">
        <f t="shared" ref="FA66:FB66" si="208">IFERROR(FA3/FA45,0)</f>
        <v>0.15473684210526314</v>
      </c>
      <c r="FB66" s="39">
        <f t="shared" si="208"/>
        <v>0.16993656881545952</v>
      </c>
      <c r="FC66" s="39">
        <f t="shared" ref="FC66:FD66" si="209">IFERROR(FC3/FC45,0)</f>
        <v>0.25277008310249305</v>
      </c>
      <c r="FD66" s="39">
        <f t="shared" si="209"/>
        <v>0.16602931803696622</v>
      </c>
      <c r="FE66" s="39">
        <f t="shared" ref="FE66:FF66" si="210">IFERROR(FE3/FE45,0)</f>
        <v>0.13160637189221377</v>
      </c>
      <c r="FF66" s="39">
        <f t="shared" si="210"/>
        <v>0.17209834190966267</v>
      </c>
      <c r="FG66" s="39">
        <f t="shared" ref="FG66:FH66" si="211">IFERROR(FG3/FG45,0)</f>
        <v>0.13017693952945752</v>
      </c>
      <c r="FH66" s="39">
        <f t="shared" si="211"/>
        <v>0.14497896950578337</v>
      </c>
      <c r="FI66" s="39">
        <f t="shared" ref="FI66:FJ66" si="212">IFERROR(FI3/FI45,0)</f>
        <v>0.14536306771824858</v>
      </c>
      <c r="FJ66" s="39">
        <f t="shared" si="212"/>
        <v>0.16412309231923944</v>
      </c>
      <c r="FK66" s="39">
        <f t="shared" ref="FK66:FL66" si="213">IFERROR(FK3/FK45,0)</f>
        <v>0.11647798742138364</v>
      </c>
      <c r="FL66" s="39">
        <f t="shared" si="213"/>
        <v>0.11261529306753942</v>
      </c>
      <c r="FM66" s="39">
        <f t="shared" ref="FM66" si="214">IFERROR(FM3/FM45,0)</f>
        <v>0.11991499696417729</v>
      </c>
      <c r="FN66" s="39">
        <v>0.11769686706181202</v>
      </c>
      <c r="FO66" s="39">
        <f t="shared" ref="FO66" si="215">IFERROR(FO3/FO45,0)</f>
        <v>0.16195888350325924</v>
      </c>
      <c r="FP66" s="39">
        <v>0.12580558539205156</v>
      </c>
      <c r="FQ66" s="39">
        <f t="shared" ref="FQ66:HA66" si="216">IFERROR(FQ3/FQ45,0)</f>
        <v>0.16147378832838774</v>
      </c>
      <c r="FR66" s="39">
        <v>0.14067944250871081</v>
      </c>
      <c r="FS66" s="39">
        <f t="shared" si="216"/>
        <v>0.12684931506849315</v>
      </c>
      <c r="FT66" s="39">
        <f t="shared" si="216"/>
        <v>0</v>
      </c>
      <c r="FU66" s="39">
        <f t="shared" si="216"/>
        <v>6.8979658792650916E-2</v>
      </c>
      <c r="FV66" s="39">
        <f t="shared" si="216"/>
        <v>0.11013590033975085</v>
      </c>
      <c r="FW66" s="39">
        <f t="shared" si="216"/>
        <v>0.11238983929497148</v>
      </c>
      <c r="FX66" s="39">
        <f t="shared" si="216"/>
        <v>0.12779552715654952</v>
      </c>
      <c r="FY66" s="39">
        <f t="shared" si="216"/>
        <v>0.10793383795906925</v>
      </c>
      <c r="FZ66" s="39">
        <f t="shared" si="216"/>
        <v>9.1131664853101202E-2</v>
      </c>
      <c r="GA66" s="39">
        <f t="shared" si="216"/>
        <v>0.12454752647808018</v>
      </c>
      <c r="GB66" s="39">
        <f t="shared" si="216"/>
        <v>0.13209647495361782</v>
      </c>
      <c r="GC66" s="39">
        <f t="shared" si="216"/>
        <v>0.13517641667939514</v>
      </c>
      <c r="GD66" s="39">
        <f t="shared" si="216"/>
        <v>0.13479477611940299</v>
      </c>
      <c r="GE66" s="39">
        <f t="shared" si="216"/>
        <v>0.16543209876543211</v>
      </c>
      <c r="GF66" s="39">
        <f t="shared" si="216"/>
        <v>0.11780243000528262</v>
      </c>
      <c r="GG66" s="39">
        <f t="shared" si="216"/>
        <v>9.4663803072856434E-2</v>
      </c>
      <c r="GH66" s="39">
        <f t="shared" si="216"/>
        <v>0.10237596086652691</v>
      </c>
      <c r="GI66" s="39">
        <f t="shared" si="216"/>
        <v>0.12126121635094717</v>
      </c>
      <c r="GJ66" s="39">
        <f t="shared" si="216"/>
        <v>0.12150706436420722</v>
      </c>
      <c r="GK66" s="39">
        <f t="shared" si="216"/>
        <v>0.14758782988737604</v>
      </c>
      <c r="GL66" s="39">
        <f t="shared" si="216"/>
        <v>0.13551937628984179</v>
      </c>
      <c r="GM66" s="39">
        <f t="shared" si="216"/>
        <v>0.14508233199821985</v>
      </c>
      <c r="GN66" s="39">
        <f t="shared" si="216"/>
        <v>0.10828313253012048</v>
      </c>
      <c r="GO66" s="39">
        <f t="shared" si="216"/>
        <v>0.14090431125131442</v>
      </c>
      <c r="GP66" s="39">
        <f t="shared" si="216"/>
        <v>0.11293260473588343</v>
      </c>
      <c r="GQ66" s="39">
        <f t="shared" si="216"/>
        <v>0.12739916550764951</v>
      </c>
      <c r="GR66" s="39">
        <f t="shared" si="216"/>
        <v>0.1470239506758359</v>
      </c>
      <c r="GS66" s="39">
        <f t="shared" si="216"/>
        <v>0.13426284533953009</v>
      </c>
      <c r="GT66" s="39">
        <f t="shared" si="216"/>
        <v>0.12907683803206191</v>
      </c>
      <c r="GU66" s="39">
        <f t="shared" si="216"/>
        <v>0.12534209085933223</v>
      </c>
      <c r="GV66" s="39">
        <f t="shared" si="216"/>
        <v>0.10851926977687627</v>
      </c>
      <c r="GW66" s="39">
        <f t="shared" si="216"/>
        <v>0.11085926231197198</v>
      </c>
      <c r="GX66" s="39">
        <f t="shared" si="216"/>
        <v>0.11636193155180496</v>
      </c>
      <c r="GY66" s="39">
        <f t="shared" si="216"/>
        <v>0.12546767597668146</v>
      </c>
      <c r="GZ66" s="39">
        <f t="shared" si="216"/>
        <v>0.14575090995410667</v>
      </c>
      <c r="HA66" s="39">
        <f t="shared" si="216"/>
        <v>6.2976069093744383E-2</v>
      </c>
      <c r="HB66" s="39">
        <f t="shared" si="148"/>
        <v>5.9317459365441132E-2</v>
      </c>
      <c r="HC66" s="39">
        <f t="shared" si="148"/>
        <v>0.10434865172806684</v>
      </c>
      <c r="HD66" s="39">
        <f t="shared" ref="HD66:JO66" si="217">IFERROR(HD3/HD45,0)</f>
        <v>0.11626442812172089</v>
      </c>
      <c r="HE66" s="39">
        <f t="shared" si="217"/>
        <v>0.10051294577430386</v>
      </c>
      <c r="HF66" s="39">
        <f t="shared" si="217"/>
        <v>0.12314686696975687</v>
      </c>
      <c r="HG66" s="39">
        <f t="shared" si="217"/>
        <v>0</v>
      </c>
      <c r="HH66" s="39">
        <f t="shared" si="217"/>
        <v>5.3922583316083628E-2</v>
      </c>
      <c r="HI66" s="39">
        <f t="shared" si="217"/>
        <v>0.11352487736510161</v>
      </c>
      <c r="HJ66" s="39">
        <f t="shared" si="217"/>
        <v>0.11075495571488823</v>
      </c>
      <c r="HK66" s="39">
        <f t="shared" si="217"/>
        <v>0.12205001761183515</v>
      </c>
      <c r="HL66" s="39">
        <f t="shared" si="217"/>
        <v>0.11976587122917605</v>
      </c>
      <c r="HM66" s="39">
        <f t="shared" si="217"/>
        <v>0.15821650679877727</v>
      </c>
      <c r="HN66" s="39">
        <f t="shared" si="217"/>
        <v>0.24096161013790532</v>
      </c>
      <c r="HO66" s="39">
        <f t="shared" si="217"/>
        <v>0.1420011983223487</v>
      </c>
      <c r="HP66" s="39">
        <f t="shared" si="217"/>
        <v>0.11223671013039117</v>
      </c>
      <c r="HQ66" s="39">
        <f t="shared" si="217"/>
        <v>0.13285457809694792</v>
      </c>
      <c r="HR66" s="39">
        <f t="shared" si="217"/>
        <v>0.13947508423479341</v>
      </c>
      <c r="HS66" s="39">
        <f t="shared" si="217"/>
        <v>0.13076076489200716</v>
      </c>
      <c r="HT66" s="39">
        <f t="shared" si="217"/>
        <v>0.13111752693472289</v>
      </c>
      <c r="HU66" s="39">
        <f t="shared" si="217"/>
        <v>0.15701783911141029</v>
      </c>
      <c r="HV66" s="39">
        <f t="shared" si="217"/>
        <v>0.16589122412963261</v>
      </c>
      <c r="HW66" s="39">
        <f t="shared" si="217"/>
        <v>0.13870747636221853</v>
      </c>
      <c r="HX66" s="39">
        <f t="shared" si="217"/>
        <v>0.15524489197379998</v>
      </c>
      <c r="HY66" s="39">
        <f t="shared" si="217"/>
        <v>0.1630821187344472</v>
      </c>
      <c r="HZ66" s="39">
        <f t="shared" si="217"/>
        <v>0.18522750883025141</v>
      </c>
      <c r="IA66" s="39">
        <f t="shared" si="217"/>
        <v>0.2023919991751727</v>
      </c>
      <c r="IB66" s="39">
        <f t="shared" si="217"/>
        <v>0.22520193861066237</v>
      </c>
      <c r="IC66" s="39">
        <f t="shared" si="217"/>
        <v>0.24686483975847653</v>
      </c>
      <c r="ID66" s="39">
        <f t="shared" si="217"/>
        <v>0.17213908924534396</v>
      </c>
      <c r="IE66" s="39">
        <f t="shared" si="217"/>
        <v>0.21007360113505366</v>
      </c>
      <c r="IF66" s="39">
        <f t="shared" si="217"/>
        <v>0.25452928754029119</v>
      </c>
      <c r="IG66" s="39">
        <f t="shared" si="217"/>
        <v>0.19878501518731015</v>
      </c>
      <c r="IH66" s="39">
        <f t="shared" si="217"/>
        <v>0.20550413629289868</v>
      </c>
      <c r="II66" s="39">
        <f t="shared" si="217"/>
        <v>0.32757670402351646</v>
      </c>
      <c r="IJ66" s="39">
        <f t="shared" si="217"/>
        <v>0.24122102364011935</v>
      </c>
      <c r="IK66" s="39">
        <f t="shared" si="217"/>
        <v>0.23727922624053827</v>
      </c>
      <c r="IL66" s="39">
        <f t="shared" si="217"/>
        <v>0.23527825227007101</v>
      </c>
      <c r="IM66" s="39">
        <f t="shared" si="217"/>
        <v>0.22367782629791363</v>
      </c>
      <c r="IN66" s="39">
        <f t="shared" si="217"/>
        <v>0.21959277756434883</v>
      </c>
      <c r="IO66" s="39">
        <f t="shared" si="217"/>
        <v>0.24034231784371751</v>
      </c>
      <c r="IP66" s="39">
        <f t="shared" si="217"/>
        <v>0.2355886935232584</v>
      </c>
      <c r="IQ66" s="39">
        <f t="shared" si="217"/>
        <v>0.24052502050861363</v>
      </c>
      <c r="IR66" s="39">
        <f t="shared" si="217"/>
        <v>0.21231547870097006</v>
      </c>
      <c r="IS66" s="39">
        <f t="shared" si="217"/>
        <v>0.22676367786575363</v>
      </c>
      <c r="IT66" s="39">
        <f t="shared" si="217"/>
        <v>0.22224527910354847</v>
      </c>
      <c r="IU66" s="39">
        <f t="shared" si="217"/>
        <v>0.2114037545530961</v>
      </c>
      <c r="IV66" s="39">
        <f t="shared" si="217"/>
        <v>0.20872600349040141</v>
      </c>
      <c r="IW66" s="39">
        <f t="shared" si="217"/>
        <v>0.22627968337730869</v>
      </c>
      <c r="IX66" s="39">
        <f t="shared" si="217"/>
        <v>0.237934297688252</v>
      </c>
      <c r="IY66" s="39">
        <f t="shared" si="217"/>
        <v>0.22043222003929272</v>
      </c>
      <c r="IZ66" s="39">
        <f t="shared" si="217"/>
        <v>0.23271078630396536</v>
      </c>
      <c r="JA66" s="39">
        <f t="shared" si="217"/>
        <v>0.22711678331274873</v>
      </c>
      <c r="JB66" s="39">
        <f t="shared" si="217"/>
        <v>0.23047727488376507</v>
      </c>
      <c r="JC66" s="39">
        <f t="shared" si="217"/>
        <v>0.23157082207641838</v>
      </c>
      <c r="JD66" s="39">
        <f t="shared" si="217"/>
        <v>0.23699000832639466</v>
      </c>
      <c r="JE66" s="39">
        <f t="shared" si="217"/>
        <v>0.23193113529316225</v>
      </c>
      <c r="JF66" s="39">
        <f t="shared" si="217"/>
        <v>0.22646941223510597</v>
      </c>
      <c r="JG66" s="39">
        <f t="shared" si="217"/>
        <v>0.20666943982251804</v>
      </c>
      <c r="JH66" s="39">
        <f t="shared" si="217"/>
        <v>0.21460115154564258</v>
      </c>
      <c r="JI66" s="39">
        <f t="shared" si="217"/>
        <v>0.1985140611568218</v>
      </c>
      <c r="JJ66" s="39">
        <f t="shared" si="217"/>
        <v>0.20453972257250946</v>
      </c>
      <c r="JK66" s="39">
        <f t="shared" si="217"/>
        <v>0</v>
      </c>
      <c r="JL66" s="39">
        <f t="shared" si="217"/>
        <v>0.22950585546986577</v>
      </c>
      <c r="JM66" s="39">
        <f t="shared" si="217"/>
        <v>0.19898289412852518</v>
      </c>
      <c r="JN66" s="39">
        <f t="shared" si="217"/>
        <v>0.1815677966101695</v>
      </c>
      <c r="JO66" s="39">
        <f t="shared" si="217"/>
        <v>0.17581055111276425</v>
      </c>
      <c r="JP66" s="39">
        <f t="shared" ref="JP66:MA66" si="218">IFERROR(JP3/JP45,0)</f>
        <v>0.17787504974134499</v>
      </c>
      <c r="JQ66" s="39">
        <f t="shared" si="218"/>
        <v>0.15780062583817614</v>
      </c>
      <c r="JR66" s="39">
        <f t="shared" si="218"/>
        <v>0.17554324669791224</v>
      </c>
      <c r="JS66" s="39">
        <f t="shared" si="218"/>
        <v>0.18926455210874868</v>
      </c>
      <c r="JT66" s="39">
        <f t="shared" si="218"/>
        <v>0.18449649843033084</v>
      </c>
      <c r="JU66" s="39">
        <f t="shared" si="218"/>
        <v>0.15396693451556295</v>
      </c>
      <c r="JV66" s="39">
        <f t="shared" si="218"/>
        <v>0.16626382480041016</v>
      </c>
      <c r="JW66" s="39">
        <f t="shared" si="218"/>
        <v>0.18305084745762712</v>
      </c>
      <c r="JX66" s="39">
        <f t="shared" si="218"/>
        <v>0.16992446071178258</v>
      </c>
      <c r="JY66" s="39">
        <f t="shared" si="218"/>
        <v>0.17573889007016799</v>
      </c>
      <c r="JZ66" s="39">
        <f t="shared" si="218"/>
        <v>0.14540293329127899</v>
      </c>
      <c r="KA66" s="39">
        <f t="shared" si="218"/>
        <v>0.15582061068702291</v>
      </c>
      <c r="KB66" s="39">
        <f t="shared" si="218"/>
        <v>0.16540566645202834</v>
      </c>
      <c r="KC66" s="39">
        <f t="shared" si="218"/>
        <v>0.15595043254617721</v>
      </c>
      <c r="KD66" s="39">
        <f t="shared" si="218"/>
        <v>0.13873121869782973</v>
      </c>
      <c r="KE66" s="39">
        <f t="shared" si="218"/>
        <v>0.1431899641577061</v>
      </c>
      <c r="KF66" s="39">
        <f t="shared" si="218"/>
        <v>0.16664363686610473</v>
      </c>
      <c r="KG66" s="39">
        <f t="shared" si="218"/>
        <v>0.16845740598618572</v>
      </c>
      <c r="KH66" s="39">
        <f t="shared" si="218"/>
        <v>0.15857126606756911</v>
      </c>
      <c r="KI66" s="39">
        <f t="shared" si="218"/>
        <v>0.17162726008344922</v>
      </c>
      <c r="KJ66" s="39">
        <f t="shared" si="218"/>
        <v>0.15062333946454118</v>
      </c>
      <c r="KK66" s="39">
        <f t="shared" si="218"/>
        <v>0.13726891131553096</v>
      </c>
      <c r="KL66" s="39">
        <f t="shared" si="218"/>
        <v>0.11453813993847124</v>
      </c>
      <c r="KM66" s="39">
        <f t="shared" si="218"/>
        <v>0.15466173005721978</v>
      </c>
      <c r="KN66" s="39">
        <f t="shared" si="218"/>
        <v>0.17403017241379309</v>
      </c>
      <c r="KO66" s="39">
        <f t="shared" si="218"/>
        <v>0.13616681859617139</v>
      </c>
      <c r="KP66" s="39">
        <f t="shared" si="218"/>
        <v>0.13637262658227847</v>
      </c>
      <c r="KQ66" s="39">
        <f t="shared" si="218"/>
        <v>0.13270637408568442</v>
      </c>
      <c r="KR66" s="39">
        <f t="shared" si="218"/>
        <v>0.1294998105342933</v>
      </c>
      <c r="KS66" s="39">
        <f t="shared" si="218"/>
        <v>0.12307539485447502</v>
      </c>
      <c r="KT66" s="39">
        <f t="shared" si="218"/>
        <v>0.14975764666555239</v>
      </c>
      <c r="KU66" s="39">
        <f t="shared" si="218"/>
        <v>0.12154696132596685</v>
      </c>
      <c r="KV66" s="39">
        <f t="shared" si="218"/>
        <v>0.12658062834050318</v>
      </c>
      <c r="KW66" s="39">
        <f t="shared" si="218"/>
        <v>0</v>
      </c>
      <c r="KX66" s="39">
        <f t="shared" si="218"/>
        <v>0.12029921098473204</v>
      </c>
      <c r="KY66" s="39">
        <f t="shared" si="218"/>
        <v>0.11375132337372074</v>
      </c>
      <c r="KZ66" s="39">
        <f t="shared" si="218"/>
        <v>0.12095822515931083</v>
      </c>
      <c r="LA66" s="39">
        <f t="shared" si="218"/>
        <v>0.11207660932789501</v>
      </c>
      <c r="LB66" s="39">
        <f t="shared" si="218"/>
        <v>0.13904407200496585</v>
      </c>
      <c r="LC66" s="39">
        <f t="shared" si="218"/>
        <v>0.11517450682852808</v>
      </c>
      <c r="LD66" s="39">
        <f t="shared" si="218"/>
        <v>9.2415761167819119E-2</v>
      </c>
      <c r="LE66" s="39">
        <f t="shared" si="218"/>
        <v>0.10120778349362558</v>
      </c>
      <c r="LF66" s="39">
        <f t="shared" si="218"/>
        <v>0.11650815217391304</v>
      </c>
      <c r="LG66" s="39">
        <f t="shared" si="218"/>
        <v>0.41224686595949855</v>
      </c>
      <c r="LH66" s="39">
        <f t="shared" si="218"/>
        <v>0.11884753901560624</v>
      </c>
      <c r="LI66" s="39">
        <f t="shared" si="218"/>
        <v>0.1238575480617712</v>
      </c>
      <c r="LJ66" s="39">
        <f t="shared" si="218"/>
        <v>0.10568971220641747</v>
      </c>
      <c r="LK66" s="39">
        <f t="shared" si="218"/>
        <v>9.1000125172111659E-2</v>
      </c>
      <c r="LL66" s="39">
        <f t="shared" si="218"/>
        <v>9.5445680853504647E-2</v>
      </c>
      <c r="LM66" s="39">
        <f t="shared" si="218"/>
        <v>8.3763350534021355E-2</v>
      </c>
      <c r="LN66" s="39">
        <f t="shared" si="218"/>
        <v>4.9994647254041326E-2</v>
      </c>
      <c r="LO66" s="39">
        <f t="shared" si="218"/>
        <v>0</v>
      </c>
      <c r="LP66" s="39">
        <f t="shared" si="218"/>
        <v>1.4700580813138393E-2</v>
      </c>
      <c r="LQ66" s="39">
        <f t="shared" si="218"/>
        <v>0.10246039770812268</v>
      </c>
      <c r="LR66" s="39">
        <f t="shared" si="218"/>
        <v>9.5515151515151511E-2</v>
      </c>
      <c r="LS66" s="39">
        <f t="shared" si="218"/>
        <v>8.7005649717514122E-2</v>
      </c>
      <c r="LT66" s="39">
        <f t="shared" si="218"/>
        <v>9.0075376884422104E-2</v>
      </c>
      <c r="LU66" s="39">
        <f t="shared" si="218"/>
        <v>8.9718402095612312E-2</v>
      </c>
      <c r="LV66" s="39">
        <f t="shared" si="218"/>
        <v>9.1793647879566731E-2</v>
      </c>
      <c r="LW66" s="39">
        <f t="shared" si="218"/>
        <v>0.12058465286236297</v>
      </c>
      <c r="LX66" s="39">
        <f t="shared" si="218"/>
        <v>0</v>
      </c>
      <c r="LY66" s="39">
        <f t="shared" si="218"/>
        <v>8.6913701834297669E-2</v>
      </c>
      <c r="LZ66" s="39">
        <f t="shared" si="218"/>
        <v>8.4665482534043809E-2</v>
      </c>
      <c r="MA66" s="39">
        <f t="shared" si="218"/>
        <v>9.4956253216675238E-2</v>
      </c>
      <c r="MB66" s="39">
        <f t="shared" ref="MB66:NN66" si="219">IFERROR(MB3/MB45,0)</f>
        <v>8.9386820864956029E-2</v>
      </c>
      <c r="MC66" s="39">
        <f t="shared" si="219"/>
        <v>8.4659913169319825E-2</v>
      </c>
      <c r="MD66" s="39">
        <f t="shared" si="219"/>
        <v>0.10340531561461794</v>
      </c>
      <c r="ME66" s="39">
        <f t="shared" si="219"/>
        <v>8.4692814994793475E-2</v>
      </c>
      <c r="MF66" s="39">
        <f t="shared" si="219"/>
        <v>7.4996822168552177E-2</v>
      </c>
      <c r="MG66" s="39">
        <f t="shared" si="219"/>
        <v>7.9320772272621534E-2</v>
      </c>
      <c r="MH66" s="39">
        <f t="shared" si="219"/>
        <v>6.6441017926538795E-2</v>
      </c>
      <c r="MI66" s="39">
        <f t="shared" si="219"/>
        <v>3.6643615883652954E-2</v>
      </c>
      <c r="MJ66" s="39">
        <f t="shared" si="219"/>
        <v>6.93359375E-2</v>
      </c>
      <c r="MK66" s="39">
        <f t="shared" si="219"/>
        <v>9.9803536345776031E-2</v>
      </c>
      <c r="ML66" s="39">
        <f t="shared" si="219"/>
        <v>7.4389140271493209E-2</v>
      </c>
      <c r="MM66" s="39">
        <f t="shared" si="219"/>
        <v>6.1055127445168937E-2</v>
      </c>
      <c r="MN66" s="39">
        <f t="shared" si="219"/>
        <v>6.5828930458374985E-2</v>
      </c>
      <c r="MO66" s="39">
        <f t="shared" si="219"/>
        <v>5.6423377322919473E-2</v>
      </c>
      <c r="MP66" s="39">
        <f t="shared" si="219"/>
        <v>6.6676308938385886E-2</v>
      </c>
      <c r="MQ66" s="39">
        <f t="shared" si="219"/>
        <v>6.3796909492273735E-2</v>
      </c>
      <c r="MR66" s="39">
        <f t="shared" si="219"/>
        <v>7.3076923076923081E-2</v>
      </c>
      <c r="MS66" s="39">
        <f t="shared" si="219"/>
        <v>0</v>
      </c>
      <c r="MT66" s="39">
        <f t="shared" si="219"/>
        <v>6.0821008149713252E-2</v>
      </c>
      <c r="MU66" s="39">
        <f t="shared" si="219"/>
        <v>5.8718861209964411E-2</v>
      </c>
      <c r="MV66" s="39">
        <f t="shared" si="219"/>
        <v>5.8451573103022826E-2</v>
      </c>
      <c r="MW66" s="39">
        <f t="shared" si="219"/>
        <v>0</v>
      </c>
      <c r="MX66" s="39">
        <f t="shared" si="219"/>
        <v>0</v>
      </c>
      <c r="MY66" s="39">
        <f t="shared" si="219"/>
        <v>0</v>
      </c>
      <c r="MZ66" s="39">
        <f t="shared" si="219"/>
        <v>0</v>
      </c>
      <c r="NA66" s="39">
        <f t="shared" si="219"/>
        <v>6.2282469316724674E-2</v>
      </c>
      <c r="NB66" s="39">
        <f t="shared" si="219"/>
        <v>6.1855670103092786E-2</v>
      </c>
      <c r="NC66" s="39">
        <f t="shared" si="219"/>
        <v>0</v>
      </c>
      <c r="ND66" s="39">
        <f t="shared" si="219"/>
        <v>8.2185273159144895E-2</v>
      </c>
      <c r="NE66" s="39">
        <f t="shared" si="219"/>
        <v>5.7910586055130879E-2</v>
      </c>
      <c r="NF66" s="39">
        <f t="shared" si="219"/>
        <v>8.0342795929298341E-2</v>
      </c>
      <c r="NG66" s="39">
        <f t="shared" si="219"/>
        <v>6.2995594713656386E-2</v>
      </c>
      <c r="NH66" s="39">
        <f t="shared" si="219"/>
        <v>5.259339862169024E-2</v>
      </c>
      <c r="NI66" s="39">
        <f t="shared" si="219"/>
        <v>5.1111848655824757E-2</v>
      </c>
      <c r="NJ66" s="39">
        <f t="shared" si="219"/>
        <v>0</v>
      </c>
      <c r="NK66" s="39">
        <f t="shared" si="219"/>
        <v>0</v>
      </c>
      <c r="NL66" s="39">
        <f t="shared" si="219"/>
        <v>5.3468604332327939E-2</v>
      </c>
      <c r="NM66" s="39">
        <f t="shared" si="219"/>
        <v>5.859375E-2</v>
      </c>
      <c r="NN66" s="39">
        <f t="shared" si="219"/>
        <v>6.4863722797380091E-2</v>
      </c>
      <c r="NO66" s="39">
        <f t="shared" ref="NO66" si="220">IFERROR(NO3/NO45,0)</f>
        <v>7.5021026072329688E-2</v>
      </c>
      <c r="NP66" s="39">
        <v>6.2192204868439599E-2</v>
      </c>
      <c r="NQ66" s="39">
        <v>6.1028021316830001E-2</v>
      </c>
      <c r="NR66" s="39">
        <v>0</v>
      </c>
      <c r="NS66" s="39">
        <v>0</v>
      </c>
      <c r="NT66" s="39">
        <v>8.6812144212523701E-2</v>
      </c>
      <c r="NU66" s="39">
        <v>6.6387872451646596E-2</v>
      </c>
      <c r="NV66" s="39">
        <v>6.6266912669126696E-2</v>
      </c>
      <c r="NW66" s="39">
        <v>7.08251196845959E-2</v>
      </c>
      <c r="NX66" s="39">
        <v>6.9015938002632005E-2</v>
      </c>
      <c r="NY66" s="39">
        <v>0</v>
      </c>
      <c r="NZ66" s="39">
        <v>6.3204005006257793E-2</v>
      </c>
      <c r="OA66" s="39">
        <v>0</v>
      </c>
      <c r="OB66" s="39">
        <v>6.0559951308581897E-2</v>
      </c>
      <c r="OC66" s="39">
        <v>7.7394388906804307E-2</v>
      </c>
      <c r="OD66" s="39">
        <v>8.1310324656332297E-2</v>
      </c>
      <c r="OE66" s="39">
        <v>8.0236861584011804E-2</v>
      </c>
      <c r="OF66" s="39">
        <v>7.5079074413184593E-2</v>
      </c>
      <c r="OG66" s="39">
        <v>7.36984448951995E-2</v>
      </c>
      <c r="OH66" s="39">
        <v>7.4058577405857695E-2</v>
      </c>
      <c r="OI66" s="39">
        <v>9.0361445783132502E-2</v>
      </c>
      <c r="OJ66" s="39">
        <v>0</v>
      </c>
      <c r="OK66" s="39">
        <v>7.9545454545454503E-2</v>
      </c>
      <c r="OL66" s="39">
        <v>8.5595656339827506E-2</v>
      </c>
      <c r="OM66" s="39">
        <v>8.3200463835338495E-2</v>
      </c>
      <c r="ON66" s="39">
        <v>8.43725643024162E-2</v>
      </c>
      <c r="OO66" s="39">
        <v>2.19000938575451E-2</v>
      </c>
      <c r="OP66" s="39">
        <v>0</v>
      </c>
      <c r="OQ66" s="39">
        <v>0.10564918851435701</v>
      </c>
      <c r="OR66" s="39">
        <v>0.100755308536412</v>
      </c>
      <c r="OS66" s="39">
        <f t="shared" ref="OS66" si="221">IFERROR(OS3/OS45,0)</f>
        <v>8.3921894474449518E-2</v>
      </c>
      <c r="OT66" s="39">
        <f>IFERROR(OT3/OT45,0)</f>
        <v>0</v>
      </c>
      <c r="OU66" s="39">
        <v>9.6741135478581694E-2</v>
      </c>
      <c r="OV66" s="39">
        <v>0.108341323106424</v>
      </c>
      <c r="OW66" s="39">
        <v>0</v>
      </c>
      <c r="OX66" s="39">
        <v>6.9491829771951896E-2</v>
      </c>
      <c r="OY66" s="39">
        <v>0.125135232600072</v>
      </c>
      <c r="OZ66" s="39">
        <v>0</v>
      </c>
      <c r="PA66" s="39">
        <v>0.12387358801878399</v>
      </c>
      <c r="PB66" s="39">
        <v>0</v>
      </c>
      <c r="PC66" s="39">
        <v>0</v>
      </c>
      <c r="PD66" s="39">
        <v>0</v>
      </c>
      <c r="PE66" s="39">
        <v>0</v>
      </c>
      <c r="PF66" s="39">
        <v>0</v>
      </c>
      <c r="PG66" s="39">
        <v>0</v>
      </c>
      <c r="PH66" s="39">
        <v>0</v>
      </c>
      <c r="PI66" s="39">
        <v>0</v>
      </c>
      <c r="PJ66" s="39">
        <v>0</v>
      </c>
      <c r="PK66" s="39">
        <v>0</v>
      </c>
      <c r="PL66" s="39">
        <v>0</v>
      </c>
      <c r="PM66" s="39">
        <v>0</v>
      </c>
      <c r="PN66" s="39">
        <v>0</v>
      </c>
      <c r="PO66" s="39">
        <v>0</v>
      </c>
      <c r="PP66" s="39">
        <v>0.11281878061138299</v>
      </c>
      <c r="PQ66" s="39">
        <v>0</v>
      </c>
      <c r="PR66" s="39">
        <v>0</v>
      </c>
      <c r="PS66" s="39">
        <v>0</v>
      </c>
      <c r="PT66" s="39">
        <v>0</v>
      </c>
      <c r="PU66" s="39">
        <v>0</v>
      </c>
      <c r="PV66" s="39">
        <v>0.15506617982656301</v>
      </c>
      <c r="PW66" s="39">
        <v>0.12152186257808099</v>
      </c>
      <c r="PX66" s="39">
        <v>0.248955431754875</v>
      </c>
      <c r="PY66" s="39">
        <v>0.161924623864144</v>
      </c>
      <c r="PZ66" s="39">
        <v>0</v>
      </c>
      <c r="QA66" s="39">
        <v>0</v>
      </c>
      <c r="QB66" s="39">
        <v>0</v>
      </c>
      <c r="QC66" s="39">
        <v>0</v>
      </c>
      <c r="QD66" s="39">
        <v>0</v>
      </c>
      <c r="QE66" s="39">
        <v>0</v>
      </c>
      <c r="QF66" s="39">
        <v>0</v>
      </c>
      <c r="QG66" s="39">
        <v>0</v>
      </c>
      <c r="QH66" s="39">
        <v>0</v>
      </c>
      <c r="QI66" s="39">
        <v>0</v>
      </c>
      <c r="QJ66" s="39">
        <v>0.19589026807134699</v>
      </c>
      <c r="QK66" s="39">
        <v>0</v>
      </c>
      <c r="QL66" s="39">
        <v>0.155310919369235</v>
      </c>
      <c r="QM66" s="39">
        <v>0</v>
      </c>
      <c r="QN66" s="39">
        <v>0</v>
      </c>
      <c r="QO66" s="39">
        <v>0.18326206475259599</v>
      </c>
      <c r="QP66" s="39">
        <v>0</v>
      </c>
      <c r="QQ66" s="39">
        <v>0</v>
      </c>
      <c r="QR66" s="39">
        <v>0</v>
      </c>
      <c r="QS66" s="39">
        <v>0</v>
      </c>
      <c r="QT66" s="39">
        <v>0</v>
      </c>
      <c r="QU66" s="39">
        <v>0</v>
      </c>
      <c r="QV66" s="39">
        <v>0.213534675615213</v>
      </c>
      <c r="QW66" s="39">
        <v>0</v>
      </c>
      <c r="QX66" s="39">
        <v>0.23217011995638001</v>
      </c>
      <c r="QY66" s="39">
        <v>0</v>
      </c>
      <c r="QZ66" s="39">
        <v>0</v>
      </c>
      <c r="RA66" s="39">
        <v>0</v>
      </c>
      <c r="RB66" s="39">
        <v>0</v>
      </c>
      <c r="RC66" s="39">
        <v>0</v>
      </c>
      <c r="RD66" s="39">
        <v>0</v>
      </c>
      <c r="RE66" s="39">
        <v>0</v>
      </c>
      <c r="RF66" s="39">
        <v>0</v>
      </c>
      <c r="RG66" s="39">
        <v>0</v>
      </c>
      <c r="RH66" s="39">
        <v>0</v>
      </c>
      <c r="RI66" s="39">
        <v>0</v>
      </c>
      <c r="RJ66" s="39">
        <v>0</v>
      </c>
      <c r="RK66" s="39">
        <v>0</v>
      </c>
      <c r="RL66" s="39">
        <v>0</v>
      </c>
      <c r="RM66" s="39">
        <v>0</v>
      </c>
      <c r="RN66" s="39">
        <v>0</v>
      </c>
      <c r="RO66" s="39">
        <v>0</v>
      </c>
      <c r="RP66" s="39">
        <v>0</v>
      </c>
      <c r="RQ66" s="39">
        <v>0</v>
      </c>
      <c r="RR66" s="39">
        <v>0</v>
      </c>
      <c r="RS66" s="39">
        <v>0</v>
      </c>
      <c r="RT66" s="39">
        <v>0.47599230088955902</v>
      </c>
      <c r="RU66" s="39">
        <v>0</v>
      </c>
      <c r="RV66" s="39">
        <v>0</v>
      </c>
      <c r="RW66" s="39">
        <v>0</v>
      </c>
      <c r="RX66" s="39">
        <v>0</v>
      </c>
      <c r="RY66" s="39">
        <v>0</v>
      </c>
      <c r="RZ66" s="39">
        <v>0</v>
      </c>
      <c r="SA66" s="39">
        <v>0</v>
      </c>
      <c r="SB66" s="39">
        <v>0</v>
      </c>
      <c r="SC66" s="39">
        <v>0</v>
      </c>
      <c r="SD66" s="39">
        <v>0</v>
      </c>
      <c r="SE66" s="39">
        <v>0</v>
      </c>
      <c r="SF66" s="39">
        <v>0</v>
      </c>
      <c r="SG66" s="39">
        <v>0</v>
      </c>
      <c r="SH66" s="39">
        <v>0</v>
      </c>
      <c r="SI66" s="39">
        <v>0</v>
      </c>
      <c r="SJ66" s="39">
        <v>0</v>
      </c>
      <c r="SK66" s="39">
        <v>0</v>
      </c>
      <c r="SL66" s="39">
        <v>0</v>
      </c>
      <c r="SM66" s="39">
        <v>0</v>
      </c>
      <c r="SN66" s="39">
        <v>0</v>
      </c>
      <c r="SO66" s="39">
        <v>0</v>
      </c>
      <c r="SP66" s="39">
        <v>0</v>
      </c>
      <c r="SQ66" s="39">
        <v>0</v>
      </c>
      <c r="SR66" s="39">
        <v>0.171875</v>
      </c>
      <c r="SS66" s="39">
        <v>0</v>
      </c>
      <c r="ST66" s="39">
        <v>0</v>
      </c>
      <c r="SU66" s="39">
        <v>0</v>
      </c>
      <c r="SV66" s="39">
        <v>0</v>
      </c>
      <c r="SW66" s="39">
        <v>0</v>
      </c>
      <c r="SX66" s="39">
        <v>0</v>
      </c>
      <c r="SY66" s="39">
        <v>0</v>
      </c>
      <c r="SZ66" s="39">
        <v>0</v>
      </c>
      <c r="TA66" s="39">
        <v>0</v>
      </c>
      <c r="TB66" s="39">
        <v>0</v>
      </c>
      <c r="TC66" s="39">
        <v>0</v>
      </c>
      <c r="TD66" s="39">
        <v>7.1732522796352602E-2</v>
      </c>
      <c r="TE66" s="39">
        <v>0</v>
      </c>
      <c r="TF66" s="39">
        <v>0</v>
      </c>
      <c r="TG66" s="39">
        <v>0</v>
      </c>
      <c r="TH66" s="39">
        <v>0</v>
      </c>
      <c r="TI66" s="39">
        <v>0</v>
      </c>
      <c r="TJ66" s="39">
        <v>0</v>
      </c>
      <c r="TK66" s="39">
        <v>0</v>
      </c>
      <c r="TL66" s="39">
        <v>0</v>
      </c>
      <c r="TM66" s="39">
        <v>0</v>
      </c>
      <c r="TN66" s="39">
        <v>0</v>
      </c>
      <c r="TO66" s="39">
        <v>0</v>
      </c>
      <c r="TP66" s="39">
        <v>0</v>
      </c>
      <c r="TQ66" s="39">
        <v>0</v>
      </c>
      <c r="TR66" s="39">
        <v>0</v>
      </c>
      <c r="TS66" s="39">
        <v>5.5508258130427403E-2</v>
      </c>
      <c r="TT66" s="39">
        <v>6.44194756554307E-2</v>
      </c>
      <c r="TU66" s="39">
        <v>0</v>
      </c>
      <c r="TV66" s="39">
        <v>0</v>
      </c>
      <c r="TW66" s="39">
        <v>0</v>
      </c>
      <c r="TX66" s="39">
        <v>0</v>
      </c>
      <c r="TY66" s="39">
        <v>0</v>
      </c>
      <c r="TZ66" s="39">
        <v>0</v>
      </c>
      <c r="UA66" s="39">
        <v>0</v>
      </c>
      <c r="UB66" s="39">
        <v>0</v>
      </c>
      <c r="UC66" s="39">
        <v>0</v>
      </c>
      <c r="UD66" s="39">
        <v>0</v>
      </c>
      <c r="UE66" s="39">
        <v>0</v>
      </c>
      <c r="UF66" s="39">
        <v>0</v>
      </c>
      <c r="UG66" s="39">
        <v>0</v>
      </c>
      <c r="UH66" s="45">
        <v>0</v>
      </c>
      <c r="UI66" s="45">
        <v>0</v>
      </c>
      <c r="UJ66" s="45">
        <v>0</v>
      </c>
      <c r="UK66" s="45">
        <v>0</v>
      </c>
      <c r="UL66" s="45">
        <v>0</v>
      </c>
      <c r="UM66" s="45">
        <v>0</v>
      </c>
      <c r="UN66" s="45">
        <v>0</v>
      </c>
      <c r="UO66" s="45">
        <v>0</v>
      </c>
      <c r="UP66" s="45">
        <v>0</v>
      </c>
      <c r="UQ66" s="45">
        <v>0</v>
      </c>
      <c r="UR66" s="45">
        <v>0</v>
      </c>
      <c r="US66" s="45">
        <v>0</v>
      </c>
      <c r="UT66" s="45">
        <v>0</v>
      </c>
      <c r="UU66" s="45">
        <v>2.26035998325659E-2</v>
      </c>
      <c r="UV66" s="45">
        <v>0</v>
      </c>
      <c r="UW66" s="45">
        <v>0</v>
      </c>
      <c r="UX66" s="45">
        <v>0</v>
      </c>
      <c r="UY66" s="45">
        <v>0</v>
      </c>
      <c r="UZ66" s="45">
        <v>0</v>
      </c>
      <c r="VA66" s="45">
        <v>4.3248438250840897E-2</v>
      </c>
      <c r="VB66" s="45">
        <v>0</v>
      </c>
      <c r="VC66" s="45">
        <v>0</v>
      </c>
      <c r="VD66" s="45">
        <v>0</v>
      </c>
      <c r="VE66" s="45">
        <v>0</v>
      </c>
      <c r="VF66" s="45">
        <v>0</v>
      </c>
      <c r="VG66" s="45">
        <v>0</v>
      </c>
      <c r="VH66" s="45">
        <v>0</v>
      </c>
      <c r="VI66" s="45">
        <v>2.4346076458752499E-2</v>
      </c>
      <c r="VJ66" s="45">
        <v>0</v>
      </c>
      <c r="VK66" s="45">
        <v>0</v>
      </c>
      <c r="VL66" s="45">
        <v>0</v>
      </c>
      <c r="VM66" s="45">
        <v>0</v>
      </c>
      <c r="VN66" s="45">
        <v>0</v>
      </c>
      <c r="VO66" s="45">
        <v>0</v>
      </c>
      <c r="VP66" s="45">
        <v>1.8671799807507199E-2</v>
      </c>
      <c r="VQ66" s="45">
        <v>0</v>
      </c>
      <c r="VR66" s="45">
        <v>0</v>
      </c>
      <c r="VS66" s="45">
        <v>0</v>
      </c>
      <c r="VT66" s="45">
        <v>0</v>
      </c>
      <c r="VU66" s="45">
        <v>1.25136017410229E-2</v>
      </c>
      <c r="VV66" s="45">
        <v>0</v>
      </c>
      <c r="VW66" s="45">
        <v>0</v>
      </c>
      <c r="VX66" s="35">
        <v>0</v>
      </c>
      <c r="VY66" s="35">
        <v>1.32042253521127E-2</v>
      </c>
      <c r="VZ66" s="35">
        <v>0</v>
      </c>
      <c r="WA66" s="35">
        <v>0</v>
      </c>
      <c r="WB66" s="35">
        <v>0</v>
      </c>
      <c r="WC66" s="35">
        <v>0</v>
      </c>
      <c r="WD66" s="35">
        <v>0</v>
      </c>
      <c r="WE66" s="35">
        <v>0</v>
      </c>
      <c r="WF66" s="35">
        <v>0</v>
      </c>
      <c r="WG66" s="35">
        <v>0</v>
      </c>
      <c r="WH66" s="35">
        <v>0</v>
      </c>
      <c r="WI66" s="35">
        <v>0</v>
      </c>
      <c r="WJ66" s="35">
        <v>0</v>
      </c>
      <c r="WK66" s="35">
        <v>0</v>
      </c>
      <c r="WL66" s="35">
        <v>0</v>
      </c>
      <c r="WM66" s="35">
        <v>0</v>
      </c>
      <c r="WN66" s="35">
        <v>0</v>
      </c>
      <c r="WO66" s="35">
        <v>0</v>
      </c>
      <c r="WP66" s="35">
        <v>0</v>
      </c>
      <c r="WQ66" s="35">
        <v>0</v>
      </c>
      <c r="WR66" s="35">
        <v>0</v>
      </c>
      <c r="WS66" s="35">
        <v>0</v>
      </c>
      <c r="WT66" s="35">
        <v>0</v>
      </c>
      <c r="WU66" s="35">
        <v>0</v>
      </c>
      <c r="WV66" s="45">
        <v>0</v>
      </c>
      <c r="WW66" s="45">
        <v>0</v>
      </c>
      <c r="WX66" s="45">
        <v>0</v>
      </c>
      <c r="WY66" s="45">
        <v>0</v>
      </c>
      <c r="WZ66" s="45">
        <v>0</v>
      </c>
      <c r="XA66" s="45">
        <v>0</v>
      </c>
      <c r="XB66" s="45">
        <v>0</v>
      </c>
      <c r="XC66" s="45">
        <v>0</v>
      </c>
      <c r="XD66" s="45">
        <v>0</v>
      </c>
      <c r="XE66" s="45">
        <v>0</v>
      </c>
      <c r="XF66" s="45">
        <v>0</v>
      </c>
      <c r="XG66" s="45">
        <v>0</v>
      </c>
      <c r="XH66" s="45">
        <v>0</v>
      </c>
      <c r="XI66" s="45">
        <v>0</v>
      </c>
      <c r="XJ66" s="45">
        <v>0</v>
      </c>
      <c r="XK66" s="45">
        <v>0</v>
      </c>
      <c r="XL66" s="45">
        <v>0</v>
      </c>
      <c r="XM66" s="45">
        <v>0</v>
      </c>
      <c r="XN66" s="45">
        <v>0</v>
      </c>
      <c r="XO66" s="45">
        <v>0</v>
      </c>
      <c r="XP66" s="45">
        <v>0</v>
      </c>
      <c r="XQ66" s="45">
        <v>0</v>
      </c>
      <c r="XR66" s="45">
        <v>0</v>
      </c>
      <c r="XS66" s="45">
        <v>0</v>
      </c>
      <c r="XT66" s="45">
        <v>0</v>
      </c>
      <c r="XU66" s="45">
        <v>0</v>
      </c>
      <c r="XV66" s="45">
        <v>0</v>
      </c>
      <c r="XW66" s="45">
        <v>0</v>
      </c>
      <c r="XX66" s="45">
        <v>0</v>
      </c>
      <c r="XY66">
        <v>0</v>
      </c>
      <c r="XZ66">
        <v>0</v>
      </c>
      <c r="YA66">
        <v>0</v>
      </c>
      <c r="YB66">
        <v>0</v>
      </c>
      <c r="YC66">
        <v>0</v>
      </c>
      <c r="YD66">
        <v>0</v>
      </c>
      <c r="YE66">
        <v>0</v>
      </c>
      <c r="YF66" s="1">
        <v>0</v>
      </c>
      <c r="YG66" s="1">
        <v>0</v>
      </c>
      <c r="YH66" s="1">
        <v>0</v>
      </c>
      <c r="YI66" s="1">
        <v>0</v>
      </c>
      <c r="YJ66">
        <v>0</v>
      </c>
      <c r="YK66">
        <v>0</v>
      </c>
      <c r="YL66">
        <v>0</v>
      </c>
      <c r="YM66">
        <v>0</v>
      </c>
      <c r="YN66">
        <v>0</v>
      </c>
      <c r="YO66">
        <v>0</v>
      </c>
      <c r="YP66">
        <v>0</v>
      </c>
      <c r="YQ66">
        <v>0</v>
      </c>
      <c r="YR66">
        <v>0</v>
      </c>
      <c r="YS66">
        <v>0</v>
      </c>
      <c r="YT66">
        <v>0</v>
      </c>
      <c r="YU66">
        <v>0</v>
      </c>
      <c r="YV66">
        <v>0</v>
      </c>
      <c r="YW66">
        <v>0</v>
      </c>
      <c r="YX66">
        <v>0</v>
      </c>
      <c r="YY66">
        <v>0</v>
      </c>
      <c r="YZ66">
        <v>0</v>
      </c>
      <c r="ZA66">
        <v>0</v>
      </c>
      <c r="ZB66">
        <v>0</v>
      </c>
      <c r="ZC66">
        <v>0</v>
      </c>
      <c r="ZD66">
        <v>0</v>
      </c>
      <c r="ZE66">
        <v>0</v>
      </c>
      <c r="ZF66">
        <v>0</v>
      </c>
      <c r="ZG66">
        <v>0</v>
      </c>
      <c r="ZH66">
        <v>0</v>
      </c>
      <c r="ZI66">
        <v>0</v>
      </c>
      <c r="ZJ66">
        <v>0</v>
      </c>
      <c r="ZK66">
        <v>0</v>
      </c>
      <c r="ZL66">
        <v>0</v>
      </c>
      <c r="ZM66">
        <v>0</v>
      </c>
      <c r="ZN66">
        <v>0</v>
      </c>
      <c r="ZO66">
        <v>0</v>
      </c>
      <c r="ZP66">
        <v>0</v>
      </c>
      <c r="ZQ66">
        <v>0</v>
      </c>
      <c r="ZR66">
        <v>0</v>
      </c>
      <c r="ZS66">
        <v>0</v>
      </c>
      <c r="ZT66">
        <v>0</v>
      </c>
      <c r="ZU66">
        <v>0</v>
      </c>
      <c r="ZV66">
        <v>0</v>
      </c>
      <c r="ZW66">
        <v>0</v>
      </c>
      <c r="ZX66">
        <v>0</v>
      </c>
      <c r="ZY66">
        <v>0</v>
      </c>
      <c r="ZZ66">
        <v>0</v>
      </c>
      <c r="AAA66">
        <v>0</v>
      </c>
      <c r="AAB66">
        <v>0</v>
      </c>
      <c r="AAC66">
        <v>0</v>
      </c>
      <c r="AAD66">
        <v>0</v>
      </c>
      <c r="AAE66">
        <v>0</v>
      </c>
      <c r="AAF66">
        <v>0</v>
      </c>
      <c r="AAG66">
        <v>0</v>
      </c>
      <c r="AAH66">
        <v>0</v>
      </c>
      <c r="AAI66">
        <v>0</v>
      </c>
      <c r="AAJ66">
        <v>0</v>
      </c>
      <c r="AAK66">
        <v>0</v>
      </c>
      <c r="AAL66">
        <v>0</v>
      </c>
      <c r="AAM66">
        <v>0</v>
      </c>
      <c r="AAN66">
        <v>0</v>
      </c>
      <c r="AAO66">
        <v>0</v>
      </c>
      <c r="AAP66">
        <v>0</v>
      </c>
      <c r="AAQ66">
        <v>0</v>
      </c>
      <c r="AAR66">
        <v>0</v>
      </c>
      <c r="AAS66">
        <v>0</v>
      </c>
      <c r="AAT66">
        <v>0</v>
      </c>
      <c r="AAU66">
        <v>0</v>
      </c>
      <c r="AAV66">
        <v>0</v>
      </c>
      <c r="AAW66">
        <v>0</v>
      </c>
      <c r="AAX66">
        <v>0</v>
      </c>
      <c r="AAY66">
        <v>0</v>
      </c>
      <c r="AAZ66">
        <v>0</v>
      </c>
      <c r="ABA66">
        <v>0</v>
      </c>
      <c r="ABB66">
        <v>0</v>
      </c>
      <c r="ABC66">
        <v>0</v>
      </c>
      <c r="ABD66">
        <v>0</v>
      </c>
      <c r="ABE66">
        <v>0</v>
      </c>
      <c r="ABF66">
        <v>0</v>
      </c>
      <c r="ABG66">
        <v>0</v>
      </c>
      <c r="ABH66">
        <v>0</v>
      </c>
      <c r="ABI66">
        <v>0</v>
      </c>
      <c r="ABJ66">
        <v>0</v>
      </c>
      <c r="ABK66">
        <v>0</v>
      </c>
      <c r="ABL66">
        <v>0</v>
      </c>
      <c r="ABM66">
        <v>0</v>
      </c>
      <c r="ABN66">
        <v>0</v>
      </c>
      <c r="ABO66">
        <v>0</v>
      </c>
      <c r="ABP66">
        <v>0</v>
      </c>
      <c r="ABQ66">
        <v>0</v>
      </c>
      <c r="ABR66">
        <v>0</v>
      </c>
      <c r="ABS66">
        <v>0</v>
      </c>
      <c r="ABT66">
        <v>0</v>
      </c>
      <c r="ABU66">
        <v>0</v>
      </c>
      <c r="ABV66">
        <v>0</v>
      </c>
      <c r="ABW66">
        <v>0</v>
      </c>
      <c r="ABX66">
        <v>0</v>
      </c>
      <c r="ABY66">
        <v>0</v>
      </c>
      <c r="ABZ66">
        <v>0</v>
      </c>
      <c r="ACA66">
        <v>0</v>
      </c>
      <c r="ACB66">
        <v>0</v>
      </c>
      <c r="ACC66">
        <v>0</v>
      </c>
      <c r="ACD66">
        <v>0</v>
      </c>
      <c r="ACE66">
        <v>0</v>
      </c>
      <c r="ACF66">
        <v>0</v>
      </c>
      <c r="ACG66">
        <v>0</v>
      </c>
      <c r="ACH66">
        <v>0</v>
      </c>
      <c r="ACI66">
        <v>0</v>
      </c>
      <c r="ACJ66">
        <v>0</v>
      </c>
      <c r="ACK66">
        <v>0</v>
      </c>
      <c r="ACL66">
        <v>0</v>
      </c>
      <c r="ACM66">
        <v>0</v>
      </c>
      <c r="ACN66">
        <v>0</v>
      </c>
      <c r="ACO66">
        <v>0</v>
      </c>
      <c r="ACP66">
        <v>0</v>
      </c>
      <c r="ACQ66">
        <v>0</v>
      </c>
      <c r="ACR66">
        <v>0</v>
      </c>
      <c r="ACS66">
        <v>0</v>
      </c>
      <c r="ACT66">
        <v>0</v>
      </c>
      <c r="ACU66">
        <v>0</v>
      </c>
      <c r="ACV66">
        <v>0</v>
      </c>
      <c r="ACW66">
        <v>0</v>
      </c>
      <c r="ACX66">
        <v>0</v>
      </c>
      <c r="ACY66">
        <v>0</v>
      </c>
      <c r="ACZ66">
        <v>0</v>
      </c>
      <c r="ADA66">
        <v>0</v>
      </c>
      <c r="ADB66">
        <v>0</v>
      </c>
      <c r="ADC66">
        <v>0</v>
      </c>
      <c r="ADD66">
        <v>0</v>
      </c>
      <c r="ADE66">
        <v>0</v>
      </c>
      <c r="ADF66">
        <v>0</v>
      </c>
      <c r="ADG66">
        <v>0</v>
      </c>
      <c r="ADH66">
        <v>0</v>
      </c>
      <c r="ADI66">
        <v>0</v>
      </c>
      <c r="ADJ66">
        <v>0</v>
      </c>
      <c r="ADK66">
        <v>0</v>
      </c>
      <c r="ADL66">
        <v>0</v>
      </c>
      <c r="ADM66">
        <v>0</v>
      </c>
      <c r="ADN66">
        <v>0</v>
      </c>
      <c r="ADO66">
        <v>0</v>
      </c>
      <c r="ADP66">
        <v>0</v>
      </c>
      <c r="ADQ66">
        <v>0</v>
      </c>
      <c r="ADR66">
        <v>0</v>
      </c>
      <c r="ADS66">
        <v>0</v>
      </c>
      <c r="ADT66">
        <v>0</v>
      </c>
      <c r="ADU66">
        <v>0</v>
      </c>
      <c r="ADV66">
        <v>0</v>
      </c>
      <c r="ADW66">
        <v>0</v>
      </c>
      <c r="ADX66">
        <v>0</v>
      </c>
      <c r="ADY66">
        <v>0</v>
      </c>
      <c r="ADZ66">
        <v>0</v>
      </c>
      <c r="AEA66">
        <v>0</v>
      </c>
      <c r="AEB66">
        <v>0</v>
      </c>
      <c r="AEC66">
        <v>0</v>
      </c>
      <c r="AED66">
        <v>0</v>
      </c>
      <c r="AEE66">
        <v>0</v>
      </c>
      <c r="AEF66">
        <v>0</v>
      </c>
      <c r="AEG66">
        <v>0</v>
      </c>
      <c r="AEH66">
        <v>0</v>
      </c>
      <c r="AEI66">
        <v>0</v>
      </c>
      <c r="AEJ66">
        <v>0</v>
      </c>
      <c r="AEK66">
        <v>0</v>
      </c>
      <c r="AEL66">
        <v>0</v>
      </c>
      <c r="AEM66">
        <v>0</v>
      </c>
      <c r="AEN66">
        <v>0</v>
      </c>
      <c r="AEO66">
        <v>0</v>
      </c>
      <c r="AEP66">
        <v>0</v>
      </c>
      <c r="AEQ66">
        <v>0</v>
      </c>
      <c r="AER66">
        <v>0</v>
      </c>
      <c r="AES66">
        <v>0</v>
      </c>
      <c r="AET66">
        <v>0</v>
      </c>
      <c r="AEU66">
        <v>0</v>
      </c>
      <c r="AEV66">
        <v>0</v>
      </c>
      <c r="AEW66">
        <v>0</v>
      </c>
      <c r="AEX66">
        <v>0</v>
      </c>
      <c r="AEY66">
        <v>0</v>
      </c>
      <c r="AEZ66">
        <v>0</v>
      </c>
      <c r="AFA66">
        <v>0</v>
      </c>
      <c r="AFB66">
        <v>0</v>
      </c>
      <c r="AFC66">
        <v>0</v>
      </c>
      <c r="AFD66">
        <v>0</v>
      </c>
      <c r="AFE66">
        <v>0</v>
      </c>
      <c r="AFF66">
        <v>0</v>
      </c>
      <c r="AFG66">
        <v>0</v>
      </c>
      <c r="AFH66">
        <v>0</v>
      </c>
      <c r="AFI66">
        <v>0</v>
      </c>
      <c r="AFJ66">
        <v>0</v>
      </c>
      <c r="AFK66">
        <v>0</v>
      </c>
      <c r="AFL66">
        <v>0</v>
      </c>
      <c r="AFM66">
        <v>0</v>
      </c>
      <c r="AFN66">
        <v>0</v>
      </c>
      <c r="AFO66">
        <v>0</v>
      </c>
      <c r="AFP66">
        <v>0</v>
      </c>
      <c r="AFQ66">
        <v>0</v>
      </c>
      <c r="AFR66">
        <v>0</v>
      </c>
      <c r="AFS66">
        <v>0</v>
      </c>
      <c r="AFT66">
        <v>0</v>
      </c>
      <c r="AFU66">
        <v>0</v>
      </c>
      <c r="AFV66">
        <v>0</v>
      </c>
      <c r="AFW66">
        <v>0</v>
      </c>
      <c r="AFX66">
        <v>0</v>
      </c>
      <c r="AFY66">
        <v>0</v>
      </c>
      <c r="AFZ66">
        <v>0</v>
      </c>
      <c r="AGA66">
        <v>0</v>
      </c>
      <c r="AGB66">
        <v>0</v>
      </c>
      <c r="AGC66">
        <v>0</v>
      </c>
      <c r="AGD66">
        <v>0</v>
      </c>
      <c r="AGE66">
        <v>0</v>
      </c>
      <c r="AGF66">
        <v>0</v>
      </c>
      <c r="AGG66">
        <v>0</v>
      </c>
      <c r="AGH66">
        <v>0</v>
      </c>
      <c r="AGI66">
        <v>0</v>
      </c>
      <c r="AGJ66">
        <v>0</v>
      </c>
      <c r="AGK66">
        <v>0</v>
      </c>
      <c r="AGL66">
        <v>0</v>
      </c>
      <c r="AGM66">
        <v>0</v>
      </c>
      <c r="AGN66">
        <v>0</v>
      </c>
      <c r="AGO66">
        <v>0</v>
      </c>
      <c r="AGP66">
        <v>0</v>
      </c>
      <c r="AGQ66">
        <v>0</v>
      </c>
      <c r="AGR66">
        <v>0</v>
      </c>
      <c r="AGS66">
        <v>0</v>
      </c>
      <c r="AGT66">
        <v>0</v>
      </c>
      <c r="AGU66">
        <v>0</v>
      </c>
      <c r="AGV66">
        <v>0</v>
      </c>
      <c r="AGW66">
        <v>0</v>
      </c>
      <c r="AGX66">
        <v>0</v>
      </c>
      <c r="AGY66">
        <v>0</v>
      </c>
      <c r="AGZ66">
        <v>0</v>
      </c>
      <c r="AHA66">
        <v>0</v>
      </c>
      <c r="AHB66">
        <v>0</v>
      </c>
      <c r="AHC66">
        <v>0</v>
      </c>
      <c r="AHD66">
        <v>0</v>
      </c>
      <c r="AHE66">
        <v>0</v>
      </c>
      <c r="AHF66">
        <v>0</v>
      </c>
      <c r="AHG66">
        <v>0</v>
      </c>
      <c r="AHH66">
        <v>0</v>
      </c>
      <c r="AHI66">
        <v>0</v>
      </c>
      <c r="AHJ66">
        <v>0</v>
      </c>
      <c r="AHK66">
        <v>0</v>
      </c>
      <c r="AHL66">
        <v>0</v>
      </c>
      <c r="AHM66">
        <v>0</v>
      </c>
      <c r="AHN66">
        <v>0</v>
      </c>
      <c r="AHO66">
        <v>0</v>
      </c>
      <c r="AHP66">
        <v>0</v>
      </c>
      <c r="AHQ66">
        <v>0</v>
      </c>
    </row>
    <row r="67" spans="1:901">
      <c r="A67" s="1" t="s">
        <v>40</v>
      </c>
      <c r="C67" s="39">
        <f t="shared" si="157"/>
        <v>0</v>
      </c>
      <c r="D67" s="39">
        <f t="shared" si="157"/>
        <v>0</v>
      </c>
      <c r="E67" s="39">
        <f t="shared" si="157"/>
        <v>7.8631822066663956E-2</v>
      </c>
      <c r="F67" s="39">
        <f>IFERROR(F4/F46,0)</f>
        <v>0</v>
      </c>
      <c r="G67" s="39">
        <f t="shared" ref="G67:U83" si="222">IFERROR(G4/G46,0)</f>
        <v>0</v>
      </c>
      <c r="H67" s="39">
        <f t="shared" si="222"/>
        <v>0</v>
      </c>
      <c r="I67" s="39">
        <f t="shared" si="222"/>
        <v>1.1230980544736306E-2</v>
      </c>
      <c r="J67" s="39">
        <f t="shared" si="222"/>
        <v>0</v>
      </c>
      <c r="K67" s="39">
        <f t="shared" si="222"/>
        <v>0</v>
      </c>
      <c r="L67" s="39">
        <f t="shared" si="222"/>
        <v>0</v>
      </c>
      <c r="M67" s="39">
        <f t="shared" si="222"/>
        <v>0</v>
      </c>
      <c r="N67" s="39">
        <f t="shared" si="222"/>
        <v>0</v>
      </c>
      <c r="O67" s="39">
        <f t="shared" si="222"/>
        <v>0</v>
      </c>
      <c r="P67" s="39">
        <f t="shared" si="222"/>
        <v>0</v>
      </c>
      <c r="Q67" s="39">
        <f t="shared" si="222"/>
        <v>0</v>
      </c>
      <c r="R67" s="39">
        <f t="shared" si="222"/>
        <v>0</v>
      </c>
      <c r="S67" s="39">
        <f t="shared" si="222"/>
        <v>0</v>
      </c>
      <c r="T67" s="39">
        <f t="shared" si="222"/>
        <v>0</v>
      </c>
      <c r="U67" s="39">
        <f t="shared" si="222"/>
        <v>0</v>
      </c>
      <c r="V67" s="39">
        <f t="shared" ref="V67:AY67" si="223">IFERROR(V4/V46,0)</f>
        <v>0</v>
      </c>
      <c r="W67" s="39">
        <f t="shared" si="223"/>
        <v>0</v>
      </c>
      <c r="X67" s="39">
        <f t="shared" si="223"/>
        <v>0</v>
      </c>
      <c r="Y67" s="39">
        <f t="shared" si="223"/>
        <v>0</v>
      </c>
      <c r="Z67" s="39">
        <f t="shared" si="223"/>
        <v>0</v>
      </c>
      <c r="AA67" s="39">
        <f t="shared" si="223"/>
        <v>0</v>
      </c>
      <c r="AB67" s="39">
        <f t="shared" si="223"/>
        <v>0</v>
      </c>
      <c r="AC67" s="39">
        <f t="shared" si="223"/>
        <v>0</v>
      </c>
      <c r="AD67" s="39">
        <f t="shared" si="223"/>
        <v>0</v>
      </c>
      <c r="AE67" s="39">
        <f t="shared" si="223"/>
        <v>0</v>
      </c>
      <c r="AF67" s="39">
        <f t="shared" si="223"/>
        <v>0</v>
      </c>
      <c r="AG67" s="39">
        <f t="shared" si="223"/>
        <v>0</v>
      </c>
      <c r="AH67" s="39">
        <f t="shared" si="223"/>
        <v>0</v>
      </c>
      <c r="AI67" s="39">
        <f t="shared" si="223"/>
        <v>0</v>
      </c>
      <c r="AJ67" s="39">
        <f t="shared" si="223"/>
        <v>0</v>
      </c>
      <c r="AK67" s="39">
        <f t="shared" si="223"/>
        <v>0</v>
      </c>
      <c r="AL67" s="39">
        <f t="shared" si="223"/>
        <v>5.7540000000000004E-3</v>
      </c>
      <c r="AM67" s="39">
        <f t="shared" si="223"/>
        <v>0</v>
      </c>
      <c r="AN67" s="39">
        <f t="shared" si="223"/>
        <v>0</v>
      </c>
      <c r="AO67" s="39">
        <f t="shared" si="223"/>
        <v>0</v>
      </c>
      <c r="AP67" s="39">
        <f t="shared" si="223"/>
        <v>0</v>
      </c>
      <c r="AQ67" s="39">
        <f t="shared" si="223"/>
        <v>0</v>
      </c>
      <c r="AR67" s="39">
        <f t="shared" si="223"/>
        <v>0</v>
      </c>
      <c r="AS67" s="39">
        <f t="shared" si="223"/>
        <v>0</v>
      </c>
      <c r="AT67" s="39">
        <f t="shared" si="223"/>
        <v>0</v>
      </c>
      <c r="AU67" s="39">
        <f t="shared" si="223"/>
        <v>0</v>
      </c>
      <c r="AV67" s="39">
        <f t="shared" si="223"/>
        <v>0</v>
      </c>
      <c r="AW67" s="39">
        <f t="shared" si="223"/>
        <v>0</v>
      </c>
      <c r="AX67" s="39">
        <f t="shared" si="223"/>
        <v>0</v>
      </c>
      <c r="AY67" s="39">
        <f t="shared" si="223"/>
        <v>0</v>
      </c>
      <c r="AZ67" s="39">
        <f t="shared" si="91"/>
        <v>0</v>
      </c>
      <c r="BA67" s="39">
        <f t="shared" ref="BA67:BF67" si="224">IFERROR(BA4/BA46,0)</f>
        <v>0</v>
      </c>
      <c r="BB67" s="39">
        <f t="shared" si="224"/>
        <v>0</v>
      </c>
      <c r="BC67" s="39">
        <f t="shared" si="224"/>
        <v>0</v>
      </c>
      <c r="BD67" s="39">
        <f t="shared" si="224"/>
        <v>0</v>
      </c>
      <c r="BE67" s="39">
        <f t="shared" si="224"/>
        <v>0</v>
      </c>
      <c r="BF67" s="39">
        <f t="shared" si="224"/>
        <v>0</v>
      </c>
      <c r="BG67" s="39">
        <f t="shared" ref="BG67" si="225">IFERROR(BG4/BG46,0)</f>
        <v>0</v>
      </c>
      <c r="BH67" s="39">
        <f t="shared" si="93"/>
        <v>0</v>
      </c>
      <c r="BI67" s="39">
        <f t="shared" ref="BI67:BK67" si="226">IFERROR(BI4/BI46,0)</f>
        <v>0</v>
      </c>
      <c r="BJ67" s="39">
        <f t="shared" si="226"/>
        <v>0</v>
      </c>
      <c r="BK67" s="39">
        <f t="shared" si="226"/>
        <v>0</v>
      </c>
      <c r="BL67" s="39">
        <f t="shared" ref="BL67:BM67" si="227">IFERROR(BL4/BL46,0)</f>
        <v>0</v>
      </c>
      <c r="BM67" s="39">
        <f t="shared" si="227"/>
        <v>0</v>
      </c>
      <c r="BN67" s="39">
        <f t="shared" ref="BN67:BO67" si="228">IFERROR(BN4/BN46,0)</f>
        <v>0</v>
      </c>
      <c r="BO67" s="39">
        <f t="shared" si="228"/>
        <v>0</v>
      </c>
      <c r="BP67" s="39">
        <f t="shared" ref="BP67:BQ67" si="229">IFERROR(BP4/BP46,0)</f>
        <v>0</v>
      </c>
      <c r="BQ67" s="39">
        <f t="shared" si="229"/>
        <v>0</v>
      </c>
      <c r="BR67" s="39">
        <f t="shared" ref="BR67:BS67" si="230">IFERROR(BR4/BR46,0)</f>
        <v>0</v>
      </c>
      <c r="BS67" s="39">
        <f t="shared" si="230"/>
        <v>0</v>
      </c>
      <c r="BT67" s="39">
        <f t="shared" ref="BT67:BU67" si="231">IFERROR(BT4/BT46,0)</f>
        <v>0</v>
      </c>
      <c r="BU67" s="39">
        <f t="shared" si="231"/>
        <v>0</v>
      </c>
      <c r="BV67" s="39">
        <f t="shared" ref="BV67:BW67" si="232">IFERROR(BV4/BV46,0)</f>
        <v>0</v>
      </c>
      <c r="BW67" s="39">
        <f t="shared" si="232"/>
        <v>0</v>
      </c>
      <c r="BX67" s="39">
        <f t="shared" ref="BX67:BY67" si="233">IFERROR(BX4/BX46,0)</f>
        <v>0</v>
      </c>
      <c r="BY67" s="39">
        <f t="shared" si="233"/>
        <v>1.3749473684210527E-2</v>
      </c>
      <c r="BZ67" s="39">
        <f t="shared" ref="BZ67:CA67" si="234">IFERROR(BZ4/BZ46,0)</f>
        <v>0</v>
      </c>
      <c r="CA67" s="39">
        <f t="shared" si="234"/>
        <v>0</v>
      </c>
      <c r="CB67" s="39">
        <f t="shared" ref="CB67:CC67" si="235">IFERROR(CB4/CB46,0)</f>
        <v>0</v>
      </c>
      <c r="CC67" s="39">
        <f t="shared" si="235"/>
        <v>0</v>
      </c>
      <c r="CD67" s="39">
        <f t="shared" ref="CD67:CE67" si="236">IFERROR(CD4/CD46,0)</f>
        <v>0</v>
      </c>
      <c r="CE67" s="39">
        <f t="shared" si="236"/>
        <v>0</v>
      </c>
      <c r="CF67" s="39">
        <f t="shared" ref="CF67:CG67" si="237">IFERROR(CF4/CF46,0)</f>
        <v>0</v>
      </c>
      <c r="CG67" s="39">
        <f t="shared" si="237"/>
        <v>0</v>
      </c>
      <c r="CH67" s="39">
        <f t="shared" ref="CH67:CI67" si="238">IFERROR(CH4/CH46,0)</f>
        <v>0</v>
      </c>
      <c r="CI67" s="39">
        <f t="shared" si="238"/>
        <v>0</v>
      </c>
      <c r="CJ67" s="39">
        <f t="shared" ref="CJ67:CK67" si="239">IFERROR(CJ4/CJ46,0)</f>
        <v>0</v>
      </c>
      <c r="CK67" s="39">
        <f t="shared" si="239"/>
        <v>0</v>
      </c>
      <c r="CL67" s="39">
        <f t="shared" ref="CL67:CM67" si="240">IFERROR(CL4/CL46,0)</f>
        <v>0</v>
      </c>
      <c r="CM67" s="39">
        <f t="shared" si="240"/>
        <v>0</v>
      </c>
      <c r="CN67" s="39">
        <f t="shared" ref="CN67:CO67" si="241">IFERROR(CN4/CN46,0)</f>
        <v>0</v>
      </c>
      <c r="CO67" s="39">
        <f t="shared" si="241"/>
        <v>0</v>
      </c>
      <c r="CP67" s="39">
        <f t="shared" ref="CP67:CQ67" si="242">IFERROR(CP4/CP46,0)</f>
        <v>0</v>
      </c>
      <c r="CQ67" s="39">
        <f t="shared" si="242"/>
        <v>0</v>
      </c>
      <c r="CR67" s="39">
        <f t="shared" ref="CR67:CS67" si="243">IFERROR(CR4/CR46,0)</f>
        <v>0</v>
      </c>
      <c r="CS67" s="39">
        <f t="shared" si="243"/>
        <v>0</v>
      </c>
      <c r="CT67" s="39">
        <f t="shared" ref="CT67:CU67" si="244">IFERROR(CT4/CT46,0)</f>
        <v>0</v>
      </c>
      <c r="CU67" s="39">
        <f t="shared" si="244"/>
        <v>1.6088620689655171E-2</v>
      </c>
      <c r="CV67" s="39">
        <f t="shared" ref="CV67:CW67" si="245">IFERROR(CV4/CV46,0)</f>
        <v>0</v>
      </c>
      <c r="CW67" s="39">
        <f t="shared" si="245"/>
        <v>0</v>
      </c>
      <c r="CX67" s="39">
        <f t="shared" ref="CX67:CY67" si="246">IFERROR(CX4/CX46,0)</f>
        <v>0</v>
      </c>
      <c r="CY67" s="39">
        <f t="shared" si="246"/>
        <v>0</v>
      </c>
      <c r="CZ67" s="39">
        <f t="shared" ref="CZ67:DA67" si="247">IFERROR(CZ4/CZ46,0)</f>
        <v>0</v>
      </c>
      <c r="DA67" s="39">
        <f t="shared" si="247"/>
        <v>0</v>
      </c>
      <c r="DB67" s="39">
        <f t="shared" ref="DB67:DC67" si="248">IFERROR(DB4/DB46,0)</f>
        <v>0</v>
      </c>
      <c r="DC67" s="39">
        <f t="shared" si="248"/>
        <v>0</v>
      </c>
      <c r="DD67" s="39">
        <f t="shared" ref="DD67:DE67" si="249">IFERROR(DD4/DD46,0)</f>
        <v>0</v>
      </c>
      <c r="DE67" s="39">
        <f t="shared" si="249"/>
        <v>0</v>
      </c>
      <c r="DF67" s="39">
        <f t="shared" ref="DF67:DG67" si="250">IFERROR(DF4/DF46,0)</f>
        <v>0</v>
      </c>
      <c r="DG67" s="39">
        <f t="shared" si="250"/>
        <v>0</v>
      </c>
      <c r="DH67" s="39">
        <f t="shared" ref="DH67:DI67" si="251">IFERROR(DH4/DH46,0)</f>
        <v>0</v>
      </c>
      <c r="DI67" s="39">
        <f t="shared" si="251"/>
        <v>0</v>
      </c>
      <c r="DJ67" s="39">
        <f t="shared" ref="DJ67:DK67" si="252">IFERROR(DJ4/DJ46,0)</f>
        <v>0</v>
      </c>
      <c r="DK67" s="39">
        <f t="shared" si="252"/>
        <v>0</v>
      </c>
      <c r="DL67" s="39">
        <f t="shared" ref="DL67:DM67" si="253">IFERROR(DL4/DL46,0)</f>
        <v>0</v>
      </c>
      <c r="DM67" s="39">
        <f t="shared" si="253"/>
        <v>0</v>
      </c>
      <c r="DN67" s="39">
        <f t="shared" ref="DN67:DO67" si="254">IFERROR(DN4/DN46,0)</f>
        <v>0</v>
      </c>
      <c r="DO67" s="39">
        <f t="shared" si="254"/>
        <v>0</v>
      </c>
      <c r="DP67" s="39">
        <f t="shared" ref="DP67:DQ67" si="255">IFERROR(DP4/DP46,0)</f>
        <v>0</v>
      </c>
      <c r="DQ67" s="39">
        <f t="shared" si="255"/>
        <v>0</v>
      </c>
      <c r="DR67" s="39">
        <f t="shared" ref="DR67:DS67" si="256">IFERROR(DR4/DR46,0)</f>
        <v>0</v>
      </c>
      <c r="DS67" s="39">
        <f t="shared" si="256"/>
        <v>0</v>
      </c>
      <c r="DT67" s="39">
        <f t="shared" ref="DT67:DU67" si="257">IFERROR(DT4/DT46,0)</f>
        <v>0</v>
      </c>
      <c r="DU67" s="39">
        <f t="shared" si="257"/>
        <v>0</v>
      </c>
      <c r="DV67" s="39">
        <f t="shared" si="125"/>
        <v>0</v>
      </c>
      <c r="DW67" s="39">
        <f t="shared" si="125"/>
        <v>0</v>
      </c>
      <c r="DX67" s="39">
        <f t="shared" ref="DX67:DY67" si="258">IFERROR(DX4/DX46,0)</f>
        <v>0</v>
      </c>
      <c r="DY67" s="39">
        <f t="shared" si="258"/>
        <v>0</v>
      </c>
      <c r="DZ67" s="39">
        <f t="shared" ref="DZ67:EA67" si="259">IFERROR(DZ4/DZ46,0)</f>
        <v>0</v>
      </c>
      <c r="EA67" s="39">
        <f t="shared" si="259"/>
        <v>0</v>
      </c>
      <c r="EB67" s="39">
        <f t="shared" ref="EB67:EC67" si="260">IFERROR(EB4/EB46,0)</f>
        <v>0</v>
      </c>
      <c r="EC67" s="39">
        <f t="shared" si="260"/>
        <v>0</v>
      </c>
      <c r="ED67" s="39">
        <f t="shared" ref="ED67:EE67" si="261">IFERROR(ED4/ED46,0)</f>
        <v>0</v>
      </c>
      <c r="EE67" s="39">
        <f t="shared" si="261"/>
        <v>0</v>
      </c>
      <c r="EF67" s="39">
        <f t="shared" ref="EF67:EG67" si="262">IFERROR(EF4/EF46,0)</f>
        <v>0</v>
      </c>
      <c r="EG67" s="39">
        <f t="shared" si="262"/>
        <v>0</v>
      </c>
      <c r="EH67" s="39">
        <f t="shared" ref="EH67:EI67" si="263">IFERROR(EH4/EH46,0)</f>
        <v>0</v>
      </c>
      <c r="EI67" s="39">
        <f t="shared" si="263"/>
        <v>0</v>
      </c>
      <c r="EJ67" s="39">
        <f t="shared" ref="EJ67:EK67" si="264">IFERROR(EJ4/EJ46,0)</f>
        <v>0</v>
      </c>
      <c r="EK67" s="39">
        <f t="shared" si="264"/>
        <v>0</v>
      </c>
      <c r="EL67" s="39">
        <f t="shared" ref="EL67:EM67" si="265">IFERROR(EL4/EL46,0)</f>
        <v>0</v>
      </c>
      <c r="EM67" s="39">
        <f t="shared" si="265"/>
        <v>0</v>
      </c>
      <c r="EN67" s="39">
        <f t="shared" ref="EN67:EO67" si="266">IFERROR(EN4/EN46,0)</f>
        <v>0</v>
      </c>
      <c r="EO67" s="39">
        <f t="shared" si="266"/>
        <v>0</v>
      </c>
      <c r="EP67" s="39">
        <f t="shared" ref="EP67" si="267">IFERROR(EP4/EP46,0)</f>
        <v>0</v>
      </c>
      <c r="EQ67" s="39">
        <f t="shared" ref="EQ67:ER67" si="268">IFERROR(EQ4/EQ46,0)</f>
        <v>0</v>
      </c>
      <c r="ER67" s="39">
        <f t="shared" si="268"/>
        <v>0</v>
      </c>
      <c r="ES67" s="39">
        <f t="shared" ref="ES67:ET67" si="269">IFERROR(ES4/ES46,0)</f>
        <v>0</v>
      </c>
      <c r="ET67" s="39">
        <f t="shared" si="269"/>
        <v>0</v>
      </c>
      <c r="EU67" s="39">
        <f t="shared" ref="EU67:EV67" si="270">IFERROR(EU4/EU46,0)</f>
        <v>0</v>
      </c>
      <c r="EV67" s="39">
        <f t="shared" si="270"/>
        <v>0</v>
      </c>
      <c r="EW67" s="39">
        <f t="shared" ref="EW67:EX67" si="271">IFERROR(EW4/EW46,0)</f>
        <v>0</v>
      </c>
      <c r="EX67" s="39">
        <f t="shared" si="271"/>
        <v>0</v>
      </c>
      <c r="EY67" s="39">
        <f t="shared" ref="EY67:EZ67" si="272">IFERROR(EY4/EY46,0)</f>
        <v>0</v>
      </c>
      <c r="EZ67" s="39">
        <f t="shared" si="272"/>
        <v>0</v>
      </c>
      <c r="FA67" s="39">
        <f t="shared" ref="FA67:FB67" si="273">IFERROR(FA4/FA46,0)</f>
        <v>0</v>
      </c>
      <c r="FB67" s="39">
        <f t="shared" si="273"/>
        <v>0</v>
      </c>
      <c r="FC67" s="39">
        <f t="shared" ref="FC67:FD67" si="274">IFERROR(FC4/FC46,0)</f>
        <v>0</v>
      </c>
      <c r="FD67" s="39">
        <f t="shared" si="274"/>
        <v>0</v>
      </c>
      <c r="FE67" s="39">
        <f t="shared" ref="FE67:FF67" si="275">IFERROR(FE4/FE46,0)</f>
        <v>0</v>
      </c>
      <c r="FF67" s="39">
        <f t="shared" si="275"/>
        <v>0</v>
      </c>
      <c r="FG67" s="39">
        <f t="shared" ref="FG67:FH67" si="276">IFERROR(FG4/FG46,0)</f>
        <v>0</v>
      </c>
      <c r="FH67" s="39">
        <f t="shared" si="276"/>
        <v>0</v>
      </c>
      <c r="FI67" s="39">
        <f t="shared" ref="FI67:FJ67" si="277">IFERROR(FI4/FI46,0)</f>
        <v>0</v>
      </c>
      <c r="FJ67" s="39">
        <f t="shared" si="277"/>
        <v>0</v>
      </c>
      <c r="FK67" s="39">
        <f t="shared" ref="FK67:FL67" si="278">IFERROR(FK4/FK46,0)</f>
        <v>0</v>
      </c>
      <c r="FL67" s="39">
        <f t="shared" si="278"/>
        <v>0</v>
      </c>
      <c r="FM67" s="39">
        <f t="shared" ref="FM67" si="279">IFERROR(FM4/FM46,0)</f>
        <v>0</v>
      </c>
      <c r="FN67" s="39">
        <v>0</v>
      </c>
      <c r="FO67" s="39">
        <f t="shared" ref="FO67" si="280">IFERROR(FO4/FO46,0)</f>
        <v>0</v>
      </c>
      <c r="FP67" s="39">
        <v>0</v>
      </c>
      <c r="FQ67" s="39">
        <f t="shared" ref="FQ67:HA67" si="281">IFERROR(FQ4/FQ46,0)</f>
        <v>0</v>
      </c>
      <c r="FR67" s="39">
        <v>0</v>
      </c>
      <c r="FS67" s="39">
        <f t="shared" si="281"/>
        <v>0</v>
      </c>
      <c r="FT67" s="39">
        <f t="shared" si="281"/>
        <v>0</v>
      </c>
      <c r="FU67" s="39">
        <f t="shared" si="281"/>
        <v>0</v>
      </c>
      <c r="FV67" s="39">
        <f t="shared" si="281"/>
        <v>0</v>
      </c>
      <c r="FW67" s="39">
        <f t="shared" si="281"/>
        <v>0</v>
      </c>
      <c r="FX67" s="39">
        <f t="shared" si="281"/>
        <v>0</v>
      </c>
      <c r="FY67" s="39">
        <f t="shared" si="281"/>
        <v>0</v>
      </c>
      <c r="FZ67" s="39">
        <f t="shared" si="281"/>
        <v>0</v>
      </c>
      <c r="GA67" s="39">
        <f t="shared" si="281"/>
        <v>0</v>
      </c>
      <c r="GB67" s="39">
        <f t="shared" si="281"/>
        <v>0</v>
      </c>
      <c r="GC67" s="39">
        <f t="shared" si="281"/>
        <v>0</v>
      </c>
      <c r="GD67" s="39">
        <f t="shared" si="281"/>
        <v>0</v>
      </c>
      <c r="GE67" s="39">
        <f t="shared" si="281"/>
        <v>0</v>
      </c>
      <c r="GF67" s="39">
        <f t="shared" si="281"/>
        <v>0</v>
      </c>
      <c r="GG67" s="39">
        <f t="shared" si="281"/>
        <v>0</v>
      </c>
      <c r="GH67" s="39">
        <f t="shared" si="281"/>
        <v>0</v>
      </c>
      <c r="GI67" s="39">
        <f t="shared" si="281"/>
        <v>0</v>
      </c>
      <c r="GJ67" s="39">
        <f t="shared" si="281"/>
        <v>0</v>
      </c>
      <c r="GK67" s="39">
        <f t="shared" si="281"/>
        <v>0</v>
      </c>
      <c r="GL67" s="39">
        <f t="shared" si="281"/>
        <v>0</v>
      </c>
      <c r="GM67" s="39">
        <f t="shared" si="281"/>
        <v>0</v>
      </c>
      <c r="GN67" s="39">
        <f t="shared" si="281"/>
        <v>0</v>
      </c>
      <c r="GO67" s="39">
        <f t="shared" si="281"/>
        <v>0</v>
      </c>
      <c r="GP67" s="39">
        <f t="shared" si="281"/>
        <v>0</v>
      </c>
      <c r="GQ67" s="39">
        <f t="shared" si="281"/>
        <v>0</v>
      </c>
      <c r="GR67" s="39">
        <f t="shared" si="281"/>
        <v>0</v>
      </c>
      <c r="GS67" s="39">
        <f t="shared" si="281"/>
        <v>0</v>
      </c>
      <c r="GT67" s="39">
        <f t="shared" si="281"/>
        <v>0</v>
      </c>
      <c r="GU67" s="39">
        <f t="shared" si="281"/>
        <v>0</v>
      </c>
      <c r="GV67" s="39">
        <f t="shared" si="281"/>
        <v>0</v>
      </c>
      <c r="GW67" s="39">
        <f t="shared" si="281"/>
        <v>0</v>
      </c>
      <c r="GX67" s="39">
        <f t="shared" si="281"/>
        <v>0</v>
      </c>
      <c r="GY67" s="39">
        <f t="shared" si="281"/>
        <v>0</v>
      </c>
      <c r="GZ67" s="39">
        <f t="shared" si="281"/>
        <v>0</v>
      </c>
      <c r="HA67" s="39">
        <f t="shared" si="281"/>
        <v>0</v>
      </c>
      <c r="HB67" s="39">
        <f t="shared" si="148"/>
        <v>0</v>
      </c>
      <c r="HC67" s="39">
        <f t="shared" si="148"/>
        <v>0</v>
      </c>
      <c r="HD67" s="39">
        <f t="shared" ref="HD67:IQ67" si="282">IFERROR(HD4/HD46,0)</f>
        <v>0</v>
      </c>
      <c r="HE67" s="39">
        <f t="shared" si="282"/>
        <v>0</v>
      </c>
      <c r="HF67" s="39">
        <f t="shared" si="282"/>
        <v>0</v>
      </c>
      <c r="HG67" s="39">
        <f t="shared" si="282"/>
        <v>0</v>
      </c>
      <c r="HH67" s="39">
        <f t="shared" si="282"/>
        <v>0</v>
      </c>
      <c r="HI67" s="39">
        <f t="shared" si="282"/>
        <v>0</v>
      </c>
      <c r="HJ67" s="39">
        <f t="shared" si="282"/>
        <v>0</v>
      </c>
      <c r="HK67" s="39">
        <f t="shared" si="282"/>
        <v>0</v>
      </c>
      <c r="HL67" s="39">
        <f t="shared" si="282"/>
        <v>4.4162900459121185E-3</v>
      </c>
      <c r="HM67" s="39">
        <f t="shared" si="282"/>
        <v>0</v>
      </c>
      <c r="HN67" s="39">
        <f t="shared" si="282"/>
        <v>0</v>
      </c>
      <c r="HO67" s="39">
        <f t="shared" si="282"/>
        <v>0</v>
      </c>
      <c r="HP67" s="39">
        <f t="shared" si="282"/>
        <v>0</v>
      </c>
      <c r="HQ67" s="39">
        <f t="shared" si="282"/>
        <v>0</v>
      </c>
      <c r="HR67" s="39">
        <f t="shared" si="282"/>
        <v>0.24661206945793113</v>
      </c>
      <c r="HS67" s="39">
        <f t="shared" si="282"/>
        <v>0</v>
      </c>
      <c r="HT67" s="39">
        <f t="shared" si="282"/>
        <v>0</v>
      </c>
      <c r="HU67" s="39">
        <f t="shared" si="282"/>
        <v>0</v>
      </c>
      <c r="HV67" s="39">
        <f t="shared" si="282"/>
        <v>1.3936128241073193E-2</v>
      </c>
      <c r="HW67" s="39">
        <f t="shared" si="282"/>
        <v>0</v>
      </c>
      <c r="HX67" s="39">
        <f t="shared" si="282"/>
        <v>0.42624206979705442</v>
      </c>
      <c r="HY67" s="39">
        <f t="shared" si="282"/>
        <v>0</v>
      </c>
      <c r="HZ67" s="39">
        <f t="shared" si="282"/>
        <v>0</v>
      </c>
      <c r="IA67" s="39">
        <f t="shared" si="282"/>
        <v>0.29073764314467954</v>
      </c>
      <c r="IB67" s="39">
        <f t="shared" si="282"/>
        <v>0</v>
      </c>
      <c r="IC67" s="39">
        <f t="shared" si="282"/>
        <v>0</v>
      </c>
      <c r="ID67" s="39">
        <f t="shared" si="282"/>
        <v>0</v>
      </c>
      <c r="IE67" s="39">
        <f>IFERROR(IE4/IE46,0)</f>
        <v>0.56350641902324961</v>
      </c>
      <c r="IF67" s="39">
        <f t="shared" si="282"/>
        <v>0</v>
      </c>
      <c r="IG67" s="39">
        <f t="shared" si="282"/>
        <v>0</v>
      </c>
      <c r="IH67" s="39">
        <f t="shared" si="282"/>
        <v>0</v>
      </c>
      <c r="II67" s="39">
        <f t="shared" si="282"/>
        <v>0.35812688234722628</v>
      </c>
      <c r="IJ67" s="39">
        <f t="shared" si="282"/>
        <v>0</v>
      </c>
      <c r="IK67" s="39">
        <f t="shared" si="282"/>
        <v>0</v>
      </c>
      <c r="IL67" s="39">
        <f t="shared" si="282"/>
        <v>0</v>
      </c>
      <c r="IM67" s="39">
        <f t="shared" si="282"/>
        <v>0</v>
      </c>
      <c r="IN67" s="39">
        <f t="shared" si="282"/>
        <v>3.9980957032759466E-2</v>
      </c>
      <c r="IO67" s="39">
        <f t="shared" si="282"/>
        <v>0</v>
      </c>
      <c r="IP67" s="39">
        <f t="shared" si="282"/>
        <v>0</v>
      </c>
      <c r="IQ67" s="39">
        <f t="shared" si="282"/>
        <v>0</v>
      </c>
      <c r="IR67" s="39">
        <f>IFERROR(IR4/IR46,0)</f>
        <v>1.1953206100774574</v>
      </c>
      <c r="IS67" s="39">
        <f>IFERROR(IS4/IS46,0)</f>
        <v>0</v>
      </c>
      <c r="IT67" s="39">
        <f t="shared" ref="IT67:IX67" si="283">IFERROR(IT4/IT46,0)</f>
        <v>0</v>
      </c>
      <c r="IU67" s="39">
        <f t="shared" si="283"/>
        <v>0</v>
      </c>
      <c r="IV67" s="39">
        <f t="shared" si="283"/>
        <v>0</v>
      </c>
      <c r="IW67" s="39">
        <f t="shared" si="283"/>
        <v>0.13290619302547876</v>
      </c>
      <c r="IX67" s="39">
        <f t="shared" si="283"/>
        <v>0.22589374930609527</v>
      </c>
      <c r="IY67" s="39">
        <f>IFERROR(IY4/IY46,0)</f>
        <v>1.2119675140803434</v>
      </c>
      <c r="IZ67" s="39">
        <f t="shared" ref="IZ67:LK67" si="284">IFERROR(IZ4/IZ46,0)</f>
        <v>0</v>
      </c>
      <c r="JA67" s="39">
        <f t="shared" si="284"/>
        <v>0</v>
      </c>
      <c r="JB67" s="39">
        <f t="shared" si="284"/>
        <v>0.16751624797036405</v>
      </c>
      <c r="JC67" s="39">
        <f t="shared" si="284"/>
        <v>0</v>
      </c>
      <c r="JD67" s="39">
        <f t="shared" si="284"/>
        <v>0</v>
      </c>
      <c r="JE67" s="39">
        <f t="shared" si="284"/>
        <v>0.20743000910015524</v>
      </c>
      <c r="JF67" s="39">
        <f t="shared" si="284"/>
        <v>0</v>
      </c>
      <c r="JG67" s="39">
        <f t="shared" si="284"/>
        <v>0.88786609172553699</v>
      </c>
      <c r="JH67" s="39">
        <f t="shared" si="284"/>
        <v>0</v>
      </c>
      <c r="JI67" s="39">
        <f t="shared" si="284"/>
        <v>0.72417536183103337</v>
      </c>
      <c r="JJ67" s="39">
        <f t="shared" si="284"/>
        <v>0</v>
      </c>
      <c r="JK67" s="39">
        <f t="shared" si="284"/>
        <v>6.6640249284028896E-2</v>
      </c>
      <c r="JL67" s="39">
        <f t="shared" si="284"/>
        <v>0.59225496021681479</v>
      </c>
      <c r="JM67" s="39">
        <f t="shared" si="284"/>
        <v>0</v>
      </c>
      <c r="JN67" s="39">
        <f t="shared" si="284"/>
        <v>0</v>
      </c>
      <c r="JO67" s="39">
        <f t="shared" si="284"/>
        <v>4.0293062136111807E-2</v>
      </c>
      <c r="JP67" s="39">
        <f t="shared" si="284"/>
        <v>0</v>
      </c>
      <c r="JQ67" s="39">
        <f t="shared" si="284"/>
        <v>0</v>
      </c>
      <c r="JR67" s="39">
        <f t="shared" si="284"/>
        <v>0</v>
      </c>
      <c r="JS67" s="39">
        <f t="shared" si="284"/>
        <v>0.39523953339121898</v>
      </c>
      <c r="JT67" s="39">
        <f t="shared" si="284"/>
        <v>0</v>
      </c>
      <c r="JU67" s="39">
        <f t="shared" si="284"/>
        <v>0</v>
      </c>
      <c r="JV67" s="39">
        <f t="shared" si="284"/>
        <v>0</v>
      </c>
      <c r="JW67" s="39">
        <f t="shared" si="284"/>
        <v>0.2107315543103517</v>
      </c>
      <c r="JX67" s="39">
        <f t="shared" si="284"/>
        <v>5.0218463706835799</v>
      </c>
      <c r="JY67" s="39">
        <f t="shared" si="284"/>
        <v>0</v>
      </c>
      <c r="JZ67" s="39">
        <f t="shared" si="284"/>
        <v>0</v>
      </c>
      <c r="KA67" s="39">
        <f t="shared" si="284"/>
        <v>0</v>
      </c>
      <c r="KB67" s="39">
        <f t="shared" si="284"/>
        <v>0</v>
      </c>
      <c r="KC67" s="39">
        <f t="shared" si="284"/>
        <v>0</v>
      </c>
      <c r="KD67" s="39">
        <f t="shared" si="284"/>
        <v>8.2125055924182566E-2</v>
      </c>
      <c r="KE67" s="39">
        <f t="shared" si="284"/>
        <v>0</v>
      </c>
      <c r="KF67" s="39">
        <f t="shared" si="284"/>
        <v>0</v>
      </c>
      <c r="KG67" s="39">
        <f t="shared" si="284"/>
        <v>0</v>
      </c>
      <c r="KH67" s="39">
        <f t="shared" si="284"/>
        <v>0</v>
      </c>
      <c r="KI67" s="39">
        <f t="shared" si="284"/>
        <v>0.26800083344082076</v>
      </c>
      <c r="KJ67" s="39">
        <f t="shared" si="284"/>
        <v>0</v>
      </c>
      <c r="KK67" s="39">
        <f t="shared" si="284"/>
        <v>0</v>
      </c>
      <c r="KL67" s="39">
        <f t="shared" si="284"/>
        <v>0</v>
      </c>
      <c r="KM67" s="39">
        <f t="shared" si="284"/>
        <v>0</v>
      </c>
      <c r="KN67" s="39">
        <f t="shared" si="284"/>
        <v>0</v>
      </c>
      <c r="KO67" s="39">
        <f t="shared" si="284"/>
        <v>0</v>
      </c>
      <c r="KP67" s="39">
        <f t="shared" si="284"/>
        <v>0</v>
      </c>
      <c r="KQ67" s="39">
        <f t="shared" si="284"/>
        <v>0</v>
      </c>
      <c r="KR67" s="39">
        <f t="shared" si="284"/>
        <v>0</v>
      </c>
      <c r="KS67" s="39">
        <f t="shared" si="284"/>
        <v>0</v>
      </c>
      <c r="KT67" s="39">
        <f t="shared" si="284"/>
        <v>0</v>
      </c>
      <c r="KU67" s="39">
        <f t="shared" si="284"/>
        <v>0</v>
      </c>
      <c r="KV67" s="39">
        <f t="shared" si="284"/>
        <v>4.7956403269754769E-2</v>
      </c>
      <c r="KW67" s="39">
        <f t="shared" si="284"/>
        <v>0</v>
      </c>
      <c r="KX67" s="39">
        <f t="shared" si="284"/>
        <v>0</v>
      </c>
      <c r="KY67" s="39">
        <f t="shared" si="284"/>
        <v>0</v>
      </c>
      <c r="KZ67" s="39">
        <f t="shared" si="284"/>
        <v>0</v>
      </c>
      <c r="LA67" s="39">
        <f t="shared" si="284"/>
        <v>0</v>
      </c>
      <c r="LB67" s="39">
        <f t="shared" si="284"/>
        <v>0</v>
      </c>
      <c r="LC67" s="39">
        <f t="shared" si="284"/>
        <v>0</v>
      </c>
      <c r="LD67" s="39">
        <f t="shared" si="284"/>
        <v>0.19506724651687202</v>
      </c>
      <c r="LE67" s="39">
        <f t="shared" si="284"/>
        <v>0</v>
      </c>
      <c r="LF67" s="39">
        <f t="shared" si="284"/>
        <v>0</v>
      </c>
      <c r="LG67" s="39">
        <f t="shared" si="284"/>
        <v>0</v>
      </c>
      <c r="LH67" s="39">
        <f t="shared" si="284"/>
        <v>0</v>
      </c>
      <c r="LI67" s="39">
        <f t="shared" si="284"/>
        <v>0</v>
      </c>
      <c r="LJ67" s="39">
        <f t="shared" si="284"/>
        <v>0</v>
      </c>
      <c r="LK67" s="39">
        <f t="shared" si="284"/>
        <v>0</v>
      </c>
      <c r="LL67" s="39">
        <f t="shared" ref="LL67:NN67" si="285">IFERROR(LL4/LL46,0)</f>
        <v>0</v>
      </c>
      <c r="LM67" s="39">
        <f t="shared" si="285"/>
        <v>0</v>
      </c>
      <c r="LN67" s="39">
        <f t="shared" si="285"/>
        <v>0</v>
      </c>
      <c r="LO67" s="39">
        <f t="shared" si="285"/>
        <v>0</v>
      </c>
      <c r="LP67" s="39">
        <f t="shared" si="285"/>
        <v>0</v>
      </c>
      <c r="LQ67" s="39">
        <f t="shared" si="285"/>
        <v>0</v>
      </c>
      <c r="LR67" s="39">
        <f t="shared" si="285"/>
        <v>0</v>
      </c>
      <c r="LS67" s="39">
        <f t="shared" si="285"/>
        <v>3.62915498355348E-2</v>
      </c>
      <c r="LT67" s="39">
        <f t="shared" si="285"/>
        <v>0</v>
      </c>
      <c r="LU67" s="39">
        <f t="shared" si="285"/>
        <v>0</v>
      </c>
      <c r="LV67" s="39">
        <f t="shared" si="285"/>
        <v>0</v>
      </c>
      <c r="LW67" s="39">
        <f t="shared" si="285"/>
        <v>0</v>
      </c>
      <c r="LX67" s="39">
        <f t="shared" si="285"/>
        <v>0</v>
      </c>
      <c r="LY67" s="39">
        <f t="shared" si="285"/>
        <v>0</v>
      </c>
      <c r="LZ67" s="39">
        <f t="shared" si="285"/>
        <v>6.4643536454600803E-2</v>
      </c>
      <c r="MA67" s="39">
        <f t="shared" si="285"/>
        <v>0</v>
      </c>
      <c r="MB67" s="39">
        <f t="shared" si="285"/>
        <v>0</v>
      </c>
      <c r="MC67" s="39">
        <f t="shared" si="285"/>
        <v>0</v>
      </c>
      <c r="MD67" s="39">
        <f t="shared" si="285"/>
        <v>0</v>
      </c>
      <c r="ME67" s="39">
        <f t="shared" si="285"/>
        <v>0</v>
      </c>
      <c r="MF67" s="39">
        <f t="shared" si="285"/>
        <v>0</v>
      </c>
      <c r="MG67" s="39">
        <f t="shared" si="285"/>
        <v>0</v>
      </c>
      <c r="MH67" s="39">
        <f t="shared" si="285"/>
        <v>0</v>
      </c>
      <c r="MI67" s="39">
        <f t="shared" si="285"/>
        <v>0</v>
      </c>
      <c r="MJ67" s="39">
        <f t="shared" si="285"/>
        <v>4.170099659383987E-2</v>
      </c>
      <c r="MK67" s="39">
        <f t="shared" si="285"/>
        <v>0</v>
      </c>
      <c r="ML67" s="39">
        <f t="shared" si="285"/>
        <v>0</v>
      </c>
      <c r="MM67" s="39">
        <f t="shared" si="285"/>
        <v>0</v>
      </c>
      <c r="MN67" s="39">
        <f t="shared" si="285"/>
        <v>0</v>
      </c>
      <c r="MO67" s="39">
        <f t="shared" si="285"/>
        <v>0</v>
      </c>
      <c r="MP67" s="39">
        <f t="shared" si="285"/>
        <v>0</v>
      </c>
      <c r="MQ67" s="39">
        <f t="shared" si="285"/>
        <v>0</v>
      </c>
      <c r="MR67" s="39">
        <f t="shared" si="285"/>
        <v>4.6233490744715777E-2</v>
      </c>
      <c r="MS67" s="39">
        <f t="shared" si="285"/>
        <v>0</v>
      </c>
      <c r="MT67" s="39">
        <f t="shared" si="285"/>
        <v>0</v>
      </c>
      <c r="MU67" s="39">
        <f t="shared" si="285"/>
        <v>0</v>
      </c>
      <c r="MV67" s="39">
        <f t="shared" si="285"/>
        <v>0</v>
      </c>
      <c r="MW67" s="39">
        <f t="shared" si="285"/>
        <v>0</v>
      </c>
      <c r="MX67" s="39">
        <f t="shared" si="285"/>
        <v>0</v>
      </c>
      <c r="MY67" s="39">
        <f t="shared" si="285"/>
        <v>0</v>
      </c>
      <c r="MZ67" s="39">
        <f t="shared" si="285"/>
        <v>0</v>
      </c>
      <c r="NA67" s="39">
        <f t="shared" si="285"/>
        <v>0</v>
      </c>
      <c r="NB67" s="39">
        <f t="shared" si="285"/>
        <v>0</v>
      </c>
      <c r="NC67" s="39">
        <f t="shared" si="285"/>
        <v>0</v>
      </c>
      <c r="ND67" s="39">
        <f t="shared" si="285"/>
        <v>0.12167046625485181</v>
      </c>
      <c r="NE67" s="39">
        <f t="shared" si="285"/>
        <v>0</v>
      </c>
      <c r="NF67" s="39">
        <f t="shared" si="285"/>
        <v>0</v>
      </c>
      <c r="NG67" s="39">
        <f t="shared" si="285"/>
        <v>0</v>
      </c>
      <c r="NH67" s="39">
        <f t="shared" si="285"/>
        <v>0</v>
      </c>
      <c r="NI67" s="39">
        <f t="shared" si="285"/>
        <v>0</v>
      </c>
      <c r="NJ67" s="39">
        <f t="shared" si="285"/>
        <v>0</v>
      </c>
      <c r="NK67" s="39">
        <f t="shared" si="285"/>
        <v>0</v>
      </c>
      <c r="NL67" s="39">
        <f t="shared" si="285"/>
        <v>0</v>
      </c>
      <c r="NM67" s="39">
        <f t="shared" si="285"/>
        <v>0</v>
      </c>
      <c r="NN67" s="39">
        <f t="shared" si="285"/>
        <v>0</v>
      </c>
      <c r="NO67" s="39">
        <f t="shared" ref="NO67" si="286">IFERROR(NO4/NO46,0)</f>
        <v>0</v>
      </c>
      <c r="NP67" s="39">
        <v>0</v>
      </c>
      <c r="NQ67" s="39">
        <v>0</v>
      </c>
      <c r="NR67" s="39">
        <v>2.0737194482113698E-3</v>
      </c>
      <c r="NS67" s="39">
        <v>0</v>
      </c>
      <c r="NT67" s="39">
        <v>0</v>
      </c>
      <c r="NU67" s="39">
        <v>0</v>
      </c>
      <c r="NV67" s="39">
        <v>0</v>
      </c>
      <c r="NW67" s="39">
        <v>0</v>
      </c>
      <c r="NX67" s="39">
        <v>0</v>
      </c>
      <c r="NY67" s="39">
        <v>0</v>
      </c>
      <c r="NZ67" s="39">
        <v>0</v>
      </c>
      <c r="OA67" s="39">
        <v>0</v>
      </c>
      <c r="OB67" s="39">
        <v>0</v>
      </c>
      <c r="OC67" s="39">
        <v>0</v>
      </c>
      <c r="OD67" s="39">
        <v>0</v>
      </c>
      <c r="OE67" s="39">
        <v>0</v>
      </c>
      <c r="OF67" s="39">
        <v>0</v>
      </c>
      <c r="OG67" s="39">
        <v>0</v>
      </c>
      <c r="OH67" s="39">
        <v>0</v>
      </c>
      <c r="OI67" s="39">
        <v>0</v>
      </c>
      <c r="OJ67" s="39">
        <v>0</v>
      </c>
      <c r="OK67" s="39">
        <v>0</v>
      </c>
      <c r="OL67" s="39">
        <v>0</v>
      </c>
      <c r="OM67" s="39">
        <v>0</v>
      </c>
      <c r="ON67" s="39">
        <v>0</v>
      </c>
      <c r="OO67" s="39">
        <v>0</v>
      </c>
      <c r="OP67" s="39">
        <v>0</v>
      </c>
      <c r="OQ67" s="39">
        <v>0</v>
      </c>
      <c r="OR67" s="39">
        <v>0</v>
      </c>
      <c r="OS67" s="39">
        <f t="shared" ref="OS67" si="287">IFERROR(OS4/OS46,0)</f>
        <v>0</v>
      </c>
      <c r="OT67" s="39">
        <f>IFERROR(OT4/OT46,0)</f>
        <v>0</v>
      </c>
      <c r="OU67" s="39">
        <v>0</v>
      </c>
      <c r="OV67" s="39">
        <v>0</v>
      </c>
      <c r="OW67" s="39">
        <v>0</v>
      </c>
      <c r="OX67" s="39">
        <v>0</v>
      </c>
      <c r="OY67" s="39">
        <v>0</v>
      </c>
      <c r="OZ67" s="39">
        <v>0</v>
      </c>
      <c r="PA67" s="39">
        <v>0</v>
      </c>
      <c r="PB67" s="39">
        <v>0</v>
      </c>
      <c r="PC67" s="39">
        <v>0</v>
      </c>
      <c r="PD67" s="39">
        <v>0</v>
      </c>
      <c r="PE67" s="39">
        <v>0</v>
      </c>
      <c r="PF67" s="39">
        <v>0</v>
      </c>
      <c r="PG67" s="39">
        <v>0</v>
      </c>
      <c r="PH67" s="39">
        <v>0</v>
      </c>
      <c r="PI67" s="39">
        <v>0</v>
      </c>
      <c r="PJ67" s="39">
        <v>0</v>
      </c>
      <c r="PK67" s="39">
        <v>0</v>
      </c>
      <c r="PL67" s="39">
        <v>0</v>
      </c>
      <c r="PM67" s="39">
        <v>0</v>
      </c>
      <c r="PN67" s="39">
        <v>0</v>
      </c>
      <c r="PO67" s="39">
        <v>0</v>
      </c>
      <c r="PP67" s="39">
        <v>0</v>
      </c>
      <c r="PQ67" s="39">
        <v>0</v>
      </c>
      <c r="PR67" s="39">
        <v>0</v>
      </c>
      <c r="PS67" s="39">
        <v>0</v>
      </c>
      <c r="PT67" s="39">
        <v>0</v>
      </c>
      <c r="PU67" s="39">
        <v>0</v>
      </c>
      <c r="PV67" s="39">
        <v>0</v>
      </c>
      <c r="PW67" s="39">
        <v>0</v>
      </c>
      <c r="PX67" s="39">
        <v>0</v>
      </c>
      <c r="PY67" s="39">
        <v>0</v>
      </c>
      <c r="PZ67" s="39">
        <v>0</v>
      </c>
      <c r="QA67" s="39">
        <v>0</v>
      </c>
      <c r="QB67" s="39">
        <v>0</v>
      </c>
      <c r="QC67" s="39">
        <v>0</v>
      </c>
      <c r="QD67" s="39">
        <v>0</v>
      </c>
      <c r="QE67" s="39">
        <v>0</v>
      </c>
      <c r="QF67" s="39">
        <v>0</v>
      </c>
      <c r="QG67" s="39">
        <v>0</v>
      </c>
      <c r="QH67" s="39">
        <v>0</v>
      </c>
      <c r="QI67" s="39">
        <v>0</v>
      </c>
      <c r="QJ67" s="39">
        <v>0</v>
      </c>
      <c r="QK67" s="39">
        <v>0</v>
      </c>
      <c r="QL67" s="39">
        <v>0</v>
      </c>
      <c r="QM67" s="39">
        <v>0</v>
      </c>
      <c r="QN67" s="39">
        <v>0</v>
      </c>
      <c r="QO67" s="39">
        <v>0</v>
      </c>
      <c r="QP67" s="39">
        <v>0</v>
      </c>
      <c r="QQ67" s="39">
        <v>0</v>
      </c>
      <c r="QR67" s="39">
        <v>0</v>
      </c>
      <c r="QS67" s="39">
        <v>0</v>
      </c>
      <c r="QT67" s="39">
        <v>0</v>
      </c>
      <c r="QU67" s="39">
        <v>0</v>
      </c>
      <c r="QV67" s="39">
        <v>0</v>
      </c>
      <c r="QW67" s="39">
        <v>0</v>
      </c>
      <c r="QX67" s="39">
        <v>0</v>
      </c>
      <c r="QY67" s="39">
        <v>0</v>
      </c>
      <c r="QZ67" s="39">
        <v>0</v>
      </c>
      <c r="RA67" s="39">
        <v>0</v>
      </c>
      <c r="RB67" s="39">
        <v>0</v>
      </c>
      <c r="RC67" s="39">
        <v>0</v>
      </c>
      <c r="RD67" s="39">
        <v>0</v>
      </c>
      <c r="RE67" s="39">
        <v>0</v>
      </c>
      <c r="RF67" s="39">
        <v>0</v>
      </c>
      <c r="RG67" s="39">
        <v>0</v>
      </c>
      <c r="RH67" s="39">
        <v>0</v>
      </c>
      <c r="RI67" s="39">
        <v>0</v>
      </c>
      <c r="RJ67" s="39">
        <v>0</v>
      </c>
      <c r="RK67" s="39">
        <v>0</v>
      </c>
      <c r="RL67" s="39">
        <v>0</v>
      </c>
      <c r="RM67" s="39">
        <v>0</v>
      </c>
      <c r="RN67" s="39">
        <v>0</v>
      </c>
      <c r="RO67" s="39">
        <v>0</v>
      </c>
      <c r="RP67" s="39">
        <v>0</v>
      </c>
      <c r="RQ67" s="39">
        <v>0</v>
      </c>
      <c r="RR67" s="39">
        <v>0</v>
      </c>
      <c r="RS67" s="39">
        <v>0</v>
      </c>
      <c r="RT67" s="39">
        <v>0</v>
      </c>
      <c r="RU67" s="39">
        <v>0</v>
      </c>
      <c r="RV67" s="39">
        <v>0</v>
      </c>
      <c r="RW67" s="39">
        <v>0</v>
      </c>
      <c r="RX67" s="39">
        <v>0</v>
      </c>
      <c r="RY67" s="39">
        <v>0</v>
      </c>
      <c r="RZ67" s="39">
        <v>0</v>
      </c>
      <c r="SA67" s="39">
        <v>0</v>
      </c>
      <c r="SB67" s="39">
        <v>0</v>
      </c>
      <c r="SC67" s="39">
        <v>0</v>
      </c>
      <c r="SD67" s="39">
        <v>0</v>
      </c>
      <c r="SE67" s="39">
        <v>0</v>
      </c>
      <c r="SF67" s="39">
        <v>0</v>
      </c>
      <c r="SG67" s="39">
        <v>0</v>
      </c>
      <c r="SH67" s="39">
        <v>0</v>
      </c>
      <c r="SI67" s="39">
        <v>0</v>
      </c>
      <c r="SJ67" s="39">
        <v>0</v>
      </c>
      <c r="SK67" s="39">
        <v>0</v>
      </c>
      <c r="SL67" s="39">
        <v>0</v>
      </c>
      <c r="SM67" s="39">
        <v>0</v>
      </c>
      <c r="SN67" s="39">
        <v>0</v>
      </c>
      <c r="SO67" s="39">
        <v>0</v>
      </c>
      <c r="SP67" s="39">
        <v>0</v>
      </c>
      <c r="SQ67" s="39">
        <v>0</v>
      </c>
      <c r="SR67" s="39">
        <v>0</v>
      </c>
      <c r="SS67" s="39">
        <v>0</v>
      </c>
      <c r="ST67" s="39">
        <v>0</v>
      </c>
      <c r="SU67" s="39">
        <v>0</v>
      </c>
      <c r="SV67" s="39">
        <v>0</v>
      </c>
      <c r="SW67" s="39">
        <v>0</v>
      </c>
      <c r="SX67" s="39">
        <v>0</v>
      </c>
      <c r="SY67" s="39">
        <v>0</v>
      </c>
      <c r="SZ67" s="39">
        <v>0</v>
      </c>
      <c r="TA67" s="39">
        <v>0</v>
      </c>
      <c r="TB67" s="39">
        <v>0</v>
      </c>
      <c r="TC67" s="39">
        <v>0</v>
      </c>
      <c r="TD67" s="39">
        <v>0</v>
      </c>
      <c r="TE67" s="39">
        <v>0</v>
      </c>
      <c r="TF67" s="39">
        <v>0</v>
      </c>
      <c r="TG67" s="39">
        <v>0</v>
      </c>
      <c r="TH67" s="39">
        <v>0</v>
      </c>
      <c r="TI67" s="39">
        <v>0</v>
      </c>
      <c r="TJ67" s="39">
        <v>0</v>
      </c>
      <c r="TK67" s="39">
        <v>0</v>
      </c>
      <c r="TL67" s="39">
        <v>0</v>
      </c>
      <c r="TM67" s="39">
        <v>0</v>
      </c>
      <c r="TN67" s="39">
        <v>0</v>
      </c>
      <c r="TO67" s="39">
        <v>0</v>
      </c>
      <c r="TP67" s="39">
        <v>0</v>
      </c>
      <c r="TQ67" s="39">
        <v>0</v>
      </c>
      <c r="TR67" s="39">
        <v>0</v>
      </c>
      <c r="TS67" s="39">
        <v>0</v>
      </c>
      <c r="TT67" s="39">
        <v>0</v>
      </c>
      <c r="TU67" s="39">
        <v>0</v>
      </c>
      <c r="TV67" s="39">
        <v>0</v>
      </c>
      <c r="TW67" s="39">
        <v>0</v>
      </c>
      <c r="TX67" s="39">
        <v>0</v>
      </c>
      <c r="TY67" s="39">
        <v>0</v>
      </c>
      <c r="TZ67" s="39">
        <v>0</v>
      </c>
      <c r="UA67" s="39">
        <v>0</v>
      </c>
      <c r="UB67" s="39">
        <v>0</v>
      </c>
      <c r="UC67" s="39">
        <v>0</v>
      </c>
      <c r="UD67" s="39">
        <v>0</v>
      </c>
      <c r="UE67" s="39">
        <v>0</v>
      </c>
      <c r="UF67" s="39">
        <v>0</v>
      </c>
      <c r="UG67" s="39">
        <v>0</v>
      </c>
      <c r="UH67" s="45">
        <v>0</v>
      </c>
      <c r="UI67" s="45">
        <v>0</v>
      </c>
      <c r="UJ67" s="45">
        <v>0</v>
      </c>
      <c r="UK67" s="45">
        <v>0</v>
      </c>
      <c r="UL67" s="45">
        <v>0</v>
      </c>
      <c r="UM67" s="45">
        <v>0</v>
      </c>
      <c r="UN67" s="45">
        <v>0</v>
      </c>
      <c r="UO67" s="45">
        <v>0</v>
      </c>
      <c r="UP67" s="45">
        <v>0</v>
      </c>
      <c r="UQ67" s="45">
        <v>0</v>
      </c>
      <c r="UR67" s="45">
        <v>0</v>
      </c>
      <c r="US67" s="45">
        <v>0</v>
      </c>
      <c r="UT67" s="45">
        <v>0</v>
      </c>
      <c r="UU67" s="45">
        <v>0</v>
      </c>
      <c r="UV67" s="45">
        <v>0</v>
      </c>
      <c r="UW67" s="45">
        <v>0</v>
      </c>
      <c r="UX67" s="45">
        <v>0</v>
      </c>
      <c r="UY67" s="45">
        <v>0</v>
      </c>
      <c r="UZ67" s="45">
        <v>0</v>
      </c>
      <c r="VA67" s="45">
        <v>0</v>
      </c>
      <c r="VB67" s="45">
        <v>0</v>
      </c>
      <c r="VC67" s="45">
        <v>0</v>
      </c>
      <c r="VD67" s="45">
        <v>0</v>
      </c>
      <c r="VE67" s="45">
        <v>0</v>
      </c>
      <c r="VF67" s="45">
        <v>0</v>
      </c>
      <c r="VG67" s="45">
        <v>0</v>
      </c>
      <c r="VH67" s="45">
        <v>0</v>
      </c>
      <c r="VI67" s="45">
        <v>0</v>
      </c>
      <c r="VJ67" s="45">
        <v>0</v>
      </c>
      <c r="VK67" s="45">
        <v>0</v>
      </c>
      <c r="VL67" s="45">
        <v>0</v>
      </c>
      <c r="VM67" s="45">
        <v>0</v>
      </c>
      <c r="VN67" s="45">
        <v>0</v>
      </c>
      <c r="VO67" s="45">
        <v>0</v>
      </c>
      <c r="VP67" s="45">
        <v>0</v>
      </c>
      <c r="VQ67" s="45">
        <v>0</v>
      </c>
      <c r="VR67" s="45">
        <v>0</v>
      </c>
      <c r="VS67" s="45">
        <v>0</v>
      </c>
      <c r="VT67" s="45">
        <v>0</v>
      </c>
      <c r="VU67" s="45">
        <v>0</v>
      </c>
      <c r="VV67" s="45">
        <v>0</v>
      </c>
      <c r="VW67" s="45">
        <v>0</v>
      </c>
      <c r="VX67" s="35">
        <v>0</v>
      </c>
      <c r="VY67" s="35">
        <v>0</v>
      </c>
      <c r="VZ67" s="35">
        <v>0</v>
      </c>
      <c r="WA67" s="35">
        <v>0</v>
      </c>
      <c r="WB67" s="35">
        <v>0</v>
      </c>
      <c r="WC67" s="35">
        <v>0</v>
      </c>
      <c r="WD67" s="35">
        <v>0</v>
      </c>
      <c r="WE67" s="35">
        <v>0</v>
      </c>
      <c r="WF67" s="35">
        <v>0</v>
      </c>
      <c r="WG67" s="35">
        <v>0</v>
      </c>
      <c r="WH67" s="35">
        <v>0</v>
      </c>
      <c r="WI67" s="35">
        <v>0</v>
      </c>
      <c r="WJ67" s="35">
        <v>0</v>
      </c>
      <c r="WK67" s="35">
        <v>0</v>
      </c>
      <c r="WL67" s="35">
        <v>0</v>
      </c>
      <c r="WM67" s="35">
        <v>0</v>
      </c>
      <c r="WN67" s="35">
        <v>0</v>
      </c>
      <c r="WO67" s="35">
        <v>0</v>
      </c>
      <c r="WP67" s="35">
        <v>0</v>
      </c>
      <c r="WQ67" s="35">
        <v>0</v>
      </c>
      <c r="WR67" s="35">
        <v>0</v>
      </c>
      <c r="WS67" s="35">
        <v>0</v>
      </c>
      <c r="WT67" s="35">
        <v>0</v>
      </c>
      <c r="WU67" s="35">
        <v>0</v>
      </c>
      <c r="WV67" s="45">
        <v>0</v>
      </c>
      <c r="WW67" s="45">
        <v>0</v>
      </c>
      <c r="WX67" s="45">
        <v>0</v>
      </c>
      <c r="WY67" s="45">
        <v>0</v>
      </c>
      <c r="WZ67" s="45">
        <v>0</v>
      </c>
      <c r="XA67" s="45">
        <v>0</v>
      </c>
      <c r="XB67" s="45">
        <v>0</v>
      </c>
      <c r="XC67" s="45">
        <v>0</v>
      </c>
      <c r="XD67" s="45">
        <v>0</v>
      </c>
      <c r="XE67" s="45">
        <v>0</v>
      </c>
      <c r="XF67" s="45">
        <v>0</v>
      </c>
      <c r="XG67" s="45">
        <v>0</v>
      </c>
      <c r="XH67" s="45">
        <v>0</v>
      </c>
      <c r="XI67" s="45">
        <v>0</v>
      </c>
      <c r="XJ67" s="45">
        <v>0</v>
      </c>
      <c r="XK67" s="45">
        <v>0</v>
      </c>
      <c r="XL67" s="45">
        <v>0</v>
      </c>
      <c r="XM67" s="45">
        <v>0</v>
      </c>
      <c r="XN67" s="45">
        <v>0</v>
      </c>
      <c r="XO67" s="45">
        <v>0</v>
      </c>
      <c r="XP67" s="45">
        <v>0</v>
      </c>
      <c r="XQ67" s="45">
        <v>0</v>
      </c>
      <c r="XR67" s="45">
        <v>0</v>
      </c>
      <c r="XS67" s="45">
        <v>0</v>
      </c>
      <c r="XT67" s="45">
        <v>0</v>
      </c>
      <c r="XU67" s="45">
        <v>0</v>
      </c>
      <c r="XV67" s="45">
        <v>0</v>
      </c>
      <c r="XW67" s="45">
        <v>0</v>
      </c>
      <c r="XX67" s="45">
        <v>0</v>
      </c>
      <c r="XY67">
        <v>0</v>
      </c>
      <c r="XZ67">
        <v>0</v>
      </c>
      <c r="YA67">
        <v>0</v>
      </c>
      <c r="YB67">
        <v>0</v>
      </c>
      <c r="YC67">
        <v>0</v>
      </c>
      <c r="YD67">
        <v>0</v>
      </c>
      <c r="YE67">
        <v>0</v>
      </c>
      <c r="YF67" s="1">
        <v>0</v>
      </c>
      <c r="YG67" s="1">
        <v>0</v>
      </c>
      <c r="YH67" s="1">
        <v>0</v>
      </c>
      <c r="YI67" s="1">
        <v>0</v>
      </c>
      <c r="YJ67">
        <v>0</v>
      </c>
      <c r="YK67">
        <v>0</v>
      </c>
      <c r="YL67">
        <v>0</v>
      </c>
      <c r="YM67">
        <v>0</v>
      </c>
      <c r="YN67">
        <v>0</v>
      </c>
      <c r="YO67">
        <v>0</v>
      </c>
      <c r="YP67">
        <v>0</v>
      </c>
      <c r="YQ67">
        <v>0</v>
      </c>
      <c r="YR67">
        <v>0</v>
      </c>
      <c r="YS67">
        <v>0</v>
      </c>
      <c r="YT67">
        <v>0</v>
      </c>
      <c r="YU67">
        <v>0</v>
      </c>
      <c r="YV67">
        <v>0</v>
      </c>
      <c r="YW67">
        <v>0</v>
      </c>
      <c r="YX67">
        <v>0</v>
      </c>
      <c r="YY67">
        <v>0</v>
      </c>
      <c r="YZ67">
        <v>0</v>
      </c>
      <c r="ZA67">
        <v>0</v>
      </c>
      <c r="ZB67">
        <v>0</v>
      </c>
      <c r="ZC67">
        <v>0</v>
      </c>
      <c r="ZD67">
        <v>0</v>
      </c>
      <c r="ZE67">
        <v>0</v>
      </c>
      <c r="ZF67">
        <v>0</v>
      </c>
      <c r="ZG67">
        <v>0</v>
      </c>
      <c r="ZH67">
        <v>0</v>
      </c>
      <c r="ZI67">
        <v>0</v>
      </c>
      <c r="ZJ67">
        <v>0</v>
      </c>
      <c r="ZK67">
        <v>0</v>
      </c>
      <c r="ZL67">
        <v>0</v>
      </c>
      <c r="ZM67">
        <v>0</v>
      </c>
      <c r="ZN67">
        <v>0</v>
      </c>
      <c r="ZO67">
        <v>0</v>
      </c>
      <c r="ZP67">
        <v>0</v>
      </c>
      <c r="ZQ67">
        <v>0</v>
      </c>
      <c r="ZR67">
        <v>0</v>
      </c>
      <c r="ZS67">
        <v>0</v>
      </c>
      <c r="ZT67">
        <v>0</v>
      </c>
      <c r="ZU67">
        <v>0</v>
      </c>
      <c r="ZV67">
        <v>0</v>
      </c>
      <c r="ZW67">
        <v>0</v>
      </c>
      <c r="ZX67">
        <v>0</v>
      </c>
      <c r="ZY67">
        <v>0</v>
      </c>
      <c r="ZZ67">
        <v>0</v>
      </c>
      <c r="AAA67">
        <v>0</v>
      </c>
      <c r="AAB67">
        <v>0</v>
      </c>
      <c r="AAC67">
        <v>0</v>
      </c>
      <c r="AAD67">
        <v>0</v>
      </c>
      <c r="AAE67">
        <v>0</v>
      </c>
      <c r="AAF67">
        <v>0</v>
      </c>
      <c r="AAG67">
        <v>0</v>
      </c>
      <c r="AAH67">
        <v>0</v>
      </c>
      <c r="AAI67">
        <v>0</v>
      </c>
      <c r="AAJ67">
        <v>0</v>
      </c>
      <c r="AAK67">
        <v>0</v>
      </c>
      <c r="AAL67">
        <v>0</v>
      </c>
      <c r="AAM67">
        <v>0</v>
      </c>
      <c r="AAN67">
        <v>0</v>
      </c>
      <c r="AAO67">
        <v>0</v>
      </c>
      <c r="AAP67">
        <v>0</v>
      </c>
      <c r="AAQ67">
        <v>0</v>
      </c>
      <c r="AAR67">
        <v>0</v>
      </c>
      <c r="AAS67">
        <v>0</v>
      </c>
      <c r="AAT67">
        <v>0</v>
      </c>
      <c r="AAU67">
        <v>0</v>
      </c>
      <c r="AAV67">
        <v>0</v>
      </c>
      <c r="AAW67">
        <v>0</v>
      </c>
      <c r="AAX67">
        <v>0</v>
      </c>
      <c r="AAY67">
        <v>0</v>
      </c>
      <c r="AAZ67">
        <v>0</v>
      </c>
      <c r="ABA67">
        <v>0</v>
      </c>
      <c r="ABB67">
        <v>0</v>
      </c>
      <c r="ABC67">
        <v>0</v>
      </c>
      <c r="ABD67">
        <v>0</v>
      </c>
      <c r="ABE67">
        <v>0</v>
      </c>
      <c r="ABF67">
        <v>0</v>
      </c>
      <c r="ABG67">
        <v>0</v>
      </c>
      <c r="ABH67">
        <v>0</v>
      </c>
      <c r="ABI67">
        <v>0</v>
      </c>
      <c r="ABJ67">
        <v>0</v>
      </c>
      <c r="ABK67">
        <v>0</v>
      </c>
      <c r="ABL67">
        <v>0</v>
      </c>
      <c r="ABM67">
        <v>0</v>
      </c>
      <c r="ABN67">
        <v>0</v>
      </c>
      <c r="ABO67">
        <v>0</v>
      </c>
      <c r="ABP67">
        <v>0</v>
      </c>
      <c r="ABQ67">
        <v>0</v>
      </c>
      <c r="ABR67">
        <v>0</v>
      </c>
      <c r="ABS67">
        <v>0</v>
      </c>
      <c r="ABT67">
        <v>0</v>
      </c>
      <c r="ABU67">
        <v>0</v>
      </c>
      <c r="ABV67">
        <v>0</v>
      </c>
      <c r="ABW67">
        <v>0</v>
      </c>
      <c r="ABX67">
        <v>0</v>
      </c>
      <c r="ABY67">
        <v>0</v>
      </c>
      <c r="ABZ67">
        <v>0</v>
      </c>
      <c r="ACA67">
        <v>0</v>
      </c>
      <c r="ACB67">
        <v>0</v>
      </c>
      <c r="ACC67">
        <v>0</v>
      </c>
      <c r="ACD67">
        <v>0</v>
      </c>
      <c r="ACE67">
        <v>0</v>
      </c>
      <c r="ACF67">
        <v>0</v>
      </c>
      <c r="ACG67">
        <v>0</v>
      </c>
      <c r="ACH67">
        <v>0</v>
      </c>
      <c r="ACI67">
        <v>0</v>
      </c>
      <c r="ACJ67">
        <v>0</v>
      </c>
      <c r="ACK67">
        <v>0</v>
      </c>
      <c r="ACL67">
        <v>0</v>
      </c>
      <c r="ACM67">
        <v>0</v>
      </c>
      <c r="ACN67">
        <v>0</v>
      </c>
      <c r="ACO67">
        <v>0</v>
      </c>
      <c r="ACP67">
        <v>0</v>
      </c>
      <c r="ACQ67">
        <v>0</v>
      </c>
      <c r="ACR67">
        <v>0</v>
      </c>
      <c r="ACS67">
        <v>0</v>
      </c>
      <c r="ACT67">
        <v>0</v>
      </c>
      <c r="ACU67">
        <v>0</v>
      </c>
      <c r="ACV67">
        <v>0</v>
      </c>
      <c r="ACW67">
        <v>0</v>
      </c>
      <c r="ACX67">
        <v>0</v>
      </c>
      <c r="ACY67">
        <v>0</v>
      </c>
      <c r="ACZ67">
        <v>0</v>
      </c>
      <c r="ADA67">
        <v>0</v>
      </c>
      <c r="ADB67">
        <v>0</v>
      </c>
      <c r="ADC67">
        <v>0</v>
      </c>
      <c r="ADD67">
        <v>0</v>
      </c>
      <c r="ADE67">
        <v>0</v>
      </c>
      <c r="ADF67">
        <v>0</v>
      </c>
      <c r="ADG67">
        <v>0</v>
      </c>
      <c r="ADH67">
        <v>0</v>
      </c>
      <c r="ADI67">
        <v>0</v>
      </c>
      <c r="ADJ67">
        <v>0</v>
      </c>
      <c r="ADK67">
        <v>0</v>
      </c>
      <c r="ADL67">
        <v>0</v>
      </c>
      <c r="ADM67">
        <v>0</v>
      </c>
      <c r="ADN67">
        <v>0</v>
      </c>
      <c r="ADO67">
        <v>0</v>
      </c>
      <c r="ADP67">
        <v>0</v>
      </c>
      <c r="ADQ67">
        <v>0</v>
      </c>
      <c r="ADR67">
        <v>0</v>
      </c>
      <c r="ADS67">
        <v>0</v>
      </c>
      <c r="ADT67">
        <v>0</v>
      </c>
      <c r="ADU67">
        <v>0</v>
      </c>
      <c r="ADV67">
        <v>0</v>
      </c>
      <c r="ADW67">
        <v>0</v>
      </c>
      <c r="ADX67">
        <v>0</v>
      </c>
      <c r="ADY67">
        <v>0</v>
      </c>
      <c r="ADZ67">
        <v>0</v>
      </c>
      <c r="AEA67">
        <v>0</v>
      </c>
      <c r="AEB67">
        <v>0</v>
      </c>
      <c r="AEC67">
        <v>0</v>
      </c>
      <c r="AED67">
        <v>0</v>
      </c>
      <c r="AEE67">
        <v>0</v>
      </c>
      <c r="AEF67">
        <v>0</v>
      </c>
      <c r="AEG67">
        <v>0</v>
      </c>
      <c r="AEH67">
        <v>0</v>
      </c>
      <c r="AEI67">
        <v>0</v>
      </c>
      <c r="AEJ67">
        <v>0</v>
      </c>
      <c r="AEK67">
        <v>0</v>
      </c>
      <c r="AEL67">
        <v>0</v>
      </c>
      <c r="AEM67">
        <v>0</v>
      </c>
      <c r="AEN67">
        <v>0</v>
      </c>
      <c r="AEO67">
        <v>0</v>
      </c>
      <c r="AEP67">
        <v>0</v>
      </c>
      <c r="AEQ67">
        <v>0</v>
      </c>
      <c r="AER67">
        <v>0</v>
      </c>
      <c r="AES67">
        <v>0</v>
      </c>
      <c r="AET67">
        <v>0</v>
      </c>
      <c r="AEU67">
        <v>0</v>
      </c>
      <c r="AEV67">
        <v>0</v>
      </c>
      <c r="AEW67">
        <v>0</v>
      </c>
      <c r="AEX67">
        <v>0</v>
      </c>
      <c r="AEY67">
        <v>0</v>
      </c>
      <c r="AEZ67">
        <v>0</v>
      </c>
      <c r="AFA67">
        <v>0</v>
      </c>
      <c r="AFB67">
        <v>0</v>
      </c>
      <c r="AFC67">
        <v>0</v>
      </c>
      <c r="AFD67">
        <v>0</v>
      </c>
      <c r="AFE67">
        <v>0</v>
      </c>
      <c r="AFF67">
        <v>0</v>
      </c>
      <c r="AFG67">
        <v>0</v>
      </c>
      <c r="AFH67">
        <v>0</v>
      </c>
      <c r="AFI67">
        <v>0</v>
      </c>
      <c r="AFJ67">
        <v>0</v>
      </c>
      <c r="AFK67">
        <v>0</v>
      </c>
      <c r="AFL67">
        <v>0</v>
      </c>
      <c r="AFM67">
        <v>0</v>
      </c>
      <c r="AFN67">
        <v>0</v>
      </c>
      <c r="AFO67">
        <v>0</v>
      </c>
      <c r="AFP67">
        <v>0</v>
      </c>
      <c r="AFQ67">
        <v>0</v>
      </c>
      <c r="AFR67">
        <v>0</v>
      </c>
      <c r="AFS67">
        <v>0</v>
      </c>
      <c r="AFT67">
        <v>0</v>
      </c>
      <c r="AFU67">
        <v>0</v>
      </c>
      <c r="AFV67">
        <v>0</v>
      </c>
      <c r="AFW67">
        <v>0</v>
      </c>
      <c r="AFX67">
        <v>0</v>
      </c>
      <c r="AFY67">
        <v>0</v>
      </c>
      <c r="AFZ67">
        <v>0</v>
      </c>
      <c r="AGA67">
        <v>0</v>
      </c>
      <c r="AGB67">
        <v>0</v>
      </c>
      <c r="AGC67">
        <v>0</v>
      </c>
      <c r="AGD67">
        <v>0</v>
      </c>
      <c r="AGE67">
        <v>0</v>
      </c>
      <c r="AGF67">
        <v>0</v>
      </c>
      <c r="AGG67">
        <v>0</v>
      </c>
      <c r="AGH67">
        <v>0</v>
      </c>
      <c r="AGI67">
        <v>0</v>
      </c>
      <c r="AGJ67">
        <v>0</v>
      </c>
      <c r="AGK67">
        <v>0</v>
      </c>
      <c r="AGL67">
        <v>0</v>
      </c>
      <c r="AGM67">
        <v>0</v>
      </c>
      <c r="AGN67">
        <v>0</v>
      </c>
      <c r="AGO67">
        <v>0</v>
      </c>
      <c r="AGP67">
        <v>0</v>
      </c>
      <c r="AGQ67">
        <v>0</v>
      </c>
      <c r="AGR67">
        <v>0</v>
      </c>
      <c r="AGS67">
        <v>0</v>
      </c>
      <c r="AGT67">
        <v>0</v>
      </c>
      <c r="AGU67">
        <v>0</v>
      </c>
      <c r="AGV67">
        <v>0</v>
      </c>
      <c r="AGW67">
        <v>0</v>
      </c>
      <c r="AGX67">
        <v>0</v>
      </c>
      <c r="AGY67">
        <v>0</v>
      </c>
      <c r="AGZ67">
        <v>0</v>
      </c>
      <c r="AHA67">
        <v>0</v>
      </c>
      <c r="AHB67">
        <v>0</v>
      </c>
      <c r="AHC67">
        <v>0</v>
      </c>
      <c r="AHD67">
        <v>0</v>
      </c>
      <c r="AHE67">
        <v>0</v>
      </c>
      <c r="AHF67">
        <v>0</v>
      </c>
      <c r="AHG67">
        <v>0</v>
      </c>
      <c r="AHH67">
        <v>0</v>
      </c>
      <c r="AHI67">
        <v>0</v>
      </c>
      <c r="AHJ67">
        <v>0</v>
      </c>
      <c r="AHK67">
        <v>0</v>
      </c>
      <c r="AHL67">
        <v>0</v>
      </c>
      <c r="AHM67">
        <v>0</v>
      </c>
      <c r="AHN67">
        <v>0</v>
      </c>
      <c r="AHO67">
        <v>0</v>
      </c>
      <c r="AHP67">
        <v>0</v>
      </c>
      <c r="AHQ67">
        <v>0</v>
      </c>
    </row>
    <row r="68" spans="1:901">
      <c r="A68" s="1" t="s">
        <v>36</v>
      </c>
      <c r="C68" s="39">
        <f t="shared" si="157"/>
        <v>5.8869999368008595E-2</v>
      </c>
      <c r="D68" s="39">
        <f t="shared" si="157"/>
        <v>5.0451263537906139E-2</v>
      </c>
      <c r="E68" s="39">
        <f t="shared" si="157"/>
        <v>5.3041180862673024E-2</v>
      </c>
      <c r="F68" s="39">
        <f t="shared" si="157"/>
        <v>5.7929036929761042E-2</v>
      </c>
      <c r="G68" s="39">
        <f t="shared" si="222"/>
        <v>7.0978480561169899E-2</v>
      </c>
      <c r="H68" s="39">
        <f t="shared" si="222"/>
        <v>7.8796026588990958E-2</v>
      </c>
      <c r="I68" s="39">
        <f t="shared" si="222"/>
        <v>8.8614910421884033E-2</v>
      </c>
      <c r="J68" s="39">
        <f t="shared" si="222"/>
        <v>5.9942224362060662E-2</v>
      </c>
      <c r="K68" s="39">
        <f t="shared" si="222"/>
        <v>5.9012562080046745E-2</v>
      </c>
      <c r="L68" s="39">
        <f t="shared" si="222"/>
        <v>2.4778897970760386E-2</v>
      </c>
      <c r="M68" s="39">
        <f t="shared" si="222"/>
        <v>4.723400848611E-2</v>
      </c>
      <c r="N68" s="39">
        <f t="shared" si="222"/>
        <v>5.6329748608181469E-2</v>
      </c>
      <c r="O68" s="39">
        <f t="shared" si="222"/>
        <v>6.1470791377367405E-2</v>
      </c>
      <c r="P68" s="39">
        <f t="shared" si="222"/>
        <v>5.2455789818984286E-2</v>
      </c>
      <c r="Q68" s="39">
        <f t="shared" si="222"/>
        <v>4.7577183637585972E-2</v>
      </c>
      <c r="R68" s="39">
        <f t="shared" si="222"/>
        <v>5.2692027564569442E-2</v>
      </c>
      <c r="S68" s="39">
        <f t="shared" si="222"/>
        <v>4.7009605592711862E-2</v>
      </c>
      <c r="T68" s="39">
        <f t="shared" si="222"/>
        <v>4.3289684512956519E-2</v>
      </c>
      <c r="U68" s="39">
        <f t="shared" si="222"/>
        <v>5.9279525763793889E-2</v>
      </c>
      <c r="V68" s="39">
        <f t="shared" ref="V68:AY68" si="288">IFERROR(V5/V47,0)</f>
        <v>5.7545925098954634E-2</v>
      </c>
      <c r="W68" s="39">
        <f t="shared" si="288"/>
        <v>4.7824239849487166E-2</v>
      </c>
      <c r="X68" s="39">
        <f t="shared" si="288"/>
        <v>4.8302656232778574E-2</v>
      </c>
      <c r="Y68" s="39">
        <f t="shared" si="288"/>
        <v>5.0691244239631339E-2</v>
      </c>
      <c r="Z68" s="39">
        <f t="shared" si="288"/>
        <v>4.5293412562801255E-2</v>
      </c>
      <c r="AA68" s="39">
        <f t="shared" si="288"/>
        <v>4.2248029632105159E-2</v>
      </c>
      <c r="AB68" s="39">
        <f t="shared" si="288"/>
        <v>5.436862867632699E-2</v>
      </c>
      <c r="AC68" s="39">
        <f t="shared" si="288"/>
        <v>6.2935853841277159E-2</v>
      </c>
      <c r="AD68" s="39">
        <f t="shared" si="288"/>
        <v>6.2427103582338238E-2</v>
      </c>
      <c r="AE68" s="39">
        <f t="shared" si="288"/>
        <v>5.4490478641276374E-2</v>
      </c>
      <c r="AF68" s="39">
        <f t="shared" si="288"/>
        <v>4.9516578358005138E-2</v>
      </c>
      <c r="AG68" s="39">
        <f t="shared" si="288"/>
        <v>4.7331699038280217E-2</v>
      </c>
      <c r="AH68" s="39">
        <f t="shared" si="288"/>
        <v>4.4561737475123299E-2</v>
      </c>
      <c r="AI68" s="39">
        <f t="shared" si="288"/>
        <v>4.2711126656562126E-2</v>
      </c>
      <c r="AJ68" s="39">
        <f t="shared" si="288"/>
        <v>6.1498461211928264E-2</v>
      </c>
      <c r="AK68" s="39">
        <f t="shared" si="288"/>
        <v>4.7078842881452074E-2</v>
      </c>
      <c r="AL68" s="39">
        <f t="shared" si="288"/>
        <v>4.7645814930806496E-2</v>
      </c>
      <c r="AM68" s="39">
        <f t="shared" si="288"/>
        <v>4.2650015874695732E-2</v>
      </c>
      <c r="AN68" s="39">
        <f t="shared" si="288"/>
        <v>4.002807163465287E-2</v>
      </c>
      <c r="AO68" s="39">
        <f t="shared" si="288"/>
        <v>4.0574117149503069E-2</v>
      </c>
      <c r="AP68" s="39">
        <f t="shared" si="288"/>
        <v>4.6322206675994404E-2</v>
      </c>
      <c r="AQ68" s="39">
        <f t="shared" si="288"/>
        <v>4.6054440472917242E-2</v>
      </c>
      <c r="AR68" s="39">
        <f t="shared" si="288"/>
        <v>4.550080823804107E-2</v>
      </c>
      <c r="AS68" s="39">
        <f t="shared" si="288"/>
        <v>4.1241865509761388E-2</v>
      </c>
      <c r="AT68" s="39">
        <f t="shared" si="288"/>
        <v>4.2921188038106885E-2</v>
      </c>
      <c r="AU68" s="39">
        <f t="shared" si="288"/>
        <v>3.9074650077760495E-2</v>
      </c>
      <c r="AV68" s="39">
        <f t="shared" si="288"/>
        <v>3.6514065085493659E-2</v>
      </c>
      <c r="AW68" s="39">
        <f t="shared" si="288"/>
        <v>4.2868013866576481E-2</v>
      </c>
      <c r="AX68" s="39">
        <f t="shared" si="288"/>
        <v>4.6586434473961512E-2</v>
      </c>
      <c r="AY68" s="39">
        <f t="shared" si="288"/>
        <v>4.4992403879864439E-2</v>
      </c>
      <c r="AZ68" s="39">
        <f t="shared" si="91"/>
        <v>4.5118909441137972E-2</v>
      </c>
      <c r="BA68" s="39">
        <f t="shared" ref="BA68:BF68" si="289">IFERROR(BA5/BA47,0)</f>
        <v>3.990837363196742E-2</v>
      </c>
      <c r="BB68" s="39">
        <f t="shared" si="289"/>
        <v>3.7579330179933923E-2</v>
      </c>
      <c r="BC68" s="39">
        <f t="shared" si="289"/>
        <v>3.5386140205191395E-2</v>
      </c>
      <c r="BD68" s="39">
        <f t="shared" si="289"/>
        <v>4.2956834231749612E-2</v>
      </c>
      <c r="BE68" s="39">
        <f t="shared" si="289"/>
        <v>4.0500270904822104E-2</v>
      </c>
      <c r="BF68" s="39">
        <f t="shared" si="289"/>
        <v>4.5760053769463425E-2</v>
      </c>
      <c r="BG68" s="39">
        <f t="shared" ref="BG68" si="290">IFERROR(BG5/BG47,0)</f>
        <v>4.1585037745213278E-2</v>
      </c>
      <c r="BH68" s="39">
        <f t="shared" si="93"/>
        <v>4.0619910172252111E-2</v>
      </c>
      <c r="BI68" s="39">
        <f t="shared" ref="BI68:BK68" si="291">IFERROR(BI5/BI47,0)</f>
        <v>3.9128730337629244E-2</v>
      </c>
      <c r="BJ68" s="39">
        <f t="shared" si="291"/>
        <v>3.5655924348361866E-2</v>
      </c>
      <c r="BK68" s="39">
        <f t="shared" si="291"/>
        <v>4.4311324494560191E-2</v>
      </c>
      <c r="BL68" s="39">
        <f t="shared" ref="BL68:BM68" si="292">IFERROR(BL5/BL47,0)</f>
        <v>4.6872682323856614E-2</v>
      </c>
      <c r="BM68" s="39">
        <f t="shared" si="292"/>
        <v>4.1173472277283796E-2</v>
      </c>
      <c r="BN68" s="39">
        <f t="shared" ref="BN68:BO68" si="293">IFERROR(BN5/BN47,0)</f>
        <v>4.0096864644404789E-2</v>
      </c>
      <c r="BO68" s="39">
        <f t="shared" si="293"/>
        <v>3.9357348557570858E-2</v>
      </c>
      <c r="BP68" s="39">
        <f t="shared" ref="BP68:BQ68" si="294">IFERROR(BP5/BP47,0)</f>
        <v>3.7393215766598389E-2</v>
      </c>
      <c r="BQ68" s="39">
        <f t="shared" si="294"/>
        <v>3.7521496690812443E-2</v>
      </c>
      <c r="BR68" s="39">
        <f t="shared" ref="BR68:BS68" si="295">IFERROR(BR5/BR47,0)</f>
        <v>4.424428822495606E-2</v>
      </c>
      <c r="BS68" s="39">
        <f t="shared" si="295"/>
        <v>4.931305201177625E-2</v>
      </c>
      <c r="BT68" s="39">
        <f t="shared" ref="BT68:BU68" si="296">IFERROR(BT5/BT47,0)</f>
        <v>4.3395339838027583E-2</v>
      </c>
      <c r="BU68" s="39">
        <f t="shared" si="296"/>
        <v>4.0101731490520473E-2</v>
      </c>
      <c r="BV68" s="39">
        <f t="shared" ref="BV68:BW68" si="297">IFERROR(BV5/BV47,0)</f>
        <v>4.3535553190411025E-2</v>
      </c>
      <c r="BW68" s="39">
        <f t="shared" si="297"/>
        <v>3.4810866414176835E-2</v>
      </c>
      <c r="BX68" s="39">
        <f t="shared" ref="BX68:BY68" si="298">IFERROR(BX5/BX47,0)</f>
        <v>3.5017068487305313E-2</v>
      </c>
      <c r="BY68" s="39">
        <f t="shared" si="298"/>
        <v>4.7339527027027026E-2</v>
      </c>
      <c r="BZ68" s="39">
        <f t="shared" ref="BZ68:CA68" si="299">IFERROR(BZ5/BZ47,0)</f>
        <v>4.7870370370370369E-2</v>
      </c>
      <c r="CA68" s="39">
        <f t="shared" si="299"/>
        <v>4.1816870944484497E-2</v>
      </c>
      <c r="CB68" s="39">
        <f t="shared" ref="CB68:CC68" si="300">IFERROR(CB5/CB47,0)</f>
        <v>4.254324450677887E-2</v>
      </c>
      <c r="CC68" s="39">
        <f t="shared" si="300"/>
        <v>3.8171360274893554E-2</v>
      </c>
      <c r="CD68" s="39">
        <f t="shared" ref="CD68:CE68" si="301">IFERROR(CD5/CD47,0)</f>
        <v>4.0638262560163119E-2</v>
      </c>
      <c r="CE68" s="39">
        <f t="shared" si="301"/>
        <v>4.5427561107813028E-2</v>
      </c>
      <c r="CF68" s="39">
        <f t="shared" ref="CF68:CG68" si="302">IFERROR(CF5/CF47,0)</f>
        <v>4.9387972325705159E-2</v>
      </c>
      <c r="CG68" s="39">
        <f t="shared" si="302"/>
        <v>5.6056236481614993E-2</v>
      </c>
      <c r="CH68" s="39">
        <f t="shared" ref="CH68:CI68" si="303">IFERROR(CH5/CH47,0)</f>
        <v>5.1124304038881539E-2</v>
      </c>
      <c r="CI68" s="39">
        <f t="shared" si="303"/>
        <v>5.5694731873797337E-2</v>
      </c>
      <c r="CJ68" s="39">
        <f t="shared" ref="CJ68:CK68" si="304">IFERROR(CJ5/CJ47,0)</f>
        <v>4.4773160881092199E-2</v>
      </c>
      <c r="CK68" s="39">
        <f t="shared" si="304"/>
        <v>4.4541666666666667E-2</v>
      </c>
      <c r="CL68" s="39">
        <f t="shared" ref="CL68:CM68" si="305">IFERROR(CL5/CL47,0)</f>
        <v>4.0767130301220242E-2</v>
      </c>
      <c r="CM68" s="39">
        <f t="shared" si="305"/>
        <v>5.0844583135472493E-2</v>
      </c>
      <c r="CN68" s="39">
        <f t="shared" ref="CN68:CO68" si="306">IFERROR(CN5/CN47,0)</f>
        <v>5.4133364222556858E-2</v>
      </c>
      <c r="CO68" s="39">
        <f t="shared" si="306"/>
        <v>4.9948828037243202E-2</v>
      </c>
      <c r="CP68" s="39">
        <f t="shared" ref="CP68:CQ68" si="307">IFERROR(CP5/CP47,0)</f>
        <v>5.0553288172676403E-2</v>
      </c>
      <c r="CQ68" s="39">
        <f t="shared" si="307"/>
        <v>4.7489620339853614E-2</v>
      </c>
      <c r="CR68" s="39">
        <f t="shared" ref="CR68:CS68" si="308">IFERROR(CR5/CR47,0)</f>
        <v>4.3571641642636973E-2</v>
      </c>
      <c r="CS68" s="39">
        <f t="shared" si="308"/>
        <v>4.2522924736830586E-2</v>
      </c>
      <c r="CT68" s="39">
        <f t="shared" ref="CT68:CU68" si="309">IFERROR(CT5/CT47,0)</f>
        <v>5.6880120381207155E-2</v>
      </c>
      <c r="CU68" s="39">
        <f t="shared" si="309"/>
        <v>5.5228276877761412E-2</v>
      </c>
      <c r="CV68" s="39">
        <f t="shared" ref="CV68:CW68" si="310">IFERROR(CV5/CV47,0)</f>
        <v>5.4080895630191403E-2</v>
      </c>
      <c r="CW68" s="39">
        <f t="shared" si="310"/>
        <v>5.2508800066651394E-2</v>
      </c>
      <c r="CX68" s="39">
        <f t="shared" ref="CX68:CY68" si="311">IFERROR(CX5/CX47,0)</f>
        <v>5.3093861993246741E-2</v>
      </c>
      <c r="CY68" s="39">
        <f t="shared" si="311"/>
        <v>6.2680880682858917E-2</v>
      </c>
      <c r="CZ68" s="39">
        <f t="shared" ref="CZ68:DA68" si="312">IFERROR(CZ5/CZ47,0)</f>
        <v>8.1861138308288284E-2</v>
      </c>
      <c r="DA68" s="39">
        <f t="shared" si="312"/>
        <v>8.74497543546226E-2</v>
      </c>
      <c r="DB68" s="39">
        <f t="shared" ref="DB68:DC68" si="313">IFERROR(DB5/DB47,0)</f>
        <v>7.52721140579488E-2</v>
      </c>
      <c r="DC68" s="39">
        <f t="shared" si="313"/>
        <v>7.1012450082217529E-2</v>
      </c>
      <c r="DD68" s="39">
        <f t="shared" ref="DD68:DE68" si="314">IFERROR(DD5/DD47,0)</f>
        <v>7.0992230591305383E-2</v>
      </c>
      <c r="DE68" s="39">
        <f t="shared" si="314"/>
        <v>7.2285503919615399E-2</v>
      </c>
      <c r="DF68" s="39">
        <f t="shared" ref="DF68:DG68" si="315">IFERROR(DF5/DF47,0)</f>
        <v>7.6853344077356972E-2</v>
      </c>
      <c r="DG68" s="39">
        <f t="shared" si="315"/>
        <v>9.6089736047378124E-2</v>
      </c>
      <c r="DH68" s="39">
        <f t="shared" ref="DH68:DI68" si="316">IFERROR(DH5/DH47,0)</f>
        <v>9.5286051826315998E-2</v>
      </c>
      <c r="DI68" s="39">
        <f t="shared" si="316"/>
        <v>7.4353851916593827E-2</v>
      </c>
      <c r="DJ68" s="39">
        <f t="shared" ref="DJ68:DK68" si="317">IFERROR(DJ5/DJ47,0)</f>
        <v>7.7392179051930091E-2</v>
      </c>
      <c r="DK68" s="39">
        <f t="shared" si="317"/>
        <v>7.7811291426879592E-2</v>
      </c>
      <c r="DL68" s="39">
        <f t="shared" ref="DL68:DM68" si="318">IFERROR(DL5/DL47,0)</f>
        <v>7.5039576020373047E-2</v>
      </c>
      <c r="DM68" s="39">
        <f t="shared" si="318"/>
        <v>7.0003013762850355E-2</v>
      </c>
      <c r="DN68" s="39">
        <f t="shared" ref="DN68:DO68" si="319">IFERROR(DN5/DN47,0)</f>
        <v>6.9100595424631775E-2</v>
      </c>
      <c r="DO68" s="39">
        <f t="shared" si="319"/>
        <v>7.5909367538972899E-2</v>
      </c>
      <c r="DP68" s="39">
        <f t="shared" ref="DP68:DQ68" si="320">IFERROR(DP5/DP47,0)</f>
        <v>8.1765557163531108E-2</v>
      </c>
      <c r="DQ68" s="39">
        <f t="shared" si="320"/>
        <v>7.7370833025352942E-2</v>
      </c>
      <c r="DR68" s="39">
        <f t="shared" ref="DR68:DS68" si="321">IFERROR(DR5/DR47,0)</f>
        <v>7.5758346474049207E-2</v>
      </c>
      <c r="DS68" s="39">
        <f t="shared" si="321"/>
        <v>6.615132133928435E-2</v>
      </c>
      <c r="DT68" s="39">
        <f t="shared" ref="DT68:DU68" si="322">IFERROR(DT5/DT47,0)</f>
        <v>6.338192760524701E-2</v>
      </c>
      <c r="DU68" s="39">
        <f t="shared" si="322"/>
        <v>7.0375226770606938E-2</v>
      </c>
      <c r="DV68" s="39">
        <f t="shared" si="125"/>
        <v>8.0951134172756053E-2</v>
      </c>
      <c r="DW68" s="39">
        <f t="shared" si="125"/>
        <v>8.6473592906707794E-2</v>
      </c>
      <c r="DX68" s="39">
        <f t="shared" ref="DX68:DY68" si="323">IFERROR(DX5/DX47,0)</f>
        <v>7.6710933108487908E-2</v>
      </c>
      <c r="DY68" s="39">
        <f t="shared" si="323"/>
        <v>7.9323693134557546E-2</v>
      </c>
      <c r="DZ68" s="39">
        <f t="shared" ref="DZ68:EA68" si="324">IFERROR(DZ5/DZ47,0)</f>
        <v>7.8404189772027108E-2</v>
      </c>
      <c r="EA68" s="39">
        <f t="shared" si="324"/>
        <v>6.8137404580152675E-2</v>
      </c>
      <c r="EB68" s="39">
        <f t="shared" ref="EB68:EC68" si="325">IFERROR(EB5/EB47,0)</f>
        <v>7.3656955584928213E-2</v>
      </c>
      <c r="EC68" s="39">
        <f t="shared" si="325"/>
        <v>7.7264798232352605E-2</v>
      </c>
      <c r="ED68" s="39">
        <f t="shared" ref="ED68:EE68" si="326">IFERROR(ED5/ED47,0)</f>
        <v>8.5652888383263806E-2</v>
      </c>
      <c r="EE68" s="39">
        <f t="shared" si="326"/>
        <v>7.9103922662204867E-2</v>
      </c>
      <c r="EF68" s="39">
        <f t="shared" ref="EF68:EG68" si="327">IFERROR(EF5/EF47,0)</f>
        <v>7.4361085549151607E-2</v>
      </c>
      <c r="EG68" s="39">
        <f t="shared" si="327"/>
        <v>6.5568332596196377E-2</v>
      </c>
      <c r="EH68" s="39">
        <f t="shared" ref="EH68:EI68" si="328">IFERROR(EH5/EH47,0)</f>
        <v>6.9646225634576564E-2</v>
      </c>
      <c r="EI68" s="39">
        <f t="shared" si="328"/>
        <v>6.436832512902621E-2</v>
      </c>
      <c r="EJ68" s="39">
        <f t="shared" ref="EJ68:EK68" si="329">IFERROR(EJ5/EJ47,0)</f>
        <v>6.9335507182515202E-2</v>
      </c>
      <c r="EK68" s="39">
        <f t="shared" si="329"/>
        <v>8.0337355331199206E-2</v>
      </c>
      <c r="EL68" s="39">
        <f t="shared" ref="EL68:EM68" si="330">IFERROR(EL5/EL47,0)</f>
        <v>6.9023827824750195E-2</v>
      </c>
      <c r="EM68" s="39">
        <f t="shared" si="330"/>
        <v>6.7354098769389678E-2</v>
      </c>
      <c r="EN68" s="39">
        <f t="shared" ref="EN68:EO68" si="331">IFERROR(EN5/EN47,0)</f>
        <v>6.7773144286905757E-2</v>
      </c>
      <c r="EO68" s="39">
        <f t="shared" si="331"/>
        <v>6.9235389403563691E-2</v>
      </c>
      <c r="EP68" s="39">
        <f t="shared" ref="EP68" si="332">IFERROR(EP5/EP47,0)</f>
        <v>6.8587268587268588E-2</v>
      </c>
      <c r="EQ68" s="39">
        <f t="shared" ref="EQ68:ER68" si="333">IFERROR(EQ5/EQ47,0)</f>
        <v>7.275010250102501E-2</v>
      </c>
      <c r="ER68" s="39">
        <f t="shared" si="333"/>
        <v>8.3049196298100342E-2</v>
      </c>
      <c r="ES68" s="39">
        <f t="shared" ref="ES68:ET68" si="334">IFERROR(ES5/ES47,0)</f>
        <v>7.0740586250047394E-2</v>
      </c>
      <c r="ET68" s="39">
        <f t="shared" si="334"/>
        <v>7.5350150193623108E-2</v>
      </c>
      <c r="EU68" s="39">
        <f t="shared" ref="EU68:EV68" si="335">IFERROR(EU5/EU47,0)</f>
        <v>7.5770448752606787E-2</v>
      </c>
      <c r="EV68" s="39">
        <f t="shared" si="335"/>
        <v>6.5923429262812208E-2</v>
      </c>
      <c r="EW68" s="39">
        <f t="shared" ref="EW68:EX68" si="336">IFERROR(EW5/EW47,0)</f>
        <v>6.5831588098154661E-2</v>
      </c>
      <c r="EX68" s="39">
        <f t="shared" si="336"/>
        <v>7.3055888632176172E-2</v>
      </c>
      <c r="EY68" s="39">
        <f t="shared" ref="EY68:EZ68" si="337">IFERROR(EY5/EY47,0)</f>
        <v>9.1314120574777238E-2</v>
      </c>
      <c r="EZ68" s="39">
        <f t="shared" si="337"/>
        <v>7.4771466520821936E-2</v>
      </c>
      <c r="FA68" s="39">
        <f t="shared" ref="FA68:FB68" si="338">IFERROR(FA5/FA47,0)</f>
        <v>7.6422993317768292E-2</v>
      </c>
      <c r="FB68" s="39">
        <f t="shared" si="338"/>
        <v>7.5183338786980539E-2</v>
      </c>
      <c r="FC68" s="39">
        <f t="shared" ref="FC68:FD68" si="339">IFERROR(FC5/FC47,0)</f>
        <v>7.2259534660590069E-2</v>
      </c>
      <c r="FD68" s="39">
        <f t="shared" si="339"/>
        <v>6.4940530649588282E-2</v>
      </c>
      <c r="FE68" s="39">
        <f t="shared" ref="FE68:FF68" si="340">IFERROR(FE5/FE47,0)</f>
        <v>7.3302420123229378E-2</v>
      </c>
      <c r="FF68" s="39">
        <f t="shared" si="340"/>
        <v>8.8457277385403682E-2</v>
      </c>
      <c r="FG68" s="39">
        <f t="shared" ref="FG68:FH68" si="341">IFERROR(FG5/FG47,0)</f>
        <v>8.7641594481244853E-2</v>
      </c>
      <c r="FH68" s="39">
        <f t="shared" si="341"/>
        <v>8.3500273174285197E-2</v>
      </c>
      <c r="FI68" s="39">
        <f t="shared" ref="FI68:FJ68" si="342">IFERROR(FI5/FI47,0)</f>
        <v>8.1175406871609401E-2</v>
      </c>
      <c r="FJ68" s="39">
        <f t="shared" si="342"/>
        <v>7.8914295361182496E-2</v>
      </c>
      <c r="FK68" s="39">
        <f t="shared" ref="FK68:FL68" si="343">IFERROR(FK5/FK47,0)</f>
        <v>7.3034499770941258E-2</v>
      </c>
      <c r="FL68" s="39">
        <f t="shared" si="343"/>
        <v>8.6725495777588008E-2</v>
      </c>
      <c r="FM68" s="39">
        <f t="shared" ref="FM68" si="344">IFERROR(FM5/FM47,0)</f>
        <v>0.11196641007697691</v>
      </c>
      <c r="FN68" s="39">
        <v>8.2026689656411092E-2</v>
      </c>
      <c r="FO68" s="39">
        <f t="shared" ref="FO68" si="345">IFERROR(FO5/FO47,0)</f>
        <v>8.7796442687747042E-2</v>
      </c>
      <c r="FP68" s="39">
        <v>8.5029818722440906E-2</v>
      </c>
      <c r="FQ68" s="39">
        <f t="shared" ref="FQ68:HA68" si="346">IFERROR(FQ5/FQ47,0)</f>
        <v>8.3387068870610065E-2</v>
      </c>
      <c r="FR68" s="39">
        <v>7.6571999935491158E-2</v>
      </c>
      <c r="FS68" s="39">
        <f t="shared" si="346"/>
        <v>9.9143619261547106E-2</v>
      </c>
      <c r="FT68" s="39">
        <f t="shared" si="346"/>
        <v>0.11098097469005314</v>
      </c>
      <c r="FU68" s="39">
        <f t="shared" si="346"/>
        <v>8.8659038026328366E-2</v>
      </c>
      <c r="FV68" s="39">
        <f t="shared" si="346"/>
        <v>9.0932618822884628E-2</v>
      </c>
      <c r="FW68" s="39">
        <f t="shared" si="346"/>
        <v>8.4785016614641023E-2</v>
      </c>
      <c r="FX68" s="39">
        <f t="shared" si="346"/>
        <v>8.4092676556470194E-2</v>
      </c>
      <c r="FY68" s="39">
        <f t="shared" si="346"/>
        <v>7.4251826934230367E-2</v>
      </c>
      <c r="FZ68" s="39">
        <f t="shared" si="346"/>
        <v>9.8124191461836999E-2</v>
      </c>
      <c r="GA68" s="39">
        <f t="shared" si="346"/>
        <v>0.11824369411450687</v>
      </c>
      <c r="GB68" s="39">
        <f t="shared" si="346"/>
        <v>8.9137402948927982E-2</v>
      </c>
      <c r="GC68" s="39">
        <f t="shared" si="346"/>
        <v>9.0032681972951903E-2</v>
      </c>
      <c r="GD68" s="39">
        <f t="shared" si="346"/>
        <v>9.2245165519501807E-2</v>
      </c>
      <c r="GE68" s="39">
        <f t="shared" si="346"/>
        <v>8.9736031964367594E-2</v>
      </c>
      <c r="GF68" s="39">
        <f t="shared" si="346"/>
        <v>8.1114918292040067E-2</v>
      </c>
      <c r="GG68" s="39">
        <f t="shared" si="346"/>
        <v>8.9059782111141628E-2</v>
      </c>
      <c r="GH68" s="39">
        <f t="shared" si="346"/>
        <v>0.12132260497862711</v>
      </c>
      <c r="GI68" s="39">
        <f t="shared" si="346"/>
        <v>9.8403880319223938E-2</v>
      </c>
      <c r="GJ68" s="39">
        <f t="shared" si="346"/>
        <v>9.7777720287680447E-2</v>
      </c>
      <c r="GK68" s="39">
        <f t="shared" si="346"/>
        <v>9.5783603744543408E-2</v>
      </c>
      <c r="GL68" s="39">
        <f t="shared" si="346"/>
        <v>9.3442455764621901E-2</v>
      </c>
      <c r="GM68" s="39">
        <f t="shared" si="346"/>
        <v>9.5328997603939022E-2</v>
      </c>
      <c r="GN68" s="39">
        <f t="shared" si="346"/>
        <v>0.10796128225580442</v>
      </c>
      <c r="GO68" s="39">
        <f t="shared" si="346"/>
        <v>0.14454778014201353</v>
      </c>
      <c r="GP68" s="39">
        <f t="shared" si="346"/>
        <v>0.11382937168154396</v>
      </c>
      <c r="GQ68" s="39">
        <f t="shared" si="346"/>
        <v>0.10985409896251173</v>
      </c>
      <c r="GR68" s="39">
        <f t="shared" si="346"/>
        <v>0.11344346986857419</v>
      </c>
      <c r="GS68" s="39">
        <f t="shared" si="346"/>
        <v>0.10575294883855561</v>
      </c>
      <c r="GT68" s="39">
        <f t="shared" si="346"/>
        <v>0.12716876541323846</v>
      </c>
      <c r="GU68" s="39">
        <f t="shared" si="346"/>
        <v>0.14515223008650713</v>
      </c>
      <c r="GV68" s="39">
        <f t="shared" si="346"/>
        <v>0.17091063219327704</v>
      </c>
      <c r="GW68" s="39">
        <f t="shared" si="346"/>
        <v>0.11748618312346874</v>
      </c>
      <c r="GX68" s="39">
        <f t="shared" si="346"/>
        <v>0.11747262480904762</v>
      </c>
      <c r="GY68" s="39">
        <f t="shared" si="346"/>
        <v>0.10972058564598486</v>
      </c>
      <c r="GZ68" s="39">
        <f t="shared" si="346"/>
        <v>0.10989390984411525</v>
      </c>
      <c r="HA68" s="39">
        <f t="shared" si="346"/>
        <v>0.10423955128777486</v>
      </c>
      <c r="HB68" s="39">
        <f t="shared" si="148"/>
        <v>4.6997897676079772E-2</v>
      </c>
      <c r="HC68" s="39">
        <f t="shared" si="148"/>
        <v>0.15139626753848248</v>
      </c>
      <c r="HD68" s="39">
        <f t="shared" ref="HD68:JO68" si="347">IFERROR(HD5/HD47,0)</f>
        <v>0.10492650485025629</v>
      </c>
      <c r="HE68" s="39">
        <f t="shared" si="347"/>
        <v>9.8390953150242322E-2</v>
      </c>
      <c r="HF68" s="39">
        <f t="shared" si="347"/>
        <v>0</v>
      </c>
      <c r="HG68" s="39">
        <f t="shared" si="347"/>
        <v>0.10122792077576023</v>
      </c>
      <c r="HH68" s="39">
        <f t="shared" si="347"/>
        <v>4.4795302649024545E-2</v>
      </c>
      <c r="HI68" s="39">
        <f t="shared" si="347"/>
        <v>0.11196571805296121</v>
      </c>
      <c r="HJ68" s="39">
        <f t="shared" si="347"/>
        <v>0.13751107174490701</v>
      </c>
      <c r="HK68" s="39">
        <f t="shared" si="347"/>
        <v>0.10438076267221996</v>
      </c>
      <c r="HL68" s="39">
        <f t="shared" si="347"/>
        <v>0.10915477750104376</v>
      </c>
      <c r="HM68" s="39">
        <f t="shared" si="347"/>
        <v>0.10579912102047379</v>
      </c>
      <c r="HN68" s="39">
        <f t="shared" si="347"/>
        <v>9.8996054878407819E-2</v>
      </c>
      <c r="HO68" s="39">
        <f t="shared" si="347"/>
        <v>8.8049950021005657E-2</v>
      </c>
      <c r="HP68" s="39">
        <f t="shared" si="347"/>
        <v>0.10746963039545102</v>
      </c>
      <c r="HQ68" s="39">
        <f t="shared" si="347"/>
        <v>0.142359902540898</v>
      </c>
      <c r="HR68" s="39">
        <f t="shared" si="347"/>
        <v>0.10626353990417306</v>
      </c>
      <c r="HS68" s="39">
        <f t="shared" si="347"/>
        <v>0.10102782652293808</v>
      </c>
      <c r="HT68" s="39">
        <f t="shared" si="347"/>
        <v>0.10114506781846713</v>
      </c>
      <c r="HU68" s="39">
        <f t="shared" si="347"/>
        <v>9.2394155114275012E-2</v>
      </c>
      <c r="HV68" s="39">
        <f t="shared" si="347"/>
        <v>8.0593378006816277E-2</v>
      </c>
      <c r="HW68" s="39">
        <f t="shared" si="347"/>
        <v>0.10884422110552763</v>
      </c>
      <c r="HX68" s="39">
        <f t="shared" si="347"/>
        <v>0.12724771543676919</v>
      </c>
      <c r="HY68" s="39">
        <f t="shared" si="347"/>
        <v>0.10027699949057566</v>
      </c>
      <c r="HZ68" s="39">
        <f t="shared" si="347"/>
        <v>9.9740339086604554E-2</v>
      </c>
      <c r="IA68" s="39">
        <f t="shared" si="347"/>
        <v>9.8388761012778797E-2</v>
      </c>
      <c r="IB68" s="39">
        <f t="shared" si="347"/>
        <v>8.8533943652891495E-2</v>
      </c>
      <c r="IC68" s="39">
        <f t="shared" si="347"/>
        <v>8.0467219291635264E-2</v>
      </c>
      <c r="ID68" s="39">
        <f t="shared" si="347"/>
        <v>9.9949196502580287E-2</v>
      </c>
      <c r="IE68" s="39">
        <f t="shared" si="347"/>
        <v>0.13738469121892824</v>
      </c>
      <c r="IF68" s="39">
        <f t="shared" si="347"/>
        <v>0.10090855418525321</v>
      </c>
      <c r="IG68" s="39">
        <f t="shared" si="347"/>
        <v>0.10490306137928943</v>
      </c>
      <c r="IH68" s="39">
        <f t="shared" si="347"/>
        <v>0.10313571778539932</v>
      </c>
      <c r="II68" s="39">
        <f t="shared" si="347"/>
        <v>9.5558995841301647E-2</v>
      </c>
      <c r="IJ68" s="39">
        <f t="shared" si="347"/>
        <v>8.3740868200205279E-2</v>
      </c>
      <c r="IK68" s="39">
        <f t="shared" si="347"/>
        <v>0.1245864761148604</v>
      </c>
      <c r="IL68" s="39">
        <f t="shared" si="347"/>
        <v>0.14681244225438866</v>
      </c>
      <c r="IM68" s="39">
        <f t="shared" si="347"/>
        <v>0.11178533490490535</v>
      </c>
      <c r="IN68" s="39">
        <f t="shared" si="347"/>
        <v>0.11153496288036621</v>
      </c>
      <c r="IO68" s="39">
        <f t="shared" si="347"/>
        <v>0.10653257766224912</v>
      </c>
      <c r="IP68" s="39">
        <f t="shared" si="347"/>
        <v>9.9557691424723371E-2</v>
      </c>
      <c r="IQ68" s="39">
        <f t="shared" si="347"/>
        <v>0.12198073147344871</v>
      </c>
      <c r="IR68" s="39">
        <f t="shared" si="347"/>
        <v>0.12403840419822292</v>
      </c>
      <c r="IS68" s="39">
        <f t="shared" si="347"/>
        <v>0.16045571027200592</v>
      </c>
      <c r="IT68" s="39">
        <f t="shared" si="347"/>
        <v>0.11533098070465024</v>
      </c>
      <c r="IU68" s="39">
        <f t="shared" si="347"/>
        <v>0.11929727867723044</v>
      </c>
      <c r="IV68" s="39">
        <f t="shared" si="347"/>
        <v>0.11229552158755698</v>
      </c>
      <c r="IW68" s="39">
        <f t="shared" si="347"/>
        <v>0.10059962620703977</v>
      </c>
      <c r="IX68" s="39">
        <f t="shared" si="347"/>
        <v>9.5318401650197213E-2</v>
      </c>
      <c r="IY68" s="39">
        <f t="shared" si="347"/>
        <v>0.11480480205278593</v>
      </c>
      <c r="IZ68" s="39">
        <f t="shared" si="347"/>
        <v>0.14370154294925924</v>
      </c>
      <c r="JA68" s="39">
        <f t="shared" si="347"/>
        <v>0.11068291686525498</v>
      </c>
      <c r="JB68" s="39">
        <f t="shared" si="347"/>
        <v>0.11373825716295816</v>
      </c>
      <c r="JC68" s="39">
        <f t="shared" si="347"/>
        <v>0.11455136190268271</v>
      </c>
      <c r="JD68" s="39">
        <f t="shared" si="347"/>
        <v>9.9274482972296088E-2</v>
      </c>
      <c r="JE68" s="39">
        <f t="shared" si="347"/>
        <v>9.1877196472382475E-2</v>
      </c>
      <c r="JF68" s="39">
        <f t="shared" si="347"/>
        <v>0.11178681105543882</v>
      </c>
      <c r="JG68" s="39">
        <f t="shared" si="347"/>
        <v>0.13923425063725745</v>
      </c>
      <c r="JH68" s="39">
        <f t="shared" si="347"/>
        <v>0.10768671938305066</v>
      </c>
      <c r="JI68" s="39">
        <f t="shared" si="347"/>
        <v>0.10387317034886002</v>
      </c>
      <c r="JJ68" s="39">
        <f t="shared" si="347"/>
        <v>2.1545175735574434E-2</v>
      </c>
      <c r="JK68" s="39">
        <f t="shared" si="347"/>
        <v>8.6550587146410604E-2</v>
      </c>
      <c r="JL68" s="39">
        <f t="shared" si="347"/>
        <v>8.3967498202634328E-2</v>
      </c>
      <c r="JM68" s="39">
        <f t="shared" si="347"/>
        <v>9.3205149095649337E-2</v>
      </c>
      <c r="JN68" s="39">
        <f t="shared" si="347"/>
        <v>0.10485455736432228</v>
      </c>
      <c r="JO68" s="39">
        <f t="shared" si="347"/>
        <v>8.1709154610380863E-2</v>
      </c>
      <c r="JP68" s="39">
        <f t="shared" ref="JP68:MA68" si="348">IFERROR(JP5/JP47,0)</f>
        <v>8.4325643963928054E-2</v>
      </c>
      <c r="JQ68" s="39">
        <f t="shared" si="348"/>
        <v>8.1444556948879712E-2</v>
      </c>
      <c r="JR68" s="39">
        <f t="shared" si="348"/>
        <v>7.8905788439608146E-2</v>
      </c>
      <c r="JS68" s="39">
        <f t="shared" si="348"/>
        <v>6.8624090285834827E-2</v>
      </c>
      <c r="JT68" s="39">
        <f t="shared" si="348"/>
        <v>8.3728854813192158E-2</v>
      </c>
      <c r="JU68" s="39">
        <f t="shared" si="348"/>
        <v>9.9959957773652214E-2</v>
      </c>
      <c r="JV68" s="39">
        <f t="shared" si="348"/>
        <v>8.2201860995062673E-2</v>
      </c>
      <c r="JW68" s="39">
        <f t="shared" si="348"/>
        <v>7.5521325096441771E-2</v>
      </c>
      <c r="JX68" s="39">
        <f t="shared" si="348"/>
        <v>7.0705827658818055E-2</v>
      </c>
      <c r="JY68" s="39">
        <f t="shared" si="348"/>
        <v>6.1945428035825867E-2</v>
      </c>
      <c r="JZ68" s="39">
        <f t="shared" si="348"/>
        <v>5.8302380367388822E-2</v>
      </c>
      <c r="KA68" s="39">
        <f t="shared" si="348"/>
        <v>7.1330033271119045E-2</v>
      </c>
      <c r="KB68" s="39">
        <f t="shared" si="348"/>
        <v>8.0362537764350456E-2</v>
      </c>
      <c r="KC68" s="39">
        <f t="shared" si="348"/>
        <v>6.5884162985756112E-2</v>
      </c>
      <c r="KD68" s="39">
        <f t="shared" si="348"/>
        <v>5.7121933357744417E-2</v>
      </c>
      <c r="KE68" s="39">
        <f t="shared" si="348"/>
        <v>5.3517287418986953E-2</v>
      </c>
      <c r="KF68" s="39">
        <f t="shared" si="348"/>
        <v>4.6208613185376772E-2</v>
      </c>
      <c r="KG68" s="39">
        <f t="shared" si="348"/>
        <v>4.4276508678132986E-2</v>
      </c>
      <c r="KH68" s="39">
        <f t="shared" si="348"/>
        <v>5.0512743791311918E-2</v>
      </c>
      <c r="KI68" s="39">
        <f t="shared" si="348"/>
        <v>5.0566200913488825E-2</v>
      </c>
      <c r="KJ68" s="39">
        <f t="shared" si="348"/>
        <v>4.7119281991893455E-2</v>
      </c>
      <c r="KK68" s="39">
        <f t="shared" si="348"/>
        <v>4.1493775933609957E-2</v>
      </c>
      <c r="KL68" s="39">
        <f t="shared" si="348"/>
        <v>4.2050752479156857E-2</v>
      </c>
      <c r="KM68" s="39">
        <f t="shared" si="348"/>
        <v>3.5398500374142911E-2</v>
      </c>
      <c r="KN68" s="39">
        <f t="shared" si="348"/>
        <v>3.5971223021582732E-2</v>
      </c>
      <c r="KO68" s="39">
        <f t="shared" si="348"/>
        <v>3.8778953827274122E-2</v>
      </c>
      <c r="KP68" s="39">
        <f t="shared" si="348"/>
        <v>3.8831615120274915E-2</v>
      </c>
      <c r="KQ68" s="39">
        <f t="shared" si="348"/>
        <v>3.4440595068269818E-2</v>
      </c>
      <c r="KR68" s="39">
        <f t="shared" si="348"/>
        <v>3.2544941504708158E-2</v>
      </c>
      <c r="KS68" s="39">
        <f t="shared" si="348"/>
        <v>3.2094622655614066E-2</v>
      </c>
      <c r="KT68" s="39">
        <f t="shared" si="348"/>
        <v>2.6366413941382821E-2</v>
      </c>
      <c r="KU68" s="39">
        <f t="shared" si="348"/>
        <v>2.9644502184953347E-2</v>
      </c>
      <c r="KV68" s="39">
        <f t="shared" si="348"/>
        <v>3.3596361255642464E-2</v>
      </c>
      <c r="KW68" s="39">
        <f t="shared" si="348"/>
        <v>3.076257837353677E-2</v>
      </c>
      <c r="KX68" s="39">
        <f t="shared" si="348"/>
        <v>2.7518318407223744E-2</v>
      </c>
      <c r="KY68" s="39">
        <f t="shared" si="348"/>
        <v>2.6891388216831229E-2</v>
      </c>
      <c r="KZ68" s="39">
        <f t="shared" si="348"/>
        <v>2.2871894371639508E-2</v>
      </c>
      <c r="LA68" s="39">
        <f t="shared" si="348"/>
        <v>2.2822074123795368E-2</v>
      </c>
      <c r="LB68" s="39">
        <f t="shared" si="348"/>
        <v>2.1217460807644098E-2</v>
      </c>
      <c r="LC68" s="39">
        <f t="shared" si="348"/>
        <v>2.3392363727706606E-2</v>
      </c>
      <c r="LD68" s="39">
        <f t="shared" si="348"/>
        <v>2.4098843138969026E-2</v>
      </c>
      <c r="LE68" s="39">
        <f t="shared" si="348"/>
        <v>2.0193242407281941E-2</v>
      </c>
      <c r="LF68" s="39">
        <f t="shared" si="348"/>
        <v>2.1168781966281493E-2</v>
      </c>
      <c r="LG68" s="39">
        <f t="shared" si="348"/>
        <v>1.8959706473195757E-2</v>
      </c>
      <c r="LH68" s="39">
        <f t="shared" si="348"/>
        <v>1.8107314055976497E-2</v>
      </c>
      <c r="LI68" s="39">
        <f t="shared" si="348"/>
        <v>1.5312389574113648E-2</v>
      </c>
      <c r="LJ68" s="39">
        <f t="shared" si="348"/>
        <v>1.9437126518023519E-2</v>
      </c>
      <c r="LK68" s="39">
        <f t="shared" si="348"/>
        <v>2.187999156143576E-2</v>
      </c>
      <c r="LL68" s="39">
        <f t="shared" si="348"/>
        <v>1.7928819909017929E-2</v>
      </c>
      <c r="LM68" s="39">
        <f t="shared" si="348"/>
        <v>1.922857933009061E-2</v>
      </c>
      <c r="LN68" s="39">
        <f t="shared" si="348"/>
        <v>1.4685391323407387E-2</v>
      </c>
      <c r="LO68" s="39">
        <f t="shared" si="348"/>
        <v>1.4212961421961854E-2</v>
      </c>
      <c r="LP68" s="39">
        <f t="shared" si="348"/>
        <v>1.6698498361689827E-2</v>
      </c>
      <c r="LQ68" s="39">
        <f t="shared" si="348"/>
        <v>1.6417862115864122E-2</v>
      </c>
      <c r="LR68" s="39">
        <f t="shared" si="348"/>
        <v>1.927351338184697E-2</v>
      </c>
      <c r="LS68" s="39">
        <f t="shared" si="348"/>
        <v>1.742005602583924E-2</v>
      </c>
      <c r="LT68" s="39">
        <f t="shared" si="348"/>
        <v>1.335896203748198E-2</v>
      </c>
      <c r="LU68" s="39">
        <f t="shared" si="348"/>
        <v>1.4166857741819253E-2</v>
      </c>
      <c r="LV68" s="39">
        <f t="shared" si="348"/>
        <v>1.4937276730082246E-2</v>
      </c>
      <c r="LW68" s="39">
        <f t="shared" si="348"/>
        <v>1.3251437064627617E-2</v>
      </c>
      <c r="LX68" s="39">
        <f t="shared" si="348"/>
        <v>1.2195121951219513E-2</v>
      </c>
      <c r="LY68" s="39">
        <f t="shared" si="348"/>
        <v>1.5221023849308827E-2</v>
      </c>
      <c r="LZ68" s="39">
        <f t="shared" si="348"/>
        <v>1.2608005642743784E-2</v>
      </c>
      <c r="MA68" s="39">
        <f t="shared" si="348"/>
        <v>1.2289991501601621E-2</v>
      </c>
      <c r="MB68" s="39">
        <f t="shared" ref="MB68:NN68" si="349">IFERROR(MB5/MB47,0)</f>
        <v>1.1775212516124765E-2</v>
      </c>
      <c r="MC68" s="39">
        <f t="shared" si="349"/>
        <v>1.1146603900470746E-2</v>
      </c>
      <c r="MD68" s="39">
        <f t="shared" si="349"/>
        <v>1.1123941493456505E-2</v>
      </c>
      <c r="ME68" s="39">
        <f t="shared" si="349"/>
        <v>1.3013252970788671E-2</v>
      </c>
      <c r="MF68" s="39">
        <f t="shared" si="349"/>
        <v>1.0491992952746589E-2</v>
      </c>
      <c r="MG68" s="39">
        <f t="shared" si="349"/>
        <v>1.2268500429788231E-2</v>
      </c>
      <c r="MH68" s="39">
        <f t="shared" si="349"/>
        <v>1.098161523309258E-2</v>
      </c>
      <c r="MI68" s="39">
        <f t="shared" si="349"/>
        <v>1.0520477667816351E-2</v>
      </c>
      <c r="MJ68" s="39">
        <f t="shared" si="349"/>
        <v>1.0598692531039029E-2</v>
      </c>
      <c r="MK68" s="39">
        <f t="shared" si="349"/>
        <v>1.0250639386189258E-2</v>
      </c>
      <c r="ML68" s="39">
        <f t="shared" si="349"/>
        <v>1.3212822182222052E-2</v>
      </c>
      <c r="MM68" s="39">
        <f t="shared" si="349"/>
        <v>1.0674036834957471E-2</v>
      </c>
      <c r="MN68" s="39">
        <f t="shared" si="349"/>
        <v>8.9423181599042004E-3</v>
      </c>
      <c r="MO68" s="39">
        <f t="shared" si="349"/>
        <v>8.6185840399176528E-3</v>
      </c>
      <c r="MP68" s="39">
        <f t="shared" si="349"/>
        <v>8.0608132238151123E-3</v>
      </c>
      <c r="MQ68" s="39">
        <f t="shared" si="349"/>
        <v>7.4317589661986117E-3</v>
      </c>
      <c r="MR68" s="39">
        <f t="shared" si="349"/>
        <v>8.8427215254202832E-3</v>
      </c>
      <c r="MS68" s="39">
        <f t="shared" si="349"/>
        <v>9.6824874858416465E-3</v>
      </c>
      <c r="MT68" s="39">
        <f t="shared" si="349"/>
        <v>8.1612947721734341E-3</v>
      </c>
      <c r="MU68" s="39">
        <f t="shared" si="349"/>
        <v>8.3220985003578506E-3</v>
      </c>
      <c r="MV68" s="39">
        <f t="shared" si="349"/>
        <v>8.8360650057174531E-3</v>
      </c>
      <c r="MW68" s="39">
        <f t="shared" si="349"/>
        <v>8.3645090703748145E-3</v>
      </c>
      <c r="MX68" s="39">
        <f t="shared" si="349"/>
        <v>7.8199808490264922E-3</v>
      </c>
      <c r="MY68" s="39">
        <f t="shared" si="349"/>
        <v>1.0020939276099311E-2</v>
      </c>
      <c r="MZ68" s="39">
        <f t="shared" si="349"/>
        <v>1.0205151504560864E-2</v>
      </c>
      <c r="NA68" s="39">
        <f t="shared" si="349"/>
        <v>1.0847806092084617E-2</v>
      </c>
      <c r="NB68" s="39">
        <f t="shared" si="349"/>
        <v>9.5142389419258632E-3</v>
      </c>
      <c r="NC68" s="39">
        <f t="shared" si="349"/>
        <v>1.0078658483879333E-2</v>
      </c>
      <c r="ND68" s="39">
        <f t="shared" si="349"/>
        <v>1.0950528071150639E-2</v>
      </c>
      <c r="NE68" s="39">
        <f t="shared" si="349"/>
        <v>1.2699176558656829E-2</v>
      </c>
      <c r="NF68" s="39">
        <f t="shared" si="349"/>
        <v>1.2115645365874995E-2</v>
      </c>
      <c r="NG68" s="39">
        <f t="shared" si="349"/>
        <v>1.3767332087717573E-2</v>
      </c>
      <c r="NH68" s="39">
        <f t="shared" si="349"/>
        <v>1.2066226080548968E-2</v>
      </c>
      <c r="NI68" s="39">
        <f t="shared" si="349"/>
        <v>1.2336990865743667E-2</v>
      </c>
      <c r="NJ68" s="39">
        <f t="shared" si="349"/>
        <v>0</v>
      </c>
      <c r="NK68" s="39">
        <f t="shared" si="349"/>
        <v>1.0554723486025942E-2</v>
      </c>
      <c r="NL68" s="39">
        <f t="shared" si="349"/>
        <v>1.0230828897745205E-2</v>
      </c>
      <c r="NM68" s="39">
        <f t="shared" si="349"/>
        <v>1.0531732418524871E-2</v>
      </c>
      <c r="NN68" s="39">
        <f t="shared" si="349"/>
        <v>1.3299185386324365E-2</v>
      </c>
      <c r="NO68" s="39">
        <f t="shared" ref="NO68" si="350">IFERROR(NO5/NO47,0)</f>
        <v>1.3158744858182757E-2</v>
      </c>
      <c r="NP68" s="39">
        <v>1.27060286996313E-2</v>
      </c>
      <c r="NQ68" s="39">
        <v>1.14284905045813E-2</v>
      </c>
      <c r="NR68" s="39">
        <v>1.2144660382713701E-2</v>
      </c>
      <c r="NS68" s="39">
        <v>1.16467687516221E-2</v>
      </c>
      <c r="NT68" s="39">
        <v>1.24916435870499E-2</v>
      </c>
      <c r="NU68" s="39">
        <v>1.5598304119470999E-2</v>
      </c>
      <c r="NV68" s="39">
        <v>1.61309040269235E-2</v>
      </c>
      <c r="NW68" s="39">
        <v>1.46069158008994E-2</v>
      </c>
      <c r="NX68" s="39">
        <v>1.5660736975857702E-2</v>
      </c>
      <c r="NY68" s="39">
        <v>1.60308408963135E-2</v>
      </c>
      <c r="NZ68" s="39">
        <v>1.8053975101479301E-2</v>
      </c>
      <c r="OA68" s="39">
        <v>1.8530438683753699E-2</v>
      </c>
      <c r="OB68" s="39">
        <v>2.12818003913894E-2</v>
      </c>
      <c r="OC68" s="39">
        <v>2.5345781466113399E-2</v>
      </c>
      <c r="OD68" s="39">
        <v>2.4853404561674401E-2</v>
      </c>
      <c r="OE68" s="39">
        <v>2.4434090875043099E-2</v>
      </c>
      <c r="OF68" s="39">
        <v>2.5547169240542698E-2</v>
      </c>
      <c r="OG68" s="39">
        <v>2.32315482584011E-2</v>
      </c>
      <c r="OH68" s="39">
        <v>2.5301112094508801E-2</v>
      </c>
      <c r="OI68" s="39">
        <v>2.6911650177391899E-2</v>
      </c>
      <c r="OJ68" s="39">
        <v>2.6514660793712501E-2</v>
      </c>
      <c r="OK68" s="39">
        <v>2.7214498208973301E-2</v>
      </c>
      <c r="OL68" s="39">
        <v>2.8549855398686499E-2</v>
      </c>
      <c r="OM68" s="39">
        <v>2.92182577478204E-2</v>
      </c>
      <c r="ON68" s="39">
        <v>2.5662826453541902E-2</v>
      </c>
      <c r="OO68" s="39">
        <v>2.8251144493376699E-2</v>
      </c>
      <c r="OP68" s="39">
        <v>3.2033888919652302E-2</v>
      </c>
      <c r="OQ68" s="39">
        <v>3.2375939564912803E-2</v>
      </c>
      <c r="OR68" s="39">
        <v>3.00777289624873E-2</v>
      </c>
      <c r="OS68" s="39">
        <f t="shared" ref="OS68" si="351">IFERROR(OS5/OS47,0)</f>
        <v>0</v>
      </c>
      <c r="OT68" s="39">
        <f t="shared" si="156"/>
        <v>1.509673326990168E-2</v>
      </c>
      <c r="OU68" s="39">
        <v>3.1557984707968702E-2</v>
      </c>
      <c r="OV68" s="39">
        <v>3.0397369525675101E-2</v>
      </c>
      <c r="OW68" s="39">
        <v>3.3416396710690299E-2</v>
      </c>
      <c r="OX68" s="39">
        <v>3.80528642098176E-2</v>
      </c>
      <c r="OY68" s="39">
        <v>3.3442506860228399E-2</v>
      </c>
      <c r="OZ68" s="39">
        <v>3.13644145101028E-2</v>
      </c>
      <c r="PA68" s="39">
        <v>3.3924216503476101E-2</v>
      </c>
      <c r="PB68" s="39">
        <v>3.1721121051851098E-2</v>
      </c>
      <c r="PC68" s="39">
        <v>3.4231277633438202E-2</v>
      </c>
      <c r="PD68" s="39">
        <v>3.4994187677877098E-2</v>
      </c>
      <c r="PE68" s="39">
        <v>3.6028236547682502E-2</v>
      </c>
      <c r="PF68" s="39">
        <v>3.2685913842179497E-2</v>
      </c>
      <c r="PG68" s="39">
        <v>3.5463987165414199E-2</v>
      </c>
      <c r="PH68" s="39">
        <v>3.2615384615384602E-2</v>
      </c>
      <c r="PI68" s="39">
        <v>3.4331392086196399E-2</v>
      </c>
      <c r="PJ68" s="39">
        <v>3.2318719692364203E-2</v>
      </c>
      <c r="PK68" s="39">
        <v>3.3032152076977198E-2</v>
      </c>
      <c r="PL68" s="39">
        <v>3.5491863657670902E-2</v>
      </c>
      <c r="PM68" s="39">
        <v>3.2657911194496597E-2</v>
      </c>
      <c r="PN68" s="39">
        <v>3.29205051552681E-2</v>
      </c>
      <c r="PO68" s="39">
        <v>3.1451389474445E-2</v>
      </c>
      <c r="PP68" s="39">
        <v>3.4115716998436997E-2</v>
      </c>
      <c r="PQ68" s="39">
        <v>3.2901825687098797E-2</v>
      </c>
      <c r="PR68" s="39">
        <v>3.95487843243E-2</v>
      </c>
      <c r="PS68" s="39">
        <v>3.7336172399867799E-2</v>
      </c>
      <c r="PT68" s="39">
        <v>3.2689741298039802E-2</v>
      </c>
      <c r="PU68" s="39">
        <v>3.5487723954877197E-2</v>
      </c>
      <c r="PV68" s="39">
        <v>3.49944864419615E-2</v>
      </c>
      <c r="PW68" s="39">
        <v>3.2244660516911799E-2</v>
      </c>
      <c r="PX68" s="39">
        <v>2.94790037299964E-2</v>
      </c>
      <c r="PY68" s="39">
        <v>3.4189299193369299E-2</v>
      </c>
      <c r="PZ68" s="39">
        <v>2.92474026846926E-2</v>
      </c>
      <c r="QA68" s="39">
        <v>2.7777430055705099E-2</v>
      </c>
      <c r="QB68" s="39">
        <v>2.6356256932540099E-2</v>
      </c>
      <c r="QC68" s="39">
        <v>2.6870083936018599E-2</v>
      </c>
      <c r="QD68" s="39">
        <v>2.7003923766816099E-2</v>
      </c>
      <c r="QE68" s="39">
        <v>2.50170836180603E-2</v>
      </c>
      <c r="QF68" s="39">
        <v>2.80705139026214E-2</v>
      </c>
      <c r="QG68" s="39">
        <v>2.6855383662168199E-2</v>
      </c>
      <c r="QH68" s="39">
        <v>2.5585460639419799E-2</v>
      </c>
      <c r="QI68" s="39">
        <v>2.84334049715666E-2</v>
      </c>
      <c r="QJ68" s="39">
        <v>2.6898390441394301E-2</v>
      </c>
      <c r="QK68" s="39">
        <v>2.4264524864598701E-2</v>
      </c>
      <c r="QL68" s="39">
        <v>2.3981956265087801E-2</v>
      </c>
      <c r="QM68" s="39">
        <v>2.3610222069033401E-2</v>
      </c>
      <c r="QN68" s="39">
        <v>2.0721337112696699E-2</v>
      </c>
      <c r="QO68" s="39">
        <v>2.1371990087522E-2</v>
      </c>
      <c r="QP68" s="39">
        <v>2.0465288984733199E-2</v>
      </c>
      <c r="QQ68" s="39">
        <v>2.1170274839539802E-2</v>
      </c>
      <c r="QR68" s="39">
        <v>2.1346609605974301E-2</v>
      </c>
      <c r="QS68" s="39">
        <v>2.0243424482678001E-2</v>
      </c>
      <c r="QT68" s="39">
        <v>2.5090826521344201E-2</v>
      </c>
      <c r="QU68" s="39">
        <v>2.0827031931901701E-2</v>
      </c>
      <c r="QV68" s="39">
        <v>2.17566833536415E-2</v>
      </c>
      <c r="QW68" s="39">
        <v>2.3871275978568699E-2</v>
      </c>
      <c r="QX68" s="39">
        <v>2.6190768367722599E-2</v>
      </c>
      <c r="QY68" s="39">
        <v>2.1251149954001802E-2</v>
      </c>
      <c r="QZ68" s="39">
        <v>2.81895777178796E-2</v>
      </c>
      <c r="RA68" s="39">
        <v>3.13554439963789E-2</v>
      </c>
      <c r="RB68" s="39">
        <v>2.1353699879203498E-2</v>
      </c>
      <c r="RC68" s="39">
        <v>2.6072146038955399E-2</v>
      </c>
      <c r="RD68" s="39">
        <v>2.9605908110580999E-2</v>
      </c>
      <c r="RE68" s="39">
        <v>3.0179587566770801E-2</v>
      </c>
      <c r="RF68" s="39">
        <v>3.21214677351329E-2</v>
      </c>
      <c r="RG68" s="39">
        <v>3.74708141899526E-2</v>
      </c>
      <c r="RH68" s="39">
        <v>4.0763293643098199E-2</v>
      </c>
      <c r="RI68" s="39">
        <v>3.5368971416488898E-2</v>
      </c>
      <c r="RJ68" s="39">
        <v>4.18066041537924E-2</v>
      </c>
      <c r="RK68" s="39">
        <v>5.0629682339357197E-2</v>
      </c>
      <c r="RL68" s="39">
        <v>5.58403679862262E-2</v>
      </c>
      <c r="RM68" s="39">
        <v>5.2909356532726097E-2</v>
      </c>
      <c r="RN68" s="39">
        <v>6.0358476474981299E-2</v>
      </c>
      <c r="RO68" s="39">
        <v>7.7411694864945105E-2</v>
      </c>
      <c r="RP68" s="39">
        <v>8.1777838002642406E-2</v>
      </c>
      <c r="RQ68" s="39">
        <v>7.5515541800827396E-2</v>
      </c>
      <c r="RR68" s="39">
        <v>9.2983910724689603E-2</v>
      </c>
      <c r="RS68" s="39">
        <v>9.8465594516214103E-2</v>
      </c>
      <c r="RT68" s="39">
        <v>9.8940774961501596E-2</v>
      </c>
      <c r="RU68" s="39">
        <v>0.101977891467203</v>
      </c>
      <c r="RV68" s="39">
        <v>0.12631105034099799</v>
      </c>
      <c r="RW68" s="39">
        <v>0.135385925085131</v>
      </c>
      <c r="RX68" s="39">
        <v>0.14296614800837301</v>
      </c>
      <c r="RY68" s="39">
        <v>0.17207921755632299</v>
      </c>
      <c r="RZ68" s="39">
        <v>0.160183469140532</v>
      </c>
      <c r="SA68" s="39">
        <v>0.171378727580003</v>
      </c>
      <c r="SB68" s="39">
        <v>0.19548848721841999</v>
      </c>
      <c r="SC68" s="39">
        <v>0.21401394658383499</v>
      </c>
      <c r="SD68" s="39">
        <v>0.20499354471651501</v>
      </c>
      <c r="SE68" s="39">
        <v>0.24280895760080901</v>
      </c>
      <c r="SF68" s="39">
        <v>0.23105398135004401</v>
      </c>
      <c r="SG68" s="39">
        <v>0.233002517025828</v>
      </c>
      <c r="SH68" s="39">
        <v>0.232703922302224</v>
      </c>
      <c r="SI68" s="39">
        <v>0.23973973554854</v>
      </c>
      <c r="SJ68" s="39">
        <v>0.10855986255266099</v>
      </c>
      <c r="SK68" s="39">
        <v>0.28188956570175899</v>
      </c>
      <c r="SL68" s="39">
        <v>0.26593097005393701</v>
      </c>
      <c r="SM68" s="39">
        <v>0.27962813486837401</v>
      </c>
      <c r="SN68" s="39">
        <v>0.28490589609988798</v>
      </c>
      <c r="SO68" s="39">
        <v>0.276513768304952</v>
      </c>
      <c r="SP68" s="39">
        <v>0.26142025180098299</v>
      </c>
      <c r="SQ68" s="39">
        <v>0.26877227990313801</v>
      </c>
      <c r="SR68" s="39">
        <v>0.29273643016338202</v>
      </c>
      <c r="SS68" s="39">
        <v>0.30739554801126501</v>
      </c>
      <c r="ST68" s="39">
        <v>0.29408280518865099</v>
      </c>
      <c r="SU68" s="39">
        <v>0.31520265663476899</v>
      </c>
      <c r="SV68" s="39">
        <v>0.30850634790043402</v>
      </c>
      <c r="SW68" s="39">
        <v>0.28274771644662</v>
      </c>
      <c r="SX68" s="39">
        <v>0.31747457403249202</v>
      </c>
      <c r="SY68" s="39">
        <v>0.32308780756229899</v>
      </c>
      <c r="SZ68" s="39">
        <v>0.29243201725715801</v>
      </c>
      <c r="TA68" s="39">
        <v>0.31749769362562102</v>
      </c>
      <c r="TB68" s="39">
        <v>0.318405595659777</v>
      </c>
      <c r="TC68" s="39">
        <v>0.283743419333159</v>
      </c>
      <c r="TD68" s="39">
        <v>0.28085999677039802</v>
      </c>
      <c r="TE68" s="39">
        <v>0.26076840133931101</v>
      </c>
      <c r="TF68" s="39">
        <v>0.30770358342917697</v>
      </c>
      <c r="TG68" s="39">
        <v>0.30450977541972502</v>
      </c>
      <c r="TH68" s="39">
        <v>0.28686003683241301</v>
      </c>
      <c r="TI68" s="39">
        <v>0.28819104013978503</v>
      </c>
      <c r="TJ68" s="39">
        <v>0.253393846492942</v>
      </c>
      <c r="TK68" s="39">
        <v>0.25034357861207102</v>
      </c>
      <c r="TL68" s="39">
        <v>0.29935051003491298</v>
      </c>
      <c r="TM68" s="39">
        <v>0.26849067577433799</v>
      </c>
      <c r="TN68" s="39">
        <v>0.25749630227242198</v>
      </c>
      <c r="TO68" s="39">
        <v>0.24243313490399901</v>
      </c>
      <c r="TP68" s="39">
        <v>0.23630353675299501</v>
      </c>
      <c r="TQ68" s="39">
        <v>0.21083536691650701</v>
      </c>
      <c r="TR68" s="39">
        <v>0.20787981441932399</v>
      </c>
      <c r="TS68" s="39">
        <v>0.219961856325493</v>
      </c>
      <c r="TT68" s="39">
        <v>0.20516813894668601</v>
      </c>
      <c r="TU68" s="39">
        <v>0.208064684402713</v>
      </c>
      <c r="TV68" s="39">
        <v>0.19368203003625101</v>
      </c>
      <c r="TW68" s="39">
        <v>0.18443712467034501</v>
      </c>
      <c r="TX68" s="39">
        <v>0.16738827810722201</v>
      </c>
      <c r="TY68" s="39">
        <v>0.20207082927442399</v>
      </c>
      <c r="TZ68" s="39">
        <v>0.17692791750400899</v>
      </c>
      <c r="UA68" s="39">
        <v>0.156392832362303</v>
      </c>
      <c r="UB68" s="39">
        <v>0.15291179683985301</v>
      </c>
      <c r="UC68" s="39">
        <v>6.1733452567106502E-2</v>
      </c>
      <c r="UD68" s="39">
        <v>0</v>
      </c>
      <c r="UE68" s="39">
        <v>0.11366670646593401</v>
      </c>
      <c r="UF68" s="39">
        <v>0.109516561571356</v>
      </c>
      <c r="UG68" s="39">
        <v>0</v>
      </c>
      <c r="UH68" s="45">
        <v>7.2074367530781003E-2</v>
      </c>
      <c r="UI68" s="45">
        <v>9.0885394039447398E-2</v>
      </c>
      <c r="UJ68" s="45">
        <v>9.8081667065668801E-2</v>
      </c>
      <c r="UK68" s="45">
        <v>8.8346934902258506E-2</v>
      </c>
      <c r="UL68" s="45">
        <v>8.8083353042958695E-2</v>
      </c>
      <c r="UM68" s="45">
        <v>7.91382214735349E-2</v>
      </c>
      <c r="UN68" s="45">
        <v>9.8864453068851499E-2</v>
      </c>
      <c r="UO68" s="45">
        <v>8.5019081231528501E-2</v>
      </c>
      <c r="UP68" s="45">
        <v>7.9313453198850095E-2</v>
      </c>
      <c r="UQ68" s="45">
        <v>3.5524254537597201E-2</v>
      </c>
      <c r="UR68" s="45">
        <v>6.87041639817116E-2</v>
      </c>
      <c r="US68" s="45">
        <v>0</v>
      </c>
      <c r="UT68" s="45">
        <v>7.4871959762063303E-2</v>
      </c>
      <c r="UU68" s="45">
        <v>6.2475226392657901E-2</v>
      </c>
      <c r="UV68" s="45">
        <v>6.6661163846471305E-2</v>
      </c>
      <c r="UW68" s="45">
        <v>6.0482825443181301E-2</v>
      </c>
      <c r="UX68" s="45">
        <v>6.0813508198660403E-2</v>
      </c>
      <c r="UY68" s="45">
        <v>6.1003411534543799E-2</v>
      </c>
      <c r="UZ68" s="45">
        <v>5.5475481246596799E-2</v>
      </c>
      <c r="VA68" s="45">
        <v>5.1779566337581802E-2</v>
      </c>
      <c r="VB68" s="45">
        <v>5.0583285523044599E-2</v>
      </c>
      <c r="VC68" s="45">
        <v>3.0796700960802701E-2</v>
      </c>
      <c r="VD68" s="45">
        <v>0</v>
      </c>
      <c r="VE68" s="45">
        <v>4.8718532662964498E-2</v>
      </c>
      <c r="VF68" s="45">
        <v>0</v>
      </c>
      <c r="VG68" s="45">
        <v>0</v>
      </c>
      <c r="VH68" s="45">
        <v>1.20613410768851E-2</v>
      </c>
      <c r="VI68" s="45">
        <v>5.02197112366604E-2</v>
      </c>
      <c r="VJ68" s="45">
        <v>5.7246606873561402E-2</v>
      </c>
      <c r="VK68" s="45">
        <v>5.4271702940742302E-2</v>
      </c>
      <c r="VL68" s="45">
        <v>2.49880719611567E-2</v>
      </c>
      <c r="VM68" s="45">
        <v>4.6745112487622899E-2</v>
      </c>
      <c r="VN68" s="45">
        <v>0</v>
      </c>
      <c r="VO68" s="45">
        <v>4.5761509759782902E-2</v>
      </c>
      <c r="VP68" s="45">
        <v>5.86854460093897E-2</v>
      </c>
      <c r="VQ68" s="45">
        <v>4.4978232810483298E-2</v>
      </c>
      <c r="VR68" s="45">
        <v>4.8903333713460298E-2</v>
      </c>
      <c r="VS68" s="45">
        <v>2.4749862680265799E-2</v>
      </c>
      <c r="VT68" s="45">
        <v>1.8290311603713999E-2</v>
      </c>
      <c r="VU68" s="45">
        <v>5.2401949408215402E-2</v>
      </c>
      <c r="VV68" s="45">
        <v>0</v>
      </c>
      <c r="VW68" s="45">
        <v>0</v>
      </c>
      <c r="VX68" s="35">
        <v>5.31629097930571E-2</v>
      </c>
      <c r="VY68" s="35">
        <v>3.0284538035558101E-2</v>
      </c>
      <c r="VZ68" s="35">
        <v>6.6615865885938902E-2</v>
      </c>
      <c r="WA68" s="35">
        <v>0</v>
      </c>
      <c r="WB68" s="35">
        <v>6.3507765357602095E-2</v>
      </c>
      <c r="WC68" s="35">
        <v>6.1211534973701701E-2</v>
      </c>
      <c r="WD68" s="35">
        <v>7.9784714747039798E-2</v>
      </c>
      <c r="WE68" s="35">
        <v>7.0185528361769695E-2</v>
      </c>
      <c r="WF68" s="35">
        <v>7.8066343594293902E-2</v>
      </c>
      <c r="WG68" s="35">
        <v>4.4001178602998299E-2</v>
      </c>
      <c r="WH68" s="35">
        <v>0</v>
      </c>
      <c r="WI68" s="35">
        <v>0</v>
      </c>
      <c r="WJ68" s="35">
        <v>3.80265268906139E-2</v>
      </c>
      <c r="WK68" s="35">
        <v>0</v>
      </c>
      <c r="WL68" s="35">
        <v>6.4088328862828295E-2</v>
      </c>
      <c r="WM68" s="35">
        <v>9.79323971491073E-2</v>
      </c>
      <c r="WN68" s="35">
        <v>3.2095759577002697E-2</v>
      </c>
      <c r="WO68" s="35">
        <v>0</v>
      </c>
      <c r="WP68" s="35">
        <v>0</v>
      </c>
      <c r="WQ68" s="35">
        <v>4.68001041363574E-2</v>
      </c>
      <c r="WR68" s="35">
        <v>0</v>
      </c>
      <c r="WS68" s="35">
        <v>0</v>
      </c>
      <c r="WT68" s="35">
        <v>0</v>
      </c>
      <c r="WU68" s="35">
        <v>4.4556800540309797E-2</v>
      </c>
      <c r="WV68" s="45">
        <v>0</v>
      </c>
      <c r="WW68" s="45">
        <v>0</v>
      </c>
      <c r="WX68" s="45">
        <v>2.92777827251492E-2</v>
      </c>
      <c r="WY68" s="45">
        <v>0</v>
      </c>
      <c r="WZ68" s="45">
        <v>0.127607279338732</v>
      </c>
      <c r="XA68" s="45">
        <v>4.6174820016247599E-2</v>
      </c>
      <c r="XB68" s="45">
        <v>0</v>
      </c>
      <c r="XC68" s="45">
        <v>0.13330412316618101</v>
      </c>
      <c r="XD68" s="45">
        <v>0</v>
      </c>
      <c r="XE68" s="45">
        <v>0.15112533799904601</v>
      </c>
      <c r="XF68" s="45">
        <v>3.5517508444279498E-2</v>
      </c>
      <c r="XG68" s="45">
        <v>0</v>
      </c>
      <c r="XH68" s="45">
        <v>0</v>
      </c>
      <c r="XI68" s="45">
        <v>0</v>
      </c>
      <c r="XJ68" s="45">
        <v>0</v>
      </c>
      <c r="XK68" s="45">
        <v>0.144396918206909</v>
      </c>
      <c r="XL68" s="45">
        <v>0.14960668713973699</v>
      </c>
      <c r="XM68" s="45">
        <v>3.2500459203268398E-2</v>
      </c>
      <c r="XN68" s="45">
        <v>0</v>
      </c>
      <c r="XO68" s="45">
        <v>0</v>
      </c>
      <c r="XP68" s="45">
        <v>0</v>
      </c>
      <c r="XQ68" s="45">
        <v>0</v>
      </c>
      <c r="XR68" s="45">
        <v>3.0614815855649801E-2</v>
      </c>
      <c r="XS68" s="45">
        <v>0</v>
      </c>
      <c r="XT68" s="45">
        <v>0</v>
      </c>
      <c r="XU68" s="45">
        <v>0</v>
      </c>
      <c r="XV68" s="45">
        <v>0</v>
      </c>
      <c r="XW68" s="45">
        <v>0</v>
      </c>
      <c r="XX68" s="45">
        <v>0</v>
      </c>
      <c r="XY68">
        <v>0.156765745167325</v>
      </c>
      <c r="XZ68">
        <v>0.16507111597374199</v>
      </c>
      <c r="YA68">
        <v>0.17837051406401599</v>
      </c>
      <c r="YB68">
        <v>0.180687088621657</v>
      </c>
      <c r="YC68">
        <v>5.4034136832596398E-2</v>
      </c>
      <c r="YD68">
        <v>0.15588591074043401</v>
      </c>
      <c r="YE68">
        <v>0.15243619489559199</v>
      </c>
      <c r="YF68" s="1">
        <v>0.17843554748856899</v>
      </c>
      <c r="YG68" s="1">
        <v>0</v>
      </c>
      <c r="YH68" s="1">
        <v>0</v>
      </c>
      <c r="YI68" s="1">
        <v>0.16514319446183601</v>
      </c>
      <c r="YJ68">
        <v>0.16560319191858799</v>
      </c>
      <c r="YK68">
        <v>7.7988061485771504E-2</v>
      </c>
      <c r="YL68">
        <v>0.14961636828644501</v>
      </c>
      <c r="YM68">
        <v>0.157565155663726</v>
      </c>
      <c r="YN68">
        <v>0.17933333333333301</v>
      </c>
      <c r="YO68">
        <v>0</v>
      </c>
      <c r="YP68">
        <v>0.16662416383859399</v>
      </c>
      <c r="YQ68">
        <v>7.7787831193662907E-2</v>
      </c>
      <c r="YR68">
        <v>0.15205825242718399</v>
      </c>
      <c r="YS68">
        <v>0</v>
      </c>
      <c r="YT68">
        <v>0.14514944939695901</v>
      </c>
      <c r="YU68">
        <v>0.14010115388109901</v>
      </c>
      <c r="YV68">
        <v>0.162329342111077</v>
      </c>
      <c r="YW68">
        <v>3.85249906868508E-2</v>
      </c>
      <c r="YX68">
        <v>0</v>
      </c>
      <c r="YY68">
        <v>0</v>
      </c>
      <c r="YZ68">
        <v>0</v>
      </c>
      <c r="ZA68">
        <v>0.147719237898679</v>
      </c>
      <c r="ZB68">
        <v>0.15402484597515401</v>
      </c>
      <c r="ZC68">
        <v>0.17210187126329701</v>
      </c>
      <c r="ZD68">
        <v>0.169334756314479</v>
      </c>
      <c r="ZE68">
        <v>0.15732523373356699</v>
      </c>
      <c r="ZF68">
        <v>7.4892812311504506E-2</v>
      </c>
      <c r="ZG68">
        <v>0.140735265649473</v>
      </c>
      <c r="ZH68">
        <v>0.14988473951129599</v>
      </c>
      <c r="ZI68">
        <v>0.17904898105112599</v>
      </c>
      <c r="ZJ68">
        <v>0.164412799519768</v>
      </c>
      <c r="ZK68">
        <v>0.157425102958198</v>
      </c>
      <c r="ZL68">
        <v>0.160764264139441</v>
      </c>
      <c r="ZM68">
        <v>0.14989780941799399</v>
      </c>
      <c r="ZN68">
        <v>0.140425958262961</v>
      </c>
      <c r="ZO68">
        <v>3.9741342329507802E-2</v>
      </c>
      <c r="ZP68">
        <v>0.184298800154819</v>
      </c>
      <c r="ZQ68">
        <v>0.161053732326777</v>
      </c>
      <c r="ZR68">
        <v>0.149484878697242</v>
      </c>
      <c r="ZS68">
        <v>0.14223691460055099</v>
      </c>
      <c r="ZT68">
        <v>0.14345879541916601</v>
      </c>
      <c r="ZU68">
        <v>0.13353624226303101</v>
      </c>
      <c r="ZV68">
        <v>0.15034895709413901</v>
      </c>
      <c r="ZW68">
        <v>0.169495173092295</v>
      </c>
      <c r="ZX68">
        <v>0.16835550214404699</v>
      </c>
      <c r="ZY68">
        <v>0.147278203107408</v>
      </c>
      <c r="ZZ68">
        <v>0.13840501605182901</v>
      </c>
      <c r="AAA68">
        <v>5.9437514488168301E-2</v>
      </c>
      <c r="AAB68">
        <v>0</v>
      </c>
      <c r="AAC68">
        <v>0.13437717736316501</v>
      </c>
      <c r="AAD68">
        <v>0.140998571694715</v>
      </c>
      <c r="AAE68">
        <v>0.12173938515166199</v>
      </c>
      <c r="AAF68">
        <v>0.113558510442374</v>
      </c>
      <c r="AAG68">
        <v>0.109939137610893</v>
      </c>
      <c r="AAH68">
        <v>0.11319031743731001</v>
      </c>
      <c r="AAI68">
        <v>5.2340685074885401E-2</v>
      </c>
      <c r="AAJ68">
        <v>0.115916580472903</v>
      </c>
      <c r="AAK68">
        <v>0.12542249681991599</v>
      </c>
      <c r="AAL68">
        <v>0.105469825134406</v>
      </c>
      <c r="AAM68">
        <v>0.10504512949216099</v>
      </c>
      <c r="AAN68">
        <v>4.5430496890639001E-2</v>
      </c>
      <c r="AAO68">
        <v>0.105584715515431</v>
      </c>
      <c r="AAP68">
        <v>0</v>
      </c>
      <c r="AAQ68">
        <v>0.11059934532603299</v>
      </c>
      <c r="AAR68">
        <v>0.120472555787836</v>
      </c>
      <c r="AAS68">
        <v>0.10570615175145399</v>
      </c>
      <c r="AAT68">
        <v>0.10268589688228701</v>
      </c>
      <c r="AAU68">
        <v>9.4820986665242399E-2</v>
      </c>
      <c r="AAV68">
        <v>4.17222129645059E-2</v>
      </c>
      <c r="AAW68">
        <v>0</v>
      </c>
      <c r="AAX68">
        <v>9.4854137107658207E-2</v>
      </c>
      <c r="AAY68">
        <v>0.101174392018291</v>
      </c>
      <c r="AAZ68">
        <v>9.2517039454737507E-2</v>
      </c>
      <c r="ABA68">
        <v>8.9636024643320406E-2</v>
      </c>
      <c r="ABB68">
        <v>4.1786932563631599E-2</v>
      </c>
      <c r="ABC68">
        <v>9.2968520152986206E-2</v>
      </c>
      <c r="ABD68">
        <v>0</v>
      </c>
      <c r="ABE68">
        <v>9.0355329949238603E-2</v>
      </c>
      <c r="ABF68">
        <v>8.9803615554688507E-2</v>
      </c>
      <c r="ABG68">
        <v>0.101429031911464</v>
      </c>
      <c r="ABH68">
        <v>9.2693960642388606E-2</v>
      </c>
      <c r="ABI68">
        <v>4.40445830750942E-2</v>
      </c>
      <c r="ABJ68">
        <v>0</v>
      </c>
      <c r="ABK68">
        <v>9.0038441881652304E-2</v>
      </c>
      <c r="ABL68">
        <v>9.0103779379910098E-2</v>
      </c>
      <c r="ABM68">
        <v>9.6879718168092599E-2</v>
      </c>
      <c r="ABN68">
        <v>9.4327657075748694E-2</v>
      </c>
      <c r="ABO68">
        <v>8.8045025229654503E-2</v>
      </c>
      <c r="ABP68">
        <v>8.9105543589162201E-2</v>
      </c>
      <c r="ABQ68">
        <v>4.0333163716221601E-2</v>
      </c>
      <c r="ABR68">
        <v>0</v>
      </c>
      <c r="ABS68">
        <v>9.0429260649045398E-2</v>
      </c>
      <c r="ABT68">
        <v>0.112704</v>
      </c>
      <c r="ABU68">
        <v>0.105093042959802</v>
      </c>
      <c r="ABV68">
        <v>0.10621623890956899</v>
      </c>
      <c r="ABW68">
        <v>5.2292766269030101E-2</v>
      </c>
      <c r="ABX68">
        <v>0</v>
      </c>
      <c r="ABY68">
        <v>0</v>
      </c>
      <c r="ABZ68">
        <v>0</v>
      </c>
      <c r="ACA68">
        <v>2.7559359214002099E-2</v>
      </c>
      <c r="ACB68">
        <v>2.6001144513034102E-2</v>
      </c>
      <c r="ACC68">
        <v>0</v>
      </c>
      <c r="ACD68">
        <v>0</v>
      </c>
      <c r="ACE68">
        <v>0</v>
      </c>
      <c r="ACF68">
        <v>0</v>
      </c>
      <c r="ACG68">
        <v>0.13643973214285701</v>
      </c>
      <c r="ACH68">
        <v>0.154043426226705</v>
      </c>
      <c r="ACI68">
        <v>0.15120718253863799</v>
      </c>
      <c r="ACJ68">
        <v>0.145137054913032</v>
      </c>
      <c r="ACK68">
        <v>5.3417960373960002E-2</v>
      </c>
      <c r="ACL68">
        <v>0</v>
      </c>
      <c r="ACM68">
        <v>0</v>
      </c>
      <c r="ACN68">
        <v>7.4679844097995607E-2</v>
      </c>
      <c r="ACO68">
        <v>0</v>
      </c>
      <c r="ACP68">
        <v>0.20659691877450101</v>
      </c>
      <c r="ACQ68">
        <v>0</v>
      </c>
      <c r="ACR68">
        <v>3.3781808455715399E-2</v>
      </c>
      <c r="ACS68">
        <v>0</v>
      </c>
      <c r="ACT68">
        <v>0</v>
      </c>
      <c r="ACU68">
        <v>7.1935044351138705E-2</v>
      </c>
      <c r="ACV68">
        <v>4.72006763959857E-2</v>
      </c>
      <c r="ACW68">
        <v>0</v>
      </c>
      <c r="ACX68">
        <v>0</v>
      </c>
      <c r="ACY68">
        <v>0</v>
      </c>
      <c r="ACZ68">
        <v>0</v>
      </c>
      <c r="ADA68">
        <v>0</v>
      </c>
      <c r="ADB68">
        <v>0.19671585487629001</v>
      </c>
      <c r="ADC68">
        <v>0.209753812522771</v>
      </c>
      <c r="ADD68">
        <v>9.6139235327808506E-2</v>
      </c>
      <c r="ADE68">
        <v>0</v>
      </c>
      <c r="ADF68">
        <v>5.0843459801343603E-2</v>
      </c>
      <c r="ADG68">
        <v>0</v>
      </c>
      <c r="ADH68">
        <v>0</v>
      </c>
      <c r="ADI68">
        <v>8.6126215622712499E-2</v>
      </c>
      <c r="ADJ68">
        <v>0</v>
      </c>
      <c r="ADK68">
        <v>0</v>
      </c>
      <c r="ADL68">
        <v>1.4892172501918099E-2</v>
      </c>
      <c r="ADM68">
        <v>0</v>
      </c>
      <c r="ADN68">
        <v>0</v>
      </c>
      <c r="ADO68">
        <v>0</v>
      </c>
      <c r="ADP68">
        <v>0</v>
      </c>
      <c r="ADQ68">
        <v>0</v>
      </c>
      <c r="ADR68">
        <v>2.7052616498171801E-2</v>
      </c>
      <c r="ADS68">
        <v>0</v>
      </c>
      <c r="ADT68">
        <v>0</v>
      </c>
      <c r="ADU68">
        <v>0</v>
      </c>
      <c r="ADV68">
        <v>0</v>
      </c>
      <c r="ADW68">
        <v>7.3342780664462301E-2</v>
      </c>
      <c r="ADX68">
        <v>0</v>
      </c>
      <c r="ADY68">
        <v>2.57565342030978E-2</v>
      </c>
      <c r="ADZ68">
        <v>0</v>
      </c>
      <c r="AEA68">
        <v>0</v>
      </c>
      <c r="AEB68">
        <v>0</v>
      </c>
      <c r="AEC68">
        <v>0</v>
      </c>
      <c r="AED68">
        <v>2.4254793649385101E-2</v>
      </c>
      <c r="AEE68">
        <v>0</v>
      </c>
      <c r="AEF68">
        <v>0</v>
      </c>
      <c r="AEG68">
        <v>0</v>
      </c>
      <c r="AEH68">
        <v>0</v>
      </c>
      <c r="AEI68">
        <v>0</v>
      </c>
      <c r="AEJ68">
        <v>0</v>
      </c>
      <c r="AEK68">
        <v>2.4661694876584601E-2</v>
      </c>
      <c r="AEL68">
        <v>0</v>
      </c>
      <c r="AEM68">
        <v>0</v>
      </c>
      <c r="AEN68">
        <v>0</v>
      </c>
      <c r="AEO68">
        <v>0</v>
      </c>
      <c r="AEP68">
        <v>0</v>
      </c>
      <c r="AEQ68">
        <v>0</v>
      </c>
      <c r="AER68">
        <v>2.0466922684469299E-2</v>
      </c>
      <c r="AES68">
        <v>0</v>
      </c>
      <c r="AET68">
        <v>0</v>
      </c>
      <c r="AEU68">
        <v>0</v>
      </c>
      <c r="AEV68">
        <v>0</v>
      </c>
      <c r="AEW68">
        <v>0</v>
      </c>
      <c r="AEX68">
        <v>0</v>
      </c>
      <c r="AEY68">
        <v>0</v>
      </c>
      <c r="AEZ68">
        <v>0</v>
      </c>
      <c r="AFA68">
        <v>0</v>
      </c>
      <c r="AFB68">
        <v>0</v>
      </c>
      <c r="AFC68">
        <v>0</v>
      </c>
      <c r="AFD68">
        <v>0</v>
      </c>
      <c r="AFE68">
        <v>1.8096788770379499E-2</v>
      </c>
      <c r="AFF68">
        <v>0</v>
      </c>
      <c r="AFG68">
        <v>0</v>
      </c>
      <c r="AFH68">
        <v>0</v>
      </c>
      <c r="AFI68">
        <v>0</v>
      </c>
      <c r="AFJ68">
        <v>0</v>
      </c>
      <c r="AFK68">
        <v>0</v>
      </c>
      <c r="AFL68">
        <v>0</v>
      </c>
      <c r="AFM68">
        <v>0</v>
      </c>
      <c r="AFN68">
        <v>2.69090605323337E-2</v>
      </c>
      <c r="AFO68">
        <v>0</v>
      </c>
      <c r="AFP68">
        <v>0</v>
      </c>
      <c r="AFQ68">
        <v>0</v>
      </c>
      <c r="AFR68">
        <v>0</v>
      </c>
      <c r="AFS68">
        <v>0</v>
      </c>
      <c r="AFT68">
        <v>2.1406538536927599E-2</v>
      </c>
      <c r="AFU68">
        <v>0</v>
      </c>
      <c r="AFV68">
        <v>0</v>
      </c>
      <c r="AFW68">
        <v>0</v>
      </c>
      <c r="AFX68">
        <v>0</v>
      </c>
      <c r="AFY68">
        <v>0</v>
      </c>
      <c r="AFZ68">
        <v>0</v>
      </c>
      <c r="AGA68">
        <v>9.0639460470611395E-3</v>
      </c>
      <c r="AGB68">
        <v>0</v>
      </c>
      <c r="AGC68">
        <v>0</v>
      </c>
      <c r="AGD68">
        <v>0</v>
      </c>
      <c r="AGE68">
        <v>0</v>
      </c>
      <c r="AGF68">
        <v>0</v>
      </c>
      <c r="AGG68">
        <v>0</v>
      </c>
      <c r="AGH68">
        <v>0</v>
      </c>
      <c r="AGI68">
        <v>0</v>
      </c>
      <c r="AGJ68">
        <v>0</v>
      </c>
      <c r="AGK68">
        <v>0</v>
      </c>
      <c r="AGL68">
        <v>0</v>
      </c>
      <c r="AGM68">
        <v>0</v>
      </c>
      <c r="AGN68">
        <v>0</v>
      </c>
      <c r="AGO68">
        <v>1.0889976241275599E-2</v>
      </c>
      <c r="AGP68">
        <v>0</v>
      </c>
      <c r="AGQ68">
        <v>0</v>
      </c>
      <c r="AGR68">
        <v>0</v>
      </c>
      <c r="AGS68">
        <v>0</v>
      </c>
      <c r="AGT68">
        <v>0</v>
      </c>
      <c r="AGU68">
        <v>0</v>
      </c>
      <c r="AGV68">
        <v>0</v>
      </c>
      <c r="AGW68">
        <v>0</v>
      </c>
      <c r="AGX68">
        <v>0</v>
      </c>
      <c r="AGY68">
        <v>0</v>
      </c>
      <c r="AGZ68">
        <v>0</v>
      </c>
      <c r="AHA68">
        <v>0</v>
      </c>
      <c r="AHB68">
        <v>0</v>
      </c>
      <c r="AHC68">
        <v>1.7420355566161599E-2</v>
      </c>
      <c r="AHD68">
        <v>0</v>
      </c>
      <c r="AHE68">
        <v>0</v>
      </c>
      <c r="AHF68">
        <v>0</v>
      </c>
      <c r="AHG68">
        <v>0</v>
      </c>
      <c r="AHH68">
        <v>0</v>
      </c>
      <c r="AHI68">
        <v>0</v>
      </c>
      <c r="AHJ68">
        <v>0</v>
      </c>
      <c r="AHK68">
        <v>2.1287076826328501E-2</v>
      </c>
      <c r="AHL68">
        <v>0</v>
      </c>
      <c r="AHM68">
        <v>0</v>
      </c>
      <c r="AHN68">
        <v>0</v>
      </c>
      <c r="AHO68">
        <v>0</v>
      </c>
      <c r="AHP68">
        <v>0</v>
      </c>
      <c r="AHQ68">
        <v>0</v>
      </c>
    </row>
    <row r="69" spans="1:901">
      <c r="A69" s="1" t="s">
        <v>35</v>
      </c>
      <c r="C69" s="39">
        <f t="shared" si="157"/>
        <v>0.14824972085643207</v>
      </c>
      <c r="D69" s="39">
        <f t="shared" si="157"/>
        <v>0.19343747221151852</v>
      </c>
      <c r="E69" s="39">
        <f t="shared" si="157"/>
        <v>0.24505379003338693</v>
      </c>
      <c r="F69" s="39">
        <f t="shared" si="157"/>
        <v>0.22978459844470442</v>
      </c>
      <c r="G69" s="39">
        <f t="shared" si="222"/>
        <v>0.17301049233252624</v>
      </c>
      <c r="H69" s="39">
        <f t="shared" si="222"/>
        <v>0.19631257428753074</v>
      </c>
      <c r="I69" s="39">
        <f t="shared" si="222"/>
        <v>0.1751860913018583</v>
      </c>
      <c r="J69" s="39">
        <f t="shared" si="222"/>
        <v>0.18457509714478798</v>
      </c>
      <c r="K69" s="39">
        <f t="shared" si="222"/>
        <v>0.20550086379466367</v>
      </c>
      <c r="L69" s="39">
        <f t="shared" si="222"/>
        <v>0.10673601922404222</v>
      </c>
      <c r="M69" s="39">
        <f t="shared" si="222"/>
        <v>0.16466184656727878</v>
      </c>
      <c r="N69" s="39">
        <f t="shared" si="222"/>
        <v>0.16934945909104093</v>
      </c>
      <c r="O69" s="39">
        <f t="shared" si="222"/>
        <v>0.15972005780183038</v>
      </c>
      <c r="P69" s="39">
        <f t="shared" si="222"/>
        <v>0.14746495753217653</v>
      </c>
      <c r="Q69" s="39">
        <f t="shared" si="222"/>
        <v>0.14554343738247461</v>
      </c>
      <c r="R69" s="39">
        <f t="shared" si="222"/>
        <v>0.15456499392580134</v>
      </c>
      <c r="S69" s="39">
        <f t="shared" si="222"/>
        <v>0.21141422491656717</v>
      </c>
      <c r="T69" s="39">
        <f t="shared" si="222"/>
        <v>0.19753704167014149</v>
      </c>
      <c r="U69" s="39">
        <f t="shared" si="222"/>
        <v>0.2033330675384738</v>
      </c>
      <c r="V69" s="39">
        <f t="shared" ref="V69:AY69" si="352">IFERROR(V6/V48,0)</f>
        <v>0.20970920323817641</v>
      </c>
      <c r="W69" s="39">
        <f t="shared" si="352"/>
        <v>0.20154192859684497</v>
      </c>
      <c r="X69" s="39">
        <f t="shared" si="352"/>
        <v>0.16362757147750398</v>
      </c>
      <c r="Y69" s="39">
        <f t="shared" si="352"/>
        <v>0.19033777236981456</v>
      </c>
      <c r="Z69" s="39">
        <f t="shared" si="352"/>
        <v>0.26561482905055639</v>
      </c>
      <c r="AA69" s="39">
        <f t="shared" si="352"/>
        <v>0.27427784448054243</v>
      </c>
      <c r="AB69" s="39">
        <f t="shared" si="352"/>
        <v>0.15368350085805343</v>
      </c>
      <c r="AC69" s="39">
        <f t="shared" si="352"/>
        <v>0.16778783600476152</v>
      </c>
      <c r="AD69" s="39">
        <f t="shared" si="352"/>
        <v>0.15658420158810299</v>
      </c>
      <c r="AE69" s="39">
        <f t="shared" si="352"/>
        <v>0.19411532843330473</v>
      </c>
      <c r="AF69" s="39">
        <f t="shared" si="352"/>
        <v>0.15987332254904194</v>
      </c>
      <c r="AG69" s="39">
        <f t="shared" si="352"/>
        <v>0.22511566837564087</v>
      </c>
      <c r="AH69" s="39">
        <f t="shared" si="352"/>
        <v>0.18820266603047744</v>
      </c>
      <c r="AI69" s="39">
        <f t="shared" si="352"/>
        <v>0.1658464072638155</v>
      </c>
      <c r="AJ69" s="39">
        <f t="shared" si="352"/>
        <v>0.16006181464075533</v>
      </c>
      <c r="AK69" s="39">
        <f t="shared" si="352"/>
        <v>0.16626571472916343</v>
      </c>
      <c r="AL69" s="39">
        <f t="shared" si="352"/>
        <v>0.16446981622318735</v>
      </c>
      <c r="AM69" s="39">
        <f t="shared" si="352"/>
        <v>0.17401226360804081</v>
      </c>
      <c r="AN69" s="39">
        <f t="shared" si="352"/>
        <v>0.2723758747084305</v>
      </c>
      <c r="AO69" s="39">
        <f t="shared" si="352"/>
        <v>0.22423619774467357</v>
      </c>
      <c r="AP69" s="39">
        <f t="shared" si="352"/>
        <v>0.16844406856577074</v>
      </c>
      <c r="AQ69" s="39">
        <f t="shared" si="352"/>
        <v>0.17721081520634274</v>
      </c>
      <c r="AR69" s="39">
        <f t="shared" si="352"/>
        <v>0.20941594908274055</v>
      </c>
      <c r="AS69" s="39">
        <f t="shared" si="352"/>
        <v>0.19502946152499853</v>
      </c>
      <c r="AT69" s="39">
        <f t="shared" si="352"/>
        <v>0.12646286808110679</v>
      </c>
      <c r="AU69" s="39">
        <f t="shared" si="352"/>
        <v>0.58312591741655495</v>
      </c>
      <c r="AV69" s="39">
        <f t="shared" si="352"/>
        <v>0.31999871163075339</v>
      </c>
      <c r="AW69" s="39">
        <f t="shared" si="352"/>
        <v>0.16048962937776268</v>
      </c>
      <c r="AX69" s="39">
        <f t="shared" si="352"/>
        <v>0.17045142565792054</v>
      </c>
      <c r="AY69" s="39">
        <f t="shared" si="352"/>
        <v>0.23052545729931259</v>
      </c>
      <c r="AZ69" s="39">
        <f t="shared" si="91"/>
        <v>0.15576204617300507</v>
      </c>
      <c r="BA69" s="39">
        <f t="shared" ref="BA69:BF69" si="353">IFERROR(BA6/BA48,0)</f>
        <v>0.17908300622700837</v>
      </c>
      <c r="BB69" s="39">
        <f t="shared" si="353"/>
        <v>0.22612607136344295</v>
      </c>
      <c r="BC69" s="39">
        <f t="shared" si="353"/>
        <v>0.10590498015304661</v>
      </c>
      <c r="BD69" s="39">
        <f t="shared" si="353"/>
        <v>0.1539706298798495</v>
      </c>
      <c r="BE69" s="39">
        <f t="shared" si="353"/>
        <v>0.17758026110518105</v>
      </c>
      <c r="BF69" s="39">
        <f t="shared" si="353"/>
        <v>0.16421832756697483</v>
      </c>
      <c r="BG69" s="39">
        <f t="shared" ref="BG69" si="354">IFERROR(BG6/BG48,0)</f>
        <v>0.17153183757307633</v>
      </c>
      <c r="BH69" s="39">
        <f t="shared" si="93"/>
        <v>0.14937692183201165</v>
      </c>
      <c r="BI69" s="39">
        <f t="shared" ref="BI69:BK69" si="355">IFERROR(BI6/BI48,0)</f>
        <v>0.29299122010293671</v>
      </c>
      <c r="BJ69" s="39">
        <f t="shared" si="355"/>
        <v>0.2024718397997497</v>
      </c>
      <c r="BK69" s="39">
        <f t="shared" si="355"/>
        <v>0.14111103153572538</v>
      </c>
      <c r="BL69" s="39">
        <f t="shared" ref="BL69:BM69" si="356">IFERROR(BL6/BL48,0)</f>
        <v>0.14485882848714707</v>
      </c>
      <c r="BM69" s="39">
        <f t="shared" si="356"/>
        <v>0.15714135795991185</v>
      </c>
      <c r="BN69" s="39">
        <f t="shared" ref="BN69:BO69" si="357">IFERROR(BN6/BN48,0)</f>
        <v>0.15440462786815234</v>
      </c>
      <c r="BO69" s="39">
        <f t="shared" si="357"/>
        <v>0.12778029547720474</v>
      </c>
      <c r="BP69" s="39">
        <f t="shared" ref="BP69:BQ69" si="358">IFERROR(BP6/BP48,0)</f>
        <v>0.23729524151768336</v>
      </c>
      <c r="BQ69" s="39">
        <f t="shared" si="358"/>
        <v>0.16956948679518322</v>
      </c>
      <c r="BR69" s="39">
        <f t="shared" ref="BR69:BS69" si="359">IFERROR(BR6/BR48,0)</f>
        <v>0.14120366020931588</v>
      </c>
      <c r="BS69" s="39">
        <f t="shared" si="359"/>
        <v>0.1688022726821225</v>
      </c>
      <c r="BT69" s="39">
        <f t="shared" ref="BT69:BU69" si="360">IFERROR(BT6/BT48,0)</f>
        <v>0.16044605896764383</v>
      </c>
      <c r="BU69" s="39">
        <f t="shared" si="360"/>
        <v>0.19507210836690606</v>
      </c>
      <c r="BV69" s="39">
        <f t="shared" ref="BV69:BW69" si="361">IFERROR(BV6/BV48,0)</f>
        <v>0.16399437918858542</v>
      </c>
      <c r="BW69" s="39">
        <f t="shared" si="361"/>
        <v>0.21756293758379264</v>
      </c>
      <c r="BX69" s="39">
        <f t="shared" ref="BX69:BY69" si="362">IFERROR(BX6/BX48,0)</f>
        <v>0.23046010005740999</v>
      </c>
      <c r="BY69" s="39">
        <f t="shared" si="362"/>
        <v>0.1604613313508409</v>
      </c>
      <c r="BZ69" s="39">
        <f t="shared" ref="BZ69:CA69" si="363">IFERROR(BZ6/BZ48,0)</f>
        <v>0.16557140567398621</v>
      </c>
      <c r="CA69" s="39">
        <f t="shared" si="363"/>
        <v>0.16023671925166172</v>
      </c>
      <c r="CB69" s="39">
        <f t="shared" ref="CB69:CC69" si="364">IFERROR(CB6/CB48,0)</f>
        <v>0.1631179508801518</v>
      </c>
      <c r="CC69" s="39">
        <f t="shared" si="364"/>
        <v>0.18268283440697233</v>
      </c>
      <c r="CD69" s="39">
        <f t="shared" ref="CD69:CE69" si="365">IFERROR(CD6/CD48,0)</f>
        <v>0.24944358360332441</v>
      </c>
      <c r="CE69" s="39">
        <f t="shared" si="365"/>
        <v>0.16159193791765467</v>
      </c>
      <c r="CF69" s="39">
        <f t="shared" ref="CF69:CG69" si="366">IFERROR(CF6/CF48,0)</f>
        <v>0.1891163657424895</v>
      </c>
      <c r="CG69" s="39">
        <f t="shared" si="366"/>
        <v>0.18695328031809144</v>
      </c>
      <c r="CH69" s="39">
        <f t="shared" ref="CH69:CM69" si="367">IFERROR(CH6/CH48,0)</f>
        <v>0.12870877529744668</v>
      </c>
      <c r="CI69" s="39">
        <f t="shared" si="367"/>
        <v>0.16928807947019867</v>
      </c>
      <c r="CJ69" s="39">
        <f t="shared" si="367"/>
        <v>0.13503275325878383</v>
      </c>
      <c r="CK69" s="39">
        <f t="shared" si="367"/>
        <v>0.21672104201429532</v>
      </c>
      <c r="CL69" s="39">
        <f t="shared" si="367"/>
        <v>0.16384900850920267</v>
      </c>
      <c r="CM69" s="39">
        <f t="shared" si="367"/>
        <v>0.15924167636054956</v>
      </c>
      <c r="CN69" s="39">
        <f t="shared" ref="CN69:CO69" si="368">IFERROR(CN6/CN48,0)</f>
        <v>0.19712061743461196</v>
      </c>
      <c r="CO69" s="39">
        <f t="shared" si="368"/>
        <v>0.19074430316395313</v>
      </c>
      <c r="CP69" s="39">
        <f t="shared" ref="CP69:CQ69" si="369">IFERROR(CP6/CP48,0)</f>
        <v>0.17640806239453649</v>
      </c>
      <c r="CQ69" s="39">
        <f t="shared" si="369"/>
        <v>0.22257931078372101</v>
      </c>
      <c r="CR69" s="39">
        <f t="shared" ref="CR69:CS69" si="370">IFERROR(CR6/CR48,0)</f>
        <v>0.25575799243726366</v>
      </c>
      <c r="CS69" s="39">
        <f t="shared" si="370"/>
        <v>0.22857082639576792</v>
      </c>
      <c r="CT69" s="39">
        <f t="shared" ref="CT69:CU69" si="371">IFERROR(CT6/CT48,0)</f>
        <v>0.20298168854318588</v>
      </c>
      <c r="CU69" s="39">
        <f t="shared" si="371"/>
        <v>0.17784136345461815</v>
      </c>
      <c r="CV69" s="39">
        <f t="shared" ref="CV69:CW69" si="372">IFERROR(CV6/CV48,0)</f>
        <v>0.20113085621970922</v>
      </c>
      <c r="CW69" s="39">
        <f t="shared" si="372"/>
        <v>0.32030613557432575</v>
      </c>
      <c r="CX69" s="39">
        <f t="shared" ref="CX69:CY69" si="373">IFERROR(CX6/CX48,0)</f>
        <v>0.31572428314857248</v>
      </c>
      <c r="CY69" s="39">
        <f t="shared" si="373"/>
        <v>0.24216876593381628</v>
      </c>
      <c r="CZ69" s="39">
        <f t="shared" ref="CZ69:DA69" si="374">IFERROR(CZ6/CZ48,0)</f>
        <v>0.2429096981240379</v>
      </c>
      <c r="DA69" s="39">
        <f t="shared" si="374"/>
        <v>0.15810021386229564</v>
      </c>
      <c r="DB69" s="39">
        <f t="shared" ref="DB69:DC69" si="375">IFERROR(DB6/DB48,0)</f>
        <v>0.17037752697144029</v>
      </c>
      <c r="DC69" s="39">
        <f t="shared" si="375"/>
        <v>0.19528603406792036</v>
      </c>
      <c r="DD69" s="39">
        <f t="shared" ref="DD69:DE69" si="376">IFERROR(DD6/DD48,0)</f>
        <v>0.30498097805547858</v>
      </c>
      <c r="DE69" s="39">
        <f t="shared" si="376"/>
        <v>0.37311065799268539</v>
      </c>
      <c r="DF69" s="39">
        <f t="shared" ref="DF69:DG69" si="377">IFERROR(DF6/DF48,0)</f>
        <v>0.27701091915119053</v>
      </c>
      <c r="DG69" s="39">
        <f t="shared" si="377"/>
        <v>0.21352689018202903</v>
      </c>
      <c r="DH69" s="39">
        <f t="shared" ref="DH69:DI69" si="378">IFERROR(DH6/DH48,0)</f>
        <v>0.25576166385609894</v>
      </c>
      <c r="DI69" s="39">
        <f t="shared" si="378"/>
        <v>0.24978818912852832</v>
      </c>
      <c r="DJ69" s="39">
        <f t="shared" ref="DJ69:DK69" si="379">IFERROR(DJ6/DJ48,0)</f>
        <v>0.25572530190600901</v>
      </c>
      <c r="DK69" s="39">
        <f t="shared" si="379"/>
        <v>0.26894067984236397</v>
      </c>
      <c r="DL69" s="39">
        <f t="shared" ref="DL69:DM69" si="380">IFERROR(DL6/DL48,0)</f>
        <v>0.22479825797361341</v>
      </c>
      <c r="DM69" s="39">
        <f t="shared" si="380"/>
        <v>0.27880560590019199</v>
      </c>
      <c r="DN69" s="39">
        <f t="shared" ref="DN69:DO69" si="381">IFERROR(DN6/DN48,0)</f>
        <v>0.34707474495107227</v>
      </c>
      <c r="DO69" s="39">
        <f t="shared" si="381"/>
        <v>0.32566205011598798</v>
      </c>
      <c r="DP69" s="39">
        <f t="shared" ref="DP69:DQ69" si="382">IFERROR(DP6/DP48,0)</f>
        <v>0.27268361291207849</v>
      </c>
      <c r="DQ69" s="39">
        <f t="shared" si="382"/>
        <v>0.18350088958436048</v>
      </c>
      <c r="DR69" s="39">
        <f t="shared" ref="DR69:DS69" si="383">IFERROR(DR6/DR48,0)</f>
        <v>0.24267474124135072</v>
      </c>
      <c r="DS69" s="39">
        <f t="shared" si="383"/>
        <v>0.2947161652275907</v>
      </c>
      <c r="DT69" s="39">
        <f t="shared" ref="DT69:DU69" si="384">IFERROR(DT6/DT48,0)</f>
        <v>0.33587151885279171</v>
      </c>
      <c r="DU69" s="39">
        <f t="shared" si="384"/>
        <v>0.25427564523373525</v>
      </c>
      <c r="DV69" s="39">
        <f t="shared" si="125"/>
        <v>0.21009134406263594</v>
      </c>
      <c r="DW69" s="39">
        <f t="shared" si="125"/>
        <v>0.23354808419624926</v>
      </c>
      <c r="DX69" s="39">
        <f t="shared" ref="DX69:DY69" si="385">IFERROR(DX6/DX48,0)</f>
        <v>0.19464923614805807</v>
      </c>
      <c r="DY69" s="39">
        <f t="shared" si="385"/>
        <v>0.17601448006072284</v>
      </c>
      <c r="DZ69" s="39">
        <f t="shared" ref="DZ69:EA69" si="386">IFERROR(DZ6/DZ48,0)</f>
        <v>0.22145481473042636</v>
      </c>
      <c r="EA69" s="39">
        <f t="shared" si="386"/>
        <v>0.24279811441541058</v>
      </c>
      <c r="EB69" s="39">
        <f t="shared" ref="EB69:EC69" si="387">IFERROR(EB6/EB48,0)</f>
        <v>0.20466381785404286</v>
      </c>
      <c r="EC69" s="39">
        <f t="shared" si="387"/>
        <v>0.19502056846360027</v>
      </c>
      <c r="ED69" s="39">
        <f t="shared" ref="ED69:EE69" si="388">IFERROR(ED6/ED48,0)</f>
        <v>0.18823608768971331</v>
      </c>
      <c r="EE69" s="39">
        <f t="shared" si="388"/>
        <v>0.16823890747545658</v>
      </c>
      <c r="EF69" s="39">
        <f t="shared" ref="EF69:EG69" si="389">IFERROR(EF6/EF48,0)</f>
        <v>0.14762303142383279</v>
      </c>
      <c r="EG69" s="39">
        <f t="shared" si="389"/>
        <v>0.13959611024029461</v>
      </c>
      <c r="EH69" s="39">
        <f t="shared" ref="EH69:EI69" si="390">IFERROR(EH6/EH48,0)</f>
        <v>0.15153163630906602</v>
      </c>
      <c r="EI69" s="39">
        <f t="shared" si="390"/>
        <v>0.16598813138283192</v>
      </c>
      <c r="EJ69" s="39">
        <f t="shared" ref="EJ69:EK69" si="391">IFERROR(EJ6/EJ48,0)</f>
        <v>0.16493143520258896</v>
      </c>
      <c r="EK69" s="39">
        <f t="shared" si="391"/>
        <v>0.17580647733252538</v>
      </c>
      <c r="EL69" s="39">
        <f t="shared" ref="EL69:EM69" si="392">IFERROR(EL6/EL48,0)</f>
        <v>0.13480392156862744</v>
      </c>
      <c r="EM69" s="39">
        <f t="shared" si="392"/>
        <v>0.1122363653256527</v>
      </c>
      <c r="EN69" s="39">
        <f t="shared" ref="EN69:EO69" si="393">IFERROR(EN6/EN48,0)</f>
        <v>0.15584770796105174</v>
      </c>
      <c r="EO69" s="39">
        <f t="shared" si="393"/>
        <v>0.15776622558286074</v>
      </c>
      <c r="EP69" s="39">
        <f t="shared" ref="EP69" si="394">IFERROR(EP6/EP48,0)</f>
        <v>8.3655134368350537E-2</v>
      </c>
      <c r="EQ69" s="39">
        <f t="shared" ref="EQ69:ER69" si="395">IFERROR(EQ6/EQ48,0)</f>
        <v>0.11413111866112999</v>
      </c>
      <c r="ER69" s="39">
        <f t="shared" si="395"/>
        <v>0.12040515034292015</v>
      </c>
      <c r="ES69" s="39">
        <f t="shared" ref="ES69:ET69" si="396">IFERROR(ES6/ES48,0)</f>
        <v>0.10290871633884338</v>
      </c>
      <c r="ET69" s="39">
        <f t="shared" si="396"/>
        <v>0.10230027573699502</v>
      </c>
      <c r="EU69" s="39">
        <f t="shared" ref="EU69:EV69" si="397">IFERROR(EU6/EU48,0)</f>
        <v>0.11557331090552285</v>
      </c>
      <c r="EV69" s="39">
        <f t="shared" si="397"/>
        <v>0.14370366045887092</v>
      </c>
      <c r="EW69" s="39">
        <f t="shared" ref="EW69:EX69" si="398">IFERROR(EW6/EW48,0)</f>
        <v>8.7378640776699032E-2</v>
      </c>
      <c r="EX69" s="39">
        <f t="shared" si="398"/>
        <v>8.0326145178249056E-2</v>
      </c>
      <c r="EY69" s="39">
        <f t="shared" ref="EY69:EZ69" si="399">IFERROR(EY6/EY48,0)</f>
        <v>0.10278980763420284</v>
      </c>
      <c r="EZ69" s="39">
        <f t="shared" si="399"/>
        <v>0.10418556433847349</v>
      </c>
      <c r="FA69" s="39">
        <f t="shared" ref="FA69:FB69" si="400">IFERROR(FA6/FA48,0)</f>
        <v>8.9471685289943426E-2</v>
      </c>
      <c r="FB69" s="39">
        <f t="shared" si="400"/>
        <v>0.10827434392265194</v>
      </c>
      <c r="FC69" s="39">
        <f t="shared" ref="FC69:FD69" si="401">IFERROR(FC6/FC48,0)</f>
        <v>8.748891958193325E-2</v>
      </c>
      <c r="FD69" s="39">
        <f t="shared" si="401"/>
        <v>9.004739336492891E-2</v>
      </c>
      <c r="FE69" s="39">
        <f t="shared" ref="FE69:FF69" si="402">IFERROR(FE6/FE48,0)</f>
        <v>9.401340996168582E-2</v>
      </c>
      <c r="FF69" s="39">
        <f t="shared" si="402"/>
        <v>9.0156456689321721E-2</v>
      </c>
      <c r="FG69" s="39">
        <f t="shared" ref="FG69:FH69" si="403">IFERROR(FG6/FG48,0)</f>
        <v>9.098320158102767E-2</v>
      </c>
      <c r="FH69" s="39">
        <f t="shared" si="403"/>
        <v>8.4795321637426896E-2</v>
      </c>
      <c r="FI69" s="39">
        <f t="shared" ref="FI69:FJ69" si="404">IFERROR(FI6/FI48,0)</f>
        <v>7.8209807224405764E-2</v>
      </c>
      <c r="FJ69" s="39">
        <f t="shared" si="404"/>
        <v>0.11293601880678569</v>
      </c>
      <c r="FK69" s="39">
        <f t="shared" ref="FK69:FL69" si="405">IFERROR(FK6/FK48,0)</f>
        <v>0.11090056226895716</v>
      </c>
      <c r="FL69" s="39">
        <f t="shared" si="405"/>
        <v>0.11498608718696171</v>
      </c>
      <c r="FM69" s="39">
        <f t="shared" ref="FM69" si="406">IFERROR(FM6/FM48,0)</f>
        <v>7.6157864480491888E-2</v>
      </c>
      <c r="FN69" s="39">
        <v>7.8695834529039096E-2</v>
      </c>
      <c r="FO69" s="39">
        <f t="shared" ref="FO69" si="407">IFERROR(FO6/FO48,0)</f>
        <v>8.2239570626982186E-2</v>
      </c>
      <c r="FP69" s="39">
        <v>8.992708614636781E-2</v>
      </c>
      <c r="FQ69" s="39">
        <f t="shared" ref="FQ69:HA69" si="408">IFERROR(FQ6/FQ48,0)</f>
        <v>0.15734120577517413</v>
      </c>
      <c r="FR69" s="39">
        <v>7.0240825688073397E-2</v>
      </c>
      <c r="FS69" s="39">
        <f t="shared" si="408"/>
        <v>9.9346368240853397E-2</v>
      </c>
      <c r="FT69" s="39">
        <f t="shared" si="408"/>
        <v>0.10115020297699594</v>
      </c>
      <c r="FU69" s="39">
        <f t="shared" si="408"/>
        <v>9.0301333122978625E-2</v>
      </c>
      <c r="FV69" s="39">
        <f t="shared" si="408"/>
        <v>8.4822264284377141E-2</v>
      </c>
      <c r="FW69" s="39">
        <f t="shared" si="408"/>
        <v>0.10899814471243043</v>
      </c>
      <c r="FX69" s="39">
        <f t="shared" si="408"/>
        <v>0.13384296022933209</v>
      </c>
      <c r="FY69" s="39">
        <f t="shared" si="408"/>
        <v>8.8381394748725889E-2</v>
      </c>
      <c r="FZ69" s="39">
        <f t="shared" si="408"/>
        <v>8.8899521531100478E-2</v>
      </c>
      <c r="GA69" s="39">
        <f t="shared" si="408"/>
        <v>0.13358364377694992</v>
      </c>
      <c r="GB69" s="39">
        <f t="shared" si="408"/>
        <v>0.1114919835983772</v>
      </c>
      <c r="GC69" s="39">
        <f t="shared" si="408"/>
        <v>0.11675727316152219</v>
      </c>
      <c r="GD69" s="39">
        <f t="shared" si="408"/>
        <v>0.11121163272691384</v>
      </c>
      <c r="GE69" s="39">
        <f t="shared" si="408"/>
        <v>0.15303477479789554</v>
      </c>
      <c r="GF69" s="39">
        <f t="shared" si="408"/>
        <v>0.18210227272727272</v>
      </c>
      <c r="GG69" s="39">
        <f t="shared" si="408"/>
        <v>0.1730944215020648</v>
      </c>
      <c r="GH69" s="39">
        <f t="shared" si="408"/>
        <v>0.13713631156930126</v>
      </c>
      <c r="GI69" s="39">
        <f t="shared" si="408"/>
        <v>0.12910154377217375</v>
      </c>
      <c r="GJ69" s="39">
        <f t="shared" si="408"/>
        <v>0.15892630719305409</v>
      </c>
      <c r="GK69" s="39">
        <f t="shared" si="408"/>
        <v>0.14551416532976041</v>
      </c>
      <c r="GL69" s="39">
        <f t="shared" si="408"/>
        <v>0.16080277502477699</v>
      </c>
      <c r="GM69" s="39">
        <f t="shared" si="408"/>
        <v>0.16400269886694122</v>
      </c>
      <c r="GN69" s="39">
        <f t="shared" si="408"/>
        <v>0.1683247957326108</v>
      </c>
      <c r="GO69" s="39">
        <f t="shared" si="408"/>
        <v>0.1550490468590284</v>
      </c>
      <c r="GP69" s="39">
        <f t="shared" si="408"/>
        <v>0.19837130728580091</v>
      </c>
      <c r="GQ69" s="39">
        <f t="shared" si="408"/>
        <v>0.2355245270846294</v>
      </c>
      <c r="GR69" s="39">
        <f t="shared" si="408"/>
        <v>0.25181658042496974</v>
      </c>
      <c r="GS69" s="39">
        <f t="shared" si="408"/>
        <v>0.2762400489895897</v>
      </c>
      <c r="GT69" s="39">
        <f t="shared" si="408"/>
        <v>0.24133765956942899</v>
      </c>
      <c r="GU69" s="39">
        <f t="shared" si="408"/>
        <v>0.26730099896035797</v>
      </c>
      <c r="GV69" s="39">
        <f t="shared" si="408"/>
        <v>0.215072660959616</v>
      </c>
      <c r="GW69" s="39">
        <f t="shared" si="408"/>
        <v>0.18537412436604844</v>
      </c>
      <c r="GX69" s="39">
        <f t="shared" si="408"/>
        <v>0.18629770757789932</v>
      </c>
      <c r="GY69" s="39">
        <f t="shared" si="408"/>
        <v>0.20260287936547833</v>
      </c>
      <c r="GZ69" s="39">
        <f t="shared" si="408"/>
        <v>0.25684986851190739</v>
      </c>
      <c r="HA69" s="39">
        <f t="shared" si="408"/>
        <v>0.2674965841809625</v>
      </c>
      <c r="HB69" s="39">
        <f t="shared" si="148"/>
        <v>0.13085583246106766</v>
      </c>
      <c r="HC69" s="39">
        <f t="shared" si="148"/>
        <v>0.18847024394704953</v>
      </c>
      <c r="HD69" s="39">
        <f t="shared" ref="HD69:JO69" si="409">IFERROR(HD6/HD48,0)</f>
        <v>0.18974876626289816</v>
      </c>
      <c r="HE69" s="39">
        <f t="shared" si="409"/>
        <v>0.2159600739562727</v>
      </c>
      <c r="HF69" s="39">
        <f t="shared" si="409"/>
        <v>0.2043535879061549</v>
      </c>
      <c r="HG69" s="39">
        <f t="shared" si="409"/>
        <v>0.24076664002740039</v>
      </c>
      <c r="HH69" s="39">
        <f t="shared" si="409"/>
        <v>0.22584958217270196</v>
      </c>
      <c r="HI69" s="39">
        <f t="shared" si="409"/>
        <v>0.23902109133944799</v>
      </c>
      <c r="HJ69" s="39">
        <f t="shared" si="409"/>
        <v>0.23223995790212243</v>
      </c>
      <c r="HK69" s="39">
        <f t="shared" si="409"/>
        <v>0.23519808976170753</v>
      </c>
      <c r="HL69" s="39">
        <f t="shared" si="409"/>
        <v>0.20142335803317798</v>
      </c>
      <c r="HM69" s="39">
        <f t="shared" si="409"/>
        <v>0.20042649032010734</v>
      </c>
      <c r="HN69" s="39">
        <f t="shared" si="409"/>
        <v>0.21157964699800605</v>
      </c>
      <c r="HO69" s="39">
        <f t="shared" si="409"/>
        <v>0.18683061699650758</v>
      </c>
      <c r="HP69" s="39">
        <f t="shared" si="409"/>
        <v>0.23590197815175673</v>
      </c>
      <c r="HQ69" s="39">
        <f t="shared" si="409"/>
        <v>0.23415079572136707</v>
      </c>
      <c r="HR69" s="39">
        <f t="shared" si="409"/>
        <v>0.19358663191920095</v>
      </c>
      <c r="HS69" s="39">
        <f t="shared" si="409"/>
        <v>0.2039903680770554</v>
      </c>
      <c r="HT69" s="39">
        <f t="shared" si="409"/>
        <v>0.21054722183279592</v>
      </c>
      <c r="HU69" s="39">
        <f t="shared" si="409"/>
        <v>0.28284678021548199</v>
      </c>
      <c r="HV69" s="39">
        <f t="shared" si="409"/>
        <v>0.20954600473325746</v>
      </c>
      <c r="HW69" s="39">
        <f t="shared" si="409"/>
        <v>0.24099438546514518</v>
      </c>
      <c r="HX69" s="39">
        <f t="shared" si="409"/>
        <v>0.22260979386868338</v>
      </c>
      <c r="HY69" s="39">
        <f t="shared" si="409"/>
        <v>0.22090048091735992</v>
      </c>
      <c r="HZ69" s="39">
        <f t="shared" si="409"/>
        <v>0.21315543014218472</v>
      </c>
      <c r="IA69" s="39">
        <f t="shared" si="409"/>
        <v>0.20749230033007349</v>
      </c>
      <c r="IB69" s="39">
        <f t="shared" si="409"/>
        <v>0.24280960974509361</v>
      </c>
      <c r="IC69" s="39">
        <f t="shared" si="409"/>
        <v>0.3009501415614953</v>
      </c>
      <c r="ID69" s="39">
        <f t="shared" si="409"/>
        <v>0.18866515811116599</v>
      </c>
      <c r="IE69" s="39">
        <f t="shared" si="409"/>
        <v>0.22898839763371021</v>
      </c>
      <c r="IF69" s="39">
        <f t="shared" si="409"/>
        <v>0.26312175560987666</v>
      </c>
      <c r="IG69" s="39">
        <f t="shared" si="409"/>
        <v>0.23183724832214764</v>
      </c>
      <c r="IH69" s="39">
        <f t="shared" si="409"/>
        <v>0.23585058922032967</v>
      </c>
      <c r="II69" s="39">
        <f t="shared" si="409"/>
        <v>0.24518340426914453</v>
      </c>
      <c r="IJ69" s="39">
        <f t="shared" si="409"/>
        <v>0.39829442620939293</v>
      </c>
      <c r="IK69" s="39">
        <f t="shared" si="409"/>
        <v>0.31752592270321223</v>
      </c>
      <c r="IL69" s="39">
        <f t="shared" si="409"/>
        <v>0.21851563838620816</v>
      </c>
      <c r="IM69" s="39">
        <f t="shared" si="409"/>
        <v>0.22532567586496707</v>
      </c>
      <c r="IN69" s="39">
        <f t="shared" si="409"/>
        <v>0.21039944415297138</v>
      </c>
      <c r="IO69" s="39">
        <f t="shared" si="409"/>
        <v>0.19789191301500797</v>
      </c>
      <c r="IP69" s="39">
        <f t="shared" si="409"/>
        <v>0.32326351593268887</v>
      </c>
      <c r="IQ69" s="39">
        <f t="shared" si="409"/>
        <v>0.41472053937854214</v>
      </c>
      <c r="IR69" s="39">
        <f t="shared" si="409"/>
        <v>0.23583970783088931</v>
      </c>
      <c r="IS69" s="39">
        <f t="shared" si="409"/>
        <v>0.23997670426679746</v>
      </c>
      <c r="IT69" s="39">
        <f t="shared" si="409"/>
        <v>0.24064678859488439</v>
      </c>
      <c r="IU69" s="39">
        <f t="shared" si="409"/>
        <v>0.2880167580555727</v>
      </c>
      <c r="IV69" s="39">
        <f t="shared" si="409"/>
        <v>0.23731443525787999</v>
      </c>
      <c r="IW69" s="39">
        <f t="shared" si="409"/>
        <v>0.25577835410209376</v>
      </c>
      <c r="IX69" s="39">
        <f t="shared" si="409"/>
        <v>0.45344628568074657</v>
      </c>
      <c r="IY69" s="39">
        <f t="shared" si="409"/>
        <v>0.28629076716134866</v>
      </c>
      <c r="IZ69" s="39">
        <f t="shared" si="409"/>
        <v>0.24904532624937739</v>
      </c>
      <c r="JA69" s="39">
        <f t="shared" si="409"/>
        <v>0.29508974134287275</v>
      </c>
      <c r="JB69" s="39">
        <f t="shared" si="409"/>
        <v>0.30731722308157222</v>
      </c>
      <c r="JC69" s="39">
        <f t="shared" si="409"/>
        <v>0.2934752879443257</v>
      </c>
      <c r="JD69" s="39">
        <f t="shared" si="409"/>
        <v>0.33513558707951285</v>
      </c>
      <c r="JE69" s="39">
        <f t="shared" si="409"/>
        <v>0.41880211414070101</v>
      </c>
      <c r="JF69" s="39">
        <f t="shared" si="409"/>
        <v>0.28841438813196363</v>
      </c>
      <c r="JG69" s="39">
        <f t="shared" si="409"/>
        <v>0.22156493435248509</v>
      </c>
      <c r="JH69" s="39">
        <f t="shared" si="409"/>
        <v>0.26033263442197663</v>
      </c>
      <c r="JI69" s="39">
        <f t="shared" si="409"/>
        <v>0.25166171626992573</v>
      </c>
      <c r="JJ69" s="39">
        <f t="shared" si="409"/>
        <v>0.35238285425648136</v>
      </c>
      <c r="JK69" s="39">
        <f t="shared" si="409"/>
        <v>0.31038385773211585</v>
      </c>
      <c r="JL69" s="39">
        <f t="shared" si="409"/>
        <v>0.53318167898858215</v>
      </c>
      <c r="JM69" s="39">
        <f t="shared" si="409"/>
        <v>0.27837927069458202</v>
      </c>
      <c r="JN69" s="39">
        <f t="shared" si="409"/>
        <v>0.25090617279497951</v>
      </c>
      <c r="JO69" s="39">
        <f t="shared" si="409"/>
        <v>0.28015043643405774</v>
      </c>
      <c r="JP69" s="39">
        <f t="shared" ref="JP69:MA69" si="410">IFERROR(JP6/JP48,0)</f>
        <v>0.25360499634435313</v>
      </c>
      <c r="JQ69" s="39">
        <f t="shared" si="410"/>
        <v>0.28366651858433289</v>
      </c>
      <c r="JR69" s="39">
        <f t="shared" si="410"/>
        <v>0.36379091634299765</v>
      </c>
      <c r="JS69" s="39">
        <f t="shared" si="410"/>
        <v>0.29101132037667804</v>
      </c>
      <c r="JT69" s="39">
        <f t="shared" si="410"/>
        <v>0.2576787659946152</v>
      </c>
      <c r="JU69" s="39">
        <f t="shared" si="410"/>
        <v>0.23441835020124263</v>
      </c>
      <c r="JV69" s="39">
        <f t="shared" si="410"/>
        <v>0.27593387019894133</v>
      </c>
      <c r="JW69" s="39">
        <f t="shared" si="410"/>
        <v>0.2691747872209202</v>
      </c>
      <c r="JX69" s="39">
        <f t="shared" si="410"/>
        <v>0.30346609335055691</v>
      </c>
      <c r="JY69" s="39">
        <f t="shared" si="410"/>
        <v>0.32602587986506221</v>
      </c>
      <c r="JZ69" s="39">
        <f t="shared" si="410"/>
        <v>0.37267064489112228</v>
      </c>
      <c r="KA69" s="39">
        <f t="shared" si="410"/>
        <v>0.20384533589584039</v>
      </c>
      <c r="KB69" s="39">
        <f t="shared" si="410"/>
        <v>0.24419438951402622</v>
      </c>
      <c r="KC69" s="39">
        <f t="shared" si="410"/>
        <v>0.22969530793691997</v>
      </c>
      <c r="KD69" s="39">
        <f t="shared" si="410"/>
        <v>0.23298281226601886</v>
      </c>
      <c r="KE69" s="39">
        <f t="shared" si="410"/>
        <v>0.2646252419933372</v>
      </c>
      <c r="KF69" s="39">
        <f t="shared" si="410"/>
        <v>0.25622890367393131</v>
      </c>
      <c r="KG69" s="39">
        <f t="shared" si="410"/>
        <v>0.50259560134733505</v>
      </c>
      <c r="KH69" s="39">
        <f t="shared" si="410"/>
        <v>0.39210823660616023</v>
      </c>
      <c r="KI69" s="39">
        <f t="shared" si="410"/>
        <v>0.2210352503284192</v>
      </c>
      <c r="KJ69" s="39">
        <f t="shared" si="410"/>
        <v>0.23498944945328984</v>
      </c>
      <c r="KK69" s="39">
        <f t="shared" si="410"/>
        <v>0.1850839650045549</v>
      </c>
      <c r="KL69" s="39">
        <f t="shared" si="410"/>
        <v>0.24003534826070491</v>
      </c>
      <c r="KM69" s="39">
        <f t="shared" si="410"/>
        <v>0.21354281190905494</v>
      </c>
      <c r="KN69" s="39">
        <f t="shared" si="410"/>
        <v>0.34419754909198286</v>
      </c>
      <c r="KO69" s="39">
        <f t="shared" si="410"/>
        <v>0.18277159805260471</v>
      </c>
      <c r="KP69" s="39">
        <f t="shared" si="410"/>
        <v>0.18538642794891383</v>
      </c>
      <c r="KQ69" s="39">
        <f t="shared" si="410"/>
        <v>0.18818408089728503</v>
      </c>
      <c r="KR69" s="39">
        <f t="shared" si="410"/>
        <v>0.19012453247194833</v>
      </c>
      <c r="KS69" s="39">
        <f t="shared" si="410"/>
        <v>0.21420354981240392</v>
      </c>
      <c r="KT69" s="39">
        <f t="shared" si="410"/>
        <v>0.22898612700768486</v>
      </c>
      <c r="KU69" s="39">
        <f t="shared" si="410"/>
        <v>0.3802865726831523</v>
      </c>
      <c r="KV69" s="39">
        <f t="shared" si="410"/>
        <v>0.14449187381035511</v>
      </c>
      <c r="KW69" s="39">
        <f t="shared" si="410"/>
        <v>0.26189034331765032</v>
      </c>
      <c r="KX69" s="39">
        <f t="shared" si="410"/>
        <v>0.14080343947333065</v>
      </c>
      <c r="KY69" s="39">
        <f t="shared" si="410"/>
        <v>0.1710610096809824</v>
      </c>
      <c r="KZ69" s="39">
        <f t="shared" si="410"/>
        <v>0.16213839796008089</v>
      </c>
      <c r="LA69" s="39">
        <f t="shared" si="410"/>
        <v>0.14275377299979325</v>
      </c>
      <c r="LB69" s="39">
        <f t="shared" si="410"/>
        <v>0.22117885755904693</v>
      </c>
      <c r="LC69" s="39">
        <f t="shared" si="410"/>
        <v>0.14237473988511332</v>
      </c>
      <c r="LD69" s="39">
        <f t="shared" si="410"/>
        <v>0.14368794979207905</v>
      </c>
      <c r="LE69" s="39">
        <f t="shared" si="410"/>
        <v>0.10818475142069242</v>
      </c>
      <c r="LF69" s="39">
        <f t="shared" si="410"/>
        <v>0.12515210835405535</v>
      </c>
      <c r="LG69" s="39">
        <f t="shared" si="410"/>
        <v>0.1058462187730795</v>
      </c>
      <c r="LH69" s="39">
        <f t="shared" si="410"/>
        <v>0.11927808819285958</v>
      </c>
      <c r="LI69" s="39">
        <f t="shared" si="410"/>
        <v>0.19583308741073011</v>
      </c>
      <c r="LJ69" s="39">
        <f t="shared" si="410"/>
        <v>0.11373559633629887</v>
      </c>
      <c r="LK69" s="39">
        <f t="shared" si="410"/>
        <v>0.10879380778327241</v>
      </c>
      <c r="LL69" s="39">
        <f t="shared" si="410"/>
        <v>9.6438840964388414E-2</v>
      </c>
      <c r="LM69" s="39">
        <f t="shared" si="410"/>
        <v>8.8781480539302973E-2</v>
      </c>
      <c r="LN69" s="39">
        <f t="shared" si="410"/>
        <v>0.11012229744485695</v>
      </c>
      <c r="LO69" s="39">
        <f t="shared" si="410"/>
        <v>7.7558079412341538E-2</v>
      </c>
      <c r="LP69" s="39">
        <f t="shared" si="410"/>
        <v>0.1216142684401451</v>
      </c>
      <c r="LQ69" s="39">
        <f t="shared" si="410"/>
        <v>7.3241317898486202E-2</v>
      </c>
      <c r="LR69" s="39">
        <f t="shared" si="410"/>
        <v>9.1101946608285383E-2</v>
      </c>
      <c r="LS69" s="39">
        <f t="shared" si="410"/>
        <v>7.0671144270376685E-2</v>
      </c>
      <c r="LT69" s="39">
        <f t="shared" si="410"/>
        <v>6.2067477381667978E-2</v>
      </c>
      <c r="LU69" s="39">
        <f t="shared" si="410"/>
        <v>7.0214480970070797E-2</v>
      </c>
      <c r="LV69" s="39">
        <f t="shared" si="410"/>
        <v>4.9120165615884066E-2</v>
      </c>
      <c r="LW69" s="39">
        <f t="shared" si="410"/>
        <v>0.12304877574058935</v>
      </c>
      <c r="LX69" s="39">
        <f t="shared" si="410"/>
        <v>9.2438649433468092E-2</v>
      </c>
      <c r="LY69" s="39">
        <f t="shared" si="410"/>
        <v>6.2328320455308971E-2</v>
      </c>
      <c r="LZ69" s="39">
        <f t="shared" si="410"/>
        <v>5.6392504547782628E-2</v>
      </c>
      <c r="MA69" s="39">
        <f t="shared" si="410"/>
        <v>5.6408732124574791E-2</v>
      </c>
      <c r="MB69" s="39">
        <f t="shared" ref="MB69:NN69" si="411">IFERROR(MB6/MB48,0)</f>
        <v>5.5079786739982539E-2</v>
      </c>
      <c r="MC69" s="39">
        <f t="shared" si="411"/>
        <v>4.9368863955119212E-2</v>
      </c>
      <c r="MD69" s="39">
        <f t="shared" si="411"/>
        <v>8.0087865115174545E-2</v>
      </c>
      <c r="ME69" s="39">
        <f t="shared" si="411"/>
        <v>5.7380099548774245E-2</v>
      </c>
      <c r="MF69" s="39">
        <f t="shared" si="411"/>
        <v>4.7124954280324177E-2</v>
      </c>
      <c r="MG69" s="39">
        <f t="shared" si="411"/>
        <v>3.6421472669778646E-2</v>
      </c>
      <c r="MH69" s="39">
        <f t="shared" si="411"/>
        <v>3.743671969301169E-2</v>
      </c>
      <c r="MI69" s="39">
        <f t="shared" si="411"/>
        <v>4.1683702275957399E-2</v>
      </c>
      <c r="MJ69" s="39">
        <f t="shared" si="411"/>
        <v>3.9680766809495768E-2</v>
      </c>
      <c r="MK69" s="39">
        <f t="shared" si="411"/>
        <v>6.9354169547780384E-2</v>
      </c>
      <c r="ML69" s="39">
        <f t="shared" si="411"/>
        <v>3.7899904314182303E-2</v>
      </c>
      <c r="MM69" s="39">
        <f t="shared" si="411"/>
        <v>4.1800171724152374E-2</v>
      </c>
      <c r="MN69" s="39">
        <f t="shared" si="411"/>
        <v>3.806566278002383E-2</v>
      </c>
      <c r="MO69" s="39">
        <f t="shared" si="411"/>
        <v>3.4341296801618681E-2</v>
      </c>
      <c r="MP69" s="39">
        <f t="shared" si="411"/>
        <v>5.1049444268793931E-2</v>
      </c>
      <c r="MQ69" s="39">
        <f t="shared" si="411"/>
        <v>3.6297601183097369E-2</v>
      </c>
      <c r="MR69" s="39">
        <f t="shared" si="411"/>
        <v>3.5109639532704441E-2</v>
      </c>
      <c r="MS69" s="39">
        <f t="shared" si="411"/>
        <v>3.1708214693861737E-2</v>
      </c>
      <c r="MT69" s="39">
        <f t="shared" si="411"/>
        <v>3.3669335845501649E-2</v>
      </c>
      <c r="MU69" s="39">
        <f t="shared" si="411"/>
        <v>3.4932382686867901E-2</v>
      </c>
      <c r="MV69" s="39">
        <f t="shared" si="411"/>
        <v>3.3154960146690116E-2</v>
      </c>
      <c r="MW69" s="39">
        <f t="shared" si="411"/>
        <v>4.333117397250414E-2</v>
      </c>
      <c r="MX69" s="39">
        <f t="shared" si="411"/>
        <v>3.551918376022957E-2</v>
      </c>
      <c r="MY69" s="39">
        <f t="shared" si="411"/>
        <v>4.5618664074434108E-2</v>
      </c>
      <c r="MZ69" s="39">
        <f t="shared" si="411"/>
        <v>2.8833788779938918E-2</v>
      </c>
      <c r="NA69" s="39">
        <f t="shared" si="411"/>
        <v>3.4339457567804023E-2</v>
      </c>
      <c r="NB69" s="39">
        <f t="shared" si="411"/>
        <v>2.6675774298502635E-2</v>
      </c>
      <c r="NC69" s="39">
        <f t="shared" si="411"/>
        <v>3.0622161401003552E-2</v>
      </c>
      <c r="ND69" s="39">
        <f t="shared" si="411"/>
        <v>4.0866215615585955E-2</v>
      </c>
      <c r="NE69" s="39">
        <f t="shared" si="411"/>
        <v>4.0503105312541886E-2</v>
      </c>
      <c r="NF69" s="39">
        <f t="shared" si="411"/>
        <v>4.016132312072121E-2</v>
      </c>
      <c r="NG69" s="39">
        <f t="shared" si="411"/>
        <v>2.7281578476761978E-2</v>
      </c>
      <c r="NH69" s="39">
        <f t="shared" si="411"/>
        <v>3.3346691696019913E-2</v>
      </c>
      <c r="NI69" s="39">
        <f t="shared" si="411"/>
        <v>3.2299533986823073E-2</v>
      </c>
      <c r="NJ69" s="39">
        <f t="shared" si="411"/>
        <v>3.1868481659707529E-2</v>
      </c>
      <c r="NK69" s="39">
        <f t="shared" si="411"/>
        <v>3.9330922242314645E-2</v>
      </c>
      <c r="NL69" s="39">
        <f t="shared" si="411"/>
        <v>3.259673574179351E-2</v>
      </c>
      <c r="NM69" s="39">
        <f t="shared" si="411"/>
        <v>3.3327860778197341E-2</v>
      </c>
      <c r="NN69" s="39">
        <f t="shared" si="411"/>
        <v>3.7484159274328022E-2</v>
      </c>
      <c r="NO69" s="39">
        <f t="shared" ref="NO69" si="412">IFERROR(NO6/NO48,0)</f>
        <v>3.3136734050695602E-2</v>
      </c>
      <c r="NP69" s="39">
        <v>2.7584210018337999E-2</v>
      </c>
      <c r="NQ69" s="39">
        <v>3.8607882873567999E-2</v>
      </c>
      <c r="NR69" s="39">
        <v>3.3036876834462499E-2</v>
      </c>
      <c r="NS69" s="39">
        <v>4.5387382757291497E-2</v>
      </c>
      <c r="NT69" s="39">
        <v>2.8221499608364401E-2</v>
      </c>
      <c r="NU69" s="39">
        <v>3.1979507763811102E-2</v>
      </c>
      <c r="NV69" s="39">
        <v>3.11458915595305E-2</v>
      </c>
      <c r="NW69" s="39">
        <v>3.4246155731176897E-2</v>
      </c>
      <c r="NX69" s="39">
        <v>3.10909899974849E-2</v>
      </c>
      <c r="NY69" s="39">
        <v>3.7303434172484301E-2</v>
      </c>
      <c r="NZ69" s="39">
        <v>4.5359469312137697E-2</v>
      </c>
      <c r="OA69" s="39">
        <v>2.7806858514414098E-2</v>
      </c>
      <c r="OB69" s="39">
        <v>2.5788652992683202E-2</v>
      </c>
      <c r="OC69" s="39">
        <v>2.6147600707817201E-2</v>
      </c>
      <c r="OD69" s="39">
        <v>2.8845953871430699E-2</v>
      </c>
      <c r="OE69" s="39">
        <v>3.6191732629727399E-2</v>
      </c>
      <c r="OF69" s="39">
        <v>3.4086142570148102E-2</v>
      </c>
      <c r="OG69" s="39">
        <v>4.7601597713364398E-2</v>
      </c>
      <c r="OH69" s="39">
        <v>3.6378221896690002E-2</v>
      </c>
      <c r="OI69" s="39">
        <v>3.8371624345022198E-2</v>
      </c>
      <c r="OJ69" s="39">
        <v>3.1989963932883801E-2</v>
      </c>
      <c r="OK69" s="39">
        <v>3.1959378733572297E-2</v>
      </c>
      <c r="OL69" s="39">
        <v>3.8852832836344497E-2</v>
      </c>
      <c r="OM69" s="39">
        <v>3.84383828092437E-2</v>
      </c>
      <c r="ON69" s="39">
        <v>4.4576861710787702E-2</v>
      </c>
      <c r="OO69" s="39">
        <v>3.7313251548645697E-2</v>
      </c>
      <c r="OP69" s="39">
        <v>3.2658662092624399E-2</v>
      </c>
      <c r="OQ69" s="39">
        <v>4.0845104665580702E-2</v>
      </c>
      <c r="OR69" s="39">
        <v>4.05008215880951E-2</v>
      </c>
      <c r="OS69" s="39">
        <f t="shared" ref="OS69" si="413">IFERROR(OS6/OS48,0)</f>
        <v>3.3726529153262262E-2</v>
      </c>
      <c r="OT69" s="39">
        <f t="shared" si="156"/>
        <v>4.3719806763285025E-2</v>
      </c>
      <c r="OU69" s="39">
        <v>5.7089440122859103E-2</v>
      </c>
      <c r="OV69" s="39">
        <v>4.38572295470845E-2</v>
      </c>
      <c r="OW69" s="39">
        <v>5.5316175614300703E-2</v>
      </c>
      <c r="OX69" s="39">
        <v>4.1982088961456603E-2</v>
      </c>
      <c r="OY69" s="39">
        <v>4.6609341410983003E-2</v>
      </c>
      <c r="OZ69" s="39">
        <v>4.3792545289252499E-2</v>
      </c>
      <c r="PA69" s="39">
        <v>4.4615556299520097E-2</v>
      </c>
      <c r="PB69" s="39">
        <v>6.7311146673633998E-2</v>
      </c>
      <c r="PC69" s="39">
        <v>4.1639515183109599E-2</v>
      </c>
      <c r="PD69" s="39">
        <v>4.8413729332247198E-2</v>
      </c>
      <c r="PE69" s="39">
        <v>5.3184362371145197E-2</v>
      </c>
      <c r="PF69" s="39">
        <v>5.1508834817166997E-2</v>
      </c>
      <c r="PG69" s="39">
        <v>5.6409125978177002E-2</v>
      </c>
      <c r="PH69" s="39">
        <v>5.9305234341813402E-2</v>
      </c>
      <c r="PI69" s="39">
        <v>5.9109953572641802E-2</v>
      </c>
      <c r="PJ69" s="39">
        <v>6.5681863202875196E-2</v>
      </c>
      <c r="PK69" s="39">
        <v>5.5699481865284999E-2</v>
      </c>
      <c r="PL69" s="39">
        <v>5.0316568574995502E-2</v>
      </c>
      <c r="PM69" s="39">
        <v>4.4845230040595402E-2</v>
      </c>
      <c r="PN69" s="39">
        <v>4.1122528740014902E-2</v>
      </c>
      <c r="PO69" s="39">
        <v>6.5769426104621595E-2</v>
      </c>
      <c r="PP69" s="39">
        <v>6.3697790174814306E-2</v>
      </c>
      <c r="PQ69" s="39">
        <v>4.1050780226770903E-2</v>
      </c>
      <c r="PR69" s="39">
        <v>5.70836212854181E-2</v>
      </c>
      <c r="PS69" s="39">
        <v>4.8535274744323099E-2</v>
      </c>
      <c r="PT69" s="39">
        <v>5.17771467737198E-2</v>
      </c>
      <c r="PU69" s="39">
        <v>5.0067760879385602E-2</v>
      </c>
      <c r="PV69" s="39">
        <v>8.3132377205229105E-2</v>
      </c>
      <c r="PW69" s="39">
        <v>5.1945594322885903E-2</v>
      </c>
      <c r="PX69" s="39">
        <v>4.2071404226312198E-2</v>
      </c>
      <c r="PY69" s="39">
        <v>4.79943142624219E-2</v>
      </c>
      <c r="PZ69" s="39">
        <v>4.5277436292792697E-2</v>
      </c>
      <c r="QA69" s="39">
        <v>4.8394343296035598E-2</v>
      </c>
      <c r="QB69" s="39">
        <v>4.4753747323340497E-2</v>
      </c>
      <c r="QC69" s="39">
        <v>7.4812180994437094E-2</v>
      </c>
      <c r="QD69" s="39">
        <v>5.6176128526221801E-2</v>
      </c>
      <c r="QE69" s="39">
        <v>3.2851587439781803E-2</v>
      </c>
      <c r="QF69" s="39">
        <v>3.49861410532799E-2</v>
      </c>
      <c r="QG69" s="39">
        <v>4.0461450696190497E-2</v>
      </c>
      <c r="QH69" s="39">
        <v>5.8634856566238999E-2</v>
      </c>
      <c r="QI69" s="39">
        <v>3.1620775618076503E-2</v>
      </c>
      <c r="QJ69" s="39">
        <v>6.42270086438997E-2</v>
      </c>
      <c r="QK69" s="39">
        <v>5.4265434578813401E-2</v>
      </c>
      <c r="QL69" s="39">
        <v>3.87344816489677E-2</v>
      </c>
      <c r="QM69" s="39">
        <v>3.8922155688622798E-2</v>
      </c>
      <c r="QN69" s="39">
        <v>4.4473146055322398E-2</v>
      </c>
      <c r="QO69" s="39">
        <v>3.3213609855945597E-2</v>
      </c>
      <c r="QP69" s="39">
        <v>3.2579234577716699E-2</v>
      </c>
      <c r="QQ69" s="39">
        <v>5.9238363892806803E-2</v>
      </c>
      <c r="QR69" s="39">
        <v>5.2921319137886301E-2</v>
      </c>
      <c r="QS69" s="39">
        <v>3.4091821173448902E-2</v>
      </c>
      <c r="QT69" s="39">
        <v>3.6476298667768303E-2</v>
      </c>
      <c r="QU69" s="39">
        <v>3.8424802005810499E-2</v>
      </c>
      <c r="QV69" s="39">
        <v>4.1524058788000799E-2</v>
      </c>
      <c r="QW69" s="39">
        <v>4.8987432962458999E-2</v>
      </c>
      <c r="QX69" s="39">
        <v>0.12500915415598701</v>
      </c>
      <c r="QY69" s="39">
        <v>5.21763151988121E-2</v>
      </c>
      <c r="QZ69" s="39">
        <v>8.5211926033658805E-2</v>
      </c>
      <c r="RA69" s="39">
        <v>7.4482806337784493E-2</v>
      </c>
      <c r="RB69" s="39">
        <v>9.0597923379878306E-2</v>
      </c>
      <c r="RC69" s="39">
        <v>9.8199215430640099E-2</v>
      </c>
      <c r="RD69" s="39">
        <v>0.183290452190463</v>
      </c>
      <c r="RE69" s="39">
        <v>0.16081189606486901</v>
      </c>
      <c r="RF69" s="39">
        <v>0.175985819131733</v>
      </c>
      <c r="RG69" s="39">
        <v>0.201106822683739</v>
      </c>
      <c r="RH69" s="39">
        <v>0.16095952883537901</v>
      </c>
      <c r="RI69" s="39">
        <v>0.178476163294877</v>
      </c>
      <c r="RJ69" s="39">
        <v>0.238627418486142</v>
      </c>
      <c r="RK69" s="39">
        <v>0.21424714909769099</v>
      </c>
      <c r="RL69" s="39">
        <v>0.42984802934605698</v>
      </c>
      <c r="RM69" s="39">
        <v>0.290607210626186</v>
      </c>
      <c r="RN69" s="39">
        <v>0.28128599744709998</v>
      </c>
      <c r="RO69" s="39">
        <v>0.20495647539527401</v>
      </c>
      <c r="RP69" s="39">
        <v>0.22651200194216001</v>
      </c>
      <c r="RQ69" s="39">
        <v>0.27655202644700599</v>
      </c>
      <c r="RR69" s="39">
        <v>0.33358486961505401</v>
      </c>
      <c r="RS69" s="39">
        <v>0.63870087434244804</v>
      </c>
      <c r="RT69" s="39">
        <v>0.39108599365878399</v>
      </c>
      <c r="RU69" s="39">
        <v>0.240793650793651</v>
      </c>
      <c r="RV69" s="39">
        <v>0.31071213165604</v>
      </c>
      <c r="RW69" s="39">
        <v>0.30285043447731103</v>
      </c>
      <c r="RX69" s="39">
        <v>0.330838972757244</v>
      </c>
      <c r="RY69" s="39">
        <v>0.36298254025797799</v>
      </c>
      <c r="RZ69" s="39">
        <v>0.59931572757403995</v>
      </c>
      <c r="SA69" s="39">
        <v>0.38022154204926401</v>
      </c>
      <c r="SB69" s="39">
        <v>0.24232007856930801</v>
      </c>
      <c r="SC69" s="39">
        <v>0.26916073497765303</v>
      </c>
      <c r="SD69" s="39">
        <v>0.267007970387176</v>
      </c>
      <c r="SE69" s="39">
        <v>0.26570491605993102</v>
      </c>
      <c r="SF69" s="39">
        <v>0.29654693981566699</v>
      </c>
      <c r="SG69" s="39">
        <v>0.48099483810417598</v>
      </c>
      <c r="SH69" s="39">
        <v>0.27156022036154098</v>
      </c>
      <c r="SI69" s="39">
        <v>0.32933267254196402</v>
      </c>
      <c r="SJ69" s="39">
        <v>0.13754579626016999</v>
      </c>
      <c r="SK69" s="39">
        <v>0.24245438937115901</v>
      </c>
      <c r="SL69" s="39">
        <v>0.25866966617734</v>
      </c>
      <c r="SM69" s="39">
        <v>0.22687609075043599</v>
      </c>
      <c r="SN69" s="39">
        <v>0.44843705395375399</v>
      </c>
      <c r="SO69" s="39">
        <v>0.24371072882592401</v>
      </c>
      <c r="SP69" s="39">
        <v>0.22589312369389999</v>
      </c>
      <c r="SQ69" s="39">
        <v>0.231517833773527</v>
      </c>
      <c r="SR69" s="39">
        <v>0.203252973022998</v>
      </c>
      <c r="SS69" s="39">
        <v>0.186912296564195</v>
      </c>
      <c r="ST69" s="39">
        <v>0.139806576402321</v>
      </c>
      <c r="SU69" s="39">
        <v>0.27322995052592203</v>
      </c>
      <c r="SV69" s="39">
        <v>0.15326222468485901</v>
      </c>
      <c r="SW69" s="39">
        <v>0.10655074807925601</v>
      </c>
      <c r="SX69" s="39">
        <v>0.104553734061931</v>
      </c>
      <c r="SY69" s="39">
        <v>0.11615580919262999</v>
      </c>
      <c r="SZ69" s="39">
        <v>0.102844695028191</v>
      </c>
      <c r="TA69" s="39">
        <v>0.118311848843369</v>
      </c>
      <c r="TB69" s="39">
        <v>0.22336991607488699</v>
      </c>
      <c r="TC69" s="39">
        <v>0.10907155300342</v>
      </c>
      <c r="TD69" s="39">
        <v>0.10875658706133</v>
      </c>
      <c r="TE69" s="39">
        <v>6.0865669970323097E-2</v>
      </c>
      <c r="TF69" s="39">
        <v>6.3826051330075198E-2</v>
      </c>
      <c r="TG69" s="39">
        <v>6.4106949432757507E-2</v>
      </c>
      <c r="TH69" s="39">
        <v>6.4694953853529899E-2</v>
      </c>
      <c r="TI69" s="39">
        <v>0.117474136468992</v>
      </c>
      <c r="TJ69" s="39">
        <v>6.54455649310558E-2</v>
      </c>
      <c r="TK69" s="39">
        <v>6.6276940414142796E-2</v>
      </c>
      <c r="TL69" s="39">
        <v>4.0263131797296001E-2</v>
      </c>
      <c r="TM69" s="39">
        <v>4.6653686099339502E-2</v>
      </c>
      <c r="TN69" s="39">
        <v>3.3754054661656499E-2</v>
      </c>
      <c r="TO69" s="39">
        <v>4.7393531186416898E-2</v>
      </c>
      <c r="TP69" s="39">
        <v>7.56959450870726E-2</v>
      </c>
      <c r="TQ69" s="39">
        <v>4.4269032021808999E-2</v>
      </c>
      <c r="TR69" s="39">
        <v>3.9562814279183803E-2</v>
      </c>
      <c r="TS69" s="39">
        <v>2.90864556622909E-2</v>
      </c>
      <c r="TT69" s="39">
        <v>2.76613265458901E-2</v>
      </c>
      <c r="TU69" s="39">
        <v>2.6558806146572099E-2</v>
      </c>
      <c r="TV69" s="39">
        <v>2.86667399831372E-2</v>
      </c>
      <c r="TW69" s="39">
        <v>4.9841713907089698E-2</v>
      </c>
      <c r="TX69" s="39">
        <v>2.2666853225129398E-2</v>
      </c>
      <c r="TY69" s="39">
        <v>2.01020102010201E-2</v>
      </c>
      <c r="TZ69" s="39">
        <v>2.2017291066282401E-2</v>
      </c>
      <c r="UA69" s="39">
        <v>2.1089512515581301E-2</v>
      </c>
      <c r="UB69" s="39">
        <v>2.7340879023959999E-2</v>
      </c>
      <c r="UC69" s="39">
        <v>1.77911275415896E-2</v>
      </c>
      <c r="UD69" s="39">
        <v>0</v>
      </c>
      <c r="UE69" s="39">
        <v>2.5365031823287199E-2</v>
      </c>
      <c r="UF69" s="39">
        <v>2.3132969034608399E-2</v>
      </c>
      <c r="UG69" s="39">
        <v>2.55164034021871E-2</v>
      </c>
      <c r="UH69" s="45">
        <v>1.16403798021533E-2</v>
      </c>
      <c r="UI69" s="45">
        <v>1.4551032252715399E-2</v>
      </c>
      <c r="UJ69" s="45">
        <v>1.46940741930304E-2</v>
      </c>
      <c r="UK69" s="45">
        <v>2.7377861694595201E-2</v>
      </c>
      <c r="UL69" s="45">
        <v>1.37920225687642E-2</v>
      </c>
      <c r="UM69" s="45">
        <v>1.2394790837904599E-2</v>
      </c>
      <c r="UN69" s="45">
        <v>1.25568395144133E-2</v>
      </c>
      <c r="UO69" s="45">
        <v>1.3943062093700999E-2</v>
      </c>
      <c r="UP69" s="45">
        <v>1.57947120169631E-2</v>
      </c>
      <c r="UQ69" s="45">
        <v>1.1550333565667601E-2</v>
      </c>
      <c r="UR69" s="45">
        <v>1.5993353411569201E-2</v>
      </c>
      <c r="US69" s="45">
        <v>0</v>
      </c>
      <c r="UT69" s="45">
        <v>1.49094264484484E-2</v>
      </c>
      <c r="UU69" s="45">
        <v>9.3831775700934598E-3</v>
      </c>
      <c r="UV69" s="45">
        <v>1.1160409556314E-2</v>
      </c>
      <c r="UW69" s="45">
        <v>1.2093023255814E-2</v>
      </c>
      <c r="UX69" s="45">
        <v>1.2703958076938301E-2</v>
      </c>
      <c r="UY69" s="45">
        <v>2.1625597646193501E-2</v>
      </c>
      <c r="UZ69" s="45">
        <v>1.3399503722084399E-2</v>
      </c>
      <c r="VA69" s="45">
        <v>1.33837261004891E-2</v>
      </c>
      <c r="VB69" s="45">
        <v>1.11635220125786E-2</v>
      </c>
      <c r="VC69" s="45">
        <v>6.1132337617228203E-3</v>
      </c>
      <c r="VD69" s="45">
        <v>0</v>
      </c>
      <c r="VE69" s="45">
        <v>1.0062654262388501E-2</v>
      </c>
      <c r="VF69" s="45">
        <v>1.6994010307842301E-2</v>
      </c>
      <c r="VG69" s="45">
        <v>0</v>
      </c>
      <c r="VH69" s="45">
        <v>7.9034432054895208E-3</v>
      </c>
      <c r="VI69" s="45">
        <v>9.5988870855552993E-3</v>
      </c>
      <c r="VJ69" s="45">
        <v>1.2833781825709E-2</v>
      </c>
      <c r="VK69" s="45">
        <v>1.2896545232043701E-2</v>
      </c>
      <c r="VL69" s="45">
        <v>1.0732067121519501E-2</v>
      </c>
      <c r="VM69" s="45">
        <v>1.49388048956084E-2</v>
      </c>
      <c r="VN69" s="45">
        <v>0</v>
      </c>
      <c r="VO69" s="45">
        <v>1.23809523809524E-2</v>
      </c>
      <c r="VP69" s="45">
        <v>1.0696886252912499E-2</v>
      </c>
      <c r="VQ69" s="45">
        <v>9.8184071302607097E-3</v>
      </c>
      <c r="VR69" s="45">
        <v>1.1327125197407801E-2</v>
      </c>
      <c r="VS69" s="45">
        <v>1.4399476382677001E-2</v>
      </c>
      <c r="VT69" s="45">
        <v>0</v>
      </c>
      <c r="VU69" s="45">
        <v>0</v>
      </c>
      <c r="VV69" s="45">
        <v>0</v>
      </c>
      <c r="VW69" s="45">
        <v>0</v>
      </c>
      <c r="VX69" s="35">
        <v>0</v>
      </c>
      <c r="VY69" s="35">
        <v>0</v>
      </c>
      <c r="VZ69" s="35">
        <v>0</v>
      </c>
      <c r="WA69" s="35">
        <v>0</v>
      </c>
      <c r="WB69" s="35">
        <v>0</v>
      </c>
      <c r="WC69" s="35">
        <v>0</v>
      </c>
      <c r="WD69" s="35">
        <v>0</v>
      </c>
      <c r="WE69" s="35">
        <v>0</v>
      </c>
      <c r="WF69" s="35">
        <v>1.44952680019778E-2</v>
      </c>
      <c r="WG69" s="35">
        <v>0</v>
      </c>
      <c r="WH69" s="35">
        <v>0</v>
      </c>
      <c r="WI69" s="35">
        <v>0</v>
      </c>
      <c r="WJ69" s="35">
        <v>0</v>
      </c>
      <c r="WK69" s="35">
        <v>0</v>
      </c>
      <c r="WL69" s="35">
        <v>0</v>
      </c>
      <c r="WM69" s="35">
        <v>4.6306166480475502E-3</v>
      </c>
      <c r="WN69" s="35">
        <v>0</v>
      </c>
      <c r="WO69" s="35">
        <v>0</v>
      </c>
      <c r="WP69" s="35">
        <v>0</v>
      </c>
      <c r="WQ69" s="35">
        <v>0</v>
      </c>
      <c r="WR69" s="35">
        <v>0</v>
      </c>
      <c r="WS69" s="35">
        <v>0</v>
      </c>
      <c r="WT69" s="35">
        <v>0</v>
      </c>
      <c r="WU69" s="35">
        <v>0</v>
      </c>
      <c r="WV69" s="45">
        <v>0</v>
      </c>
      <c r="WW69" s="45">
        <v>0</v>
      </c>
      <c r="WX69" s="45">
        <v>0</v>
      </c>
      <c r="WY69" s="45">
        <v>0</v>
      </c>
      <c r="WZ69" s="45">
        <v>0</v>
      </c>
      <c r="XA69" s="45">
        <v>0</v>
      </c>
      <c r="XB69" s="45">
        <v>0</v>
      </c>
      <c r="XC69" s="45">
        <v>0</v>
      </c>
      <c r="XD69" s="45">
        <v>0</v>
      </c>
      <c r="XE69" s="45">
        <v>0</v>
      </c>
      <c r="XF69" s="45">
        <v>0</v>
      </c>
      <c r="XG69" s="45">
        <v>0</v>
      </c>
      <c r="XH69" s="45">
        <v>0</v>
      </c>
      <c r="XI69" s="45">
        <v>0</v>
      </c>
      <c r="XJ69" s="45">
        <v>0</v>
      </c>
      <c r="XK69" s="45">
        <v>0</v>
      </c>
      <c r="XL69" s="45">
        <v>0</v>
      </c>
      <c r="XM69" s="45">
        <v>0</v>
      </c>
      <c r="XN69" s="45">
        <v>0</v>
      </c>
      <c r="XO69" s="45">
        <v>0</v>
      </c>
      <c r="XP69" s="45">
        <v>0</v>
      </c>
      <c r="XQ69" s="45">
        <v>0</v>
      </c>
      <c r="XR69" s="45">
        <v>0</v>
      </c>
      <c r="XS69" s="45">
        <v>0</v>
      </c>
      <c r="XT69" s="45">
        <v>0</v>
      </c>
      <c r="XU69" s="45">
        <v>0</v>
      </c>
      <c r="XV69" s="45">
        <v>0</v>
      </c>
      <c r="XW69" s="45">
        <v>0</v>
      </c>
      <c r="XX69" s="45">
        <v>0</v>
      </c>
      <c r="XY69">
        <v>0</v>
      </c>
      <c r="XZ69">
        <v>0</v>
      </c>
      <c r="YA69">
        <v>0</v>
      </c>
      <c r="YB69">
        <v>0</v>
      </c>
      <c r="YC69">
        <v>0</v>
      </c>
      <c r="YD69">
        <v>0</v>
      </c>
      <c r="YE69">
        <v>0</v>
      </c>
      <c r="YF69" s="1">
        <v>0</v>
      </c>
      <c r="YG69" s="1">
        <v>0</v>
      </c>
      <c r="YH69" s="1">
        <v>0</v>
      </c>
      <c r="YI69" s="1">
        <v>0</v>
      </c>
      <c r="YJ69">
        <v>2.7411809536164001E-2</v>
      </c>
      <c r="YK69">
        <v>0</v>
      </c>
      <c r="YL69">
        <v>0</v>
      </c>
      <c r="YM69">
        <v>0</v>
      </c>
      <c r="YN69">
        <v>0</v>
      </c>
      <c r="YO69">
        <v>0</v>
      </c>
      <c r="YP69">
        <v>0</v>
      </c>
      <c r="YQ69">
        <v>0</v>
      </c>
      <c r="YR69">
        <v>0</v>
      </c>
      <c r="YS69">
        <v>0</v>
      </c>
      <c r="YT69">
        <v>0</v>
      </c>
      <c r="YU69">
        <v>0</v>
      </c>
      <c r="YV69">
        <v>0</v>
      </c>
      <c r="YW69">
        <v>0</v>
      </c>
      <c r="YX69">
        <v>0</v>
      </c>
      <c r="YY69">
        <v>0</v>
      </c>
      <c r="YZ69">
        <v>0</v>
      </c>
      <c r="ZA69">
        <v>0</v>
      </c>
      <c r="ZB69">
        <v>0</v>
      </c>
      <c r="ZC69">
        <v>0</v>
      </c>
      <c r="ZD69">
        <v>0</v>
      </c>
      <c r="ZE69">
        <v>2.53263427159915E-2</v>
      </c>
      <c r="ZF69">
        <v>0</v>
      </c>
      <c r="ZG69">
        <v>0</v>
      </c>
      <c r="ZH69">
        <v>0</v>
      </c>
      <c r="ZI69">
        <v>0</v>
      </c>
      <c r="ZJ69">
        <v>0</v>
      </c>
      <c r="ZK69">
        <v>1.9995133459581298E-2</v>
      </c>
      <c r="ZL69">
        <v>0</v>
      </c>
      <c r="ZM69">
        <v>0</v>
      </c>
      <c r="ZN69">
        <v>0</v>
      </c>
      <c r="ZO69">
        <v>0</v>
      </c>
      <c r="ZP69">
        <v>0</v>
      </c>
      <c r="ZQ69">
        <v>0</v>
      </c>
      <c r="ZR69">
        <v>1.34487536386633E-2</v>
      </c>
      <c r="ZS69">
        <v>0</v>
      </c>
      <c r="ZT69">
        <v>0</v>
      </c>
      <c r="ZU69">
        <v>0</v>
      </c>
      <c r="ZV69">
        <v>0</v>
      </c>
      <c r="ZW69">
        <v>0</v>
      </c>
      <c r="ZX69">
        <v>0</v>
      </c>
      <c r="ZY69">
        <v>1.3998388447379599E-2</v>
      </c>
      <c r="ZZ69">
        <v>0</v>
      </c>
      <c r="AAA69">
        <v>0</v>
      </c>
      <c r="AAB69">
        <v>0</v>
      </c>
      <c r="AAC69">
        <v>0</v>
      </c>
      <c r="AAD69">
        <v>0</v>
      </c>
      <c r="AAE69">
        <v>0</v>
      </c>
      <c r="AAF69">
        <v>1.82999052432091E-2</v>
      </c>
      <c r="AAG69">
        <v>0</v>
      </c>
      <c r="AAH69">
        <v>0</v>
      </c>
      <c r="AAI69">
        <v>0</v>
      </c>
      <c r="AAJ69">
        <v>0</v>
      </c>
      <c r="AAK69">
        <v>0</v>
      </c>
      <c r="AAL69">
        <v>0</v>
      </c>
      <c r="AAM69">
        <v>5.78572686338138E-3</v>
      </c>
      <c r="AAN69">
        <v>0</v>
      </c>
      <c r="AAO69">
        <v>0</v>
      </c>
      <c r="AAP69">
        <v>0</v>
      </c>
      <c r="AAQ69">
        <v>0</v>
      </c>
      <c r="AAR69">
        <v>0</v>
      </c>
      <c r="AAS69">
        <v>0</v>
      </c>
      <c r="AAT69">
        <v>2.7601354443122499E-2</v>
      </c>
      <c r="AAU69">
        <v>0</v>
      </c>
      <c r="AAV69">
        <v>0</v>
      </c>
      <c r="AAW69">
        <v>0</v>
      </c>
      <c r="AAX69">
        <v>0</v>
      </c>
      <c r="AAY69">
        <v>0</v>
      </c>
      <c r="AAZ69">
        <v>0</v>
      </c>
      <c r="ABA69">
        <v>3.3259817871371701E-3</v>
      </c>
      <c r="ABB69">
        <v>0</v>
      </c>
      <c r="ABC69">
        <v>0</v>
      </c>
      <c r="ABD69">
        <v>0</v>
      </c>
      <c r="ABE69">
        <v>0</v>
      </c>
      <c r="ABF69">
        <v>0</v>
      </c>
      <c r="ABG69">
        <v>0</v>
      </c>
      <c r="ABH69">
        <v>1.9808319494187598E-2</v>
      </c>
      <c r="ABI69">
        <v>0</v>
      </c>
      <c r="ABJ69">
        <v>0</v>
      </c>
      <c r="ABK69">
        <v>0</v>
      </c>
      <c r="ABL69">
        <v>0</v>
      </c>
      <c r="ABM69">
        <v>0</v>
      </c>
      <c r="ABN69">
        <v>0</v>
      </c>
      <c r="ABO69">
        <v>0</v>
      </c>
      <c r="ABP69">
        <v>0</v>
      </c>
      <c r="ABQ69">
        <v>0</v>
      </c>
      <c r="ABR69">
        <v>0</v>
      </c>
      <c r="ABS69">
        <v>0</v>
      </c>
      <c r="ABT69">
        <v>0</v>
      </c>
      <c r="ABU69">
        <v>0</v>
      </c>
      <c r="ABV69">
        <v>1.6643001792323298E-2</v>
      </c>
      <c r="ABW69">
        <v>0</v>
      </c>
      <c r="ABX69">
        <v>0</v>
      </c>
      <c r="ABY69">
        <v>0</v>
      </c>
      <c r="ABZ69">
        <v>0</v>
      </c>
      <c r="ACA69">
        <v>0</v>
      </c>
      <c r="ACB69">
        <v>0</v>
      </c>
      <c r="ACC69">
        <v>0</v>
      </c>
      <c r="ACD69">
        <v>0</v>
      </c>
      <c r="ACE69">
        <v>0</v>
      </c>
      <c r="ACF69">
        <v>0</v>
      </c>
      <c r="ACG69">
        <v>0</v>
      </c>
      <c r="ACH69">
        <v>0</v>
      </c>
      <c r="ACI69">
        <v>0</v>
      </c>
      <c r="ACJ69">
        <v>1.80772878141299E-2</v>
      </c>
      <c r="ACK69">
        <v>0</v>
      </c>
      <c r="ACL69">
        <v>0</v>
      </c>
      <c r="ACM69">
        <v>0</v>
      </c>
      <c r="ACN69">
        <v>0</v>
      </c>
      <c r="ACO69">
        <v>0</v>
      </c>
      <c r="ACP69">
        <v>1.5133940900303801E-2</v>
      </c>
      <c r="ACQ69">
        <v>0</v>
      </c>
      <c r="ACR69">
        <v>0</v>
      </c>
      <c r="ACS69">
        <v>0</v>
      </c>
      <c r="ACT69">
        <v>0</v>
      </c>
      <c r="ACU69">
        <v>0</v>
      </c>
      <c r="ACV69">
        <v>0</v>
      </c>
      <c r="ACW69">
        <v>0</v>
      </c>
      <c r="ACX69">
        <v>0</v>
      </c>
      <c r="ACY69">
        <v>0</v>
      </c>
      <c r="ACZ69">
        <v>0</v>
      </c>
      <c r="ADA69">
        <v>0</v>
      </c>
      <c r="ADB69">
        <v>0</v>
      </c>
      <c r="ADC69">
        <v>0</v>
      </c>
      <c r="ADD69">
        <v>3.3022508038585197E-2</v>
      </c>
      <c r="ADE69">
        <v>0</v>
      </c>
      <c r="ADF69">
        <v>0</v>
      </c>
      <c r="ADG69">
        <v>0</v>
      </c>
      <c r="ADH69">
        <v>0</v>
      </c>
      <c r="ADI69">
        <v>0</v>
      </c>
      <c r="ADJ69">
        <v>0</v>
      </c>
      <c r="ADK69">
        <v>0</v>
      </c>
      <c r="ADL69">
        <v>0</v>
      </c>
      <c r="ADM69">
        <v>0</v>
      </c>
      <c r="ADN69">
        <v>0</v>
      </c>
      <c r="ADO69">
        <v>0</v>
      </c>
      <c r="ADP69">
        <v>0</v>
      </c>
      <c r="ADQ69">
        <v>0</v>
      </c>
      <c r="ADR69">
        <v>0</v>
      </c>
      <c r="ADS69">
        <v>0</v>
      </c>
      <c r="ADT69">
        <v>0</v>
      </c>
      <c r="ADU69">
        <v>0</v>
      </c>
      <c r="ADV69">
        <v>0</v>
      </c>
      <c r="ADW69">
        <v>0</v>
      </c>
      <c r="ADX69">
        <v>0</v>
      </c>
      <c r="ADY69">
        <v>0</v>
      </c>
      <c r="ADZ69">
        <v>0</v>
      </c>
      <c r="AEA69">
        <v>0</v>
      </c>
      <c r="AEB69">
        <v>0</v>
      </c>
      <c r="AEC69">
        <v>0</v>
      </c>
      <c r="AED69">
        <v>0</v>
      </c>
      <c r="AEE69">
        <v>0</v>
      </c>
      <c r="AEF69">
        <v>0</v>
      </c>
      <c r="AEG69">
        <v>0</v>
      </c>
      <c r="AEH69">
        <v>0</v>
      </c>
      <c r="AEI69">
        <v>0</v>
      </c>
      <c r="AEJ69">
        <v>0</v>
      </c>
      <c r="AEK69">
        <v>0</v>
      </c>
      <c r="AEL69">
        <v>0</v>
      </c>
      <c r="AEM69">
        <v>0</v>
      </c>
      <c r="AEN69">
        <v>0</v>
      </c>
      <c r="AEO69">
        <v>0</v>
      </c>
      <c r="AEP69">
        <v>0</v>
      </c>
      <c r="AEQ69">
        <v>0</v>
      </c>
      <c r="AER69">
        <v>0</v>
      </c>
      <c r="AES69">
        <v>0</v>
      </c>
      <c r="AET69">
        <v>0</v>
      </c>
      <c r="AEU69">
        <v>0</v>
      </c>
      <c r="AEV69">
        <v>0</v>
      </c>
      <c r="AEW69">
        <v>0</v>
      </c>
      <c r="AEX69">
        <v>0</v>
      </c>
      <c r="AEY69">
        <v>0</v>
      </c>
      <c r="AEZ69">
        <v>0</v>
      </c>
      <c r="AFA69">
        <v>0</v>
      </c>
      <c r="AFB69">
        <v>0</v>
      </c>
      <c r="AFC69">
        <v>0</v>
      </c>
      <c r="AFD69">
        <v>0</v>
      </c>
      <c r="AFE69">
        <v>0</v>
      </c>
      <c r="AFF69">
        <v>0</v>
      </c>
      <c r="AFG69">
        <v>0</v>
      </c>
      <c r="AFH69">
        <v>0</v>
      </c>
      <c r="AFI69">
        <v>0</v>
      </c>
      <c r="AFJ69">
        <v>0</v>
      </c>
      <c r="AFK69">
        <v>0</v>
      </c>
      <c r="AFL69">
        <v>0</v>
      </c>
      <c r="AFM69">
        <v>0</v>
      </c>
      <c r="AFN69">
        <v>0</v>
      </c>
      <c r="AFO69">
        <v>0</v>
      </c>
      <c r="AFP69">
        <v>0</v>
      </c>
      <c r="AFQ69">
        <v>0</v>
      </c>
      <c r="AFR69">
        <v>0</v>
      </c>
      <c r="AFS69">
        <v>0</v>
      </c>
      <c r="AFT69">
        <v>0</v>
      </c>
      <c r="AFU69">
        <v>0</v>
      </c>
      <c r="AFV69">
        <v>0</v>
      </c>
      <c r="AFW69">
        <v>0</v>
      </c>
      <c r="AFX69">
        <v>0</v>
      </c>
      <c r="AFY69">
        <v>0</v>
      </c>
      <c r="AFZ69">
        <v>0</v>
      </c>
      <c r="AGA69">
        <v>0</v>
      </c>
      <c r="AGB69">
        <v>0</v>
      </c>
      <c r="AGC69">
        <v>0</v>
      </c>
      <c r="AGD69">
        <v>0</v>
      </c>
      <c r="AGE69">
        <v>0</v>
      </c>
      <c r="AGF69">
        <v>0</v>
      </c>
      <c r="AGG69">
        <v>0</v>
      </c>
      <c r="AGH69">
        <v>0</v>
      </c>
      <c r="AGI69">
        <v>0</v>
      </c>
      <c r="AGJ69">
        <v>0</v>
      </c>
      <c r="AGK69">
        <v>0</v>
      </c>
      <c r="AGL69">
        <v>0</v>
      </c>
      <c r="AGM69">
        <v>0</v>
      </c>
      <c r="AGN69">
        <v>0</v>
      </c>
      <c r="AGO69">
        <v>0</v>
      </c>
      <c r="AGP69">
        <v>0</v>
      </c>
      <c r="AGQ69">
        <v>0</v>
      </c>
      <c r="AGR69">
        <v>0</v>
      </c>
      <c r="AGS69">
        <v>0</v>
      </c>
      <c r="AGT69">
        <v>0</v>
      </c>
      <c r="AGU69">
        <v>0</v>
      </c>
      <c r="AGV69">
        <v>0</v>
      </c>
      <c r="AGW69">
        <v>0</v>
      </c>
      <c r="AGX69">
        <v>0</v>
      </c>
      <c r="AGY69">
        <v>0</v>
      </c>
      <c r="AGZ69">
        <v>0</v>
      </c>
      <c r="AHA69">
        <v>0</v>
      </c>
      <c r="AHB69">
        <v>0</v>
      </c>
      <c r="AHC69">
        <v>0</v>
      </c>
      <c r="AHD69">
        <v>0</v>
      </c>
      <c r="AHE69">
        <v>0</v>
      </c>
      <c r="AHF69">
        <v>0</v>
      </c>
      <c r="AHG69">
        <v>0</v>
      </c>
      <c r="AHH69">
        <v>0</v>
      </c>
      <c r="AHI69">
        <v>0</v>
      </c>
      <c r="AHJ69">
        <v>0</v>
      </c>
      <c r="AHK69">
        <v>0</v>
      </c>
      <c r="AHL69">
        <v>0</v>
      </c>
      <c r="AHM69">
        <v>0</v>
      </c>
      <c r="AHN69">
        <v>0</v>
      </c>
      <c r="AHO69">
        <v>0</v>
      </c>
      <c r="AHP69">
        <v>0</v>
      </c>
      <c r="AHQ69">
        <v>0</v>
      </c>
    </row>
    <row r="70" spans="1:901">
      <c r="A70" s="1" t="s">
        <v>34</v>
      </c>
      <c r="C70" s="39">
        <f t="shared" si="157"/>
        <v>9.4917012448132776E-2</v>
      </c>
      <c r="D70" s="39">
        <f t="shared" si="157"/>
        <v>0.33778419343197402</v>
      </c>
      <c r="E70" s="39">
        <f t="shared" si="157"/>
        <v>0.19363636363636363</v>
      </c>
      <c r="F70" s="39">
        <f t="shared" si="157"/>
        <v>0.26624458513828725</v>
      </c>
      <c r="G70" s="39">
        <f t="shared" si="222"/>
        <v>0.24641350210970464</v>
      </c>
      <c r="H70" s="39">
        <f t="shared" si="222"/>
        <v>0.21220400728597449</v>
      </c>
      <c r="I70" s="39">
        <f t="shared" si="222"/>
        <v>0.35074859638178413</v>
      </c>
      <c r="J70" s="39">
        <f t="shared" si="222"/>
        <v>0.26372239747634069</v>
      </c>
      <c r="K70" s="39">
        <f t="shared" si="222"/>
        <v>0.24238555535290898</v>
      </c>
      <c r="L70" s="39">
        <f t="shared" si="222"/>
        <v>8.1049624378372653E-2</v>
      </c>
      <c r="M70" s="39">
        <f t="shared" si="222"/>
        <v>0.22827225130890053</v>
      </c>
      <c r="N70" s="39">
        <f t="shared" si="222"/>
        <v>0.16357187565199249</v>
      </c>
      <c r="O70" s="39">
        <f t="shared" si="222"/>
        <v>0.16670947855124582</v>
      </c>
      <c r="P70" s="39">
        <f t="shared" si="222"/>
        <v>0.21647887323943663</v>
      </c>
      <c r="Q70" s="39">
        <f t="shared" si="222"/>
        <v>0.13036915054206122</v>
      </c>
      <c r="R70" s="39">
        <f t="shared" si="222"/>
        <v>0.1860200364298725</v>
      </c>
      <c r="S70" s="39">
        <f t="shared" si="222"/>
        <v>0.25064220183486241</v>
      </c>
      <c r="T70" s="39">
        <f t="shared" si="222"/>
        <v>0.23479599692070824</v>
      </c>
      <c r="U70" s="39">
        <f t="shared" si="222"/>
        <v>0</v>
      </c>
      <c r="V70" s="39">
        <f t="shared" ref="V70:AY70" si="414">IFERROR(V7/V49,0)</f>
        <v>0</v>
      </c>
      <c r="W70" s="39">
        <f t="shared" si="414"/>
        <v>0.70418604651162786</v>
      </c>
      <c r="X70" s="39">
        <f t="shared" si="414"/>
        <v>0.17900133749442709</v>
      </c>
      <c r="Y70" s="39">
        <f t="shared" si="414"/>
        <v>0.2374031007751938</v>
      </c>
      <c r="Z70" s="39">
        <f t="shared" si="414"/>
        <v>0.32643312101910826</v>
      </c>
      <c r="AA70" s="39">
        <f t="shared" si="414"/>
        <v>0.34643734643734642</v>
      </c>
      <c r="AB70" s="39">
        <f t="shared" si="414"/>
        <v>0.21219633118492812</v>
      </c>
      <c r="AC70" s="39">
        <f t="shared" si="414"/>
        <v>0.22287390029325513</v>
      </c>
      <c r="AD70" s="39">
        <f t="shared" si="414"/>
        <v>0.22301781348236116</v>
      </c>
      <c r="AE70" s="39">
        <f t="shared" si="414"/>
        <v>0.22369553986567936</v>
      </c>
      <c r="AF70" s="39">
        <f t="shared" si="414"/>
        <v>0.15577786851776235</v>
      </c>
      <c r="AG70" s="39">
        <f t="shared" si="414"/>
        <v>0.26693349753694579</v>
      </c>
      <c r="AH70" s="39">
        <f t="shared" si="414"/>
        <v>0.18636995827538247</v>
      </c>
      <c r="AI70" s="39">
        <f t="shared" si="414"/>
        <v>0.18119926682377585</v>
      </c>
      <c r="AJ70" s="39">
        <f t="shared" si="414"/>
        <v>0.27158273381294962</v>
      </c>
      <c r="AK70" s="39">
        <f t="shared" si="414"/>
        <v>0.19285547513425169</v>
      </c>
      <c r="AL70" s="39">
        <f t="shared" si="414"/>
        <v>0.34044544263522364</v>
      </c>
      <c r="AM70" s="39">
        <f t="shared" si="414"/>
        <v>0.63187588152327223</v>
      </c>
      <c r="AN70" s="39">
        <f t="shared" si="414"/>
        <v>0.41186060729570001</v>
      </c>
      <c r="AO70" s="39">
        <f t="shared" si="414"/>
        <v>0.50938086303939967</v>
      </c>
      <c r="AP70" s="39">
        <f t="shared" si="414"/>
        <v>8.8273700705144953E-2</v>
      </c>
      <c r="AQ70" s="39">
        <f t="shared" si="414"/>
        <v>0.71351351351351355</v>
      </c>
      <c r="AR70" s="39">
        <f t="shared" si="414"/>
        <v>1.4766949152542372</v>
      </c>
      <c r="AS70" s="39">
        <f t="shared" si="414"/>
        <v>0.22782421137772985</v>
      </c>
      <c r="AT70" s="39">
        <f t="shared" si="414"/>
        <v>0.20874950059928085</v>
      </c>
      <c r="AU70" s="39">
        <f t="shared" si="414"/>
        <v>0.43908851884312006</v>
      </c>
      <c r="AV70" s="39">
        <f t="shared" si="414"/>
        <v>0.84403669724770647</v>
      </c>
      <c r="AW70" s="39">
        <f t="shared" si="414"/>
        <v>0.76429567642956764</v>
      </c>
      <c r="AX70" s="39">
        <f t="shared" si="414"/>
        <v>0.19398826979472142</v>
      </c>
      <c r="AY70" s="39">
        <f t="shared" si="414"/>
        <v>0.19220208676551345</v>
      </c>
      <c r="AZ70" s="39">
        <f t="shared" si="91"/>
        <v>0.15846994535519127</v>
      </c>
      <c r="BA70" s="39">
        <f t="shared" ref="BA70:BF70" si="415">IFERROR(BA7/BA49,0)</f>
        <v>0.28249566724436742</v>
      </c>
      <c r="BB70" s="39">
        <f t="shared" si="415"/>
        <v>0.23774468797055379</v>
      </c>
      <c r="BC70" s="39">
        <f t="shared" si="415"/>
        <v>0.10741839762611276</v>
      </c>
      <c r="BD70" s="39">
        <f t="shared" si="415"/>
        <v>0.79069767441860461</v>
      </c>
      <c r="BE70" s="39">
        <f t="shared" si="415"/>
        <v>0.25233388248215266</v>
      </c>
      <c r="BF70" s="39">
        <f t="shared" si="415"/>
        <v>0.19237472766884531</v>
      </c>
      <c r="BG70" s="39">
        <f t="shared" ref="BG70" si="416">IFERROR(BG7/BG49,0)</f>
        <v>0.23530603972436157</v>
      </c>
      <c r="BH70" s="39">
        <f t="shared" si="93"/>
        <v>0.22339428035630568</v>
      </c>
      <c r="BI70" s="39">
        <f t="shared" ref="BI70:BK70" si="417">IFERROR(BI7/BI49,0)</f>
        <v>0.29768270944741532</v>
      </c>
      <c r="BJ70" s="39">
        <f t="shared" si="417"/>
        <v>0.3860182370820669</v>
      </c>
      <c r="BK70" s="39">
        <f t="shared" si="417"/>
        <v>0.2214174857734092</v>
      </c>
      <c r="BL70" s="39">
        <f t="shared" ref="BL70:BM70" si="418">IFERROR(BL7/BL49,0)</f>
        <v>0.2643598615916955</v>
      </c>
      <c r="BM70" s="39">
        <f t="shared" si="418"/>
        <v>0.19672131147540983</v>
      </c>
      <c r="BN70" s="39">
        <f t="shared" ref="BN70:BO70" si="419">IFERROR(BN7/BN49,0)</f>
        <v>0.1767857142857143</v>
      </c>
      <c r="BO70" s="39">
        <f t="shared" si="419"/>
        <v>0.26062893081761007</v>
      </c>
      <c r="BP70" s="39">
        <f t="shared" ref="BP70:BQ70" si="420">IFERROR(BP7/BP49,0)</f>
        <v>0.14998044583496284</v>
      </c>
      <c r="BQ70" s="39">
        <f t="shared" si="420"/>
        <v>0.16156736446591519</v>
      </c>
      <c r="BR70" s="39">
        <f t="shared" ref="BR70:BS70" si="421">IFERROR(BR7/BR49,0)</f>
        <v>0.1393372982158029</v>
      </c>
      <c r="BS70" s="39">
        <f t="shared" si="421"/>
        <v>0.25795971410006496</v>
      </c>
      <c r="BT70" s="39">
        <f t="shared" ref="BT70:BU70" si="422">IFERROR(BT7/BT49,0)</f>
        <v>0.17941118356056115</v>
      </c>
      <c r="BU70" s="39">
        <f t="shared" si="422"/>
        <v>0.24240319499913179</v>
      </c>
      <c r="BV70" s="39">
        <f t="shared" ref="BV70:BW70" si="423">IFERROR(BV7/BV49,0)</f>
        <v>0.25792534233727255</v>
      </c>
      <c r="BW70" s="39">
        <f t="shared" si="423"/>
        <v>0.30520464881253156</v>
      </c>
      <c r="BX70" s="39">
        <f t="shared" ref="BX70:BY70" si="424">IFERROR(BX7/BX49,0)</f>
        <v>0.26406322640632263</v>
      </c>
      <c r="BY70" s="39">
        <f t="shared" si="424"/>
        <v>0.28309455587392551</v>
      </c>
      <c r="BZ70" s="39">
        <f t="shared" ref="BZ70:CA70" si="425">IFERROR(BZ7/BZ49,0)</f>
        <v>0.34678581723839724</v>
      </c>
      <c r="CA70" s="39">
        <f t="shared" si="425"/>
        <v>0.28620102214650767</v>
      </c>
      <c r="CB70" s="39">
        <f t="shared" ref="CB70:CC70" si="426">IFERROR(CB7/CB49,0)</f>
        <v>0.13168905527416869</v>
      </c>
      <c r="CC70" s="39">
        <f t="shared" si="426"/>
        <v>0.28884652049571019</v>
      </c>
      <c r="CD70" s="39">
        <f t="shared" ref="CD70:CE70" si="427">IFERROR(CD7/CD49,0)</f>
        <v>0.25418760469011725</v>
      </c>
      <c r="CE70" s="39">
        <f t="shared" si="427"/>
        <v>0.35395683453237409</v>
      </c>
      <c r="CF70" s="39">
        <f t="shared" ref="CF70:CG70" si="428">IFERROR(CF7/CF49,0)</f>
        <v>0.43160577740016992</v>
      </c>
      <c r="CG70" s="39">
        <f t="shared" si="428"/>
        <v>0.16855524079320114</v>
      </c>
      <c r="CH70" s="39">
        <f t="shared" ref="CH70:CI70" si="429">IFERROR(CH7/CH49,0)</f>
        <v>0.19498560054209724</v>
      </c>
      <c r="CI70" s="39">
        <f t="shared" si="429"/>
        <v>0.23680981595092024</v>
      </c>
      <c r="CJ70" s="39">
        <f t="shared" ref="CJ70:CK70" si="430">IFERROR(CJ7/CJ49,0)</f>
        <v>0.21416478555304741</v>
      </c>
      <c r="CK70" s="39">
        <f t="shared" si="430"/>
        <v>0.23098147418210485</v>
      </c>
      <c r="CL70" s="39">
        <f t="shared" ref="CL70:CM70" si="431">IFERROR(CL7/CL49,0)</f>
        <v>0.11784511784511785</v>
      </c>
      <c r="CM70" s="39">
        <f t="shared" si="431"/>
        <v>0.16826003824091779</v>
      </c>
      <c r="CN70" s="39">
        <f t="shared" ref="CN70:CO70" si="432">IFERROR(CN7/CN49,0)</f>
        <v>0.1425622500322539</v>
      </c>
      <c r="CO70" s="39">
        <f t="shared" si="432"/>
        <v>0.23713511886849234</v>
      </c>
      <c r="CP70" s="39">
        <f t="shared" ref="CP70:CQ70" si="433">IFERROR(CP7/CP49,0)</f>
        <v>0.3219470538001708</v>
      </c>
      <c r="CQ70" s="39">
        <f t="shared" si="433"/>
        <v>0.1549509969584319</v>
      </c>
      <c r="CR70" s="39">
        <f t="shared" ref="CR70:CS70" si="434">IFERROR(CR7/CR49,0)</f>
        <v>0.23402777777777778</v>
      </c>
      <c r="CS70" s="39">
        <f t="shared" si="434"/>
        <v>0.11556982343499198</v>
      </c>
      <c r="CT70" s="39">
        <f t="shared" ref="CT70:CU70" si="435">IFERROR(CT7/CT49,0)</f>
        <v>5.9859757140413887E-3</v>
      </c>
      <c r="CU70" s="39">
        <f t="shared" si="435"/>
        <v>0.14109347442680775</v>
      </c>
      <c r="CV70" s="39">
        <f t="shared" ref="CV70:CW70" si="436">IFERROR(CV7/CV49,0)</f>
        <v>0.16962813702143251</v>
      </c>
      <c r="CW70" s="39">
        <f t="shared" si="436"/>
        <v>0.17217427909913702</v>
      </c>
      <c r="CX70" s="39">
        <f t="shared" ref="CX70:CY70" si="437">IFERROR(CX7/CX49,0)</f>
        <v>0.435546875</v>
      </c>
      <c r="CY70" s="39">
        <f t="shared" si="437"/>
        <v>0.19103773584905662</v>
      </c>
      <c r="CZ70" s="39">
        <f t="shared" ref="CZ70:DA70" si="438">IFERROR(CZ7/CZ49,0)</f>
        <v>0.36603088101725706</v>
      </c>
      <c r="DA70" s="39">
        <f t="shared" si="438"/>
        <v>0.14880796436992402</v>
      </c>
      <c r="DB70" s="39">
        <f t="shared" ref="DB70:DC70" si="439">IFERROR(DB7/DB49,0)</f>
        <v>0.30789200415368639</v>
      </c>
      <c r="DC70" s="39">
        <f t="shared" si="439"/>
        <v>0.27307482250136539</v>
      </c>
      <c r="DD70" s="39">
        <f t="shared" ref="DD70:DE70" si="440">IFERROR(DD7/DD49,0)</f>
        <v>0.24082313681868742</v>
      </c>
      <c r="DE70" s="39">
        <f t="shared" si="440"/>
        <v>0.32775050534218886</v>
      </c>
      <c r="DF70" s="39">
        <f t="shared" ref="DF70:DG70" si="441">IFERROR(DF7/DF49,0)</f>
        <v>0.45089285714285715</v>
      </c>
      <c r="DG70" s="39">
        <f t="shared" si="441"/>
        <v>0.45552297165200389</v>
      </c>
      <c r="DH70" s="39">
        <f t="shared" ref="DH70:DI70" si="442">IFERROR(DH7/DH49,0)</f>
        <v>0.32681655262300424</v>
      </c>
      <c r="DI70" s="39">
        <f t="shared" si="442"/>
        <v>0.47608535688005887</v>
      </c>
      <c r="DJ70" s="39">
        <f t="shared" ref="DJ70:DK70" si="443">IFERROR(DJ7/DJ49,0)</f>
        <v>0.22940373236231223</v>
      </c>
      <c r="DK70" s="39">
        <f t="shared" si="443"/>
        <v>0.28662659654395189</v>
      </c>
      <c r="DL70" s="39">
        <f t="shared" ref="DL70:DM70" si="444">IFERROR(DL7/DL49,0)</f>
        <v>0.27768786127167627</v>
      </c>
      <c r="DM70" s="39">
        <f t="shared" si="444"/>
        <v>0.44894146948941471</v>
      </c>
      <c r="DN70" s="39">
        <f t="shared" ref="DN70:DO70" si="445">IFERROR(DN7/DN49,0)</f>
        <v>0.23631436314363144</v>
      </c>
      <c r="DO70" s="39">
        <f t="shared" si="445"/>
        <v>0.25401005506344265</v>
      </c>
      <c r="DP70" s="39">
        <f t="shared" ref="DP70:DQ70" si="446">IFERROR(DP7/DP49,0)</f>
        <v>0.23704909140222402</v>
      </c>
      <c r="DQ70" s="39">
        <f t="shared" si="446"/>
        <v>0.20100083402835697</v>
      </c>
      <c r="DR70" s="39">
        <f t="shared" ref="DR70:DS70" si="447">IFERROR(DR7/DR49,0)</f>
        <v>0.22182284980744543</v>
      </c>
      <c r="DS70" s="39">
        <f t="shared" si="447"/>
        <v>0.41789462525177568</v>
      </c>
      <c r="DT70" s="39">
        <f t="shared" ref="DT70:DU70" si="448">IFERROR(DT7/DT49,0)</f>
        <v>0.59857904085257552</v>
      </c>
      <c r="DU70" s="39">
        <f t="shared" si="448"/>
        <v>0.12319391634980989</v>
      </c>
      <c r="DV70" s="39">
        <f t="shared" si="125"/>
        <v>0.25774058577405856</v>
      </c>
      <c r="DW70" s="39">
        <f t="shared" si="125"/>
        <v>0.24925096304751035</v>
      </c>
      <c r="DX70" s="39">
        <f t="shared" ref="DX70:DY70" si="449">IFERROR(DX7/DX49,0)</f>
        <v>0.21679777880610829</v>
      </c>
      <c r="DY70" s="39">
        <f t="shared" si="449"/>
        <v>0.32814087368777517</v>
      </c>
      <c r="DZ70" s="39">
        <f t="shared" ref="DZ70:EA70" si="450">IFERROR(DZ7/DZ49,0)</f>
        <v>0.20153875023456558</v>
      </c>
      <c r="EA70" s="39">
        <f t="shared" si="450"/>
        <v>0.58587018954623782</v>
      </c>
      <c r="EB70" s="39">
        <f t="shared" ref="EB70:EC70" si="451">IFERROR(EB7/EB49,0)</f>
        <v>0.17416086130462319</v>
      </c>
      <c r="EC70" s="39">
        <f t="shared" si="451"/>
        <v>0.26793151318833874</v>
      </c>
      <c r="ED70" s="39">
        <f t="shared" ref="ED70:EE70" si="452">IFERROR(ED7/ED49,0)</f>
        <v>0.21346242508068233</v>
      </c>
      <c r="EE70" s="39">
        <f t="shared" si="452"/>
        <v>0.23473954861441768</v>
      </c>
      <c r="EF70" s="39">
        <f t="shared" ref="EF70:EG70" si="453">IFERROR(EF7/EF49,0)</f>
        <v>0.14051953364696257</v>
      </c>
      <c r="EG70" s="39">
        <f t="shared" si="453"/>
        <v>0.26574989256553505</v>
      </c>
      <c r="EH70" s="39">
        <f t="shared" ref="EH70:EI70" si="454">IFERROR(EH7/EH49,0)</f>
        <v>0.59098591549295776</v>
      </c>
      <c r="EI70" s="39">
        <f t="shared" si="454"/>
        <v>0.17792792792792791</v>
      </c>
      <c r="EJ70" s="39">
        <f t="shared" ref="EJ70:EK70" si="455">IFERROR(EJ7/EJ49,0)</f>
        <v>9.7634121959346884E-2</v>
      </c>
      <c r="EK70" s="39">
        <f t="shared" si="455"/>
        <v>0.41011443337024733</v>
      </c>
      <c r="EL70" s="39">
        <f t="shared" ref="EL70:EM70" si="456">IFERROR(EL7/EL49,0)</f>
        <v>0.21846224677716392</v>
      </c>
      <c r="EM70" s="39">
        <f t="shared" si="456"/>
        <v>0.44676724137931034</v>
      </c>
      <c r="EN70" s="39">
        <f t="shared" ref="EN70:EO70" si="457">IFERROR(EN7/EN49,0)</f>
        <v>0.32568368712947027</v>
      </c>
      <c r="EO70" s="39">
        <f t="shared" si="457"/>
        <v>0.36698113207547167</v>
      </c>
      <c r="EP70" s="39">
        <f t="shared" ref="EP70" si="458">IFERROR(EP7/EP49,0)</f>
        <v>0.24199553239017127</v>
      </c>
      <c r="EQ70" s="39">
        <f t="shared" ref="EQ70:ER70" si="459">IFERROR(EQ7/EQ49,0)</f>
        <v>0.22485659655831741</v>
      </c>
      <c r="ER70" s="39">
        <f t="shared" si="459"/>
        <v>0.12640207075064711</v>
      </c>
      <c r="ES70" s="39">
        <f t="shared" ref="ES70:ET70" si="460">IFERROR(ES7/ES49,0)</f>
        <v>0.22966147232670608</v>
      </c>
      <c r="ET70" s="39">
        <f t="shared" si="460"/>
        <v>0.22721728524133125</v>
      </c>
      <c r="EU70" s="39">
        <f t="shared" ref="EU70:EV70" si="461">IFERROR(EU7/EU49,0)</f>
        <v>0.25553012967200611</v>
      </c>
      <c r="EV70" s="39">
        <f t="shared" si="461"/>
        <v>0.36694071830376462</v>
      </c>
      <c r="EW70" s="39">
        <f t="shared" ref="EW70:EX70" si="462">IFERROR(EW7/EW49,0)</f>
        <v>0.42716711349419123</v>
      </c>
      <c r="EX70" s="39">
        <f t="shared" si="462"/>
        <v>0.21293646250715512</v>
      </c>
      <c r="EY70" s="39">
        <f t="shared" ref="EY70:EZ70" si="463">IFERROR(EY7/EY49,0)</f>
        <v>0.11698717948717949</v>
      </c>
      <c r="EZ70" s="39">
        <f t="shared" si="463"/>
        <v>0.36670391061452512</v>
      </c>
      <c r="FA70" s="39">
        <f t="shared" ref="FA70:FB70" si="464">IFERROR(FA7/FA49,0)</f>
        <v>0.26591549295774647</v>
      </c>
      <c r="FB70" s="39">
        <f t="shared" si="464"/>
        <v>0.21743283582089551</v>
      </c>
      <c r="FC70" s="39">
        <f t="shared" ref="FC70:FD70" si="465">IFERROR(FC7/FC49,0)</f>
        <v>0.32514957705797398</v>
      </c>
      <c r="FD70" s="39">
        <f t="shared" si="465"/>
        <v>0.1956233421750663</v>
      </c>
      <c r="FE70" s="39">
        <f t="shared" ref="FE70:FF70" si="466">IFERROR(FE7/FE49,0)</f>
        <v>0.50591900311526483</v>
      </c>
      <c r="FF70" s="39">
        <f t="shared" si="466"/>
        <v>0.40179528403001069</v>
      </c>
      <c r="FG70" s="39">
        <f t="shared" ref="FG70:FH70" si="467">IFERROR(FG7/FG49,0)</f>
        <v>0.28896143150767745</v>
      </c>
      <c r="FH70" s="39">
        <f t="shared" si="467"/>
        <v>0.24282560706401765</v>
      </c>
      <c r="FI70" s="39">
        <f t="shared" ref="FI70:FJ70" si="468">IFERROR(FI7/FI49,0)</f>
        <v>0.22332950044717007</v>
      </c>
      <c r="FJ70" s="39">
        <f t="shared" si="468"/>
        <v>0.40420299575229152</v>
      </c>
      <c r="FK70" s="39">
        <f t="shared" ref="FK70:FL70" si="469">IFERROR(FK7/FK49,0)</f>
        <v>0.13266583229036297</v>
      </c>
      <c r="FL70" s="39">
        <f t="shared" si="469"/>
        <v>0.12156196943972836</v>
      </c>
      <c r="FM70" s="39">
        <f t="shared" ref="FM70" si="470">IFERROR(FM7/FM49,0)</f>
        <v>0.31600138042102843</v>
      </c>
      <c r="FN70" s="39">
        <v>0.11158252015273654</v>
      </c>
      <c r="FO70" s="39">
        <f t="shared" ref="FO70" si="471">IFERROR(FO7/FO49,0)</f>
        <v>0.22470964484093586</v>
      </c>
      <c r="FP70" s="39">
        <v>0.29570571518787497</v>
      </c>
      <c r="FQ70" s="39">
        <f t="shared" ref="FQ70:HA70" si="472">IFERROR(FQ7/FQ49,0)</f>
        <v>0.70909090909090911</v>
      </c>
      <c r="FR70" s="39">
        <v>0.40780141843971629</v>
      </c>
      <c r="FS70" s="39">
        <f t="shared" si="472"/>
        <v>0.15252152521525214</v>
      </c>
      <c r="FT70" s="39">
        <f t="shared" si="472"/>
        <v>0.34231912784935581</v>
      </c>
      <c r="FU70" s="39">
        <f t="shared" si="472"/>
        <v>0.22623150212852219</v>
      </c>
      <c r="FV70" s="39">
        <f t="shared" si="472"/>
        <v>0.19351367968029512</v>
      </c>
      <c r="FW70" s="39">
        <f t="shared" si="472"/>
        <v>0.27163731734732111</v>
      </c>
      <c r="FX70" s="39">
        <f t="shared" si="472"/>
        <v>0.4513788098693759</v>
      </c>
      <c r="FY70" s="39">
        <f t="shared" si="472"/>
        <v>0.23817712811693895</v>
      </c>
      <c r="FZ70" s="39">
        <f t="shared" si="472"/>
        <v>0.1309786607799853</v>
      </c>
      <c r="GA70" s="39">
        <f t="shared" si="472"/>
        <v>0.38345444382336502</v>
      </c>
      <c r="GB70" s="39">
        <f t="shared" si="472"/>
        <v>0.27979828850855748</v>
      </c>
      <c r="GC70" s="39">
        <f t="shared" si="472"/>
        <v>0.28903394255874676</v>
      </c>
      <c r="GD70" s="39">
        <f t="shared" si="472"/>
        <v>0.33933518005540164</v>
      </c>
      <c r="GE70" s="39">
        <f t="shared" si="472"/>
        <v>0.4755360087960418</v>
      </c>
      <c r="GF70" s="39">
        <f t="shared" si="472"/>
        <v>0.18548387096774194</v>
      </c>
      <c r="GG70" s="39">
        <f t="shared" si="472"/>
        <v>0.27558451513990034</v>
      </c>
      <c r="GH70" s="39">
        <f t="shared" si="472"/>
        <v>0.47512109202994274</v>
      </c>
      <c r="GI70" s="39">
        <f t="shared" si="472"/>
        <v>0.31515254815067328</v>
      </c>
      <c r="GJ70" s="39">
        <f t="shared" si="472"/>
        <v>0.49910714285714286</v>
      </c>
      <c r="GK70" s="39">
        <f t="shared" si="472"/>
        <v>0.27950727883538634</v>
      </c>
      <c r="GL70" s="39">
        <f t="shared" si="472"/>
        <v>0.44298136645962732</v>
      </c>
      <c r="GM70" s="39">
        <f t="shared" si="472"/>
        <v>0.20557156580211336</v>
      </c>
      <c r="GN70" s="39">
        <f t="shared" si="472"/>
        <v>0.68652526512788525</v>
      </c>
      <c r="GO70" s="39">
        <f t="shared" si="472"/>
        <v>0.30765920826161791</v>
      </c>
      <c r="GP70" s="39">
        <f t="shared" si="472"/>
        <v>0.32949959644874899</v>
      </c>
      <c r="GQ70" s="39">
        <f t="shared" si="472"/>
        <v>0.20952380952380953</v>
      </c>
      <c r="GR70" s="39">
        <f t="shared" si="472"/>
        <v>0.48693790149892935</v>
      </c>
      <c r="GS70" s="39">
        <f t="shared" si="472"/>
        <v>0.87806587245970569</v>
      </c>
      <c r="GT70" s="39">
        <f t="shared" si="472"/>
        <v>0.26836434867776687</v>
      </c>
      <c r="GU70" s="39">
        <f t="shared" si="472"/>
        <v>0.56958128078817738</v>
      </c>
      <c r="GV70" s="39">
        <f t="shared" si="472"/>
        <v>0.30901705930138101</v>
      </c>
      <c r="GW70" s="39">
        <f t="shared" si="472"/>
        <v>0.26148455748767196</v>
      </c>
      <c r="GX70" s="39">
        <f t="shared" si="472"/>
        <v>0.29597540525433202</v>
      </c>
      <c r="GY70" s="39">
        <f t="shared" si="472"/>
        <v>0.3126688468647803</v>
      </c>
      <c r="GZ70" s="39">
        <f t="shared" si="472"/>
        <v>0.66735466116271069</v>
      </c>
      <c r="HA70" s="39">
        <f t="shared" si="472"/>
        <v>0.10288735258235054</v>
      </c>
      <c r="HB70" s="39">
        <f t="shared" si="148"/>
        <v>0.10553070353802359</v>
      </c>
      <c r="HC70" s="39">
        <f t="shared" si="148"/>
        <v>0.41520056298381419</v>
      </c>
      <c r="HD70" s="39">
        <f t="shared" ref="HD70:HT70" si="473">IFERROR(HD7/HD49,0)</f>
        <v>0.48778542227540134</v>
      </c>
      <c r="HE70" s="39">
        <f t="shared" si="473"/>
        <v>0.17940087512622013</v>
      </c>
      <c r="HF70" s="39">
        <f t="shared" si="473"/>
        <v>0.33665950260976357</v>
      </c>
      <c r="HG70" s="39">
        <f t="shared" si="473"/>
        <v>0.73327194597912826</v>
      </c>
      <c r="HH70" s="39">
        <f t="shared" si="473"/>
        <v>0.16346153846153846</v>
      </c>
      <c r="HI70" s="39">
        <f t="shared" si="473"/>
        <v>0.203232462173315</v>
      </c>
      <c r="HJ70" s="39">
        <f t="shared" si="473"/>
        <v>0.34961705651003933</v>
      </c>
      <c r="HK70" s="39">
        <f t="shared" si="473"/>
        <v>0.32772137257421924</v>
      </c>
      <c r="HL70" s="39">
        <f t="shared" si="473"/>
        <v>0.55158582089552244</v>
      </c>
      <c r="HM70" s="39">
        <f t="shared" si="473"/>
        <v>0.3361968887856977</v>
      </c>
      <c r="HN70" s="39">
        <f t="shared" si="473"/>
        <v>0.86857142857142855</v>
      </c>
      <c r="HO70" s="39">
        <f t="shared" si="473"/>
        <v>0.4303990252817545</v>
      </c>
      <c r="HP70" s="39">
        <f t="shared" si="473"/>
        <v>0.21606864274570983</v>
      </c>
      <c r="HQ70" s="39">
        <f t="shared" si="473"/>
        <v>0.31732861806311208</v>
      </c>
      <c r="HR70" s="39">
        <f t="shared" si="473"/>
        <v>0.36708707252000972</v>
      </c>
      <c r="HS70" s="39">
        <f t="shared" si="473"/>
        <v>0.28785276073619631</v>
      </c>
      <c r="HT70" s="39">
        <f t="shared" si="473"/>
        <v>0.490644116588701</v>
      </c>
      <c r="HU70" s="39">
        <f>IFERROR(HU7/HU49,0)</f>
        <v>0.8761720012932428</v>
      </c>
      <c r="HV70" s="39">
        <f t="shared" ref="HV70:KG70" si="474">IFERROR(HV7/HV49,0)</f>
        <v>0.27203204661325564</v>
      </c>
      <c r="HW70" s="39">
        <f t="shared" si="474"/>
        <v>0.31062299543201477</v>
      </c>
      <c r="HX70" s="39">
        <f t="shared" si="474"/>
        <v>0.23159784560143626</v>
      </c>
      <c r="HY70" s="39">
        <f t="shared" si="474"/>
        <v>0.29686075289826758</v>
      </c>
      <c r="HZ70" s="39">
        <f t="shared" si="474"/>
        <v>0.35213173922851343</v>
      </c>
      <c r="IA70" s="39">
        <f t="shared" si="474"/>
        <v>0.26283128636069814</v>
      </c>
      <c r="IB70" s="39">
        <f t="shared" si="474"/>
        <v>0.40157710280373832</v>
      </c>
      <c r="IC70" s="39">
        <f t="shared" si="474"/>
        <v>0.56106870229007633</v>
      </c>
      <c r="ID70" s="39">
        <f t="shared" si="474"/>
        <v>0.21468699839486358</v>
      </c>
      <c r="IE70" s="39">
        <f t="shared" si="474"/>
        <v>0.28869047619047616</v>
      </c>
      <c r="IF70" s="39">
        <f t="shared" si="474"/>
        <v>0.27114252061248528</v>
      </c>
      <c r="IG70" s="39">
        <f t="shared" si="474"/>
        <v>0.28421543483329448</v>
      </c>
      <c r="IH70" s="39">
        <f t="shared" si="474"/>
        <v>0.35295766750770957</v>
      </c>
      <c r="II70" s="39">
        <f t="shared" si="474"/>
        <v>0.27795527156549521</v>
      </c>
      <c r="IJ70" s="39">
        <f t="shared" si="474"/>
        <v>0.41120976692563815</v>
      </c>
      <c r="IK70" s="39">
        <f t="shared" si="474"/>
        <v>0.16436845008273579</v>
      </c>
      <c r="IL70" s="39">
        <f t="shared" si="474"/>
        <v>0.22862129144851659</v>
      </c>
      <c r="IM70" s="39">
        <f t="shared" si="474"/>
        <v>0.51010210732131223</v>
      </c>
      <c r="IN70" s="39">
        <f t="shared" si="474"/>
        <v>0.30828255472805238</v>
      </c>
      <c r="IO70" s="39">
        <f t="shared" si="474"/>
        <v>0.23397312859884836</v>
      </c>
      <c r="IP70" s="39">
        <f t="shared" si="474"/>
        <v>0.33994620040349699</v>
      </c>
      <c r="IQ70" s="39">
        <f t="shared" si="474"/>
        <v>0.44316730523627074</v>
      </c>
      <c r="IR70" s="39">
        <f t="shared" si="474"/>
        <v>0.54346606842400447</v>
      </c>
      <c r="IS70" s="39">
        <f t="shared" si="474"/>
        <v>0.24126984126984127</v>
      </c>
      <c r="IT70" s="39">
        <f t="shared" si="474"/>
        <v>0.2639423076923077</v>
      </c>
      <c r="IU70" s="39">
        <f t="shared" si="474"/>
        <v>0.20490196078431372</v>
      </c>
      <c r="IV70" s="39">
        <f t="shared" si="474"/>
        <v>0.27844522968197882</v>
      </c>
      <c r="IW70" s="39">
        <f t="shared" si="474"/>
        <v>0.39229671897289586</v>
      </c>
      <c r="IX70" s="39">
        <f t="shared" si="474"/>
        <v>0.14984709480122324</v>
      </c>
      <c r="IY70" s="39">
        <f t="shared" si="474"/>
        <v>0.42537313432835822</v>
      </c>
      <c r="IZ70" s="39">
        <f t="shared" si="474"/>
        <v>0.24726430976430977</v>
      </c>
      <c r="JA70" s="39">
        <f t="shared" si="474"/>
        <v>0.21750057116746629</v>
      </c>
      <c r="JB70" s="39">
        <f t="shared" si="474"/>
        <v>0.24495217853347503</v>
      </c>
      <c r="JC70" s="39">
        <f t="shared" si="474"/>
        <v>0.22652659225213395</v>
      </c>
      <c r="JD70" s="39">
        <f t="shared" si="474"/>
        <v>0.28884026258205692</v>
      </c>
      <c r="JE70" s="39">
        <f t="shared" si="474"/>
        <v>0.30537974683544306</v>
      </c>
      <c r="JF70" s="39">
        <f t="shared" si="474"/>
        <v>0.14616755793226383</v>
      </c>
      <c r="JG70" s="39">
        <f t="shared" si="474"/>
        <v>0.23809523809523808</v>
      </c>
      <c r="JH70" s="39">
        <f t="shared" si="474"/>
        <v>0.33709096602473776</v>
      </c>
      <c r="JI70" s="39">
        <f t="shared" si="474"/>
        <v>0.25499303297724107</v>
      </c>
      <c r="JJ70" s="39">
        <f t="shared" si="474"/>
        <v>0.2388673765730881</v>
      </c>
      <c r="JK70" s="39">
        <f t="shared" si="474"/>
        <v>0.26757369614512472</v>
      </c>
      <c r="JL70" s="39">
        <f t="shared" si="474"/>
        <v>0.29839883551673946</v>
      </c>
      <c r="JM70" s="39">
        <f t="shared" si="474"/>
        <v>0.14578163771712158</v>
      </c>
      <c r="JN70" s="39">
        <f t="shared" si="474"/>
        <v>0.33487854626367514</v>
      </c>
      <c r="JO70" s="39">
        <f t="shared" si="474"/>
        <v>0.22296908008450164</v>
      </c>
      <c r="JP70" s="39">
        <f t="shared" si="474"/>
        <v>0.28311509303928323</v>
      </c>
      <c r="JQ70" s="39">
        <f t="shared" si="474"/>
        <v>0.2041830961769244</v>
      </c>
      <c r="JR70" s="39">
        <f t="shared" si="474"/>
        <v>0.32203389830508472</v>
      </c>
      <c r="JS70" s="39">
        <f t="shared" si="474"/>
        <v>0.14403600900225055</v>
      </c>
      <c r="JT70" s="39">
        <f t="shared" si="474"/>
        <v>0.16795545932570369</v>
      </c>
      <c r="JU70" s="39">
        <f t="shared" si="474"/>
        <v>0.24746892220940664</v>
      </c>
      <c r="JV70" s="39">
        <f t="shared" si="474"/>
        <v>0.27167630057803466</v>
      </c>
      <c r="JW70" s="39">
        <f t="shared" si="474"/>
        <v>0.3294216261525566</v>
      </c>
      <c r="JX70" s="39">
        <f t="shared" si="474"/>
        <v>0.24683544303797469</v>
      </c>
      <c r="JY70" s="39">
        <f t="shared" si="474"/>
        <v>0.20827970827970829</v>
      </c>
      <c r="JZ70" s="39">
        <f t="shared" si="474"/>
        <v>0.42701062215477997</v>
      </c>
      <c r="KA70" s="39">
        <f t="shared" si="474"/>
        <v>0.26927822331893891</v>
      </c>
      <c r="KB70" s="39">
        <f t="shared" si="474"/>
        <v>0.18782383419689119</v>
      </c>
      <c r="KC70" s="39">
        <f t="shared" si="474"/>
        <v>0.22018739352640546</v>
      </c>
      <c r="KD70" s="39">
        <f t="shared" si="474"/>
        <v>0.2988187523071244</v>
      </c>
      <c r="KE70" s="39">
        <f t="shared" si="474"/>
        <v>0.27460273208809588</v>
      </c>
      <c r="KF70" s="39">
        <f t="shared" si="474"/>
        <v>0</v>
      </c>
      <c r="KG70" s="39">
        <f t="shared" si="474"/>
        <v>0.28921848260125499</v>
      </c>
      <c r="KH70" s="39">
        <f t="shared" ref="KH70:KW83" si="475">IFERROR(KH7/KH49,0)</f>
        <v>0.31155778894472363</v>
      </c>
      <c r="KI70" s="39">
        <f t="shared" si="475"/>
        <v>0.21804207119741101</v>
      </c>
      <c r="KJ70" s="39">
        <f t="shared" si="475"/>
        <v>0.19001790510295435</v>
      </c>
      <c r="KK70" s="39">
        <f t="shared" si="475"/>
        <v>0.24452629425005115</v>
      </c>
      <c r="KL70" s="39">
        <f t="shared" si="475"/>
        <v>0.41327231121281466</v>
      </c>
      <c r="KM70" s="39">
        <f t="shared" si="475"/>
        <v>0.31462585034013607</v>
      </c>
      <c r="KN70" s="39">
        <f t="shared" si="475"/>
        <v>0.19710144927536233</v>
      </c>
      <c r="KO70" s="39">
        <f t="shared" si="475"/>
        <v>0.69073607612650434</v>
      </c>
      <c r="KP70" s="39">
        <f t="shared" si="475"/>
        <v>0.20823417420276058</v>
      </c>
      <c r="KQ70" s="39">
        <f t="shared" si="475"/>
        <v>0.20079067831876821</v>
      </c>
      <c r="KR70" s="39">
        <f t="shared" si="475"/>
        <v>0.19879647539222006</v>
      </c>
      <c r="KS70" s="39">
        <f t="shared" si="475"/>
        <v>0.30241080038572804</v>
      </c>
      <c r="KT70" s="39">
        <f t="shared" si="475"/>
        <v>0.28220451527224438</v>
      </c>
      <c r="KU70" s="39">
        <f t="shared" si="475"/>
        <v>0.18460388639760836</v>
      </c>
      <c r="KV70" s="39">
        <f t="shared" si="475"/>
        <v>0.28027444253859346</v>
      </c>
      <c r="KW70" s="39">
        <f t="shared" si="475"/>
        <v>0.22101090188305253</v>
      </c>
      <c r="KX70" s="39">
        <f t="shared" ref="KX70:NI70" si="476">IFERROR(KX7/KX49,0)</f>
        <v>0.27224033535165348</v>
      </c>
      <c r="KY70" s="39">
        <f t="shared" si="476"/>
        <v>0.22801461632155906</v>
      </c>
      <c r="KZ70" s="39">
        <f t="shared" si="476"/>
        <v>0</v>
      </c>
      <c r="LA70" s="39">
        <f t="shared" si="476"/>
        <v>0</v>
      </c>
      <c r="LB70" s="39">
        <f t="shared" si="476"/>
        <v>0</v>
      </c>
      <c r="LC70" s="39">
        <f t="shared" si="476"/>
        <v>0</v>
      </c>
      <c r="LD70" s="39">
        <f t="shared" si="476"/>
        <v>0</v>
      </c>
      <c r="LE70" s="39">
        <f t="shared" si="476"/>
        <v>0</v>
      </c>
      <c r="LF70" s="39">
        <f t="shared" si="476"/>
        <v>1.555384917587814E-2</v>
      </c>
      <c r="LG70" s="39">
        <f t="shared" si="476"/>
        <v>0.21579358874120408</v>
      </c>
      <c r="LH70" s="39">
        <f t="shared" si="476"/>
        <v>0.1568355308813324</v>
      </c>
      <c r="LI70" s="39">
        <f t="shared" si="476"/>
        <v>0</v>
      </c>
      <c r="LJ70" s="39">
        <f t="shared" si="476"/>
        <v>0</v>
      </c>
      <c r="LK70" s="39">
        <f t="shared" si="476"/>
        <v>0.25751949498700333</v>
      </c>
      <c r="LL70" s="39">
        <f t="shared" si="476"/>
        <v>0.43916155419222902</v>
      </c>
      <c r="LM70" s="39">
        <f t="shared" si="476"/>
        <v>0.10734170659070309</v>
      </c>
      <c r="LN70" s="39">
        <f t="shared" si="476"/>
        <v>0</v>
      </c>
      <c r="LO70" s="39">
        <f t="shared" si="476"/>
        <v>0</v>
      </c>
      <c r="LP70" s="39">
        <f t="shared" si="476"/>
        <v>0</v>
      </c>
      <c r="LQ70" s="39">
        <f t="shared" si="476"/>
        <v>0</v>
      </c>
      <c r="LR70" s="39">
        <f t="shared" si="476"/>
        <v>0.18299291371404752</v>
      </c>
      <c r="LS70" s="39">
        <f t="shared" si="476"/>
        <v>0.14973391388485729</v>
      </c>
      <c r="LT70" s="39">
        <f t="shared" si="476"/>
        <v>0</v>
      </c>
      <c r="LU70" s="39">
        <f t="shared" si="476"/>
        <v>0</v>
      </c>
      <c r="LV70" s="39">
        <f t="shared" si="476"/>
        <v>0</v>
      </c>
      <c r="LW70" s="39">
        <f t="shared" si="476"/>
        <v>0</v>
      </c>
      <c r="LX70" s="39">
        <f t="shared" si="476"/>
        <v>0</v>
      </c>
      <c r="LY70" s="39">
        <f t="shared" si="476"/>
        <v>0</v>
      </c>
      <c r="LZ70" s="39">
        <f t="shared" si="476"/>
        <v>0</v>
      </c>
      <c r="MA70" s="39">
        <f t="shared" si="476"/>
        <v>0</v>
      </c>
      <c r="MB70" s="39">
        <f t="shared" si="476"/>
        <v>0</v>
      </c>
      <c r="MC70" s="39">
        <f t="shared" si="476"/>
        <v>0</v>
      </c>
      <c r="MD70" s="39">
        <f t="shared" si="476"/>
        <v>3.8915818939031883E-3</v>
      </c>
      <c r="ME70" s="39">
        <f t="shared" si="476"/>
        <v>0</v>
      </c>
      <c r="MF70" s="39">
        <f t="shared" si="476"/>
        <v>0</v>
      </c>
      <c r="MG70" s="39">
        <f t="shared" si="476"/>
        <v>4.2551192936314111E-2</v>
      </c>
      <c r="MH70" s="39">
        <f t="shared" si="476"/>
        <v>0</v>
      </c>
      <c r="MI70" s="39">
        <f t="shared" si="476"/>
        <v>0.22153057488099598</v>
      </c>
      <c r="MJ70" s="39">
        <f t="shared" si="476"/>
        <v>2.389705882352941E-2</v>
      </c>
      <c r="MK70" s="39">
        <f t="shared" si="476"/>
        <v>0</v>
      </c>
      <c r="ML70" s="39">
        <f t="shared" si="476"/>
        <v>0</v>
      </c>
      <c r="MM70" s="39">
        <f t="shared" si="476"/>
        <v>5.63163778647289E-2</v>
      </c>
      <c r="MN70" s="39">
        <f t="shared" si="476"/>
        <v>0</v>
      </c>
      <c r="MO70" s="39">
        <f t="shared" si="476"/>
        <v>0</v>
      </c>
      <c r="MP70" s="39">
        <f t="shared" si="476"/>
        <v>0</v>
      </c>
      <c r="MQ70" s="39">
        <f t="shared" si="476"/>
        <v>0</v>
      </c>
      <c r="MR70" s="39">
        <f t="shared" si="476"/>
        <v>0</v>
      </c>
      <c r="MS70" s="39">
        <f t="shared" si="476"/>
        <v>0</v>
      </c>
      <c r="MT70" s="39">
        <f t="shared" si="476"/>
        <v>0</v>
      </c>
      <c r="MU70" s="39">
        <f t="shared" si="476"/>
        <v>0</v>
      </c>
      <c r="MV70" s="39">
        <f t="shared" si="476"/>
        <v>1.7500295613101572E-2</v>
      </c>
      <c r="MW70" s="39">
        <f t="shared" si="476"/>
        <v>0.69259259259259254</v>
      </c>
      <c r="MX70" s="39">
        <f t="shared" si="476"/>
        <v>6.6061106523534266E-3</v>
      </c>
      <c r="MY70" s="39">
        <f t="shared" si="476"/>
        <v>0</v>
      </c>
      <c r="MZ70" s="39">
        <f t="shared" si="476"/>
        <v>0</v>
      </c>
      <c r="NA70" s="39">
        <f t="shared" si="476"/>
        <v>0</v>
      </c>
      <c r="NB70" s="39">
        <f t="shared" si="476"/>
        <v>0</v>
      </c>
      <c r="NC70" s="39">
        <f t="shared" si="476"/>
        <v>0</v>
      </c>
      <c r="ND70" s="39">
        <f t="shared" si="476"/>
        <v>0</v>
      </c>
      <c r="NE70" s="39">
        <f t="shared" si="476"/>
        <v>2.0484565939111392E-3</v>
      </c>
      <c r="NF70" s="39">
        <f t="shared" si="476"/>
        <v>1.7507723995880537E-2</v>
      </c>
      <c r="NG70" s="39">
        <f t="shared" si="476"/>
        <v>0</v>
      </c>
      <c r="NH70" s="39">
        <f t="shared" si="476"/>
        <v>0</v>
      </c>
      <c r="NI70" s="39">
        <f t="shared" si="476"/>
        <v>0</v>
      </c>
      <c r="NJ70" s="39">
        <f t="shared" ref="NJ70:NN70" si="477">IFERROR(NJ7/NJ49,0)</f>
        <v>0</v>
      </c>
      <c r="NK70" s="39">
        <f t="shared" si="477"/>
        <v>0</v>
      </c>
      <c r="NL70" s="39">
        <f t="shared" si="477"/>
        <v>0</v>
      </c>
      <c r="NM70" s="39">
        <f t="shared" si="477"/>
        <v>0</v>
      </c>
      <c r="NN70" s="39">
        <f t="shared" si="477"/>
        <v>0</v>
      </c>
      <c r="NO70" s="39">
        <f t="shared" ref="NO70" si="478">IFERROR(NO7/NO49,0)</f>
        <v>0</v>
      </c>
      <c r="NP70" s="39">
        <v>0</v>
      </c>
      <c r="NQ70" s="39">
        <v>0</v>
      </c>
      <c r="NR70" s="39">
        <v>0</v>
      </c>
      <c r="NS70" s="39">
        <v>0</v>
      </c>
      <c r="NT70" s="39">
        <v>0</v>
      </c>
      <c r="NU70" s="39">
        <v>0</v>
      </c>
      <c r="NV70" s="39">
        <v>0</v>
      </c>
      <c r="NW70" s="39">
        <v>2.27272727272727E-2</v>
      </c>
      <c r="NX70" s="39">
        <v>0</v>
      </c>
      <c r="NY70" s="39">
        <v>0</v>
      </c>
      <c r="NZ70" s="39">
        <v>0</v>
      </c>
      <c r="OA70" s="39">
        <v>0</v>
      </c>
      <c r="OB70" s="39">
        <v>0</v>
      </c>
      <c r="OC70" s="39">
        <v>0</v>
      </c>
      <c r="OD70" s="39">
        <v>0</v>
      </c>
      <c r="OE70" s="39">
        <v>0</v>
      </c>
      <c r="OF70" s="39">
        <v>0</v>
      </c>
      <c r="OG70" s="39">
        <v>0</v>
      </c>
      <c r="OH70" s="39">
        <v>0</v>
      </c>
      <c r="OI70" s="39">
        <v>2.1684838886520098E-2</v>
      </c>
      <c r="OJ70" s="39">
        <v>0</v>
      </c>
      <c r="OK70" s="39">
        <v>0</v>
      </c>
      <c r="OL70" s="39">
        <v>0</v>
      </c>
      <c r="OM70" s="39">
        <v>0</v>
      </c>
      <c r="ON70" s="39">
        <v>0</v>
      </c>
      <c r="OO70" s="39">
        <v>1.8455228981544801E-2</v>
      </c>
      <c r="OP70" s="39">
        <v>0</v>
      </c>
      <c r="OQ70" s="39">
        <v>0</v>
      </c>
      <c r="OR70" s="39">
        <v>0</v>
      </c>
      <c r="OS70" s="39">
        <f t="shared" ref="OS70" si="479">IFERROR(OS7/OS49,0)</f>
        <v>0</v>
      </c>
      <c r="OT70" s="39">
        <f>IFERROR(OT7/OT49,0)</f>
        <v>0</v>
      </c>
      <c r="OU70" s="39">
        <v>0</v>
      </c>
      <c r="OV70" s="39">
        <v>0</v>
      </c>
      <c r="OW70" s="39">
        <v>0</v>
      </c>
      <c r="OX70" s="39">
        <v>0</v>
      </c>
      <c r="OY70" s="39">
        <v>0</v>
      </c>
      <c r="OZ70" s="39">
        <v>0</v>
      </c>
      <c r="PA70" s="39">
        <v>0</v>
      </c>
      <c r="PB70" s="39">
        <v>0</v>
      </c>
      <c r="PC70" s="39">
        <v>0</v>
      </c>
      <c r="PD70" s="39">
        <v>0</v>
      </c>
      <c r="PE70" s="39">
        <v>0</v>
      </c>
      <c r="PF70" s="39">
        <v>0</v>
      </c>
      <c r="PG70" s="39">
        <v>0</v>
      </c>
      <c r="PH70" s="39">
        <v>0</v>
      </c>
      <c r="PI70" s="39">
        <v>0</v>
      </c>
      <c r="PJ70" s="39">
        <v>0</v>
      </c>
      <c r="PK70" s="39">
        <v>0</v>
      </c>
      <c r="PL70" s="39">
        <v>0</v>
      </c>
      <c r="PM70" s="39">
        <v>0</v>
      </c>
      <c r="PN70" s="39">
        <v>0</v>
      </c>
      <c r="PO70" s="39">
        <v>0</v>
      </c>
      <c r="PP70" s="39">
        <v>0</v>
      </c>
      <c r="PQ70" s="39">
        <v>0</v>
      </c>
      <c r="PR70" s="39">
        <v>0</v>
      </c>
      <c r="PS70" s="39">
        <v>0</v>
      </c>
      <c r="PT70" s="39">
        <v>0</v>
      </c>
      <c r="PU70" s="39">
        <v>0</v>
      </c>
      <c r="PV70" s="39">
        <v>0</v>
      </c>
      <c r="PW70" s="39">
        <v>0</v>
      </c>
      <c r="PX70" s="39">
        <v>0</v>
      </c>
      <c r="PY70" s="39">
        <v>0</v>
      </c>
      <c r="PZ70" s="39">
        <v>0</v>
      </c>
      <c r="QA70" s="39">
        <v>0</v>
      </c>
      <c r="QB70" s="39">
        <v>0</v>
      </c>
      <c r="QC70" s="39">
        <v>0</v>
      </c>
      <c r="QD70" s="39">
        <v>0</v>
      </c>
      <c r="QE70" s="39">
        <v>0</v>
      </c>
      <c r="QF70" s="39">
        <v>0</v>
      </c>
      <c r="QG70" s="39">
        <v>0</v>
      </c>
      <c r="QH70" s="39">
        <v>0</v>
      </c>
      <c r="QI70" s="39">
        <v>0</v>
      </c>
      <c r="QJ70" s="39">
        <v>0</v>
      </c>
      <c r="QK70" s="39">
        <v>0</v>
      </c>
      <c r="QL70" s="39">
        <v>0</v>
      </c>
      <c r="QM70" s="39">
        <v>0</v>
      </c>
      <c r="QN70" s="39">
        <v>0</v>
      </c>
      <c r="QO70" s="39">
        <v>0</v>
      </c>
      <c r="QP70" s="39">
        <v>3.7409093287291403E-2</v>
      </c>
      <c r="QQ70" s="39">
        <v>0</v>
      </c>
      <c r="QR70" s="39">
        <v>0</v>
      </c>
      <c r="QS70" s="39">
        <v>0</v>
      </c>
      <c r="QT70" s="39">
        <v>0</v>
      </c>
      <c r="QU70" s="39">
        <v>0</v>
      </c>
      <c r="QV70" s="39">
        <v>0</v>
      </c>
      <c r="QW70" s="39">
        <v>0</v>
      </c>
      <c r="QX70" s="39">
        <v>0</v>
      </c>
      <c r="QY70" s="39">
        <v>0</v>
      </c>
      <c r="QZ70" s="39">
        <v>0</v>
      </c>
      <c r="RA70" s="39">
        <v>0</v>
      </c>
      <c r="RB70" s="39">
        <v>0</v>
      </c>
      <c r="RC70" s="39">
        <v>0</v>
      </c>
      <c r="RD70" s="39">
        <v>0</v>
      </c>
      <c r="RE70" s="39">
        <v>0</v>
      </c>
      <c r="RF70" s="39">
        <v>0</v>
      </c>
      <c r="RG70" s="39">
        <v>2.4883668142095101E-2</v>
      </c>
      <c r="RH70" s="39">
        <v>0</v>
      </c>
      <c r="RI70" s="39">
        <v>0</v>
      </c>
      <c r="RJ70" s="39">
        <v>0.16349090020764601</v>
      </c>
      <c r="RK70" s="39">
        <v>0</v>
      </c>
      <c r="RL70" s="39">
        <v>0</v>
      </c>
      <c r="RM70" s="39">
        <v>0</v>
      </c>
      <c r="RN70" s="39">
        <v>0</v>
      </c>
      <c r="RO70" s="39">
        <v>0</v>
      </c>
      <c r="RP70" s="39">
        <v>0</v>
      </c>
      <c r="RQ70" s="39">
        <v>0</v>
      </c>
      <c r="RR70" s="39">
        <v>0</v>
      </c>
      <c r="RS70" s="39">
        <v>0</v>
      </c>
      <c r="RT70" s="39">
        <v>0</v>
      </c>
      <c r="RU70" s="39">
        <v>0</v>
      </c>
      <c r="RV70" s="39">
        <v>0</v>
      </c>
      <c r="RW70" s="39">
        <v>0</v>
      </c>
      <c r="RX70" s="39">
        <v>0</v>
      </c>
      <c r="RY70" s="39">
        <v>0.14713466411772599</v>
      </c>
      <c r="RZ70" s="39">
        <v>0</v>
      </c>
      <c r="SA70" s="39">
        <v>0</v>
      </c>
      <c r="SB70" s="39">
        <v>0</v>
      </c>
      <c r="SC70" s="39">
        <v>0</v>
      </c>
      <c r="SD70" s="39">
        <v>0</v>
      </c>
      <c r="SE70" s="39">
        <v>0</v>
      </c>
      <c r="SF70" s="39">
        <v>0</v>
      </c>
      <c r="SG70" s="39">
        <v>0</v>
      </c>
      <c r="SH70" s="39">
        <v>0</v>
      </c>
      <c r="SI70" s="39">
        <v>3.5171146690546398E-2</v>
      </c>
      <c r="SJ70" s="39">
        <v>0.11207522117062201</v>
      </c>
      <c r="SK70" s="39">
        <v>0</v>
      </c>
      <c r="SL70" s="39">
        <v>0</v>
      </c>
      <c r="SM70" s="39">
        <v>0</v>
      </c>
      <c r="SN70" s="39">
        <v>0</v>
      </c>
      <c r="SO70" s="39">
        <v>0</v>
      </c>
      <c r="SP70" s="39">
        <v>0</v>
      </c>
      <c r="SQ70" s="39">
        <v>0</v>
      </c>
      <c r="SR70" s="39">
        <v>0</v>
      </c>
      <c r="SS70" s="39">
        <v>0</v>
      </c>
      <c r="ST70" s="39">
        <v>0</v>
      </c>
      <c r="SU70" s="39">
        <v>0</v>
      </c>
      <c r="SV70" s="39">
        <v>0</v>
      </c>
      <c r="SW70" s="39">
        <v>0</v>
      </c>
      <c r="SX70" s="39">
        <v>0</v>
      </c>
      <c r="SY70" s="39">
        <v>0</v>
      </c>
      <c r="SZ70" s="39">
        <v>0</v>
      </c>
      <c r="TA70" s="39">
        <v>0</v>
      </c>
      <c r="TB70" s="39">
        <v>0</v>
      </c>
      <c r="TC70" s="39">
        <v>0</v>
      </c>
      <c r="TD70" s="39">
        <v>0</v>
      </c>
      <c r="TE70" s="39">
        <v>0</v>
      </c>
      <c r="TF70" s="39">
        <v>0</v>
      </c>
      <c r="TG70" s="39">
        <v>0</v>
      </c>
      <c r="TH70" s="39">
        <v>0</v>
      </c>
      <c r="TI70" s="39">
        <v>0</v>
      </c>
      <c r="TJ70" s="39">
        <v>0</v>
      </c>
      <c r="TK70" s="39">
        <v>0</v>
      </c>
      <c r="TL70" s="39">
        <v>0</v>
      </c>
      <c r="TM70" s="39">
        <v>0</v>
      </c>
      <c r="TN70" s="39">
        <v>0</v>
      </c>
      <c r="TO70" s="39">
        <v>0</v>
      </c>
      <c r="TP70" s="39">
        <v>0</v>
      </c>
      <c r="TQ70" s="39">
        <v>0</v>
      </c>
      <c r="TR70" s="39">
        <v>0</v>
      </c>
      <c r="TS70" s="39">
        <v>0</v>
      </c>
      <c r="TT70" s="39">
        <v>0</v>
      </c>
      <c r="TU70" s="39">
        <v>0</v>
      </c>
      <c r="TV70" s="39">
        <v>0</v>
      </c>
      <c r="TW70" s="39">
        <v>0</v>
      </c>
      <c r="TX70" s="39">
        <v>0</v>
      </c>
      <c r="TY70" s="39">
        <v>0</v>
      </c>
      <c r="TZ70" s="39">
        <v>0</v>
      </c>
      <c r="UA70" s="39">
        <v>0</v>
      </c>
      <c r="UB70" s="39">
        <v>0</v>
      </c>
      <c r="UC70" s="39">
        <v>0</v>
      </c>
      <c r="UD70" s="39">
        <v>0</v>
      </c>
      <c r="UE70" s="39">
        <v>0</v>
      </c>
      <c r="UF70" s="39">
        <v>0</v>
      </c>
      <c r="UG70" s="39">
        <v>0</v>
      </c>
      <c r="UH70" s="45">
        <v>0</v>
      </c>
      <c r="UI70" s="45">
        <v>0</v>
      </c>
      <c r="UJ70" s="45">
        <v>0</v>
      </c>
      <c r="UK70" s="45">
        <v>0</v>
      </c>
      <c r="UL70" s="45">
        <v>0</v>
      </c>
      <c r="UM70" s="45">
        <v>0</v>
      </c>
      <c r="UN70" s="45">
        <v>0</v>
      </c>
      <c r="UO70" s="45">
        <v>0</v>
      </c>
      <c r="UP70" s="45">
        <v>0</v>
      </c>
      <c r="UQ70" s="45">
        <v>0</v>
      </c>
      <c r="UR70" s="45">
        <v>0</v>
      </c>
      <c r="US70" s="45">
        <v>0</v>
      </c>
      <c r="UT70" s="45">
        <v>0</v>
      </c>
      <c r="UU70" s="45">
        <v>0</v>
      </c>
      <c r="UV70" s="45">
        <v>0</v>
      </c>
      <c r="UW70" s="45">
        <v>0</v>
      </c>
      <c r="UX70" s="45">
        <v>0</v>
      </c>
      <c r="UY70" s="45">
        <v>0</v>
      </c>
      <c r="UZ70" s="45">
        <v>0</v>
      </c>
      <c r="VA70" s="45">
        <v>0</v>
      </c>
      <c r="VB70" s="45">
        <v>0</v>
      </c>
      <c r="VC70" s="45">
        <v>0</v>
      </c>
      <c r="VD70" s="45">
        <v>0</v>
      </c>
      <c r="VE70" s="45">
        <v>0</v>
      </c>
      <c r="VF70" s="45">
        <v>0</v>
      </c>
      <c r="VG70" s="45">
        <v>0</v>
      </c>
      <c r="VH70" s="45">
        <v>0</v>
      </c>
      <c r="VI70" s="45">
        <v>0</v>
      </c>
      <c r="VJ70" s="45">
        <v>0</v>
      </c>
      <c r="VK70" s="45">
        <v>0</v>
      </c>
      <c r="VL70" s="45">
        <v>0</v>
      </c>
      <c r="VM70" s="45">
        <v>0</v>
      </c>
      <c r="VN70" s="45">
        <v>0</v>
      </c>
      <c r="VO70" s="45">
        <v>0</v>
      </c>
      <c r="VP70" s="45">
        <v>0</v>
      </c>
      <c r="VQ70" s="45">
        <v>0</v>
      </c>
      <c r="VR70" s="45">
        <v>0</v>
      </c>
      <c r="VS70" s="45">
        <v>0</v>
      </c>
      <c r="VT70" s="45">
        <v>0</v>
      </c>
      <c r="VU70" s="45">
        <v>0</v>
      </c>
      <c r="VV70" s="45">
        <v>0</v>
      </c>
      <c r="VW70" s="45">
        <v>0</v>
      </c>
      <c r="VX70" s="35">
        <v>0</v>
      </c>
      <c r="VY70" s="35">
        <v>0</v>
      </c>
      <c r="VZ70" s="35">
        <v>0</v>
      </c>
      <c r="WA70" s="35">
        <v>0</v>
      </c>
      <c r="WB70" s="35">
        <v>0</v>
      </c>
      <c r="WC70" s="35">
        <v>0</v>
      </c>
      <c r="WD70" s="35">
        <v>0</v>
      </c>
      <c r="WE70" s="35">
        <v>0</v>
      </c>
      <c r="WF70" s="35">
        <v>0</v>
      </c>
      <c r="WG70" s="35">
        <v>0</v>
      </c>
      <c r="WH70" s="35">
        <v>0</v>
      </c>
      <c r="WI70" s="35">
        <v>0</v>
      </c>
      <c r="WJ70" s="35">
        <v>0</v>
      </c>
      <c r="WK70" s="35">
        <v>0</v>
      </c>
      <c r="WL70" s="35">
        <v>0</v>
      </c>
      <c r="WM70" s="35">
        <v>0</v>
      </c>
      <c r="WN70" s="35">
        <v>0</v>
      </c>
      <c r="WO70" s="35">
        <v>0</v>
      </c>
      <c r="WP70" s="35">
        <v>0</v>
      </c>
      <c r="WQ70" s="35">
        <v>0</v>
      </c>
      <c r="WR70" s="35">
        <v>0</v>
      </c>
      <c r="WS70" s="35">
        <v>0</v>
      </c>
      <c r="WT70" s="35">
        <v>0</v>
      </c>
      <c r="WU70" s="35">
        <v>0</v>
      </c>
      <c r="WV70" s="45">
        <v>0</v>
      </c>
      <c r="WW70" s="45">
        <v>0</v>
      </c>
      <c r="WX70" s="45">
        <v>0</v>
      </c>
      <c r="WY70" s="45">
        <v>0</v>
      </c>
      <c r="WZ70" s="45">
        <v>0</v>
      </c>
      <c r="XA70" s="45">
        <v>0</v>
      </c>
      <c r="XB70" s="45">
        <v>0</v>
      </c>
      <c r="XC70" s="45">
        <v>0</v>
      </c>
      <c r="XD70" s="45">
        <v>0</v>
      </c>
      <c r="XE70" s="45">
        <v>0</v>
      </c>
      <c r="XF70" s="45">
        <v>0</v>
      </c>
      <c r="XG70" s="45">
        <v>0</v>
      </c>
      <c r="XH70" s="45">
        <v>0</v>
      </c>
      <c r="XI70" s="45">
        <v>0</v>
      </c>
      <c r="XJ70" s="45">
        <v>0</v>
      </c>
      <c r="XK70" s="45">
        <v>0</v>
      </c>
      <c r="XL70" s="45">
        <v>0</v>
      </c>
      <c r="XM70" s="45">
        <v>0</v>
      </c>
      <c r="XN70" s="45">
        <v>0</v>
      </c>
      <c r="XO70" s="45">
        <v>0</v>
      </c>
      <c r="XP70" s="45">
        <v>0</v>
      </c>
      <c r="XQ70" s="45">
        <v>0</v>
      </c>
      <c r="XR70" s="45">
        <v>0</v>
      </c>
      <c r="XS70" s="45">
        <v>0</v>
      </c>
      <c r="XT70" s="45">
        <v>0</v>
      </c>
      <c r="XU70" s="45">
        <v>0</v>
      </c>
      <c r="XV70" s="45">
        <v>0</v>
      </c>
      <c r="XW70" s="45">
        <v>0</v>
      </c>
      <c r="XX70" s="45">
        <v>0</v>
      </c>
      <c r="XY70">
        <v>0</v>
      </c>
      <c r="XZ70">
        <v>0</v>
      </c>
      <c r="YA70">
        <v>0</v>
      </c>
      <c r="YB70">
        <v>0</v>
      </c>
      <c r="YC70">
        <v>0</v>
      </c>
      <c r="YD70">
        <v>0</v>
      </c>
      <c r="YE70">
        <v>0</v>
      </c>
      <c r="YF70" s="1">
        <v>0</v>
      </c>
      <c r="YG70" s="1">
        <v>0</v>
      </c>
      <c r="YH70" s="1">
        <v>0</v>
      </c>
      <c r="YI70" s="1">
        <v>0</v>
      </c>
      <c r="YJ70">
        <v>0</v>
      </c>
      <c r="YK70">
        <v>0</v>
      </c>
      <c r="YL70">
        <v>0</v>
      </c>
      <c r="YM70">
        <v>0</v>
      </c>
      <c r="YN70">
        <v>0</v>
      </c>
      <c r="YO70">
        <v>0</v>
      </c>
      <c r="YP70">
        <v>0</v>
      </c>
      <c r="YQ70">
        <v>0</v>
      </c>
      <c r="YR70">
        <v>0</v>
      </c>
      <c r="YS70">
        <v>0</v>
      </c>
      <c r="YT70">
        <v>0</v>
      </c>
      <c r="YU70">
        <v>0</v>
      </c>
      <c r="YV70">
        <v>0</v>
      </c>
      <c r="YW70">
        <v>0</v>
      </c>
      <c r="YX70">
        <v>0</v>
      </c>
      <c r="YY70">
        <v>0</v>
      </c>
      <c r="YZ70">
        <v>0</v>
      </c>
      <c r="ZA70">
        <v>0</v>
      </c>
      <c r="ZB70">
        <v>0</v>
      </c>
      <c r="ZC70">
        <v>0</v>
      </c>
      <c r="ZD70">
        <v>0</v>
      </c>
      <c r="ZE70">
        <v>0</v>
      </c>
      <c r="ZF70">
        <v>0</v>
      </c>
      <c r="ZG70">
        <v>0</v>
      </c>
      <c r="ZH70">
        <v>0</v>
      </c>
      <c r="ZI70">
        <v>0</v>
      </c>
      <c r="ZJ70">
        <v>0</v>
      </c>
      <c r="ZK70">
        <v>0</v>
      </c>
      <c r="ZL70">
        <v>0</v>
      </c>
      <c r="ZM70">
        <v>0</v>
      </c>
      <c r="ZN70">
        <v>0</v>
      </c>
      <c r="ZO70">
        <v>0</v>
      </c>
      <c r="ZP70">
        <v>0</v>
      </c>
      <c r="ZQ70">
        <v>0</v>
      </c>
      <c r="ZR70">
        <v>0</v>
      </c>
      <c r="ZS70">
        <v>0</v>
      </c>
      <c r="ZT70">
        <v>0</v>
      </c>
      <c r="ZU70">
        <v>0</v>
      </c>
      <c r="ZV70">
        <v>0</v>
      </c>
      <c r="ZW70">
        <v>0</v>
      </c>
      <c r="ZX70">
        <v>0</v>
      </c>
      <c r="ZY70">
        <v>0</v>
      </c>
      <c r="ZZ70">
        <v>1.6545988210370901E-3</v>
      </c>
      <c r="AAA70">
        <v>0</v>
      </c>
      <c r="AAB70">
        <v>0</v>
      </c>
      <c r="AAC70">
        <v>0</v>
      </c>
      <c r="AAD70">
        <v>0</v>
      </c>
      <c r="AAE70">
        <v>0</v>
      </c>
      <c r="AAF70">
        <v>0</v>
      </c>
      <c r="AAG70">
        <v>0</v>
      </c>
      <c r="AAH70">
        <v>0</v>
      </c>
      <c r="AAI70">
        <v>0</v>
      </c>
      <c r="AAJ70">
        <v>0</v>
      </c>
      <c r="AAK70">
        <v>0</v>
      </c>
      <c r="AAL70">
        <v>0</v>
      </c>
      <c r="AAM70">
        <v>0</v>
      </c>
      <c r="AAN70">
        <v>0</v>
      </c>
      <c r="AAO70">
        <v>0</v>
      </c>
      <c r="AAP70">
        <v>0</v>
      </c>
      <c r="AAQ70">
        <v>0</v>
      </c>
      <c r="AAR70">
        <v>0</v>
      </c>
      <c r="AAS70">
        <v>0</v>
      </c>
      <c r="AAT70">
        <v>0</v>
      </c>
      <c r="AAU70">
        <v>0</v>
      </c>
      <c r="AAV70">
        <v>0</v>
      </c>
      <c r="AAW70">
        <v>0</v>
      </c>
      <c r="AAX70">
        <v>0</v>
      </c>
      <c r="AAY70">
        <v>0</v>
      </c>
      <c r="AAZ70">
        <v>0</v>
      </c>
      <c r="ABA70">
        <v>0</v>
      </c>
      <c r="ABB70">
        <v>0</v>
      </c>
      <c r="ABC70">
        <v>0</v>
      </c>
      <c r="ABD70">
        <v>0</v>
      </c>
      <c r="ABE70">
        <v>0</v>
      </c>
      <c r="ABF70">
        <v>0</v>
      </c>
      <c r="ABG70">
        <v>0</v>
      </c>
      <c r="ABH70">
        <v>0</v>
      </c>
      <c r="ABI70">
        <v>0</v>
      </c>
      <c r="ABJ70">
        <v>0</v>
      </c>
      <c r="ABK70">
        <v>0</v>
      </c>
      <c r="ABL70">
        <v>0</v>
      </c>
      <c r="ABM70">
        <v>0</v>
      </c>
      <c r="ABN70">
        <v>0</v>
      </c>
      <c r="ABO70">
        <v>0</v>
      </c>
      <c r="ABP70">
        <v>0</v>
      </c>
      <c r="ABQ70">
        <v>0</v>
      </c>
      <c r="ABR70">
        <v>0</v>
      </c>
      <c r="ABS70">
        <v>0</v>
      </c>
      <c r="ABT70">
        <v>0</v>
      </c>
      <c r="ABU70">
        <v>0</v>
      </c>
      <c r="ABV70">
        <v>0</v>
      </c>
      <c r="ABW70">
        <v>0</v>
      </c>
      <c r="ABX70">
        <v>0</v>
      </c>
      <c r="ABY70">
        <v>0</v>
      </c>
      <c r="ABZ70">
        <v>0</v>
      </c>
      <c r="ACA70">
        <v>0</v>
      </c>
      <c r="ACB70">
        <v>0</v>
      </c>
      <c r="ACC70">
        <v>0</v>
      </c>
      <c r="ACD70">
        <v>0</v>
      </c>
      <c r="ACE70">
        <v>0</v>
      </c>
      <c r="ACF70">
        <v>0</v>
      </c>
      <c r="ACG70">
        <v>0</v>
      </c>
      <c r="ACH70">
        <v>0</v>
      </c>
      <c r="ACI70">
        <v>0</v>
      </c>
      <c r="ACJ70">
        <v>0</v>
      </c>
      <c r="ACK70">
        <v>0</v>
      </c>
      <c r="ACL70">
        <v>0</v>
      </c>
      <c r="ACM70">
        <v>0</v>
      </c>
      <c r="ACN70">
        <v>0</v>
      </c>
      <c r="ACO70">
        <v>0</v>
      </c>
      <c r="ACP70">
        <v>0</v>
      </c>
      <c r="ACQ70">
        <v>0</v>
      </c>
      <c r="ACR70">
        <v>0</v>
      </c>
      <c r="ACS70">
        <v>0</v>
      </c>
      <c r="ACT70">
        <v>0</v>
      </c>
      <c r="ACU70">
        <v>0</v>
      </c>
      <c r="ACV70">
        <v>0</v>
      </c>
      <c r="ACW70">
        <v>0</v>
      </c>
      <c r="ACX70">
        <v>0</v>
      </c>
      <c r="ACY70">
        <v>0</v>
      </c>
      <c r="ACZ70">
        <v>0</v>
      </c>
      <c r="ADA70">
        <v>0</v>
      </c>
      <c r="ADB70">
        <v>0</v>
      </c>
      <c r="ADC70">
        <v>0</v>
      </c>
      <c r="ADD70">
        <v>0</v>
      </c>
      <c r="ADE70">
        <v>0</v>
      </c>
      <c r="ADF70">
        <v>0</v>
      </c>
      <c r="ADG70">
        <v>0</v>
      </c>
      <c r="ADH70">
        <v>0</v>
      </c>
      <c r="ADI70">
        <v>0</v>
      </c>
      <c r="ADJ70">
        <v>0</v>
      </c>
      <c r="ADK70">
        <v>0</v>
      </c>
      <c r="ADL70">
        <v>0</v>
      </c>
      <c r="ADM70">
        <v>0</v>
      </c>
      <c r="ADN70">
        <v>0</v>
      </c>
      <c r="ADO70">
        <v>0</v>
      </c>
      <c r="ADP70">
        <v>0</v>
      </c>
      <c r="ADQ70">
        <v>0</v>
      </c>
      <c r="ADR70">
        <v>0</v>
      </c>
      <c r="ADS70">
        <v>0</v>
      </c>
      <c r="ADT70">
        <v>0</v>
      </c>
      <c r="ADU70">
        <v>0</v>
      </c>
      <c r="ADV70">
        <v>0</v>
      </c>
      <c r="ADW70">
        <v>0</v>
      </c>
      <c r="ADX70">
        <v>0</v>
      </c>
      <c r="ADY70">
        <v>0</v>
      </c>
      <c r="ADZ70">
        <v>0</v>
      </c>
      <c r="AEA70">
        <v>0</v>
      </c>
      <c r="AEB70">
        <v>0</v>
      </c>
      <c r="AEC70">
        <v>0</v>
      </c>
      <c r="AED70">
        <v>0</v>
      </c>
      <c r="AEE70">
        <v>0</v>
      </c>
      <c r="AEF70">
        <v>0</v>
      </c>
      <c r="AEG70">
        <v>0</v>
      </c>
      <c r="AEH70">
        <v>0</v>
      </c>
      <c r="AEI70">
        <v>0</v>
      </c>
      <c r="AEJ70">
        <v>0</v>
      </c>
      <c r="AEK70">
        <v>0</v>
      </c>
      <c r="AEL70">
        <v>0</v>
      </c>
      <c r="AEM70">
        <v>0</v>
      </c>
      <c r="AEN70">
        <v>0</v>
      </c>
      <c r="AEO70">
        <v>0</v>
      </c>
      <c r="AEP70">
        <v>0</v>
      </c>
      <c r="AEQ70">
        <v>0</v>
      </c>
      <c r="AER70">
        <v>0</v>
      </c>
      <c r="AES70">
        <v>0</v>
      </c>
      <c r="AET70">
        <v>0</v>
      </c>
      <c r="AEU70">
        <v>0</v>
      </c>
      <c r="AEV70">
        <v>0</v>
      </c>
      <c r="AEW70">
        <v>0</v>
      </c>
      <c r="AEX70">
        <v>0</v>
      </c>
      <c r="AEY70">
        <v>0</v>
      </c>
      <c r="AEZ70">
        <v>0</v>
      </c>
      <c r="AFA70">
        <v>0</v>
      </c>
      <c r="AFB70">
        <v>0</v>
      </c>
      <c r="AFC70">
        <v>0</v>
      </c>
      <c r="AFD70">
        <v>0</v>
      </c>
      <c r="AFE70">
        <v>0</v>
      </c>
      <c r="AFF70">
        <v>0</v>
      </c>
      <c r="AFG70">
        <v>0</v>
      </c>
      <c r="AFH70">
        <v>0</v>
      </c>
      <c r="AFI70">
        <v>0</v>
      </c>
      <c r="AFJ70">
        <v>0</v>
      </c>
      <c r="AFK70">
        <v>0</v>
      </c>
      <c r="AFL70">
        <v>0</v>
      </c>
      <c r="AFM70">
        <v>0</v>
      </c>
      <c r="AFN70">
        <v>0</v>
      </c>
      <c r="AFO70">
        <v>0</v>
      </c>
      <c r="AFP70">
        <v>0</v>
      </c>
      <c r="AFQ70">
        <v>0</v>
      </c>
      <c r="AFR70">
        <v>0</v>
      </c>
      <c r="AFS70">
        <v>0</v>
      </c>
      <c r="AFT70">
        <v>0</v>
      </c>
      <c r="AFU70">
        <v>0</v>
      </c>
      <c r="AFV70">
        <v>0</v>
      </c>
      <c r="AFW70">
        <v>0</v>
      </c>
      <c r="AFX70">
        <v>0</v>
      </c>
      <c r="AFY70">
        <v>0</v>
      </c>
      <c r="AFZ70">
        <v>0</v>
      </c>
      <c r="AGA70">
        <v>0</v>
      </c>
      <c r="AGB70">
        <v>0</v>
      </c>
      <c r="AGC70">
        <v>0</v>
      </c>
      <c r="AGD70">
        <v>0</v>
      </c>
      <c r="AGE70">
        <v>0</v>
      </c>
      <c r="AGF70">
        <v>0</v>
      </c>
      <c r="AGG70">
        <v>0</v>
      </c>
      <c r="AGH70">
        <v>0</v>
      </c>
      <c r="AGI70">
        <v>0</v>
      </c>
      <c r="AGJ70">
        <v>0</v>
      </c>
      <c r="AGK70">
        <v>0</v>
      </c>
      <c r="AGL70">
        <v>0</v>
      </c>
      <c r="AGM70">
        <v>0</v>
      </c>
      <c r="AGN70">
        <v>0</v>
      </c>
      <c r="AGO70">
        <v>0</v>
      </c>
      <c r="AGP70">
        <v>0</v>
      </c>
      <c r="AGQ70">
        <v>0</v>
      </c>
      <c r="AGR70">
        <v>0</v>
      </c>
      <c r="AGS70">
        <v>0</v>
      </c>
      <c r="AGT70">
        <v>0</v>
      </c>
      <c r="AGU70">
        <v>0</v>
      </c>
      <c r="AGV70">
        <v>0</v>
      </c>
      <c r="AGW70">
        <v>0</v>
      </c>
      <c r="AGX70">
        <v>0</v>
      </c>
      <c r="AGY70">
        <v>0</v>
      </c>
      <c r="AGZ70">
        <v>0</v>
      </c>
      <c r="AHA70">
        <v>0</v>
      </c>
      <c r="AHB70">
        <v>0</v>
      </c>
      <c r="AHC70">
        <v>0</v>
      </c>
      <c r="AHD70">
        <v>0</v>
      </c>
      <c r="AHE70">
        <v>0</v>
      </c>
      <c r="AHF70">
        <v>0</v>
      </c>
      <c r="AHG70">
        <v>0</v>
      </c>
      <c r="AHH70">
        <v>0</v>
      </c>
      <c r="AHI70">
        <v>0</v>
      </c>
      <c r="AHJ70">
        <v>0</v>
      </c>
      <c r="AHK70">
        <v>0</v>
      </c>
      <c r="AHL70">
        <v>0</v>
      </c>
      <c r="AHM70">
        <v>0</v>
      </c>
      <c r="AHN70">
        <v>0</v>
      </c>
      <c r="AHO70">
        <v>0</v>
      </c>
      <c r="AHP70">
        <v>0</v>
      </c>
      <c r="AHQ70">
        <v>0</v>
      </c>
    </row>
    <row r="71" spans="1:901">
      <c r="A71" s="1" t="s">
        <v>31</v>
      </c>
      <c r="C71" s="39">
        <f t="shared" si="157"/>
        <v>0.25955804980708524</v>
      </c>
      <c r="D71" s="39">
        <f t="shared" si="157"/>
        <v>0.21573604060913706</v>
      </c>
      <c r="E71" s="39">
        <f t="shared" si="157"/>
        <v>0.25480920845159255</v>
      </c>
      <c r="F71" s="39">
        <f t="shared" si="157"/>
        <v>0.22427035330261136</v>
      </c>
      <c r="G71" s="39">
        <f t="shared" si="222"/>
        <v>0.18064024390243902</v>
      </c>
      <c r="H71" s="39">
        <f t="shared" si="222"/>
        <v>0.23823975720789076</v>
      </c>
      <c r="I71" s="39">
        <f t="shared" si="222"/>
        <v>0.21863320875600642</v>
      </c>
      <c r="J71" s="39">
        <f t="shared" si="222"/>
        <v>0.17900109369303682</v>
      </c>
      <c r="K71" s="39">
        <f t="shared" si="222"/>
        <v>0.20063694267515925</v>
      </c>
      <c r="L71" s="39">
        <f t="shared" si="222"/>
        <v>6.0766593954502963E-2</v>
      </c>
      <c r="M71" s="39">
        <f t="shared" si="222"/>
        <v>0.1923509561304837</v>
      </c>
      <c r="N71" s="39">
        <f t="shared" si="222"/>
        <v>0.1782103134479272</v>
      </c>
      <c r="O71" s="39">
        <f t="shared" si="222"/>
        <v>0.1642043056141832</v>
      </c>
      <c r="P71" s="39">
        <f t="shared" si="222"/>
        <v>0.15497896213183732</v>
      </c>
      <c r="Q71" s="39">
        <f t="shared" si="222"/>
        <v>0.14686219538494716</v>
      </c>
      <c r="R71" s="39">
        <f t="shared" si="222"/>
        <v>0.16607773851590105</v>
      </c>
      <c r="S71" s="39">
        <f t="shared" si="222"/>
        <v>0.15925925925925927</v>
      </c>
      <c r="T71" s="39">
        <f t="shared" si="222"/>
        <v>0.27512562814070352</v>
      </c>
      <c r="U71" s="39">
        <f t="shared" si="222"/>
        <v>0.17277749874434958</v>
      </c>
      <c r="V71" s="39">
        <f t="shared" ref="V71:AY71" si="480">IFERROR(V8/V50,0)</f>
        <v>0.17744680851063829</v>
      </c>
      <c r="W71" s="39">
        <f t="shared" si="480"/>
        <v>0.13462873004857737</v>
      </c>
      <c r="X71" s="39">
        <f t="shared" si="480"/>
        <v>0.15345699831365936</v>
      </c>
      <c r="Y71" s="39">
        <f t="shared" si="480"/>
        <v>0.12650602409638553</v>
      </c>
      <c r="Z71" s="39">
        <f t="shared" si="480"/>
        <v>8.8098918083462138E-2</v>
      </c>
      <c r="AA71" s="39">
        <f t="shared" si="480"/>
        <v>0.12967289719626168</v>
      </c>
      <c r="AB71" s="39">
        <f t="shared" si="480"/>
        <v>0.12753222836095765</v>
      </c>
      <c r="AC71" s="39">
        <f t="shared" si="480"/>
        <v>0.15633895336106854</v>
      </c>
      <c r="AD71" s="39">
        <f t="shared" si="480"/>
        <v>0.13164606631351775</v>
      </c>
      <c r="AE71" s="39">
        <f t="shared" si="480"/>
        <v>0.14209515681672713</v>
      </c>
      <c r="AF71" s="39">
        <f t="shared" si="480"/>
        <v>0.12789203084832904</v>
      </c>
      <c r="AG71" s="39">
        <f t="shared" si="480"/>
        <v>0.21065989847715735</v>
      </c>
      <c r="AH71" s="39">
        <f t="shared" si="480"/>
        <v>0.15997322623828647</v>
      </c>
      <c r="AI71" s="39">
        <f t="shared" si="480"/>
        <v>0.14946962391513982</v>
      </c>
      <c r="AJ71" s="39">
        <f t="shared" si="480"/>
        <v>0.14792452830188679</v>
      </c>
      <c r="AK71" s="39">
        <f t="shared" si="480"/>
        <v>0.17442396313364056</v>
      </c>
      <c r="AL71" s="39">
        <f t="shared" si="480"/>
        <v>0.16222222222222221</v>
      </c>
      <c r="AM71" s="39">
        <f t="shared" si="480"/>
        <v>0.15848892748588797</v>
      </c>
      <c r="AN71" s="39">
        <f t="shared" si="480"/>
        <v>0.15784114052953158</v>
      </c>
      <c r="AO71" s="39">
        <f t="shared" si="480"/>
        <v>0.12117780294450736</v>
      </c>
      <c r="AP71" s="39">
        <f t="shared" si="480"/>
        <v>0.1312778747333721</v>
      </c>
      <c r="AQ71" s="39">
        <f t="shared" si="480"/>
        <v>0.14546513886191492</v>
      </c>
      <c r="AR71" s="39">
        <f t="shared" si="480"/>
        <v>0.11738261738261738</v>
      </c>
      <c r="AS71" s="39">
        <f t="shared" si="480"/>
        <v>0.114375</v>
      </c>
      <c r="AT71" s="39">
        <f t="shared" si="480"/>
        <v>0.13602357742008614</v>
      </c>
      <c r="AU71" s="39">
        <f t="shared" si="480"/>
        <v>0.17741935483870969</v>
      </c>
      <c r="AV71" s="39">
        <f t="shared" si="480"/>
        <v>0</v>
      </c>
      <c r="AW71" s="39">
        <f t="shared" si="480"/>
        <v>0.13114186851211074</v>
      </c>
      <c r="AX71" s="39">
        <f t="shared" si="480"/>
        <v>0.17580090018533229</v>
      </c>
      <c r="AY71" s="39">
        <f t="shared" si="480"/>
        <v>0.14504132231404959</v>
      </c>
      <c r="AZ71" s="39">
        <f t="shared" si="91"/>
        <v>0.15592168099331424</v>
      </c>
      <c r="BA71" s="39">
        <f t="shared" ref="BA71:BF71" si="481">IFERROR(BA8/BA50,0)</f>
        <v>0.14574468085106382</v>
      </c>
      <c r="BB71" s="39">
        <f t="shared" si="481"/>
        <v>0.20423892100192678</v>
      </c>
      <c r="BC71" s="39">
        <f t="shared" si="481"/>
        <v>0.14327485380116958</v>
      </c>
      <c r="BD71" s="39">
        <f t="shared" si="481"/>
        <v>0.15709908069458631</v>
      </c>
      <c r="BE71" s="39">
        <f t="shared" si="481"/>
        <v>0.14979134636503405</v>
      </c>
      <c r="BF71" s="39">
        <f t="shared" si="481"/>
        <v>0.13613539148223916</v>
      </c>
      <c r="BG71" s="39">
        <f t="shared" ref="BG71" si="482">IFERROR(BG8/BG50,0)</f>
        <v>0.12806359019651137</v>
      </c>
      <c r="BH71" s="39">
        <f t="shared" si="93"/>
        <v>0.11681693453547629</v>
      </c>
      <c r="BI71" s="39">
        <f t="shared" ref="BI71:BK71" si="483">IFERROR(BI8/BI50,0)</f>
        <v>0.12978889757623144</v>
      </c>
      <c r="BJ71" s="39">
        <f t="shared" si="483"/>
        <v>0.13424657534246576</v>
      </c>
      <c r="BK71" s="39">
        <f t="shared" si="483"/>
        <v>0.13392171910974673</v>
      </c>
      <c r="BL71" s="39">
        <f t="shared" ref="BL71:BM71" si="484">IFERROR(BL8/BL50,0)</f>
        <v>0.15055504162812211</v>
      </c>
      <c r="BM71" s="39">
        <f t="shared" si="484"/>
        <v>0.13211186113789777</v>
      </c>
      <c r="BN71" s="39">
        <f t="shared" ref="BN71:BO71" si="485">IFERROR(BN8/BN50,0)</f>
        <v>0.13968061451384678</v>
      </c>
      <c r="BO71" s="39">
        <f t="shared" si="485"/>
        <v>0.1493550577053632</v>
      </c>
      <c r="BP71" s="39">
        <f t="shared" ref="BP71:BQ71" si="486">IFERROR(BP8/BP50,0)</f>
        <v>0.15844544095665172</v>
      </c>
      <c r="BQ71" s="39">
        <f t="shared" si="486"/>
        <v>0.14027149321266968</v>
      </c>
      <c r="BR71" s="39">
        <f t="shared" ref="BR71:BS71" si="487">IFERROR(BR8/BR50,0)</f>
        <v>0.12720632988435787</v>
      </c>
      <c r="BS71" s="39">
        <f t="shared" si="487"/>
        <v>0.13900955690703737</v>
      </c>
      <c r="BT71" s="39">
        <f t="shared" ref="BT71:BU71" si="488">IFERROR(BT8/BT50,0)</f>
        <v>0.15081256771397616</v>
      </c>
      <c r="BU71" s="39">
        <f t="shared" si="488"/>
        <v>0.11394341065511089</v>
      </c>
      <c r="BV71" s="39">
        <f t="shared" ref="BV71:BW71" si="489">IFERROR(BV8/BV50,0)</f>
        <v>0.16180758017492711</v>
      </c>
      <c r="BW71" s="39">
        <f t="shared" si="489"/>
        <v>0.10949367088607595</v>
      </c>
      <c r="BX71" s="39">
        <f t="shared" ref="BX71:BY71" si="490">IFERROR(BX8/BX50,0)</f>
        <v>0.14513556618819776</v>
      </c>
      <c r="BY71" s="39">
        <f t="shared" si="490"/>
        <v>0.14453917986195697</v>
      </c>
      <c r="BZ71" s="39">
        <f t="shared" ref="BZ71:CA71" si="491">IFERROR(BZ8/BZ50,0)</f>
        <v>0.15153523304616745</v>
      </c>
      <c r="CA71" s="39">
        <f t="shared" si="491"/>
        <v>0.14555719194894454</v>
      </c>
      <c r="CB71" s="39">
        <f t="shared" ref="CB71:CC71" si="492">IFERROR(CB8/CB50,0)</f>
        <v>0.19920529801324505</v>
      </c>
      <c r="CC71" s="39">
        <f t="shared" si="492"/>
        <v>0.13539603960396041</v>
      </c>
      <c r="CD71" s="39">
        <f t="shared" ref="CD71:CE71" si="493">IFERROR(CD8/CD50,0)</f>
        <v>0.15126050420168066</v>
      </c>
      <c r="CE71" s="39">
        <f t="shared" si="493"/>
        <v>0.17391304347826086</v>
      </c>
      <c r="CF71" s="39">
        <f t="shared" ref="CF71:CG71" si="494">IFERROR(CF8/CF50,0)</f>
        <v>0.16768100734522559</v>
      </c>
      <c r="CG71" s="39">
        <f t="shared" si="494"/>
        <v>0.14670255720053835</v>
      </c>
      <c r="CH71" s="39">
        <f t="shared" ref="CH71:CI71" si="495">IFERROR(CH8/CH50,0)</f>
        <v>0.14108327981160351</v>
      </c>
      <c r="CI71" s="39">
        <f t="shared" si="495"/>
        <v>0.17093049581163686</v>
      </c>
      <c r="CJ71" s="39">
        <f t="shared" ref="CJ71:CK71" si="496">IFERROR(CJ8/CJ50,0)</f>
        <v>0.12148922273024167</v>
      </c>
      <c r="CK71" s="39">
        <f t="shared" si="496"/>
        <v>0.1450079239302694</v>
      </c>
      <c r="CL71" s="39">
        <f t="shared" ref="CL71:CM71" si="497">IFERROR(CL8/CL50,0)</f>
        <v>0.23120300751879699</v>
      </c>
      <c r="CM71" s="39">
        <f t="shared" si="497"/>
        <v>0.14189897296164325</v>
      </c>
      <c r="CN71" s="39">
        <f t="shared" ref="CN71:CO71" si="498">IFERROR(CN8/CN50,0)</f>
        <v>0.15609960242728604</v>
      </c>
      <c r="CO71" s="39">
        <f t="shared" si="498"/>
        <v>0.12696088684375653</v>
      </c>
      <c r="CP71" s="39">
        <f t="shared" ref="CP71:CQ71" si="499">IFERROR(CP8/CP50,0)</f>
        <v>0.13618592528236317</v>
      </c>
      <c r="CQ71" s="39">
        <f t="shared" si="499"/>
        <v>0.11650273224043715</v>
      </c>
      <c r="CR71" s="39">
        <f t="shared" ref="CR71:CS71" si="500">IFERROR(CR8/CR50,0)</f>
        <v>0.10967741935483871</v>
      </c>
      <c r="CS71" s="39">
        <f t="shared" si="500"/>
        <v>0.15292353823088456</v>
      </c>
      <c r="CT71" s="39">
        <f t="shared" ref="CT71:CU71" si="501">IFERROR(CT8/CT50,0)</f>
        <v>0.15724078834618679</v>
      </c>
      <c r="CU71" s="39">
        <f t="shared" si="501"/>
        <v>0.12323612417685795</v>
      </c>
      <c r="CV71" s="39">
        <f t="shared" ref="CV71:CW71" si="502">IFERROR(CV8/CV50,0)</f>
        <v>0.13539898132427844</v>
      </c>
      <c r="CW71" s="39">
        <f t="shared" si="502"/>
        <v>0.19254658385093168</v>
      </c>
      <c r="CX71" s="39">
        <f t="shared" ref="CX71:CY71" si="503">IFERROR(CX8/CX50,0)</f>
        <v>0.228643216080402</v>
      </c>
      <c r="CY71" s="39">
        <f t="shared" si="503"/>
        <v>0.1687041564792176</v>
      </c>
      <c r="CZ71" s="39">
        <f t="shared" ref="CZ71:DA71" si="504">IFERROR(CZ8/CZ50,0)</f>
        <v>0.2112</v>
      </c>
      <c r="DA71" s="39">
        <f t="shared" si="504"/>
        <v>0.16852589641434262</v>
      </c>
      <c r="DB71" s="39">
        <f t="shared" ref="DB71:DC71" si="505">IFERROR(DB8/DB50,0)</f>
        <v>0.16268739589117157</v>
      </c>
      <c r="DC71" s="39">
        <f t="shared" si="505"/>
        <v>0.18351409978308025</v>
      </c>
      <c r="DD71" s="39">
        <f t="shared" ref="DD71:DE71" si="506">IFERROR(DD8/DD50,0)</f>
        <v>0.20053715308863027</v>
      </c>
      <c r="DE71" s="39">
        <f t="shared" si="506"/>
        <v>0.11661807580174927</v>
      </c>
      <c r="DF71" s="39">
        <f t="shared" ref="DF71:DG71" si="507">IFERROR(DF8/DF50,0)</f>
        <v>0.2423780487804878</v>
      </c>
      <c r="DG71" s="39">
        <f t="shared" si="507"/>
        <v>0.3408662900188324</v>
      </c>
      <c r="DH71" s="39">
        <f t="shared" ref="DH71:DI71" si="508">IFERROR(DH8/DH50,0)</f>
        <v>0.14870395634379263</v>
      </c>
      <c r="DI71" s="39">
        <f t="shared" si="508"/>
        <v>0.16512020244622522</v>
      </c>
      <c r="DJ71" s="39">
        <f t="shared" ref="DJ71:DK71" si="509">IFERROR(DJ8/DJ50,0)</f>
        <v>0.15474711623779946</v>
      </c>
      <c r="DK71" s="39">
        <f t="shared" si="509"/>
        <v>0.17735578645646721</v>
      </c>
      <c r="DL71" s="39">
        <f t="shared" ref="DL71:DM71" si="510">IFERROR(DL8/DL50,0)</f>
        <v>0.17722574191397134</v>
      </c>
      <c r="DM71" s="39">
        <f t="shared" si="510"/>
        <v>6.6285714285714281E-2</v>
      </c>
      <c r="DN71" s="39">
        <f t="shared" ref="DN71:DO71" si="511">IFERROR(DN8/DN50,0)</f>
        <v>0</v>
      </c>
      <c r="DO71" s="39">
        <f t="shared" si="511"/>
        <v>0.2564896755162242</v>
      </c>
      <c r="DP71" s="39">
        <f t="shared" ref="DP71:DQ71" si="512">IFERROR(DP8/DP50,0)</f>
        <v>0.17463906766394155</v>
      </c>
      <c r="DQ71" s="39">
        <f t="shared" si="512"/>
        <v>0.14680456931151589</v>
      </c>
      <c r="DR71" s="39">
        <f t="shared" ref="DR71:DS71" si="513">IFERROR(DR8/DR50,0)</f>
        <v>0.5279661016949152</v>
      </c>
      <c r="DS71" s="39">
        <f t="shared" si="513"/>
        <v>0.18313338038108681</v>
      </c>
      <c r="DT71" s="39">
        <f t="shared" ref="DT71:DU71" si="514">IFERROR(DT8/DT50,0)</f>
        <v>0.13045434098065678</v>
      </c>
      <c r="DU71" s="39">
        <f t="shared" si="514"/>
        <v>0.20992676973148902</v>
      </c>
      <c r="DV71" s="39">
        <f t="shared" si="125"/>
        <v>0.18035401052463723</v>
      </c>
      <c r="DW71" s="39">
        <f t="shared" si="125"/>
        <v>0.14275974911371694</v>
      </c>
      <c r="DX71" s="39">
        <f t="shared" ref="DX71:DY71" si="515">IFERROR(DX8/DX50,0)</f>
        <v>0.1666148102053516</v>
      </c>
      <c r="DY71" s="39">
        <f t="shared" si="515"/>
        <v>8.4884248751702224E-2</v>
      </c>
      <c r="DZ71" s="39">
        <f t="shared" ref="DZ71:EA71" si="516">IFERROR(DZ8/DZ50,0)</f>
        <v>0.13790048722870221</v>
      </c>
      <c r="EA71" s="39">
        <f t="shared" si="516"/>
        <v>0.11537083482622716</v>
      </c>
      <c r="EB71" s="39">
        <f t="shared" ref="EB71:EC71" si="517">IFERROR(EB8/EB50,0)</f>
        <v>0.16452830188679246</v>
      </c>
      <c r="EC71" s="39">
        <f t="shared" si="517"/>
        <v>0.14492957746478874</v>
      </c>
      <c r="ED71" s="39">
        <f t="shared" ref="ED71:EE71" si="518">IFERROR(ED8/ED50,0)</f>
        <v>0.15352758467682295</v>
      </c>
      <c r="EE71" s="39">
        <f t="shared" si="518"/>
        <v>0.14309917893913723</v>
      </c>
      <c r="EF71" s="39">
        <f t="shared" ref="EF71:EG71" si="519">IFERROR(EF8/EF50,0)</f>
        <v>0.1044250281848929</v>
      </c>
      <c r="EG71" s="39">
        <f t="shared" si="519"/>
        <v>9.3787479011753425E-2</v>
      </c>
      <c r="EH71" s="39">
        <f t="shared" ref="EH71:EI71" si="520">IFERROR(EH8/EH50,0)</f>
        <v>7.7416766947452864E-2</v>
      </c>
      <c r="EI71" s="39">
        <f t="shared" si="520"/>
        <v>2.9283916723861818E-2</v>
      </c>
      <c r="EJ71" s="39">
        <f t="shared" ref="EJ71:EK71" si="521">IFERROR(EJ8/EJ50,0)</f>
        <v>9.8932067635716409E-2</v>
      </c>
      <c r="EK71" s="39">
        <f t="shared" si="521"/>
        <v>9.590222861250898E-2</v>
      </c>
      <c r="EL71" s="39">
        <f t="shared" ref="EL71:EM71" si="522">IFERROR(EL8/EL50,0)</f>
        <v>0.12312841289413423</v>
      </c>
      <c r="EM71" s="39">
        <f t="shared" si="522"/>
        <v>9.4283148757856927E-2</v>
      </c>
      <c r="EN71" s="39">
        <f t="shared" ref="EN71:EO71" si="523">IFERROR(EN8/EN50,0)</f>
        <v>0.10326524046967991</v>
      </c>
      <c r="EO71" s="39">
        <f t="shared" si="523"/>
        <v>0.1019367991845056</v>
      </c>
      <c r="EP71" s="39">
        <f t="shared" ref="EP71" si="524">IFERROR(EP8/EP50,0)</f>
        <v>0.14550264550264549</v>
      </c>
      <c r="EQ71" s="39">
        <f t="shared" ref="EQ71:ER71" si="525">IFERROR(EQ8/EQ50,0)</f>
        <v>0.11709307800973159</v>
      </c>
      <c r="ER71" s="39">
        <f t="shared" si="525"/>
        <v>0.11824748743718592</v>
      </c>
      <c r="ES71" s="39">
        <f t="shared" ref="ES71:ET71" si="526">IFERROR(ES8/ES50,0)</f>
        <v>0.12372107665669763</v>
      </c>
      <c r="ET71" s="39">
        <f t="shared" si="526"/>
        <v>0.11836091410559496</v>
      </c>
      <c r="EU71" s="39">
        <f t="shared" ref="EU71:EV71" si="527">IFERROR(EU8/EU50,0)</f>
        <v>0.14764849166198238</v>
      </c>
      <c r="EV71" s="39">
        <f t="shared" si="527"/>
        <v>0.11818181818181818</v>
      </c>
      <c r="EW71" s="39">
        <f t="shared" ref="EW71:EX71" si="528">IFERROR(EW8/EW50,0)</f>
        <v>0.11005291005291006</v>
      </c>
      <c r="EX71" s="39">
        <f t="shared" si="528"/>
        <v>0.1225531914893617</v>
      </c>
      <c r="EY71" s="39">
        <f t="shared" ref="EY71:EZ71" si="529">IFERROR(EY8/EY50,0)</f>
        <v>0.12243933186259061</v>
      </c>
      <c r="EZ71" s="39">
        <f t="shared" si="529"/>
        <v>0.11487018095987411</v>
      </c>
      <c r="FA71" s="39">
        <f t="shared" ref="FA71:FB71" si="530">IFERROR(FA8/FA50,0)</f>
        <v>9.7293343087051939E-2</v>
      </c>
      <c r="FB71" s="39">
        <f t="shared" si="530"/>
        <v>0.10997485331098072</v>
      </c>
      <c r="FC71" s="39">
        <f t="shared" ref="FC71:FD71" si="531">IFERROR(FC8/FC50,0)</f>
        <v>0.12911939492166397</v>
      </c>
      <c r="FD71" s="39">
        <f t="shared" si="531"/>
        <v>0.12513144058885384</v>
      </c>
      <c r="FE71" s="39">
        <f t="shared" ref="FE71:FF71" si="532">IFERROR(FE8/FE50,0)</f>
        <v>0.13224117547711536</v>
      </c>
      <c r="FF71" s="39">
        <f t="shared" si="532"/>
        <v>0.10815879962488277</v>
      </c>
      <c r="FG71" s="39">
        <f t="shared" ref="FG71:FH71" si="533">IFERROR(FG8/FG50,0)</f>
        <v>8.0016934801016085E-2</v>
      </c>
      <c r="FH71" s="39">
        <f t="shared" si="533"/>
        <v>0.10948191593352884</v>
      </c>
      <c r="FI71" s="39">
        <f t="shared" ref="FI71:FJ71" si="534">IFERROR(FI8/FI50,0)</f>
        <v>9.7310422114307057E-2</v>
      </c>
      <c r="FJ71" s="39">
        <f t="shared" si="534"/>
        <v>0.14275862068965517</v>
      </c>
      <c r="FK71" s="39">
        <f t="shared" ref="FK71:FL71" si="535">IFERROR(FK8/FK50,0)</f>
        <v>0.1338962605548854</v>
      </c>
      <c r="FL71" s="39">
        <f t="shared" si="535"/>
        <v>0.14264207753105004</v>
      </c>
      <c r="FM71" s="39">
        <f t="shared" ref="FM71" si="536">IFERROR(FM8/FM50,0)</f>
        <v>0.13362000318522058</v>
      </c>
      <c r="FN71" s="39">
        <v>0.12181358240902899</v>
      </c>
      <c r="FO71" s="39">
        <f t="shared" ref="FO71" si="537">IFERROR(FO8/FO50,0)</f>
        <v>0.14596003475238922</v>
      </c>
      <c r="FP71" s="39">
        <v>0.12972634217672863</v>
      </c>
      <c r="FQ71" s="39">
        <f t="shared" ref="FQ71:HA71" si="538">IFERROR(FQ8/FQ50,0)</f>
        <v>0.17998385794995964</v>
      </c>
      <c r="FR71" s="39">
        <v>0.24734982332155478</v>
      </c>
      <c r="FS71" s="39">
        <f t="shared" si="538"/>
        <v>0.14082756171195171</v>
      </c>
      <c r="FT71" s="39">
        <f t="shared" si="538"/>
        <v>0.14692865993981236</v>
      </c>
      <c r="FU71" s="39">
        <f t="shared" si="538"/>
        <v>0.13070756361101429</v>
      </c>
      <c r="FV71" s="39">
        <f t="shared" si="538"/>
        <v>0.14653500264503616</v>
      </c>
      <c r="FW71" s="39">
        <f t="shared" si="538"/>
        <v>0.13979773944080903</v>
      </c>
      <c r="FX71" s="39">
        <f t="shared" si="538"/>
        <v>0.13998613998613998</v>
      </c>
      <c r="FY71" s="39">
        <f t="shared" si="538"/>
        <v>0.17709720372836218</v>
      </c>
      <c r="FZ71" s="39">
        <f t="shared" si="538"/>
        <v>0.17056033725627964</v>
      </c>
      <c r="GA71" s="39">
        <f t="shared" si="538"/>
        <v>0</v>
      </c>
      <c r="GB71" s="39">
        <f t="shared" si="538"/>
        <v>7.5411488075243532E-2</v>
      </c>
      <c r="GC71" s="39">
        <f t="shared" si="538"/>
        <v>0.13837244742456567</v>
      </c>
      <c r="GD71" s="39">
        <f t="shared" si="538"/>
        <v>0.15971498088286409</v>
      </c>
      <c r="GE71" s="39">
        <f t="shared" si="538"/>
        <v>0.15365853658536585</v>
      </c>
      <c r="GF71" s="39">
        <f t="shared" si="538"/>
        <v>0.22682660850599781</v>
      </c>
      <c r="GG71" s="39">
        <f t="shared" si="538"/>
        <v>0.14348418344180414</v>
      </c>
      <c r="GH71" s="39">
        <f t="shared" si="538"/>
        <v>0.18778801843317972</v>
      </c>
      <c r="GI71" s="39">
        <f t="shared" si="538"/>
        <v>0.16084366446626952</v>
      </c>
      <c r="GJ71" s="39">
        <f t="shared" si="538"/>
        <v>0.16348870056497175</v>
      </c>
      <c r="GK71" s="39">
        <f t="shared" si="538"/>
        <v>0.15629793761718083</v>
      </c>
      <c r="GL71" s="39">
        <f t="shared" si="538"/>
        <v>0.19190140845070422</v>
      </c>
      <c r="GM71" s="39">
        <f t="shared" si="538"/>
        <v>0.1962719298245614</v>
      </c>
      <c r="GN71" s="39">
        <f t="shared" si="538"/>
        <v>0.13735177865612649</v>
      </c>
      <c r="GO71" s="39">
        <f t="shared" si="538"/>
        <v>0.18042226487523993</v>
      </c>
      <c r="GP71" s="39">
        <f t="shared" si="538"/>
        <v>8.9634451677516269E-2</v>
      </c>
      <c r="GQ71" s="39">
        <f t="shared" si="538"/>
        <v>7.4826296098343126E-2</v>
      </c>
      <c r="GR71" s="39">
        <f t="shared" si="538"/>
        <v>8.1755940394683854E-2</v>
      </c>
      <c r="GS71" s="39">
        <f t="shared" si="538"/>
        <v>0.20807174887892377</v>
      </c>
      <c r="GT71" s="39">
        <f t="shared" si="538"/>
        <v>0.17005695687550854</v>
      </c>
      <c r="GU71" s="39">
        <f t="shared" si="538"/>
        <v>0.16584158415841585</v>
      </c>
      <c r="GV71" s="39">
        <f t="shared" si="538"/>
        <v>0.15635103926096997</v>
      </c>
      <c r="GW71" s="39">
        <f t="shared" si="538"/>
        <v>0.16314385388877489</v>
      </c>
      <c r="GX71" s="39">
        <f t="shared" si="538"/>
        <v>0.16012993262752648</v>
      </c>
      <c r="GY71" s="39">
        <f t="shared" si="538"/>
        <v>0.16863089267803411</v>
      </c>
      <c r="GZ71" s="39">
        <f t="shared" si="538"/>
        <v>0.13009357078176878</v>
      </c>
      <c r="HA71" s="39">
        <f t="shared" si="538"/>
        <v>4.2844284428442847E-2</v>
      </c>
      <c r="HB71" s="39">
        <f t="shared" si="148"/>
        <v>0.18118811881188118</v>
      </c>
      <c r="HC71" s="39">
        <f t="shared" si="148"/>
        <v>0.17382511556240371</v>
      </c>
      <c r="HD71" s="39">
        <f t="shared" ref="HD71:JO71" si="539">IFERROR(HD8/HD50,0)</f>
        <v>0.13969867165908889</v>
      </c>
      <c r="HE71" s="39">
        <f t="shared" si="539"/>
        <v>0.15706097755134532</v>
      </c>
      <c r="HF71" s="39">
        <f t="shared" si="539"/>
        <v>0.17498932991890739</v>
      </c>
      <c r="HG71" s="39">
        <f t="shared" si="539"/>
        <v>0.15266356810868789</v>
      </c>
      <c r="HH71" s="39">
        <f t="shared" si="539"/>
        <v>0.15917129863567459</v>
      </c>
      <c r="HI71" s="39">
        <f t="shared" si="539"/>
        <v>0.16607987124031787</v>
      </c>
      <c r="HJ71" s="39">
        <f t="shared" si="539"/>
        <v>0.1561990603125899</v>
      </c>
      <c r="HK71" s="39">
        <f t="shared" si="539"/>
        <v>0.16079334159730829</v>
      </c>
      <c r="HL71" s="39">
        <f t="shared" si="539"/>
        <v>0.14470557169263268</v>
      </c>
      <c r="HM71" s="39">
        <f t="shared" si="539"/>
        <v>0.16164412735597913</v>
      </c>
      <c r="HN71" s="39">
        <f t="shared" si="539"/>
        <v>0.12135319677219118</v>
      </c>
      <c r="HO71" s="39">
        <f t="shared" si="539"/>
        <v>0.14913366336633663</v>
      </c>
      <c r="HP71" s="39">
        <f t="shared" si="539"/>
        <v>0.12709186658864832</v>
      </c>
      <c r="HQ71" s="39">
        <f t="shared" si="539"/>
        <v>0.17727424191936023</v>
      </c>
      <c r="HR71" s="39">
        <f t="shared" si="539"/>
        <v>0.16949859272386114</v>
      </c>
      <c r="HS71" s="39">
        <f t="shared" si="539"/>
        <v>0.1560890058094925</v>
      </c>
      <c r="HT71" s="39">
        <f t="shared" si="539"/>
        <v>0.18511713367018834</v>
      </c>
      <c r="HU71" s="39">
        <f t="shared" si="539"/>
        <v>0.15862068965517243</v>
      </c>
      <c r="HV71" s="39">
        <f t="shared" si="539"/>
        <v>0.16403508771929826</v>
      </c>
      <c r="HW71" s="39">
        <f t="shared" si="539"/>
        <v>0.14270724029380902</v>
      </c>
      <c r="HX71" s="39">
        <f t="shared" si="539"/>
        <v>0.15009428032683847</v>
      </c>
      <c r="HY71" s="39">
        <f t="shared" si="539"/>
        <v>0.14888658726048679</v>
      </c>
      <c r="HZ71" s="39">
        <f t="shared" si="539"/>
        <v>0.16831815747188003</v>
      </c>
      <c r="IA71" s="39">
        <f t="shared" si="539"/>
        <v>0.16552782038767258</v>
      </c>
      <c r="IB71" s="39">
        <f t="shared" si="539"/>
        <v>0.11042629686697483</v>
      </c>
      <c r="IC71" s="39">
        <f t="shared" si="539"/>
        <v>0.19581749049429659</v>
      </c>
      <c r="ID71" s="39">
        <f t="shared" si="539"/>
        <v>0.17077933605538789</v>
      </c>
      <c r="IE71" s="39">
        <f t="shared" si="539"/>
        <v>0.1889763779527559</v>
      </c>
      <c r="IF71" s="39">
        <f t="shared" si="539"/>
        <v>0</v>
      </c>
      <c r="IG71" s="39">
        <f t="shared" si="539"/>
        <v>9.6416620189626323E-2</v>
      </c>
      <c r="IH71" s="39">
        <f t="shared" si="539"/>
        <v>0.14946338383838384</v>
      </c>
      <c r="II71" s="39">
        <f t="shared" si="539"/>
        <v>0.1040033016921172</v>
      </c>
      <c r="IJ71" s="39">
        <f t="shared" si="539"/>
        <v>0.16528066528066529</v>
      </c>
      <c r="IK71" s="39">
        <f t="shared" si="539"/>
        <v>0.17046688382193267</v>
      </c>
      <c r="IL71" s="39">
        <f t="shared" si="539"/>
        <v>0.14681595521343596</v>
      </c>
      <c r="IM71" s="39">
        <f t="shared" si="539"/>
        <v>0.19030955585464335</v>
      </c>
      <c r="IN71" s="39">
        <f t="shared" si="539"/>
        <v>0.13827198052935807</v>
      </c>
      <c r="IO71" s="39">
        <f t="shared" si="539"/>
        <v>0.16006739679865206</v>
      </c>
      <c r="IP71" s="39">
        <f t="shared" si="539"/>
        <v>0.17050465458108771</v>
      </c>
      <c r="IQ71" s="39">
        <f t="shared" si="539"/>
        <v>0.18095238095238095</v>
      </c>
      <c r="IR71" s="39">
        <f t="shared" si="539"/>
        <v>0.16570706361466087</v>
      </c>
      <c r="IS71" s="39">
        <f t="shared" si="539"/>
        <v>0.19953910803849803</v>
      </c>
      <c r="IT71" s="39">
        <f t="shared" si="539"/>
        <v>0.16290726817042606</v>
      </c>
      <c r="IU71" s="39">
        <f t="shared" si="539"/>
        <v>0.22535012024331588</v>
      </c>
      <c r="IV71" s="39">
        <f t="shared" si="539"/>
        <v>0.16842886291968096</v>
      </c>
      <c r="IW71" s="39">
        <f t="shared" si="539"/>
        <v>0.19103889709502708</v>
      </c>
      <c r="IX71" s="39">
        <f t="shared" si="539"/>
        <v>0.188050930460333</v>
      </c>
      <c r="IY71" s="39">
        <f t="shared" si="539"/>
        <v>0.22565737051792828</v>
      </c>
      <c r="IZ71" s="39">
        <f t="shared" si="539"/>
        <v>0.24621631598375784</v>
      </c>
      <c r="JA71" s="39">
        <f t="shared" si="539"/>
        <v>0.20644979580340797</v>
      </c>
      <c r="JB71" s="39">
        <f t="shared" si="539"/>
        <v>0.20051608986035216</v>
      </c>
      <c r="JC71" s="39">
        <f t="shared" si="539"/>
        <v>0.21103610214264748</v>
      </c>
      <c r="JD71" s="39">
        <f t="shared" si="539"/>
        <v>0.21254224558768306</v>
      </c>
      <c r="JE71" s="39">
        <f t="shared" si="539"/>
        <v>0.22280570142535633</v>
      </c>
      <c r="JF71" s="39">
        <f t="shared" si="539"/>
        <v>0.19458461538461538</v>
      </c>
      <c r="JG71" s="39">
        <f t="shared" si="539"/>
        <v>0.23006173617235731</v>
      </c>
      <c r="JH71" s="39">
        <f t="shared" si="539"/>
        <v>0.22515136226034307</v>
      </c>
      <c r="JI71" s="39">
        <f t="shared" si="539"/>
        <v>0.25016803333781423</v>
      </c>
      <c r="JJ71" s="39">
        <f t="shared" si="539"/>
        <v>0.25155236649648133</v>
      </c>
      <c r="JK71" s="39">
        <f t="shared" si="539"/>
        <v>0.22025413939160571</v>
      </c>
      <c r="JL71" s="39">
        <f t="shared" si="539"/>
        <v>0.31195652173913041</v>
      </c>
      <c r="JM71" s="39">
        <f t="shared" si="539"/>
        <v>0.22994581736487379</v>
      </c>
      <c r="JN71" s="39">
        <f t="shared" si="539"/>
        <v>0.21561447194961184</v>
      </c>
      <c r="JO71" s="39">
        <f t="shared" si="539"/>
        <v>0.25371378143844681</v>
      </c>
      <c r="JP71" s="39">
        <f t="shared" ref="JP71:KG71" si="540">IFERROR(JP8/JP50,0)</f>
        <v>0.21958808712401837</v>
      </c>
      <c r="JQ71" s="39">
        <f t="shared" si="540"/>
        <v>0.27327647476901207</v>
      </c>
      <c r="JR71" s="39">
        <f t="shared" si="540"/>
        <v>0.19753086419753085</v>
      </c>
      <c r="JS71" s="39">
        <f t="shared" si="540"/>
        <v>0.33269415148609782</v>
      </c>
      <c r="JT71" s="39">
        <f t="shared" si="540"/>
        <v>0.23738986080960287</v>
      </c>
      <c r="JU71" s="39">
        <f t="shared" si="540"/>
        <v>0.29117013639626704</v>
      </c>
      <c r="JV71" s="39">
        <f t="shared" si="540"/>
        <v>0.26377899959769346</v>
      </c>
      <c r="JW71" s="39">
        <f t="shared" si="540"/>
        <v>0.28939682539682537</v>
      </c>
      <c r="JX71" s="39">
        <f t="shared" si="540"/>
        <v>0.25884802220680081</v>
      </c>
      <c r="JY71" s="39">
        <f t="shared" si="540"/>
        <v>0.21605117766792672</v>
      </c>
      <c r="JZ71" s="39">
        <f t="shared" si="540"/>
        <v>0.32400339270568279</v>
      </c>
      <c r="KA71" s="39">
        <f t="shared" si="540"/>
        <v>0.27505919494869774</v>
      </c>
      <c r="KB71" s="39">
        <f t="shared" si="540"/>
        <v>0</v>
      </c>
      <c r="KC71" s="39">
        <f t="shared" si="540"/>
        <v>0.26835228874894257</v>
      </c>
      <c r="KD71" s="39">
        <f t="shared" si="540"/>
        <v>0</v>
      </c>
      <c r="KE71" s="39">
        <f t="shared" si="540"/>
        <v>0.12410384531827069</v>
      </c>
      <c r="KF71" s="39">
        <f t="shared" si="540"/>
        <v>0.20186411577140054</v>
      </c>
      <c r="KG71" s="39">
        <f t="shared" si="540"/>
        <v>0</v>
      </c>
      <c r="KH71" s="39">
        <f t="shared" si="475"/>
        <v>0.27012609117361785</v>
      </c>
      <c r="KI71" s="39">
        <f>IFERROR(KI8/KI50,0)</f>
        <v>0.32115677321156771</v>
      </c>
      <c r="KJ71" s="39">
        <f t="shared" ref="KJ71:KY83" si="541">IFERROR(KJ8/KJ50,0)</f>
        <v>0.3258999681427206</v>
      </c>
      <c r="KK71" s="39">
        <f t="shared" si="541"/>
        <v>0.27699794123151789</v>
      </c>
      <c r="KL71" s="39">
        <f t="shared" si="541"/>
        <v>0.30299063538415066</v>
      </c>
      <c r="KM71" s="39">
        <f t="shared" si="541"/>
        <v>0.29064272211720227</v>
      </c>
      <c r="KN71" s="39">
        <f t="shared" si="541"/>
        <v>0.18251851851851852</v>
      </c>
      <c r="KO71" s="39">
        <f t="shared" si="541"/>
        <v>0.29998987546825961</v>
      </c>
      <c r="KP71" s="39">
        <f t="shared" si="541"/>
        <v>0.29106945975744214</v>
      </c>
      <c r="KQ71" s="39">
        <f t="shared" si="541"/>
        <v>0.29217930886915588</v>
      </c>
      <c r="KR71" s="39">
        <f t="shared" si="541"/>
        <v>0.27364641406028534</v>
      </c>
      <c r="KS71" s="39">
        <f t="shared" si="541"/>
        <v>0.27311851688369015</v>
      </c>
      <c r="KT71" s="39">
        <f t="shared" si="541"/>
        <v>0.20260115606936416</v>
      </c>
      <c r="KU71" s="39">
        <f t="shared" si="541"/>
        <v>0.28706128863279201</v>
      </c>
      <c r="KV71" s="39">
        <f t="shared" si="541"/>
        <v>0</v>
      </c>
      <c r="KW71" s="39">
        <f t="shared" si="541"/>
        <v>0</v>
      </c>
      <c r="KX71" s="39">
        <f t="shared" si="541"/>
        <v>7.7463329265203676E-2</v>
      </c>
      <c r="KY71" s="39">
        <f t="shared" si="541"/>
        <v>0.34667090081507357</v>
      </c>
      <c r="KZ71" s="39">
        <f t="shared" ref="KZ71:NK71" si="542">IFERROR(KZ8/KZ50,0)</f>
        <v>0.27983816587997301</v>
      </c>
      <c r="LA71" s="39">
        <f t="shared" si="542"/>
        <v>0.22171866829353321</v>
      </c>
      <c r="LB71" s="39">
        <f t="shared" si="542"/>
        <v>9.695074276778734E-2</v>
      </c>
      <c r="LC71" s="39">
        <f t="shared" si="542"/>
        <v>0.1924872355944566</v>
      </c>
      <c r="LD71" s="39">
        <f t="shared" si="542"/>
        <v>0.25056069526212504</v>
      </c>
      <c r="LE71" s="39">
        <f t="shared" si="542"/>
        <v>0.22345769977895372</v>
      </c>
      <c r="LF71" s="39">
        <f t="shared" si="542"/>
        <v>0.23302437349811192</v>
      </c>
      <c r="LG71" s="39">
        <f t="shared" si="542"/>
        <v>0.23055923874892753</v>
      </c>
      <c r="LH71" s="39">
        <f t="shared" si="542"/>
        <v>0.1750191570881226</v>
      </c>
      <c r="LI71" s="39">
        <f t="shared" si="542"/>
        <v>0.1358555460017197</v>
      </c>
      <c r="LJ71" s="39">
        <f t="shared" si="542"/>
        <v>0.21130388665808017</v>
      </c>
      <c r="LK71" s="39">
        <f t="shared" si="542"/>
        <v>0.31119128466327106</v>
      </c>
      <c r="LL71" s="39">
        <f t="shared" si="542"/>
        <v>0.31828495422893355</v>
      </c>
      <c r="LM71" s="39">
        <f t="shared" si="542"/>
        <v>0.33647534085170849</v>
      </c>
      <c r="LN71" s="39">
        <f t="shared" si="542"/>
        <v>0.32644729321466481</v>
      </c>
      <c r="LO71" s="39">
        <f t="shared" si="542"/>
        <v>0.24251207729468599</v>
      </c>
      <c r="LP71" s="39">
        <f t="shared" si="542"/>
        <v>0.2650285212812637</v>
      </c>
      <c r="LQ71" s="39">
        <f t="shared" si="542"/>
        <v>0.28092894759561426</v>
      </c>
      <c r="LR71" s="39">
        <f t="shared" si="542"/>
        <v>0.34431852072770652</v>
      </c>
      <c r="LS71" s="39">
        <f t="shared" si="542"/>
        <v>0.35207626433995798</v>
      </c>
      <c r="LT71" s="39">
        <f t="shared" si="542"/>
        <v>0.35410717285402316</v>
      </c>
      <c r="LU71" s="39">
        <f t="shared" si="542"/>
        <v>0.34083101586782266</v>
      </c>
      <c r="LV71" s="39">
        <f t="shared" si="542"/>
        <v>0.32529821073558646</v>
      </c>
      <c r="LW71" s="39">
        <f t="shared" si="542"/>
        <v>0.32657463330457293</v>
      </c>
      <c r="LX71" s="39">
        <f t="shared" si="542"/>
        <v>0.33876827647319452</v>
      </c>
      <c r="LY71" s="39">
        <f t="shared" si="542"/>
        <v>0.36986955138402799</v>
      </c>
      <c r="LZ71" s="39">
        <f t="shared" si="542"/>
        <v>0.38118293640408268</v>
      </c>
      <c r="MA71" s="39">
        <f t="shared" si="542"/>
        <v>0.33596052800205051</v>
      </c>
      <c r="MB71" s="39">
        <f t="shared" si="542"/>
        <v>0.33923413080512554</v>
      </c>
      <c r="MC71" s="39">
        <f t="shared" si="542"/>
        <v>0.27454208684914594</v>
      </c>
      <c r="MD71" s="39">
        <f t="shared" si="542"/>
        <v>0.29522317932654657</v>
      </c>
      <c r="ME71" s="39">
        <f t="shared" si="542"/>
        <v>0.34485902651143219</v>
      </c>
      <c r="MF71" s="39">
        <f t="shared" si="542"/>
        <v>0.34972897008632803</v>
      </c>
      <c r="MG71" s="39">
        <f t="shared" si="542"/>
        <v>0.30693960859647018</v>
      </c>
      <c r="MH71" s="39">
        <f t="shared" si="542"/>
        <v>0.3346002252252252</v>
      </c>
      <c r="MI71" s="39">
        <f t="shared" si="542"/>
        <v>0.23642576889001393</v>
      </c>
      <c r="MJ71" s="39">
        <f t="shared" si="542"/>
        <v>0.20141887723627391</v>
      </c>
      <c r="MK71" s="39">
        <f t="shared" si="542"/>
        <v>0.2904238618524333</v>
      </c>
      <c r="ML71" s="39">
        <f t="shared" si="542"/>
        <v>0.3306261075014767</v>
      </c>
      <c r="MM71" s="39">
        <f t="shared" si="542"/>
        <v>0.31949327191174687</v>
      </c>
      <c r="MN71" s="39">
        <f t="shared" si="542"/>
        <v>0.25458898643256184</v>
      </c>
      <c r="MO71" s="39">
        <f t="shared" si="542"/>
        <v>0.36178560852827951</v>
      </c>
      <c r="MP71" s="39">
        <f t="shared" si="542"/>
        <v>0.36265607264472188</v>
      </c>
      <c r="MQ71" s="39">
        <f t="shared" si="542"/>
        <v>0.27574750830564781</v>
      </c>
      <c r="MR71" s="39">
        <f t="shared" si="542"/>
        <v>0.28033289531318439</v>
      </c>
      <c r="MS71" s="39">
        <f t="shared" si="542"/>
        <v>0.31833254381809567</v>
      </c>
      <c r="MT71" s="39">
        <f t="shared" si="542"/>
        <v>0.35914702581369246</v>
      </c>
      <c r="MU71" s="39">
        <f t="shared" si="542"/>
        <v>0</v>
      </c>
      <c r="MV71" s="39">
        <f t="shared" si="542"/>
        <v>0.17131843814690556</v>
      </c>
      <c r="MW71" s="39">
        <f t="shared" si="542"/>
        <v>0.26502046745015184</v>
      </c>
      <c r="MX71" s="39">
        <f t="shared" si="542"/>
        <v>0.14946221539321133</v>
      </c>
      <c r="MY71" s="39">
        <f t="shared" si="542"/>
        <v>0.2315955766192733</v>
      </c>
      <c r="MZ71" s="39">
        <f t="shared" si="542"/>
        <v>0.27744433688286546</v>
      </c>
      <c r="NA71" s="39">
        <f t="shared" si="542"/>
        <v>0.24754213483146068</v>
      </c>
      <c r="NB71" s="39">
        <f t="shared" si="542"/>
        <v>0.13725976441413515</v>
      </c>
      <c r="NC71" s="39">
        <f t="shared" si="542"/>
        <v>0.27017334130304843</v>
      </c>
      <c r="ND71" s="39">
        <f t="shared" si="542"/>
        <v>0.23320857434501532</v>
      </c>
      <c r="NE71" s="39">
        <f t="shared" si="542"/>
        <v>0.11387220098306935</v>
      </c>
      <c r="NF71" s="39">
        <f t="shared" si="542"/>
        <v>0.15103775943985998</v>
      </c>
      <c r="NG71" s="39">
        <f t="shared" si="542"/>
        <v>0</v>
      </c>
      <c r="NH71" s="39">
        <f t="shared" si="542"/>
        <v>0.13748744369916724</v>
      </c>
      <c r="NI71" s="39">
        <f t="shared" si="542"/>
        <v>0.23748455791517148</v>
      </c>
      <c r="NJ71" s="39">
        <f t="shared" si="542"/>
        <v>0.25153374233128833</v>
      </c>
      <c r="NK71" s="39">
        <f t="shared" si="542"/>
        <v>0.1733440335823199</v>
      </c>
      <c r="NL71" s="39">
        <f t="shared" ref="NL71:NN71" si="543">IFERROR(NL8/NL50,0)</f>
        <v>0.1459764849595358</v>
      </c>
      <c r="NM71" s="39">
        <f t="shared" si="543"/>
        <v>0.22142652535090232</v>
      </c>
      <c r="NN71" s="39">
        <f t="shared" si="543"/>
        <v>0.20685794261721482</v>
      </c>
      <c r="NO71" s="39">
        <f t="shared" ref="NO71" si="544">IFERROR(NO8/NO50,0)</f>
        <v>0.21829120211943923</v>
      </c>
      <c r="NP71" s="39">
        <v>0.17621069543263701</v>
      </c>
      <c r="NQ71" s="39">
        <v>0.17105645677074199</v>
      </c>
      <c r="NR71" s="39">
        <v>0.174356263686476</v>
      </c>
      <c r="NS71" s="39">
        <v>0.36178560852828001</v>
      </c>
      <c r="NT71" s="39">
        <v>0</v>
      </c>
      <c r="NU71" s="39">
        <v>0</v>
      </c>
      <c r="NV71" s="39">
        <v>5.9665871121718402E-2</v>
      </c>
      <c r="NW71" s="39">
        <v>0.159897077743062</v>
      </c>
      <c r="NX71" s="39">
        <v>0.134840817372366</v>
      </c>
      <c r="NY71" s="39">
        <v>0.138110432852386</v>
      </c>
      <c r="NZ71" s="39">
        <v>7.4774576643941104E-2</v>
      </c>
      <c r="OA71" s="39">
        <v>4.8626514246715602E-2</v>
      </c>
      <c r="OB71" s="39">
        <v>0.116462879146119</v>
      </c>
      <c r="OC71" s="39">
        <v>0.118387208898158</v>
      </c>
      <c r="OD71" s="39">
        <v>0.103201286361643</v>
      </c>
      <c r="OE71" s="39">
        <v>0</v>
      </c>
      <c r="OF71" s="39">
        <v>0.11167878430602</v>
      </c>
      <c r="OG71" s="39">
        <v>8.3246172862983706E-2</v>
      </c>
      <c r="OH71" s="39">
        <v>4.5146198830409399E-2</v>
      </c>
      <c r="OI71" s="39">
        <v>0.113294341854505</v>
      </c>
      <c r="OJ71" s="39">
        <v>0.100917431192661</v>
      </c>
      <c r="OK71" s="39">
        <v>0</v>
      </c>
      <c r="OL71" s="39">
        <v>8.2496343247196499E-2</v>
      </c>
      <c r="OM71" s="39">
        <v>9.9504950495049496E-2</v>
      </c>
      <c r="ON71" s="39">
        <v>8.56001996506114E-2</v>
      </c>
      <c r="OO71" s="39">
        <v>1.78247734138973E-2</v>
      </c>
      <c r="OP71" s="39">
        <v>0.115919629057187</v>
      </c>
      <c r="OQ71" s="39">
        <v>9.6568977841315198E-2</v>
      </c>
      <c r="OR71" s="39">
        <v>0.104212678936605</v>
      </c>
      <c r="OS71" s="39">
        <f t="shared" ref="OS71" si="545">IFERROR(OS8/OS50,0)</f>
        <v>0</v>
      </c>
      <c r="OT71" s="39">
        <f t="shared" si="156"/>
        <v>3.5518138459314931E-2</v>
      </c>
      <c r="OU71" s="39">
        <v>4.6107946840249499E-2</v>
      </c>
      <c r="OV71" s="39">
        <v>6.1416184971098298E-2</v>
      </c>
      <c r="OW71" s="39">
        <v>8.3129584352078206E-2</v>
      </c>
      <c r="OX71" s="39">
        <v>9.2402221434479501E-2</v>
      </c>
      <c r="OY71" s="39">
        <v>0.10134043159996201</v>
      </c>
      <c r="OZ71" s="39">
        <v>0.102851545494123</v>
      </c>
      <c r="PA71" s="39">
        <v>8.6076212231336297E-2</v>
      </c>
      <c r="PB71" s="39">
        <v>7.9858883899935895E-2</v>
      </c>
      <c r="PC71" s="39">
        <v>2.2709056906225E-2</v>
      </c>
      <c r="PD71" s="39">
        <v>8.5593731163351394E-2</v>
      </c>
      <c r="PE71" s="39">
        <v>6.9016018306636201E-2</v>
      </c>
      <c r="PF71" s="39">
        <v>8.3669042454291895E-2</v>
      </c>
      <c r="PG71" s="39">
        <v>7.9171043835354796E-2</v>
      </c>
      <c r="PH71" s="39">
        <v>0</v>
      </c>
      <c r="PI71" s="39">
        <v>5.9411362080766597E-2</v>
      </c>
      <c r="PJ71" s="39">
        <v>1.03662750518314E-2</v>
      </c>
      <c r="PK71" s="39">
        <v>5.6982097186700803E-2</v>
      </c>
      <c r="PL71" s="39">
        <v>8.9027856736782304E-2</v>
      </c>
      <c r="PM71" s="39">
        <v>0</v>
      </c>
      <c r="PN71" s="39">
        <v>4.70458885481164E-2</v>
      </c>
      <c r="PO71" s="39">
        <v>9.5779665661825206E-2</v>
      </c>
      <c r="PP71" s="39">
        <v>4.8773841961852901E-2</v>
      </c>
      <c r="PQ71" s="39">
        <v>5.8291457286432202E-2</v>
      </c>
      <c r="PR71" s="39">
        <v>9.96988264617302E-2</v>
      </c>
      <c r="PS71" s="39">
        <v>9.6793349168646098E-2</v>
      </c>
      <c r="PT71" s="39">
        <v>0.102156500308071</v>
      </c>
      <c r="PU71" s="39">
        <v>5.7349798147708402E-2</v>
      </c>
      <c r="PV71" s="39">
        <v>5.8567774936061398E-2</v>
      </c>
      <c r="PW71" s="39">
        <v>3.7410540013012403E-2</v>
      </c>
      <c r="PX71" s="39">
        <v>1.15424973767051E-2</v>
      </c>
      <c r="PY71" s="39">
        <v>4.16571035115905E-2</v>
      </c>
      <c r="PZ71" s="39">
        <v>5.4655380894800501E-2</v>
      </c>
      <c r="QA71" s="39">
        <v>4.6241856030510099E-2</v>
      </c>
      <c r="QB71" s="39">
        <v>4.7626293365794298E-2</v>
      </c>
      <c r="QC71" s="39">
        <v>7.5014943215780006E-2</v>
      </c>
      <c r="QD71" s="39">
        <v>0.12911286963765101</v>
      </c>
      <c r="QE71" s="39">
        <v>4.0082219938335002E-2</v>
      </c>
      <c r="QF71" s="39">
        <v>7.2340425531914901E-2</v>
      </c>
      <c r="QG71" s="39">
        <v>5.3500575963138397E-2</v>
      </c>
      <c r="QH71" s="39">
        <v>6.60272449263275E-2</v>
      </c>
      <c r="QI71" s="39">
        <v>7.3015423800764104E-2</v>
      </c>
      <c r="QJ71" s="39">
        <v>0</v>
      </c>
      <c r="QK71" s="39">
        <v>5.7569296375266497E-2</v>
      </c>
      <c r="QL71" s="39">
        <v>2.42701371790362E-2</v>
      </c>
      <c r="QM71" s="39">
        <v>4.7705814146099097E-2</v>
      </c>
      <c r="QN71" s="39">
        <v>4.9520766773162903E-2</v>
      </c>
      <c r="QO71" s="39">
        <v>5.0944564880767998E-2</v>
      </c>
      <c r="QP71" s="39">
        <v>4.3043551940349097E-2</v>
      </c>
      <c r="QQ71" s="39">
        <v>4.5222929936305702E-2</v>
      </c>
      <c r="QR71" s="39">
        <v>0</v>
      </c>
      <c r="QS71" s="39">
        <v>4.46908602150538E-2</v>
      </c>
      <c r="QT71" s="39">
        <v>5.4445409788589597E-2</v>
      </c>
      <c r="QU71" s="39">
        <v>4.3595137914913498E-2</v>
      </c>
      <c r="QV71" s="39">
        <v>4.9003195860599598E-2</v>
      </c>
      <c r="QW71" s="39">
        <v>7.6633756464504002E-2</v>
      </c>
      <c r="QX71" s="39">
        <v>8.46286701208981E-2</v>
      </c>
      <c r="QY71" s="39">
        <v>5.6768558951965101E-2</v>
      </c>
      <c r="QZ71" s="39">
        <v>6.4584811923349902E-2</v>
      </c>
      <c r="RA71" s="39">
        <v>8.1657775954041903E-2</v>
      </c>
      <c r="RB71" s="39">
        <v>0.100921942224954</v>
      </c>
      <c r="RC71" s="39">
        <v>0.111938414941949</v>
      </c>
      <c r="RD71" s="39">
        <v>0.13182269268938099</v>
      </c>
      <c r="RE71" s="39">
        <v>0</v>
      </c>
      <c r="RF71" s="39">
        <v>3.7192982456140403E-2</v>
      </c>
      <c r="RG71" s="39">
        <v>8.9564502875924407E-2</v>
      </c>
      <c r="RH71" s="39">
        <v>0.13017063081696001</v>
      </c>
      <c r="RI71" s="39">
        <v>0.19832575444398501</v>
      </c>
      <c r="RJ71" s="39">
        <v>0</v>
      </c>
      <c r="RK71" s="39">
        <v>7.4114375528956597E-2</v>
      </c>
      <c r="RL71" s="39">
        <v>0</v>
      </c>
      <c r="RM71" s="39">
        <v>6.5141285321330303E-2</v>
      </c>
      <c r="RN71" s="39">
        <v>0.129924242424242</v>
      </c>
      <c r="RO71" s="39">
        <v>0.157078167916265</v>
      </c>
      <c r="RP71" s="39">
        <v>0</v>
      </c>
      <c r="RQ71" s="39">
        <v>9.77103391964073E-2</v>
      </c>
      <c r="RR71" s="39">
        <v>0.19934764469392399</v>
      </c>
      <c r="RS71" s="39">
        <v>0</v>
      </c>
      <c r="RT71" s="39">
        <v>6.6762246117084798E-2</v>
      </c>
      <c r="RU71" s="39">
        <v>0.116646415552855</v>
      </c>
      <c r="RV71" s="39">
        <v>0.20948873483535499</v>
      </c>
      <c r="RW71" s="39">
        <v>0.224333800841515</v>
      </c>
      <c r="RX71" s="39">
        <v>0.23782041672912599</v>
      </c>
      <c r="RY71" s="39">
        <v>0.20358784473953001</v>
      </c>
      <c r="RZ71" s="39">
        <v>0.17918037690697</v>
      </c>
      <c r="SA71" s="39">
        <v>0.149761991944343</v>
      </c>
      <c r="SB71" s="39">
        <v>0.102012383900929</v>
      </c>
      <c r="SC71" s="39">
        <v>0.20684543862013199</v>
      </c>
      <c r="SD71" s="39">
        <v>0.249471025868541</v>
      </c>
      <c r="SE71" s="39">
        <v>0.28351800554016598</v>
      </c>
      <c r="SF71" s="39">
        <v>0.294334376086201</v>
      </c>
      <c r="SG71" s="39">
        <v>0.23829495848669</v>
      </c>
      <c r="SH71" s="39">
        <v>0.22918899607002499</v>
      </c>
      <c r="SI71" s="39">
        <v>0.19269949066213901</v>
      </c>
      <c r="SJ71" s="39">
        <v>0.232556858857867</v>
      </c>
      <c r="SK71" s="39">
        <v>0.234198270126414</v>
      </c>
      <c r="SL71" s="39">
        <v>0.29795794427996702</v>
      </c>
      <c r="SM71" s="39">
        <v>0.30099298533296898</v>
      </c>
      <c r="SN71" s="39">
        <v>0.31772797869980002</v>
      </c>
      <c r="SO71" s="39">
        <v>0</v>
      </c>
      <c r="SP71" s="39">
        <v>8.26940908707747E-2</v>
      </c>
      <c r="SQ71" s="39">
        <v>0.26910476699872998</v>
      </c>
      <c r="SR71" s="39">
        <v>0.27019291316045602</v>
      </c>
      <c r="SS71" s="39">
        <v>0.292390331244405</v>
      </c>
      <c r="ST71" s="39">
        <v>0.23330423395896999</v>
      </c>
      <c r="SU71" s="39">
        <v>0.25647134578235697</v>
      </c>
      <c r="SV71" s="39">
        <v>0.180250039563222</v>
      </c>
      <c r="SW71" s="39">
        <v>0.133811603243918</v>
      </c>
      <c r="SX71" s="39">
        <v>0.25209875007773103</v>
      </c>
      <c r="SY71" s="39">
        <v>0</v>
      </c>
      <c r="SZ71" s="39">
        <v>0</v>
      </c>
      <c r="TA71" s="39">
        <v>0</v>
      </c>
      <c r="TB71" s="39">
        <v>5.5030508024937003E-2</v>
      </c>
      <c r="TC71" s="39">
        <v>0.184776510192631</v>
      </c>
      <c r="TD71" s="39">
        <v>0.222187694220012</v>
      </c>
      <c r="TE71" s="39">
        <v>0</v>
      </c>
      <c r="TF71" s="39">
        <v>0.13208457756462499</v>
      </c>
      <c r="TG71" s="39">
        <v>0.259151738299228</v>
      </c>
      <c r="TH71" s="39">
        <v>0.24846514987360099</v>
      </c>
      <c r="TI71" s="39">
        <v>0.24633296662999599</v>
      </c>
      <c r="TJ71" s="39">
        <v>0</v>
      </c>
      <c r="TK71" s="39">
        <v>0</v>
      </c>
      <c r="TL71" s="39">
        <v>0</v>
      </c>
      <c r="TM71" s="39">
        <v>0</v>
      </c>
      <c r="TN71" s="39">
        <v>0</v>
      </c>
      <c r="TO71" s="39">
        <v>3.8856052787941298E-2</v>
      </c>
      <c r="TP71" s="39">
        <v>0.23249551166965901</v>
      </c>
      <c r="TQ71" s="39">
        <v>0</v>
      </c>
      <c r="TR71" s="39">
        <v>0.134221987594035</v>
      </c>
      <c r="TS71" s="39">
        <v>0.197571131158917</v>
      </c>
      <c r="TT71" s="39">
        <v>0</v>
      </c>
      <c r="TU71" s="39">
        <v>0.1762089197377</v>
      </c>
      <c r="TV71" s="39">
        <v>0.20160179125043101</v>
      </c>
      <c r="TW71" s="39">
        <v>0.189288122531548</v>
      </c>
      <c r="TX71" s="39">
        <v>9.8738849584743202E-2</v>
      </c>
      <c r="TY71" s="39">
        <v>0.16674322462103799</v>
      </c>
      <c r="TZ71" s="39">
        <v>0.169226977737616</v>
      </c>
      <c r="UA71" s="39">
        <v>0.15536455677762401</v>
      </c>
      <c r="UB71" s="39">
        <v>0.17338158972958201</v>
      </c>
      <c r="UC71" s="39">
        <v>0.118404209927464</v>
      </c>
      <c r="UD71" s="39">
        <v>0</v>
      </c>
      <c r="UE71" s="39">
        <v>2.6558465510881601E-2</v>
      </c>
      <c r="UF71" s="39">
        <v>0.21649916247906201</v>
      </c>
      <c r="UG71" s="39">
        <v>0.147309013577621</v>
      </c>
      <c r="UH71" s="45">
        <v>0.15379352288277301</v>
      </c>
      <c r="UI71" s="45">
        <v>0.11620140435006</v>
      </c>
      <c r="UJ71" s="45">
        <v>0.119442419825073</v>
      </c>
      <c r="UK71" s="45">
        <v>0.118388791593695</v>
      </c>
      <c r="UL71" s="45">
        <v>9.2353257942918696E-2</v>
      </c>
      <c r="UM71" s="45">
        <v>6.0839760068551803E-2</v>
      </c>
      <c r="UN71" s="45">
        <v>0.11353256950564899</v>
      </c>
      <c r="UO71" s="45">
        <v>0.121748096446701</v>
      </c>
      <c r="UP71" s="45">
        <v>0</v>
      </c>
      <c r="UQ71" s="45">
        <v>4.1586445899114401E-2</v>
      </c>
      <c r="UR71" s="45">
        <v>0</v>
      </c>
      <c r="US71" s="45">
        <v>0</v>
      </c>
      <c r="UT71" s="45">
        <v>1.42021171674666E-2</v>
      </c>
      <c r="UU71" s="45">
        <v>8.4603786228849107E-2</v>
      </c>
      <c r="UV71" s="45">
        <v>7.8298457608802399E-2</v>
      </c>
      <c r="UW71" s="45">
        <v>7.5181336992746498E-2</v>
      </c>
      <c r="UX71" s="45">
        <v>7.0010159785720893E-2</v>
      </c>
      <c r="UY71" s="45">
        <v>8.2553287470395906E-2</v>
      </c>
      <c r="UZ71" s="45">
        <v>4.0400775694893303E-2</v>
      </c>
      <c r="VA71" s="45">
        <v>4.4524053224155598E-2</v>
      </c>
      <c r="VB71" s="45">
        <v>7.6465028355387502E-2</v>
      </c>
      <c r="VC71" s="45">
        <v>1.7637074754630701E-2</v>
      </c>
      <c r="VD71" s="45">
        <v>0</v>
      </c>
      <c r="VE71" s="45">
        <v>3.8410153640614599E-2</v>
      </c>
      <c r="VF71" s="45">
        <v>5.4862842892768098E-2</v>
      </c>
      <c r="VG71" s="45">
        <v>0</v>
      </c>
      <c r="VH71" s="45">
        <v>1.1798017932987299E-2</v>
      </c>
      <c r="VI71" s="45">
        <v>6.74473762229469E-2</v>
      </c>
      <c r="VJ71" s="45">
        <v>8.2963784183296405E-2</v>
      </c>
      <c r="VK71" s="45">
        <v>9.7285897671006802E-2</v>
      </c>
      <c r="VL71" s="45">
        <v>0.102995691814447</v>
      </c>
      <c r="VM71" s="45">
        <v>0</v>
      </c>
      <c r="VN71" s="45">
        <v>0</v>
      </c>
      <c r="VO71" s="45">
        <v>5.20933822110747E-3</v>
      </c>
      <c r="VP71" s="45">
        <v>7.1962616822429895E-2</v>
      </c>
      <c r="VQ71" s="45">
        <v>8.7505538325210394E-2</v>
      </c>
      <c r="VR71" s="45">
        <v>9.8673740053050393E-2</v>
      </c>
      <c r="VS71" s="45">
        <v>7.4057891862370301E-2</v>
      </c>
      <c r="VT71" s="45">
        <v>6.9941444372153497E-3</v>
      </c>
      <c r="VU71" s="45">
        <v>4.6617915904935997E-2</v>
      </c>
      <c r="VV71" s="45">
        <v>0</v>
      </c>
      <c r="VW71" s="45">
        <v>0</v>
      </c>
      <c r="VX71" s="35">
        <v>8.7214329833230395E-2</v>
      </c>
      <c r="VY71" s="35">
        <v>4.0728400735294101E-2</v>
      </c>
      <c r="VZ71" s="35">
        <v>0</v>
      </c>
      <c r="WA71" s="35">
        <v>0</v>
      </c>
      <c r="WB71" s="35">
        <v>0</v>
      </c>
      <c r="WC71" s="35">
        <v>4.6602894285013496E-3</v>
      </c>
      <c r="WD71" s="35">
        <v>7.5909728970953494E-2</v>
      </c>
      <c r="WE71" s="35">
        <v>0</v>
      </c>
      <c r="WF71" s="35">
        <v>2.8556800728141499E-2</v>
      </c>
      <c r="WG71" s="35">
        <v>5.93709884467266E-2</v>
      </c>
      <c r="WH71" s="35">
        <v>0</v>
      </c>
      <c r="WI71" s="35">
        <v>0</v>
      </c>
      <c r="WJ71" s="35">
        <v>6.2406921494929397E-3</v>
      </c>
      <c r="WK71" s="35">
        <v>7.8670929435944295E-2</v>
      </c>
      <c r="WL71" s="35">
        <v>7.8497281265447402E-2</v>
      </c>
      <c r="WM71" s="35">
        <v>8.6564950201313801E-2</v>
      </c>
      <c r="WN71" s="35">
        <v>0</v>
      </c>
      <c r="WO71" s="35">
        <v>0</v>
      </c>
      <c r="WP71" s="35">
        <v>0</v>
      </c>
      <c r="WQ71" s="35">
        <v>1.9717495058574001E-2</v>
      </c>
      <c r="WR71" s="35">
        <v>0</v>
      </c>
      <c r="WS71" s="35">
        <v>0</v>
      </c>
      <c r="WT71" s="35">
        <v>0</v>
      </c>
      <c r="WU71" s="35">
        <v>4.0491726870193402E-2</v>
      </c>
      <c r="WV71" s="45">
        <v>0</v>
      </c>
      <c r="WW71" s="45">
        <v>0</v>
      </c>
      <c r="WX71" s="45">
        <v>0</v>
      </c>
      <c r="WY71" s="45">
        <v>0</v>
      </c>
      <c r="WZ71" s="45">
        <v>5.1256168685509203E-2</v>
      </c>
      <c r="XA71" s="45">
        <v>0.119076999012833</v>
      </c>
      <c r="XB71" s="45">
        <v>0</v>
      </c>
      <c r="XC71" s="45">
        <v>0</v>
      </c>
      <c r="XD71" s="45">
        <v>0</v>
      </c>
      <c r="XE71" s="45">
        <v>4.9551234106207896E-3</v>
      </c>
      <c r="XF71" s="45">
        <v>3.3536013714408203E-2</v>
      </c>
      <c r="XG71" s="45">
        <v>0</v>
      </c>
      <c r="XH71" s="45">
        <v>0</v>
      </c>
      <c r="XI71" s="45">
        <v>0</v>
      </c>
      <c r="XJ71" s="45">
        <v>0</v>
      </c>
      <c r="XK71" s="45">
        <v>1.6620284477427302E-2</v>
      </c>
      <c r="XL71" s="45">
        <v>8.4122562674094695E-2</v>
      </c>
      <c r="XM71" s="45">
        <v>4.3050550306808197E-2</v>
      </c>
      <c r="XN71" s="45">
        <v>0</v>
      </c>
      <c r="XO71" s="45">
        <v>0</v>
      </c>
      <c r="XP71" s="45">
        <v>0</v>
      </c>
      <c r="XQ71" s="45">
        <v>0</v>
      </c>
      <c r="XR71" s="45">
        <v>4.8049461758152098E-2</v>
      </c>
      <c r="XS71" s="45">
        <v>0</v>
      </c>
      <c r="XT71" s="45">
        <v>0</v>
      </c>
      <c r="XU71" s="45">
        <v>0</v>
      </c>
      <c r="XV71" s="45">
        <v>0</v>
      </c>
      <c r="XW71" s="45">
        <v>0</v>
      </c>
      <c r="XX71" s="45">
        <v>0</v>
      </c>
      <c r="XY71">
        <v>0</v>
      </c>
      <c r="XZ71">
        <v>3.21732730522553E-2</v>
      </c>
      <c r="YA71">
        <v>0.30819882759174499</v>
      </c>
      <c r="YB71">
        <v>0.314296055012667</v>
      </c>
      <c r="YC71">
        <v>0.12297459845751101</v>
      </c>
      <c r="YD71">
        <v>0</v>
      </c>
      <c r="YE71">
        <v>4.2274486454301902E-2</v>
      </c>
      <c r="YF71" s="1">
        <v>0.239566613162119</v>
      </c>
      <c r="YG71" s="1">
        <v>0</v>
      </c>
      <c r="YH71" s="1">
        <v>0</v>
      </c>
      <c r="YI71" s="1">
        <v>0.36094508121791702</v>
      </c>
      <c r="YJ71">
        <v>0.34220487343269501</v>
      </c>
      <c r="YK71">
        <v>0.29232349165596899</v>
      </c>
      <c r="YL71">
        <v>0</v>
      </c>
      <c r="YM71">
        <v>4.4672217169243703E-2</v>
      </c>
      <c r="YN71">
        <v>0</v>
      </c>
      <c r="YO71">
        <v>0</v>
      </c>
      <c r="YP71">
        <v>0.17429355651547901</v>
      </c>
      <c r="YQ71">
        <v>0.15487944119819999</v>
      </c>
      <c r="YR71">
        <v>0</v>
      </c>
      <c r="YS71">
        <v>0</v>
      </c>
      <c r="YT71">
        <v>0</v>
      </c>
      <c r="YU71">
        <v>3.1440618987186301E-2</v>
      </c>
      <c r="YV71">
        <v>0.34773555439875098</v>
      </c>
      <c r="YW71">
        <v>7.7929703883902399E-2</v>
      </c>
      <c r="YX71">
        <v>0</v>
      </c>
      <c r="YY71">
        <v>0</v>
      </c>
      <c r="YZ71">
        <v>0</v>
      </c>
      <c r="ZA71">
        <v>0</v>
      </c>
      <c r="ZB71">
        <v>0</v>
      </c>
      <c r="ZC71">
        <v>0.153996487148406</v>
      </c>
      <c r="ZD71">
        <v>0.28838028169014102</v>
      </c>
      <c r="ZE71">
        <v>0</v>
      </c>
      <c r="ZF71">
        <v>0.10319878141660301</v>
      </c>
      <c r="ZG71">
        <v>0</v>
      </c>
      <c r="ZH71">
        <v>1.2707377338510399E-2</v>
      </c>
      <c r="ZI71">
        <v>0.31601142701673202</v>
      </c>
      <c r="ZJ71">
        <v>0.23708954144365699</v>
      </c>
      <c r="ZK71">
        <v>0.203880407124682</v>
      </c>
      <c r="ZL71">
        <v>0.17174323473882899</v>
      </c>
      <c r="ZM71">
        <v>0</v>
      </c>
      <c r="ZN71">
        <v>0</v>
      </c>
      <c r="ZO71">
        <v>2.2289488167308701E-2</v>
      </c>
      <c r="ZP71">
        <v>0.21491602618844299</v>
      </c>
      <c r="ZQ71">
        <v>0.21138318994043701</v>
      </c>
      <c r="ZR71">
        <v>0</v>
      </c>
      <c r="ZS71">
        <v>8.6604896997484596E-2</v>
      </c>
      <c r="ZT71">
        <v>0.16771763881590501</v>
      </c>
      <c r="ZU71">
        <v>0</v>
      </c>
      <c r="ZV71">
        <v>4.0100953449242797E-2</v>
      </c>
      <c r="ZW71">
        <v>0.20992456388496</v>
      </c>
      <c r="ZX71">
        <v>0.204707912250431</v>
      </c>
      <c r="ZY71">
        <v>0.172857314581079</v>
      </c>
      <c r="ZZ71">
        <v>0.15900273027733899</v>
      </c>
      <c r="AAA71">
        <v>0</v>
      </c>
      <c r="AAB71">
        <v>0</v>
      </c>
      <c r="AAC71">
        <v>7.7701481749186804E-3</v>
      </c>
      <c r="AAD71">
        <v>0.179769558851614</v>
      </c>
      <c r="AAE71">
        <v>0.15411243422874499</v>
      </c>
      <c r="AAF71">
        <v>0.14429268983086799</v>
      </c>
      <c r="AAG71">
        <v>0.166188406985324</v>
      </c>
      <c r="AAH71">
        <v>0</v>
      </c>
      <c r="AAI71">
        <v>0</v>
      </c>
      <c r="AAJ71">
        <v>4.6517291768144203E-2</v>
      </c>
      <c r="AAK71">
        <v>0.15669092529333101</v>
      </c>
      <c r="AAL71">
        <v>0.116944187480728</v>
      </c>
      <c r="AAM71">
        <v>0.15044167197887301</v>
      </c>
      <c r="AAN71">
        <v>4.5232815964523297E-2</v>
      </c>
      <c r="AAO71">
        <v>1.5441345932242501E-2</v>
      </c>
      <c r="AAP71">
        <v>0</v>
      </c>
      <c r="AAQ71">
        <v>0.12586719524281501</v>
      </c>
      <c r="AAR71">
        <v>0</v>
      </c>
      <c r="AAS71">
        <v>5.9105704985437699E-2</v>
      </c>
      <c r="AAT71">
        <v>0</v>
      </c>
      <c r="AAU71">
        <v>4.5549060378986997E-2</v>
      </c>
      <c r="AAV71">
        <v>5.5586436909394101E-3</v>
      </c>
      <c r="AAW71">
        <v>0</v>
      </c>
      <c r="AAX71">
        <v>7.1949440933398195E-2</v>
      </c>
      <c r="AAY71">
        <v>0.102938948644145</v>
      </c>
      <c r="AAZ71">
        <v>0.10685108792364301</v>
      </c>
      <c r="ABA71">
        <v>8.4179557748884901E-2</v>
      </c>
      <c r="ABB71">
        <v>0</v>
      </c>
      <c r="ABC71">
        <v>0</v>
      </c>
      <c r="ABD71">
        <v>0</v>
      </c>
      <c r="ABE71">
        <v>4.9670930088165904E-3</v>
      </c>
      <c r="ABF71">
        <v>9.0659104580218294E-2</v>
      </c>
      <c r="ABG71">
        <v>9.9135013162843205E-2</v>
      </c>
      <c r="ABH71">
        <v>8.6085343228200398E-2</v>
      </c>
      <c r="ABI71">
        <v>5.7860708732302202E-2</v>
      </c>
      <c r="ABJ71">
        <v>0</v>
      </c>
      <c r="ABK71">
        <v>0</v>
      </c>
      <c r="ABL71">
        <v>4.0107876357098398E-3</v>
      </c>
      <c r="ABM71">
        <v>8.5856905158069902E-2</v>
      </c>
      <c r="ABN71">
        <v>0</v>
      </c>
      <c r="ABO71">
        <v>3.9458896982310102E-2</v>
      </c>
      <c r="ABP71">
        <v>7.2164205977673701E-2</v>
      </c>
      <c r="ABQ71">
        <v>0</v>
      </c>
      <c r="ABR71">
        <v>0</v>
      </c>
      <c r="ABS71">
        <v>7.1703392794683499E-3</v>
      </c>
      <c r="ABT71">
        <v>9.0289276322197298E-2</v>
      </c>
      <c r="ABU71">
        <v>8.1796142089174698E-2</v>
      </c>
      <c r="ABV71">
        <v>8.5703997119193395E-2</v>
      </c>
      <c r="ABW71">
        <v>3.5853708650092499E-2</v>
      </c>
      <c r="ABX71">
        <v>0</v>
      </c>
      <c r="ABY71">
        <v>0</v>
      </c>
      <c r="ABZ71">
        <v>0</v>
      </c>
      <c r="ACA71">
        <v>2.73250707524153E-2</v>
      </c>
      <c r="ACB71">
        <v>1.7101596148973901E-3</v>
      </c>
      <c r="ACC71">
        <v>0</v>
      </c>
      <c r="ACD71">
        <v>0</v>
      </c>
      <c r="ACE71">
        <v>0</v>
      </c>
      <c r="ACF71">
        <v>0</v>
      </c>
      <c r="ACG71">
        <v>5.7855722292532996E-3</v>
      </c>
      <c r="ACH71">
        <v>7.1095571095571103E-2</v>
      </c>
      <c r="ACI71">
        <v>6.8965517241379296E-2</v>
      </c>
      <c r="ACJ71">
        <v>7.2010079472765998E-2</v>
      </c>
      <c r="ACK71">
        <v>0</v>
      </c>
      <c r="ACL71">
        <v>0</v>
      </c>
      <c r="ACM71">
        <v>0</v>
      </c>
      <c r="ACN71">
        <v>2.7980744433937901E-2</v>
      </c>
      <c r="ACO71">
        <v>0</v>
      </c>
      <c r="ACP71">
        <v>5.3652196516766303E-2</v>
      </c>
      <c r="ACQ71">
        <v>0</v>
      </c>
      <c r="ACR71">
        <v>7.6317952330632903E-3</v>
      </c>
      <c r="ACS71">
        <v>0</v>
      </c>
      <c r="ACT71">
        <v>0</v>
      </c>
      <c r="ACU71">
        <v>9.9719237099428794E-3</v>
      </c>
      <c r="ACV71">
        <v>2.77279399771652E-3</v>
      </c>
      <c r="ACW71">
        <v>0</v>
      </c>
      <c r="ACX71">
        <v>0</v>
      </c>
      <c r="ACY71">
        <v>0</v>
      </c>
      <c r="ACZ71">
        <v>0</v>
      </c>
      <c r="ADA71">
        <v>0</v>
      </c>
      <c r="ADB71">
        <v>6.0676362987418598E-3</v>
      </c>
      <c r="ADC71">
        <v>6.42689281700215E-2</v>
      </c>
      <c r="ADD71">
        <v>3.7683142352203401E-2</v>
      </c>
      <c r="ADE71">
        <v>0</v>
      </c>
      <c r="ADF71">
        <v>1.86761229314421E-2</v>
      </c>
      <c r="ADG71">
        <v>0</v>
      </c>
      <c r="ADH71">
        <v>0</v>
      </c>
      <c r="ADI71">
        <v>1.5712279097115599E-2</v>
      </c>
      <c r="ADJ71">
        <v>0</v>
      </c>
      <c r="ADK71">
        <v>0</v>
      </c>
      <c r="ADL71">
        <v>1.9552038502475801E-2</v>
      </c>
      <c r="ADM71">
        <v>0</v>
      </c>
      <c r="ADN71">
        <v>0</v>
      </c>
      <c r="ADO71">
        <v>0</v>
      </c>
      <c r="ADP71">
        <v>0</v>
      </c>
      <c r="ADQ71">
        <v>0</v>
      </c>
      <c r="ADR71">
        <v>9.8978288633461108E-3</v>
      </c>
      <c r="ADS71">
        <v>0</v>
      </c>
      <c r="ADT71">
        <v>0</v>
      </c>
      <c r="ADU71">
        <v>0</v>
      </c>
      <c r="ADV71">
        <v>0</v>
      </c>
      <c r="ADW71">
        <v>5.0075159714393101E-2</v>
      </c>
      <c r="ADX71">
        <v>0</v>
      </c>
      <c r="ADY71">
        <v>1.02396138596794E-2</v>
      </c>
      <c r="ADZ71">
        <v>0</v>
      </c>
      <c r="AEA71">
        <v>0</v>
      </c>
      <c r="AEB71">
        <v>0</v>
      </c>
      <c r="AEC71">
        <v>0</v>
      </c>
      <c r="AED71">
        <v>1.35439191163579E-2</v>
      </c>
      <c r="AEE71">
        <v>0</v>
      </c>
      <c r="AEF71">
        <v>0</v>
      </c>
      <c r="AEG71">
        <v>0</v>
      </c>
      <c r="AEH71">
        <v>0</v>
      </c>
      <c r="AEI71">
        <v>0</v>
      </c>
      <c r="AEJ71">
        <v>0</v>
      </c>
      <c r="AEK71">
        <v>1.2677791933833201E-2</v>
      </c>
      <c r="AEL71">
        <v>0</v>
      </c>
      <c r="AEM71">
        <v>0</v>
      </c>
      <c r="AEN71">
        <v>0</v>
      </c>
      <c r="AEO71">
        <v>0</v>
      </c>
      <c r="AEP71">
        <v>0</v>
      </c>
      <c r="AEQ71">
        <v>0</v>
      </c>
      <c r="AER71">
        <v>7.7535365199818502E-3</v>
      </c>
      <c r="AES71">
        <v>0</v>
      </c>
      <c r="AET71">
        <v>0</v>
      </c>
      <c r="AEU71">
        <v>0</v>
      </c>
      <c r="AEV71">
        <v>0</v>
      </c>
      <c r="AEW71">
        <v>0</v>
      </c>
      <c r="AEX71">
        <v>0</v>
      </c>
      <c r="AEY71">
        <v>0</v>
      </c>
      <c r="AEZ71">
        <v>0</v>
      </c>
      <c r="AFA71">
        <v>0</v>
      </c>
      <c r="AFB71">
        <v>0</v>
      </c>
      <c r="AFC71">
        <v>0</v>
      </c>
      <c r="AFD71">
        <v>0</v>
      </c>
      <c r="AFE71">
        <v>4.0321795196447E-3</v>
      </c>
      <c r="AFF71">
        <v>0</v>
      </c>
      <c r="AFG71">
        <v>0</v>
      </c>
      <c r="AFH71">
        <v>0</v>
      </c>
      <c r="AFI71">
        <v>0</v>
      </c>
      <c r="AFJ71">
        <v>0</v>
      </c>
      <c r="AFK71">
        <v>0</v>
      </c>
      <c r="AFL71">
        <v>0</v>
      </c>
      <c r="AFM71">
        <v>0</v>
      </c>
      <c r="AFN71">
        <v>3.6846438863729898E-3</v>
      </c>
      <c r="AFO71">
        <v>0</v>
      </c>
      <c r="AFP71">
        <v>0</v>
      </c>
      <c r="AFQ71">
        <v>0</v>
      </c>
      <c r="AFR71">
        <v>0</v>
      </c>
      <c r="AFS71">
        <v>0</v>
      </c>
      <c r="AFT71">
        <v>6.0420707146054001E-3</v>
      </c>
      <c r="AFU71">
        <v>0</v>
      </c>
      <c r="AFV71">
        <v>0</v>
      </c>
      <c r="AFW71">
        <v>0</v>
      </c>
      <c r="AFX71">
        <v>0</v>
      </c>
      <c r="AFY71">
        <v>0</v>
      </c>
      <c r="AFZ71">
        <v>0</v>
      </c>
      <c r="AGA71">
        <v>3.84299241008999E-4</v>
      </c>
      <c r="AGB71">
        <v>0</v>
      </c>
      <c r="AGC71">
        <v>0</v>
      </c>
      <c r="AGD71">
        <v>0</v>
      </c>
      <c r="AGE71">
        <v>0</v>
      </c>
      <c r="AGF71">
        <v>0</v>
      </c>
      <c r="AGG71">
        <v>0</v>
      </c>
      <c r="AGH71">
        <v>0</v>
      </c>
      <c r="AGI71">
        <v>0</v>
      </c>
      <c r="AGJ71">
        <v>0</v>
      </c>
      <c r="AGK71">
        <v>0</v>
      </c>
      <c r="AGL71">
        <v>0</v>
      </c>
      <c r="AGM71">
        <v>0</v>
      </c>
      <c r="AGN71">
        <v>0</v>
      </c>
      <c r="AGO71">
        <v>1.1234720169986201E-3</v>
      </c>
      <c r="AGP71">
        <v>0</v>
      </c>
      <c r="AGQ71">
        <v>0</v>
      </c>
      <c r="AGR71">
        <v>0</v>
      </c>
      <c r="AGS71">
        <v>0</v>
      </c>
      <c r="AGT71">
        <v>0</v>
      </c>
      <c r="AGU71">
        <v>0</v>
      </c>
      <c r="AGV71">
        <v>0</v>
      </c>
      <c r="AGW71">
        <v>0</v>
      </c>
      <c r="AGX71">
        <v>0</v>
      </c>
      <c r="AGY71">
        <v>0</v>
      </c>
      <c r="AGZ71">
        <v>0</v>
      </c>
      <c r="AHA71">
        <v>0</v>
      </c>
      <c r="AHB71">
        <v>0</v>
      </c>
      <c r="AHC71">
        <v>4.94296577946768E-4</v>
      </c>
      <c r="AHD71">
        <v>0</v>
      </c>
      <c r="AHE71">
        <v>0</v>
      </c>
      <c r="AHF71">
        <v>0</v>
      </c>
      <c r="AHG71">
        <v>0</v>
      </c>
      <c r="AHH71">
        <v>0</v>
      </c>
      <c r="AHI71">
        <v>0</v>
      </c>
      <c r="AHJ71">
        <v>0</v>
      </c>
      <c r="AHK71">
        <v>3.5061995983807701E-4</v>
      </c>
      <c r="AHL71">
        <v>0</v>
      </c>
      <c r="AHM71">
        <v>0</v>
      </c>
      <c r="AHN71">
        <v>0</v>
      </c>
      <c r="AHO71">
        <v>0</v>
      </c>
      <c r="AHP71">
        <v>0</v>
      </c>
      <c r="AHQ71">
        <v>0</v>
      </c>
    </row>
    <row r="72" spans="1:901">
      <c r="A72" s="1" t="s">
        <v>30</v>
      </c>
      <c r="C72" s="39">
        <f t="shared" si="157"/>
        <v>0</v>
      </c>
      <c r="D72" s="39">
        <f t="shared" si="157"/>
        <v>0.10404885772449672</v>
      </c>
      <c r="E72" s="39">
        <f t="shared" si="157"/>
        <v>0.40950792326939117</v>
      </c>
      <c r="F72" s="39">
        <f t="shared" si="157"/>
        <v>0.21288515406162464</v>
      </c>
      <c r="G72" s="39">
        <f t="shared" si="222"/>
        <v>0.4067067927773001</v>
      </c>
      <c r="H72" s="39">
        <f t="shared" si="222"/>
        <v>0.50550660792951541</v>
      </c>
      <c r="I72" s="39">
        <f t="shared" si="222"/>
        <v>0.35538461538461541</v>
      </c>
      <c r="J72" s="39">
        <f t="shared" si="222"/>
        <v>0</v>
      </c>
      <c r="K72" s="39">
        <f t="shared" si="222"/>
        <v>0</v>
      </c>
      <c r="L72" s="39">
        <f t="shared" si="222"/>
        <v>0.25934065934065936</v>
      </c>
      <c r="M72" s="39">
        <f t="shared" si="222"/>
        <v>0.32038834951456313</v>
      </c>
      <c r="N72" s="39">
        <f t="shared" si="222"/>
        <v>0.33152594887683967</v>
      </c>
      <c r="O72" s="39">
        <f t="shared" si="222"/>
        <v>0.6012861736334405</v>
      </c>
      <c r="P72" s="39">
        <f t="shared" si="222"/>
        <v>0</v>
      </c>
      <c r="Q72" s="39">
        <f t="shared" si="222"/>
        <v>0.25823159452460231</v>
      </c>
      <c r="R72" s="39">
        <f t="shared" si="222"/>
        <v>0.42793367346938777</v>
      </c>
      <c r="S72" s="39">
        <f t="shared" si="222"/>
        <v>0.31208659049909804</v>
      </c>
      <c r="T72" s="39">
        <f t="shared" si="222"/>
        <v>0.60590778097982712</v>
      </c>
      <c r="U72" s="39">
        <f t="shared" si="222"/>
        <v>0.21436403508771928</v>
      </c>
      <c r="V72" s="39">
        <f t="shared" ref="V72:AY72" si="546">IFERROR(V9/V51,0)</f>
        <v>0.64071856287425155</v>
      </c>
      <c r="W72" s="39">
        <f t="shared" si="546"/>
        <v>0.41123038810900081</v>
      </c>
      <c r="X72" s="39">
        <f t="shared" si="546"/>
        <v>0.2318840579710145</v>
      </c>
      <c r="Y72" s="39">
        <f t="shared" si="546"/>
        <v>0.45809474232170744</v>
      </c>
      <c r="Z72" s="39">
        <f t="shared" si="546"/>
        <v>0</v>
      </c>
      <c r="AA72" s="39">
        <f t="shared" si="546"/>
        <v>0.25715071507150716</v>
      </c>
      <c r="AB72" s="39">
        <f t="shared" si="546"/>
        <v>0.48185776487663279</v>
      </c>
      <c r="AC72" s="39">
        <f t="shared" si="546"/>
        <v>0.36644407345575958</v>
      </c>
      <c r="AD72" s="39">
        <f t="shared" si="546"/>
        <v>0</v>
      </c>
      <c r="AE72" s="39">
        <f t="shared" si="546"/>
        <v>0.19565891472868216</v>
      </c>
      <c r="AF72" s="39">
        <f t="shared" si="546"/>
        <v>0.30190571715145437</v>
      </c>
      <c r="AG72" s="39">
        <f t="shared" si="546"/>
        <v>0</v>
      </c>
      <c r="AH72" s="39">
        <f t="shared" si="546"/>
        <v>0.21242331288343558</v>
      </c>
      <c r="AI72" s="39">
        <f t="shared" si="546"/>
        <v>0.462729912875121</v>
      </c>
      <c r="AJ72" s="39">
        <f t="shared" si="546"/>
        <v>0.43241869918699188</v>
      </c>
      <c r="AK72" s="39">
        <f t="shared" si="546"/>
        <v>0</v>
      </c>
      <c r="AL72" s="39">
        <f t="shared" si="546"/>
        <v>0.35502471169686983</v>
      </c>
      <c r="AM72" s="39">
        <f t="shared" si="546"/>
        <v>0.10551626591230552</v>
      </c>
      <c r="AN72" s="39">
        <f t="shared" si="546"/>
        <v>0.34102875658161197</v>
      </c>
      <c r="AO72" s="39">
        <f t="shared" si="546"/>
        <v>0.40935672514619881</v>
      </c>
      <c r="AP72" s="39">
        <f t="shared" si="546"/>
        <v>0.43543717429067746</v>
      </c>
      <c r="AQ72" s="39">
        <f t="shared" si="546"/>
        <v>0.31390348781653127</v>
      </c>
      <c r="AR72" s="39">
        <f t="shared" si="546"/>
        <v>0</v>
      </c>
      <c r="AS72" s="39">
        <f t="shared" si="546"/>
        <v>0</v>
      </c>
      <c r="AT72" s="39">
        <f t="shared" si="546"/>
        <v>0.36881559220389803</v>
      </c>
      <c r="AU72" s="39">
        <f t="shared" si="546"/>
        <v>0.30228471001757468</v>
      </c>
      <c r="AV72" s="39">
        <f t="shared" si="546"/>
        <v>0.43487621097954793</v>
      </c>
      <c r="AW72" s="39">
        <f t="shared" si="546"/>
        <v>0.2992248062015504</v>
      </c>
      <c r="AX72" s="39">
        <f t="shared" si="546"/>
        <v>0</v>
      </c>
      <c r="AY72" s="39">
        <f t="shared" si="546"/>
        <v>0</v>
      </c>
      <c r="AZ72" s="39">
        <f t="shared" si="91"/>
        <v>0</v>
      </c>
      <c r="BA72" s="39">
        <f t="shared" ref="BA72:BF72" si="547">IFERROR(BA9/BA51,0)</f>
        <v>0</v>
      </c>
      <c r="BB72" s="39">
        <f t="shared" si="547"/>
        <v>0</v>
      </c>
      <c r="BC72" s="39">
        <f t="shared" si="547"/>
        <v>0</v>
      </c>
      <c r="BD72" s="39">
        <f t="shared" si="547"/>
        <v>6.0515780653570429E-3</v>
      </c>
      <c r="BE72" s="39">
        <f t="shared" si="547"/>
        <v>0.17316341829085458</v>
      </c>
      <c r="BF72" s="39">
        <f t="shared" si="547"/>
        <v>0</v>
      </c>
      <c r="BG72" s="39">
        <f t="shared" ref="BG72" si="548">IFERROR(BG9/BG51,0)</f>
        <v>0</v>
      </c>
      <c r="BH72" s="39">
        <f t="shared" si="93"/>
        <v>0.24017295597484276</v>
      </c>
      <c r="BI72" s="39">
        <f t="shared" ref="BI72:BK72" si="549">IFERROR(BI9/BI51,0)</f>
        <v>0</v>
      </c>
      <c r="BJ72" s="39">
        <f t="shared" si="549"/>
        <v>0</v>
      </c>
      <c r="BK72" s="39">
        <f t="shared" si="549"/>
        <v>2.4653590066582687E-2</v>
      </c>
      <c r="BL72" s="39">
        <f t="shared" ref="BL72:BM72" si="550">IFERROR(BL9/BL51,0)</f>
        <v>0</v>
      </c>
      <c r="BM72" s="39">
        <f t="shared" si="550"/>
        <v>0</v>
      </c>
      <c r="BN72" s="39">
        <f t="shared" ref="BN72:BO72" si="551">IFERROR(BN9/BN51,0)</f>
        <v>3.3725910064239827E-2</v>
      </c>
      <c r="BO72" s="39">
        <f t="shared" si="551"/>
        <v>0.3642691415313225</v>
      </c>
      <c r="BP72" s="39">
        <f t="shared" ref="BP72:BQ72" si="552">IFERROR(BP9/BP51,0)</f>
        <v>0</v>
      </c>
      <c r="BQ72" s="39">
        <f t="shared" si="552"/>
        <v>0</v>
      </c>
      <c r="BR72" s="39">
        <f t="shared" ref="BR72:BS72" si="553">IFERROR(BR9/BR51,0)</f>
        <v>8.3710407239818999E-2</v>
      </c>
      <c r="BS72" s="39">
        <f t="shared" si="553"/>
        <v>0.28425196850393702</v>
      </c>
      <c r="BT72" s="39">
        <f t="shared" ref="BT72:BU72" si="554">IFERROR(BT9/BT51,0)</f>
        <v>0.38472418670438474</v>
      </c>
      <c r="BU72" s="39">
        <f t="shared" si="554"/>
        <v>0</v>
      </c>
      <c r="BV72" s="39">
        <f t="shared" ref="BV72:BW72" si="555">IFERROR(BV9/BV51,0)</f>
        <v>0.13895705521472393</v>
      </c>
      <c r="BW72" s="39">
        <f t="shared" si="555"/>
        <v>0</v>
      </c>
      <c r="BX72" s="39">
        <f t="shared" ref="BX72:BY72" si="556">IFERROR(BX9/BX51,0)</f>
        <v>0.13796909492273732</v>
      </c>
      <c r="BY72" s="39">
        <f t="shared" si="556"/>
        <v>0</v>
      </c>
      <c r="BZ72" s="39">
        <f t="shared" ref="BZ72:CA72" si="557">IFERROR(BZ9/BZ51,0)</f>
        <v>0.18520286396181385</v>
      </c>
      <c r="CA72" s="39">
        <f t="shared" si="557"/>
        <v>0</v>
      </c>
      <c r="CB72" s="39">
        <f t="shared" ref="CB72:CC72" si="558">IFERROR(CB9/CB51,0)</f>
        <v>0.40740740740740738</v>
      </c>
      <c r="CC72" s="39">
        <f t="shared" si="558"/>
        <v>0</v>
      </c>
      <c r="CD72" s="39">
        <f t="shared" ref="CD72:CE72" si="559">IFERROR(CD9/CD51,0)</f>
        <v>0</v>
      </c>
      <c r="CE72" s="39">
        <f t="shared" si="559"/>
        <v>0</v>
      </c>
      <c r="CF72" s="39">
        <f t="shared" ref="CF72:CG72" si="560">IFERROR(CF9/CF51,0)</f>
        <v>0.11163701648441325</v>
      </c>
      <c r="CG72" s="39">
        <f t="shared" si="560"/>
        <v>0</v>
      </c>
      <c r="CH72" s="39">
        <f t="shared" ref="CH72:CI72" si="561">IFERROR(CH9/CH51,0)</f>
        <v>0</v>
      </c>
      <c r="CI72" s="39">
        <f t="shared" si="561"/>
        <v>8.3838383838383837E-2</v>
      </c>
      <c r="CJ72" s="39">
        <f t="shared" ref="CJ72:CK72" si="562">IFERROR(CJ9/CJ51,0)</f>
        <v>0</v>
      </c>
      <c r="CK72" s="39">
        <f t="shared" si="562"/>
        <v>0.19671168526130359</v>
      </c>
      <c r="CL72" s="39">
        <f t="shared" ref="CL72:CM72" si="563">IFERROR(CL9/CL51,0)</f>
        <v>0</v>
      </c>
      <c r="CM72" s="39">
        <f t="shared" si="563"/>
        <v>0</v>
      </c>
      <c r="CN72" s="39">
        <f t="shared" ref="CN72:CO72" si="564">IFERROR(CN9/CN51,0)</f>
        <v>5.5341055341055344E-2</v>
      </c>
      <c r="CO72" s="39">
        <f t="shared" si="564"/>
        <v>0</v>
      </c>
      <c r="CP72" s="39">
        <f t="shared" ref="CP72:CQ72" si="565">IFERROR(CP9/CP51,0)</f>
        <v>8.2070047046523778E-2</v>
      </c>
      <c r="CQ72" s="39">
        <f t="shared" si="565"/>
        <v>0</v>
      </c>
      <c r="CR72" s="39">
        <f t="shared" ref="CR72:CS72" si="566">IFERROR(CR9/CR51,0)</f>
        <v>0</v>
      </c>
      <c r="CS72" s="39">
        <f t="shared" si="566"/>
        <v>0</v>
      </c>
      <c r="CT72" s="39">
        <f t="shared" ref="CT72:CU72" si="567">IFERROR(CT9/CT51,0)</f>
        <v>0</v>
      </c>
      <c r="CU72" s="39">
        <f t="shared" si="567"/>
        <v>0.11061700944969427</v>
      </c>
      <c r="CV72" s="39">
        <f t="shared" ref="CV72:CW72" si="568">IFERROR(CV9/CV51,0)</f>
        <v>0</v>
      </c>
      <c r="CW72" s="39">
        <f t="shared" si="568"/>
        <v>6.8590771423481203E-2</v>
      </c>
      <c r="CX72" s="39">
        <f t="shared" ref="CX72:CY72" si="569">IFERROR(CX9/CX51,0)</f>
        <v>0</v>
      </c>
      <c r="CY72" s="39">
        <f t="shared" si="569"/>
        <v>0</v>
      </c>
      <c r="CZ72" s="39">
        <f t="shared" ref="CZ72:DA72" si="570">IFERROR(CZ9/CZ51,0)</f>
        <v>0.13971422091177138</v>
      </c>
      <c r="DA72" s="39">
        <f t="shared" si="570"/>
        <v>0</v>
      </c>
      <c r="DB72" s="39">
        <f t="shared" ref="DB72:DC72" si="571">IFERROR(DB9/DB51,0)</f>
        <v>0</v>
      </c>
      <c r="DC72" s="39">
        <f t="shared" si="571"/>
        <v>0.62033898305084745</v>
      </c>
      <c r="DD72" s="39">
        <f t="shared" ref="DD72:DE72" si="572">IFERROR(DD9/DD51,0)</f>
        <v>0</v>
      </c>
      <c r="DE72" s="39">
        <f t="shared" si="572"/>
        <v>0.22835497835497837</v>
      </c>
      <c r="DF72" s="39">
        <f t="shared" ref="DF72:DG72" si="573">IFERROR(DF9/DF51,0)</f>
        <v>0.27463651050080773</v>
      </c>
      <c r="DG72" s="39">
        <f t="shared" si="573"/>
        <v>0.43520309477756286</v>
      </c>
      <c r="DH72" s="39">
        <f t="shared" ref="DH72:DI72" si="574">IFERROR(DH9/DH51,0)</f>
        <v>0.13364055299539171</v>
      </c>
      <c r="DI72" s="39">
        <f t="shared" si="574"/>
        <v>0.38545454545454544</v>
      </c>
      <c r="DJ72" s="39">
        <f t="shared" ref="DJ72:DK72" si="575">IFERROR(DJ9/DJ51,0)</f>
        <v>0.86506024096385548</v>
      </c>
      <c r="DK72" s="39">
        <f t="shared" si="575"/>
        <v>0</v>
      </c>
      <c r="DL72" s="39">
        <f t="shared" ref="DL72:DM72" si="576">IFERROR(DL9/DL51,0)</f>
        <v>9.9588035106573533E-2</v>
      </c>
      <c r="DM72" s="39">
        <f t="shared" si="576"/>
        <v>0.54857898215465961</v>
      </c>
      <c r="DN72" s="39">
        <f t="shared" ref="DN72:DO72" si="577">IFERROR(DN9/DN51,0)</f>
        <v>0.22971114167812931</v>
      </c>
      <c r="DO72" s="39">
        <f t="shared" si="577"/>
        <v>6.980609418282549E-2</v>
      </c>
      <c r="DP72" s="39">
        <f t="shared" ref="DP72:DQ72" si="578">IFERROR(DP9/DP51,0)</f>
        <v>0.32788832788832789</v>
      </c>
      <c r="DQ72" s="39">
        <f t="shared" si="578"/>
        <v>0</v>
      </c>
      <c r="DR72" s="39">
        <f t="shared" ref="DR72:DS72" si="579">IFERROR(DR9/DR51,0)</f>
        <v>0</v>
      </c>
      <c r="DS72" s="39">
        <f t="shared" si="579"/>
        <v>0</v>
      </c>
      <c r="DT72" s="39">
        <f t="shared" ref="DT72:DU72" si="580">IFERROR(DT9/DT51,0)</f>
        <v>0</v>
      </c>
      <c r="DU72" s="39">
        <f t="shared" si="580"/>
        <v>0.27404718693284935</v>
      </c>
      <c r="DV72" s="39">
        <f t="shared" si="125"/>
        <v>0.28399725274725274</v>
      </c>
      <c r="DW72" s="39">
        <f t="shared" si="125"/>
        <v>0</v>
      </c>
      <c r="DX72" s="39">
        <f t="shared" ref="DX72:DY72" si="581">IFERROR(DX9/DX51,0)</f>
        <v>0.31039640987284967</v>
      </c>
      <c r="DY72" s="39">
        <f t="shared" si="581"/>
        <v>0.35164160785517029</v>
      </c>
      <c r="DZ72" s="39">
        <f t="shared" ref="DZ72:EA72" si="582">IFERROR(DZ9/DZ51,0)</f>
        <v>0</v>
      </c>
      <c r="EA72" s="39">
        <f t="shared" si="582"/>
        <v>0.38358154740283329</v>
      </c>
      <c r="EB72" s="39">
        <f t="shared" ref="EB72:EC72" si="583">IFERROR(EB9/EB51,0)</f>
        <v>0.27584830339321359</v>
      </c>
      <c r="EC72" s="39">
        <f t="shared" si="583"/>
        <v>0.27488275143303803</v>
      </c>
      <c r="ED72" s="39">
        <f t="shared" ref="ED72:EE72" si="584">IFERROR(ED9/ED51,0)</f>
        <v>0.28671999999999997</v>
      </c>
      <c r="EE72" s="39">
        <f t="shared" si="584"/>
        <v>0.32953216374269007</v>
      </c>
      <c r="EF72" s="39">
        <f t="shared" ref="EF72:EG72" si="585">IFERROR(EF9/EF51,0)</f>
        <v>0.23849878934624696</v>
      </c>
      <c r="EG72" s="39">
        <f t="shared" si="585"/>
        <v>0.29198224079394097</v>
      </c>
      <c r="EH72" s="39">
        <f t="shared" ref="EH72:EI72" si="586">IFERROR(EH9/EH51,0)</f>
        <v>0.25774537880760218</v>
      </c>
      <c r="EI72" s="39">
        <f t="shared" si="586"/>
        <v>0.30475799835931089</v>
      </c>
      <c r="EJ72" s="39">
        <f t="shared" ref="EJ72:EK72" si="587">IFERROR(EJ9/EJ51,0)</f>
        <v>0</v>
      </c>
      <c r="EK72" s="39">
        <f t="shared" si="587"/>
        <v>0</v>
      </c>
      <c r="EL72" s="39">
        <f t="shared" ref="EL72:EM72" si="588">IFERROR(EL9/EL51,0)</f>
        <v>0.34103896103896103</v>
      </c>
      <c r="EM72" s="39">
        <f t="shared" si="588"/>
        <v>0.3184785694010786</v>
      </c>
      <c r="EN72" s="39">
        <f t="shared" ref="EN72:EO72" si="589">IFERROR(EN9/EN51,0)</f>
        <v>0.29650995096625327</v>
      </c>
      <c r="EO72" s="39">
        <f t="shared" si="589"/>
        <v>0.32357320099255582</v>
      </c>
      <c r="EP72" s="39">
        <f t="shared" ref="EP72" si="590">IFERROR(EP9/EP51,0)</f>
        <v>0.3124410933081998</v>
      </c>
      <c r="EQ72" s="39">
        <f t="shared" ref="EQ72:ER72" si="591">IFERROR(EQ9/EQ51,0)</f>
        <v>0.38013029315960911</v>
      </c>
      <c r="ER72" s="39">
        <f t="shared" si="591"/>
        <v>0.30169726359542776</v>
      </c>
      <c r="ES72" s="39">
        <f t="shared" ref="ES72:ET72" si="592">IFERROR(ES9/ES51,0)</f>
        <v>0.29703652653342522</v>
      </c>
      <c r="ET72" s="39">
        <f t="shared" si="592"/>
        <v>0.28465982028241332</v>
      </c>
      <c r="EU72" s="39">
        <f t="shared" ref="EU72:EV72" si="593">IFERROR(EU9/EU51,0)</f>
        <v>0.32117138742198753</v>
      </c>
      <c r="EV72" s="39">
        <f t="shared" si="593"/>
        <v>0.32831972496776968</v>
      </c>
      <c r="EW72" s="39">
        <f t="shared" ref="EW72:EX72" si="594">IFERROR(EW9/EW51,0)</f>
        <v>0.25482368596141053</v>
      </c>
      <c r="EX72" s="39">
        <f t="shared" si="594"/>
        <v>0.26878517047335321</v>
      </c>
      <c r="EY72" s="39">
        <f t="shared" ref="EY72:EZ72" si="595">IFERROR(EY9/EY51,0)</f>
        <v>0.25968586387434556</v>
      </c>
      <c r="EZ72" s="39">
        <f t="shared" si="595"/>
        <v>0.30607142857142855</v>
      </c>
      <c r="FA72" s="39">
        <f t="shared" ref="FA72:FB72" si="596">IFERROR(FA9/FA51,0)</f>
        <v>0.26390922401171302</v>
      </c>
      <c r="FB72" s="39">
        <f t="shared" si="596"/>
        <v>0.25520661157024793</v>
      </c>
      <c r="FC72" s="39">
        <f t="shared" ref="FC72:FD72" si="597">IFERROR(FC9/FC51,0)</f>
        <v>0.22011585044760401</v>
      </c>
      <c r="FD72" s="39">
        <f t="shared" si="597"/>
        <v>0.3105590062111801</v>
      </c>
      <c r="FE72" s="39">
        <f t="shared" ref="FE72:FF72" si="598">IFERROR(FE9/FE51,0)</f>
        <v>0.22307157748436415</v>
      </c>
      <c r="FF72" s="39">
        <f t="shared" si="598"/>
        <v>0.32595573440643866</v>
      </c>
      <c r="FG72" s="39">
        <f t="shared" ref="FG72:FH72" si="599">IFERROR(FG9/FG51,0)</f>
        <v>0.25206281607665693</v>
      </c>
      <c r="FH72" s="39">
        <f t="shared" si="599"/>
        <v>0.2160992498557415</v>
      </c>
      <c r="FI72" s="39">
        <f t="shared" ref="FI72:FJ72" si="600">IFERROR(FI9/FI51,0)</f>
        <v>0.31509433962264149</v>
      </c>
      <c r="FJ72" s="39">
        <f t="shared" si="600"/>
        <v>0.30777656078860899</v>
      </c>
      <c r="FK72" s="39">
        <f t="shared" ref="FK72:FL72" si="601">IFERROR(FK9/FK51,0)</f>
        <v>0.32738095238095238</v>
      </c>
      <c r="FL72" s="39">
        <f t="shared" si="601"/>
        <v>0.32771896053897981</v>
      </c>
      <c r="FM72" s="39">
        <f t="shared" ref="FM72" si="602">IFERROR(FM9/FM51,0)</f>
        <v>0.24201628052598623</v>
      </c>
      <c r="FN72" s="39">
        <v>0.19953325554259044</v>
      </c>
      <c r="FO72" s="39">
        <f t="shared" ref="FO72" si="603">IFERROR(FO9/FO51,0)</f>
        <v>0.22165427509293681</v>
      </c>
      <c r="FP72" s="39">
        <v>0.33258258258258261</v>
      </c>
      <c r="FQ72" s="39">
        <f t="shared" ref="FQ72:HA72" si="604">IFERROR(FQ9/FQ51,0)</f>
        <v>0</v>
      </c>
      <c r="FR72" s="39">
        <v>0.20955165692007796</v>
      </c>
      <c r="FS72" s="39">
        <f t="shared" si="604"/>
        <v>0.22079037800687284</v>
      </c>
      <c r="FT72" s="39">
        <f t="shared" si="604"/>
        <v>0.17008985879332478</v>
      </c>
      <c r="FU72" s="39">
        <f t="shared" si="604"/>
        <v>0.24392791851658396</v>
      </c>
      <c r="FV72" s="39">
        <f t="shared" si="604"/>
        <v>0.29298036882807854</v>
      </c>
      <c r="FW72" s="39">
        <f t="shared" si="604"/>
        <v>0.3432144511347846</v>
      </c>
      <c r="FX72" s="39">
        <f t="shared" si="604"/>
        <v>0.30045248868778279</v>
      </c>
      <c r="FY72" s="39">
        <f t="shared" si="604"/>
        <v>0.25370581527936148</v>
      </c>
      <c r="FZ72" s="39">
        <f t="shared" si="604"/>
        <v>0.27272727272727271</v>
      </c>
      <c r="GA72" s="39">
        <f t="shared" si="604"/>
        <v>0.2842003853564547</v>
      </c>
      <c r="GB72" s="39">
        <f t="shared" si="604"/>
        <v>0.26629094751673127</v>
      </c>
      <c r="GC72" s="39">
        <f t="shared" si="604"/>
        <v>0.25228255646323883</v>
      </c>
      <c r="GD72" s="39">
        <f t="shared" si="604"/>
        <v>0.24616059675296181</v>
      </c>
      <c r="GE72" s="39">
        <f t="shared" si="604"/>
        <v>0.3087681549220011</v>
      </c>
      <c r="GF72" s="39">
        <f t="shared" si="604"/>
        <v>0.27678054429646787</v>
      </c>
      <c r="GG72" s="39">
        <f t="shared" si="604"/>
        <v>0.32843137254901961</v>
      </c>
      <c r="GH72" s="39">
        <f t="shared" si="604"/>
        <v>0.28884615384615386</v>
      </c>
      <c r="GI72" s="39">
        <f t="shared" si="604"/>
        <v>0.2794481782808631</v>
      </c>
      <c r="GJ72" s="39">
        <f t="shared" si="604"/>
        <v>0.28713728886964052</v>
      </c>
      <c r="GK72" s="39">
        <f t="shared" si="604"/>
        <v>0.23318753417167851</v>
      </c>
      <c r="GL72" s="39">
        <f t="shared" si="604"/>
        <v>0.24726477024070023</v>
      </c>
      <c r="GM72" s="39">
        <f t="shared" si="604"/>
        <v>0.20090293453724606</v>
      </c>
      <c r="GN72" s="39">
        <f t="shared" si="604"/>
        <v>0.23613021549747823</v>
      </c>
      <c r="GO72" s="39">
        <f t="shared" si="604"/>
        <v>0.25222274216190921</v>
      </c>
      <c r="GP72" s="39">
        <f t="shared" si="604"/>
        <v>0.26893746822572445</v>
      </c>
      <c r="GQ72" s="39">
        <f t="shared" si="604"/>
        <v>0.23948106591865356</v>
      </c>
      <c r="GR72" s="39">
        <f t="shared" si="604"/>
        <v>0.31091180866965618</v>
      </c>
      <c r="GS72" s="39">
        <f t="shared" si="604"/>
        <v>0.34181078331637843</v>
      </c>
      <c r="GT72" s="39">
        <f t="shared" si="604"/>
        <v>0.19391634980988592</v>
      </c>
      <c r="GU72" s="39">
        <f t="shared" si="604"/>
        <v>0.24975272007912958</v>
      </c>
      <c r="GV72" s="39">
        <f t="shared" si="604"/>
        <v>0.33203328133125326</v>
      </c>
      <c r="GW72" s="39">
        <f t="shared" si="604"/>
        <v>0.26958424507658646</v>
      </c>
      <c r="GX72" s="39">
        <f t="shared" si="604"/>
        <v>0.28603945371775419</v>
      </c>
      <c r="GY72" s="39">
        <f t="shared" si="604"/>
        <v>0.2490234375</v>
      </c>
      <c r="GZ72" s="39">
        <f t="shared" si="604"/>
        <v>0.32254869593925389</v>
      </c>
      <c r="HA72" s="39">
        <f t="shared" si="604"/>
        <v>0.18371757925072046</v>
      </c>
      <c r="HB72" s="39">
        <f t="shared" si="148"/>
        <v>0.11023054755043228</v>
      </c>
      <c r="HC72" s="39">
        <f t="shared" si="148"/>
        <v>0.23111443530291698</v>
      </c>
      <c r="HD72" s="39">
        <f t="shared" ref="HD72:JO72" si="605">IFERROR(HD9/HD51,0)</f>
        <v>0.31696053736356006</v>
      </c>
      <c r="HE72" s="39">
        <f t="shared" si="605"/>
        <v>0.24901832460732984</v>
      </c>
      <c r="HF72" s="39">
        <f t="shared" si="605"/>
        <v>0.27108895705521474</v>
      </c>
      <c r="HG72" s="39">
        <f t="shared" si="605"/>
        <v>0.19672690078418001</v>
      </c>
      <c r="HH72" s="39">
        <f t="shared" si="605"/>
        <v>0.32175154688243696</v>
      </c>
      <c r="HI72" s="39">
        <f t="shared" si="605"/>
        <v>0.36750866765725609</v>
      </c>
      <c r="HJ72" s="39">
        <f t="shared" si="605"/>
        <v>0.35555555555555557</v>
      </c>
      <c r="HK72" s="39">
        <f t="shared" si="605"/>
        <v>0.3354609929078014</v>
      </c>
      <c r="HL72" s="39">
        <f t="shared" si="605"/>
        <v>4.6468225097270111E-2</v>
      </c>
      <c r="HM72" s="39">
        <f t="shared" si="605"/>
        <v>0.28894806924101196</v>
      </c>
      <c r="HN72" s="39">
        <f t="shared" si="605"/>
        <v>0.2885425442291491</v>
      </c>
      <c r="HO72" s="39">
        <f t="shared" si="605"/>
        <v>0.22701769529564092</v>
      </c>
      <c r="HP72" s="39">
        <f t="shared" si="605"/>
        <v>0.22592997811816193</v>
      </c>
      <c r="HQ72" s="39">
        <f t="shared" si="605"/>
        <v>0.27531225086367261</v>
      </c>
      <c r="HR72" s="39">
        <f t="shared" si="605"/>
        <v>0.30135530162104701</v>
      </c>
      <c r="HS72" s="39">
        <f t="shared" si="605"/>
        <v>0.30594135802469136</v>
      </c>
      <c r="HT72" s="39">
        <f t="shared" si="605"/>
        <v>0.2975147928994083</v>
      </c>
      <c r="HU72" s="39">
        <f t="shared" si="605"/>
        <v>0.23407241088969968</v>
      </c>
      <c r="HV72" s="39">
        <f t="shared" si="605"/>
        <v>0.3235294117647059</v>
      </c>
      <c r="HW72" s="39">
        <f t="shared" si="605"/>
        <v>0.21720430107526881</v>
      </c>
      <c r="HX72" s="39">
        <f t="shared" si="605"/>
        <v>0.33705634152395136</v>
      </c>
      <c r="HY72" s="39">
        <f t="shared" si="605"/>
        <v>0.30224478888295031</v>
      </c>
      <c r="HZ72" s="39">
        <f t="shared" si="605"/>
        <v>0.18142610695802186</v>
      </c>
      <c r="IA72" s="39">
        <f t="shared" si="605"/>
        <v>0.22968749999999999</v>
      </c>
      <c r="IB72" s="39">
        <f t="shared" si="605"/>
        <v>0.32212508406186952</v>
      </c>
      <c r="IC72" s="39">
        <f t="shared" si="605"/>
        <v>0.32035714285714284</v>
      </c>
      <c r="ID72" s="39">
        <f t="shared" si="605"/>
        <v>0.32261952591402171</v>
      </c>
      <c r="IE72" s="39">
        <f t="shared" si="605"/>
        <v>0.32574228884404727</v>
      </c>
      <c r="IF72" s="39">
        <f t="shared" si="605"/>
        <v>0.23679219723652126</v>
      </c>
      <c r="IG72" s="39">
        <f t="shared" si="605"/>
        <v>0.19513218631976501</v>
      </c>
      <c r="IH72" s="39">
        <f t="shared" si="605"/>
        <v>0.29803395889186773</v>
      </c>
      <c r="II72" s="39">
        <f t="shared" si="605"/>
        <v>0.21751152073732719</v>
      </c>
      <c r="IJ72" s="39">
        <f t="shared" si="605"/>
        <v>0.31656184486373168</v>
      </c>
      <c r="IK72" s="39">
        <f t="shared" si="605"/>
        <v>0.29055778344877869</v>
      </c>
      <c r="IL72" s="39">
        <f t="shared" si="605"/>
        <v>0.26715176715176714</v>
      </c>
      <c r="IM72" s="39">
        <f t="shared" si="605"/>
        <v>0.28686743247438684</v>
      </c>
      <c r="IN72" s="39">
        <f t="shared" si="605"/>
        <v>0.25275735294117646</v>
      </c>
      <c r="IO72" s="39">
        <f t="shared" si="605"/>
        <v>0.28712643678160921</v>
      </c>
      <c r="IP72" s="39">
        <f t="shared" si="605"/>
        <v>0.27483443708609273</v>
      </c>
      <c r="IQ72" s="39">
        <f t="shared" si="605"/>
        <v>0.25889809848854217</v>
      </c>
      <c r="IR72" s="39">
        <f t="shared" si="605"/>
        <v>0.25739130434782609</v>
      </c>
      <c r="IS72" s="39">
        <f t="shared" si="605"/>
        <v>0.33798056611744826</v>
      </c>
      <c r="IT72" s="39">
        <f t="shared" si="605"/>
        <v>0.2490108803165183</v>
      </c>
      <c r="IU72" s="39">
        <f t="shared" si="605"/>
        <v>0.2357865364492501</v>
      </c>
      <c r="IV72" s="39">
        <f t="shared" si="605"/>
        <v>0.26616682286785381</v>
      </c>
      <c r="IW72" s="39">
        <f t="shared" si="605"/>
        <v>0.24226305609284332</v>
      </c>
      <c r="IX72" s="39">
        <f t="shared" si="605"/>
        <v>0.24465188642551536</v>
      </c>
      <c r="IY72" s="39">
        <f t="shared" si="605"/>
        <v>0.2724588781105019</v>
      </c>
      <c r="IZ72" s="39">
        <f t="shared" si="605"/>
        <v>0.28898635477582846</v>
      </c>
      <c r="JA72" s="39">
        <f t="shared" si="605"/>
        <v>0.2673702726473175</v>
      </c>
      <c r="JB72" s="39">
        <f t="shared" si="605"/>
        <v>0.31176470588235294</v>
      </c>
      <c r="JC72" s="39">
        <f t="shared" si="605"/>
        <v>0.27874416631310989</v>
      </c>
      <c r="JD72" s="39">
        <f t="shared" si="605"/>
        <v>0.27995813710099426</v>
      </c>
      <c r="JE72" s="39">
        <f t="shared" si="605"/>
        <v>0.25024826216484608</v>
      </c>
      <c r="JF72" s="39">
        <f t="shared" si="605"/>
        <v>0.32165791009924111</v>
      </c>
      <c r="JG72" s="39">
        <f t="shared" si="605"/>
        <v>0.22833787465940056</v>
      </c>
      <c r="JH72" s="39">
        <f t="shared" si="605"/>
        <v>0.29212015672616454</v>
      </c>
      <c r="JI72" s="39">
        <f t="shared" si="605"/>
        <v>0.31221719457013575</v>
      </c>
      <c r="JJ72" s="39">
        <f t="shared" si="605"/>
        <v>0.37848067045147338</v>
      </c>
      <c r="JK72" s="39">
        <f t="shared" si="605"/>
        <v>0.35106924643584519</v>
      </c>
      <c r="JL72" s="39">
        <f t="shared" si="605"/>
        <v>0.37074829931972791</v>
      </c>
      <c r="JM72" s="39">
        <f t="shared" si="605"/>
        <v>0.33917616126205086</v>
      </c>
      <c r="JN72" s="39">
        <f t="shared" si="605"/>
        <v>0.25056207844116912</v>
      </c>
      <c r="JO72" s="39">
        <f t="shared" si="605"/>
        <v>0.2942453854505972</v>
      </c>
      <c r="JP72" s="39">
        <f t="shared" ref="JP72:KG72" si="606">IFERROR(JP9/JP51,0)</f>
        <v>0.31335219963982508</v>
      </c>
      <c r="JQ72" s="39">
        <f t="shared" si="606"/>
        <v>0.4080919080919081</v>
      </c>
      <c r="JR72" s="39">
        <f t="shared" si="606"/>
        <v>0.31584669747213917</v>
      </c>
      <c r="JS72" s="39">
        <f t="shared" si="606"/>
        <v>0.35169491525423729</v>
      </c>
      <c r="JT72" s="39">
        <f t="shared" si="606"/>
        <v>0.30094339622641508</v>
      </c>
      <c r="JU72" s="39">
        <f t="shared" si="606"/>
        <v>0.31119352663519895</v>
      </c>
      <c r="JV72" s="39">
        <f t="shared" si="606"/>
        <v>0.35294117647058826</v>
      </c>
      <c r="JW72" s="39">
        <f t="shared" si="606"/>
        <v>0.31574630945872062</v>
      </c>
      <c r="JX72" s="39">
        <f t="shared" si="606"/>
        <v>0.38710493046776234</v>
      </c>
      <c r="JY72" s="39">
        <f t="shared" si="606"/>
        <v>0.36752873563218391</v>
      </c>
      <c r="JZ72" s="39">
        <f t="shared" si="606"/>
        <v>0.35649087221095332</v>
      </c>
      <c r="KA72" s="39">
        <f t="shared" si="606"/>
        <v>0</v>
      </c>
      <c r="KB72" s="39">
        <f t="shared" si="606"/>
        <v>0</v>
      </c>
      <c r="KC72" s="39">
        <f t="shared" si="606"/>
        <v>0.36814064997336177</v>
      </c>
      <c r="KD72" s="39">
        <f t="shared" si="606"/>
        <v>0.25795644891122277</v>
      </c>
      <c r="KE72" s="39">
        <f t="shared" si="606"/>
        <v>0.40495495495495498</v>
      </c>
      <c r="KF72" s="39">
        <f t="shared" si="606"/>
        <v>0.40435891490841641</v>
      </c>
      <c r="KG72" s="39">
        <f t="shared" si="606"/>
        <v>0.34231609613983977</v>
      </c>
      <c r="KH72" s="39">
        <f>IFERROR(KH9/KH51,0)</f>
        <v>0.40917233966320316</v>
      </c>
      <c r="KI72" s="39">
        <f t="shared" ref="KI72" si="607">IFERROR(KI9/KI51,0)</f>
        <v>0.36996735582154516</v>
      </c>
      <c r="KJ72" s="39">
        <f t="shared" si="541"/>
        <v>0.30121566861773974</v>
      </c>
      <c r="KK72" s="39">
        <f t="shared" si="541"/>
        <v>0.35455585207777351</v>
      </c>
      <c r="KL72" s="39">
        <f t="shared" si="541"/>
        <v>0.36934840425531917</v>
      </c>
      <c r="KM72" s="39">
        <f t="shared" si="541"/>
        <v>0.32132231404958678</v>
      </c>
      <c r="KN72" s="39">
        <f t="shared" si="541"/>
        <v>0.36397748592870544</v>
      </c>
      <c r="KO72" s="39">
        <f t="shared" si="541"/>
        <v>0.3985623003194888</v>
      </c>
      <c r="KP72" s="39">
        <f t="shared" si="541"/>
        <v>0.3339712918660287</v>
      </c>
      <c r="KQ72" s="39">
        <f t="shared" si="541"/>
        <v>0.3273542600896861</v>
      </c>
      <c r="KR72" s="39">
        <f t="shared" si="541"/>
        <v>0.38703339882121807</v>
      </c>
      <c r="KS72" s="39">
        <f t="shared" si="541"/>
        <v>0</v>
      </c>
      <c r="KT72" s="39">
        <f t="shared" si="541"/>
        <v>0</v>
      </c>
      <c r="KU72" s="39">
        <f t="shared" si="541"/>
        <v>0.25854616895874261</v>
      </c>
      <c r="KV72" s="39">
        <f t="shared" si="541"/>
        <v>0.13535200605601816</v>
      </c>
      <c r="KW72" s="39">
        <f t="shared" si="541"/>
        <v>0.33571206950046539</v>
      </c>
      <c r="KX72" s="39">
        <f t="shared" si="541"/>
        <v>0.32496211301147432</v>
      </c>
      <c r="KY72" s="39">
        <f t="shared" si="541"/>
        <v>0.34246180455462671</v>
      </c>
      <c r="KZ72" s="39">
        <f t="shared" ref="KZ72:NK72" si="608">IFERROR(KZ9/KZ51,0)</f>
        <v>0.46221570066030815</v>
      </c>
      <c r="LA72" s="39">
        <f t="shared" si="608"/>
        <v>0</v>
      </c>
      <c r="LB72" s="39">
        <f t="shared" si="608"/>
        <v>0</v>
      </c>
      <c r="LC72" s="39">
        <f t="shared" si="608"/>
        <v>0.14588235294117646</v>
      </c>
      <c r="LD72" s="39">
        <f t="shared" si="608"/>
        <v>0.42162529751785105</v>
      </c>
      <c r="LE72" s="39">
        <f t="shared" si="608"/>
        <v>0.45834823024669291</v>
      </c>
      <c r="LF72" s="39">
        <f t="shared" si="608"/>
        <v>0.47636146020347098</v>
      </c>
      <c r="LG72" s="39">
        <f t="shared" si="608"/>
        <v>0.46422719825232112</v>
      </c>
      <c r="LH72" s="39">
        <f t="shared" si="608"/>
        <v>0</v>
      </c>
      <c r="LI72" s="39">
        <f t="shared" si="608"/>
        <v>0</v>
      </c>
      <c r="LJ72" s="39">
        <f t="shared" si="608"/>
        <v>0.13595085470085469</v>
      </c>
      <c r="LK72" s="39">
        <f t="shared" si="608"/>
        <v>0.45447219983883963</v>
      </c>
      <c r="LL72" s="39">
        <f t="shared" si="608"/>
        <v>0.42132867132867136</v>
      </c>
      <c r="LM72" s="39">
        <f t="shared" si="608"/>
        <v>0.4413563090605892</v>
      </c>
      <c r="LN72" s="39">
        <f t="shared" si="608"/>
        <v>0.41381749587361472</v>
      </c>
      <c r="LO72" s="39">
        <f t="shared" si="608"/>
        <v>0</v>
      </c>
      <c r="LP72" s="39">
        <f t="shared" si="608"/>
        <v>0</v>
      </c>
      <c r="LQ72" s="39">
        <f t="shared" si="608"/>
        <v>0.19692410565028418</v>
      </c>
      <c r="LR72" s="39">
        <f t="shared" si="608"/>
        <v>0.43989983305509184</v>
      </c>
      <c r="LS72" s="39">
        <f t="shared" si="608"/>
        <v>0.47536057692307693</v>
      </c>
      <c r="LT72" s="39">
        <f t="shared" si="608"/>
        <v>0.45712470887147999</v>
      </c>
      <c r="LU72" s="39">
        <f t="shared" si="608"/>
        <v>0.54608695652173911</v>
      </c>
      <c r="LV72" s="39">
        <f t="shared" si="608"/>
        <v>0</v>
      </c>
      <c r="LW72" s="39">
        <f t="shared" si="608"/>
        <v>0</v>
      </c>
      <c r="LX72" s="39">
        <f t="shared" si="608"/>
        <v>0.175065963060686</v>
      </c>
      <c r="LY72" s="39">
        <f t="shared" si="608"/>
        <v>0.46146146146146144</v>
      </c>
      <c r="LZ72" s="39">
        <f t="shared" si="608"/>
        <v>0.36764705882352944</v>
      </c>
      <c r="MA72" s="39">
        <f t="shared" si="608"/>
        <v>0.44645340751043117</v>
      </c>
      <c r="MB72" s="39">
        <f t="shared" si="608"/>
        <v>0.39603960396039606</v>
      </c>
      <c r="MC72" s="39">
        <f t="shared" si="608"/>
        <v>0</v>
      </c>
      <c r="MD72" s="39">
        <f t="shared" si="608"/>
        <v>0</v>
      </c>
      <c r="ME72" s="39">
        <f t="shared" si="608"/>
        <v>0.16251246261216351</v>
      </c>
      <c r="MF72" s="39">
        <f t="shared" si="608"/>
        <v>0.42088132198297445</v>
      </c>
      <c r="MG72" s="39">
        <f t="shared" si="608"/>
        <v>0.35557720409157328</v>
      </c>
      <c r="MH72" s="39">
        <f t="shared" si="608"/>
        <v>0.34541299379693113</v>
      </c>
      <c r="MI72" s="39">
        <f t="shared" si="608"/>
        <v>0.36042065009560231</v>
      </c>
      <c r="MJ72" s="39">
        <f t="shared" si="608"/>
        <v>0</v>
      </c>
      <c r="MK72" s="39">
        <f t="shared" si="608"/>
        <v>0</v>
      </c>
      <c r="ML72" s="39">
        <f t="shared" si="608"/>
        <v>0.14175876982220087</v>
      </c>
      <c r="MM72" s="39">
        <f t="shared" si="608"/>
        <v>0.34282099936748894</v>
      </c>
      <c r="MN72" s="39">
        <f t="shared" si="608"/>
        <v>0.31072818232351307</v>
      </c>
      <c r="MO72" s="39">
        <f t="shared" si="608"/>
        <v>0.35007072135785006</v>
      </c>
      <c r="MP72" s="39">
        <f t="shared" si="608"/>
        <v>0.38149779735682821</v>
      </c>
      <c r="MQ72" s="39">
        <f t="shared" si="608"/>
        <v>0</v>
      </c>
      <c r="MR72" s="39">
        <f t="shared" si="608"/>
        <v>0</v>
      </c>
      <c r="MS72" s="39">
        <f t="shared" si="608"/>
        <v>0.10457963089542037</v>
      </c>
      <c r="MT72" s="39">
        <f t="shared" si="608"/>
        <v>0.4576271186440678</v>
      </c>
      <c r="MU72" s="39">
        <f t="shared" si="608"/>
        <v>0.38642078792958928</v>
      </c>
      <c r="MV72" s="39">
        <f t="shared" si="608"/>
        <v>0.38338440585631595</v>
      </c>
      <c r="MW72" s="39">
        <f t="shared" si="608"/>
        <v>0.41820837390457644</v>
      </c>
      <c r="MX72" s="39">
        <f t="shared" si="608"/>
        <v>0</v>
      </c>
      <c r="MY72" s="39">
        <f t="shared" si="608"/>
        <v>0</v>
      </c>
      <c r="MZ72" s="39">
        <f t="shared" si="608"/>
        <v>0</v>
      </c>
      <c r="NA72" s="39">
        <f t="shared" si="608"/>
        <v>0.34618390205782756</v>
      </c>
      <c r="NB72" s="39">
        <f t="shared" si="608"/>
        <v>0</v>
      </c>
      <c r="NC72" s="39">
        <f t="shared" si="608"/>
        <v>0</v>
      </c>
      <c r="ND72" s="39">
        <f t="shared" si="608"/>
        <v>0</v>
      </c>
      <c r="NE72" s="39">
        <f t="shared" si="608"/>
        <v>0</v>
      </c>
      <c r="NF72" s="39">
        <f t="shared" si="608"/>
        <v>0</v>
      </c>
      <c r="NG72" s="39">
        <f t="shared" si="608"/>
        <v>0.13381318501554065</v>
      </c>
      <c r="NH72" s="39">
        <f t="shared" si="608"/>
        <v>0.29276895943562609</v>
      </c>
      <c r="NI72" s="39">
        <f t="shared" si="608"/>
        <v>0.34859287054409005</v>
      </c>
      <c r="NJ72" s="39">
        <f t="shared" si="608"/>
        <v>0.25302013422818792</v>
      </c>
      <c r="NK72" s="39">
        <f t="shared" si="608"/>
        <v>0.27330115113256592</v>
      </c>
      <c r="NL72" s="39">
        <f t="shared" ref="NL72:NN72" si="609">IFERROR(NL9/NL51,0)</f>
        <v>0</v>
      </c>
      <c r="NM72" s="39">
        <f t="shared" si="609"/>
        <v>0</v>
      </c>
      <c r="NN72" s="39">
        <f t="shared" si="609"/>
        <v>7.0927950658816935E-2</v>
      </c>
      <c r="NO72" s="39">
        <f t="shared" ref="NO72" si="610">IFERROR(NO9/NO51,0)</f>
        <v>0.23903508771929824</v>
      </c>
      <c r="NP72" s="39">
        <v>0.27364110201042402</v>
      </c>
      <c r="NQ72" s="39">
        <v>0.234049586776859</v>
      </c>
      <c r="NR72" s="39">
        <v>0.26638772663877303</v>
      </c>
      <c r="NS72" s="39">
        <v>0</v>
      </c>
      <c r="NT72" s="39">
        <v>0</v>
      </c>
      <c r="NU72" s="39">
        <v>6.5114273393704195E-2</v>
      </c>
      <c r="NV72" s="39">
        <v>0.217105263157895</v>
      </c>
      <c r="NW72" s="39">
        <v>0.27790096082778998</v>
      </c>
      <c r="NX72" s="39">
        <v>0</v>
      </c>
      <c r="NY72" s="39">
        <v>0</v>
      </c>
      <c r="NZ72" s="39">
        <v>0</v>
      </c>
      <c r="OA72" s="39">
        <v>0</v>
      </c>
      <c r="OB72" s="39">
        <v>9.85861673672144E-2</v>
      </c>
      <c r="OC72" s="39">
        <v>0.22055607622617901</v>
      </c>
      <c r="OD72" s="39">
        <v>0.193077564637198</v>
      </c>
      <c r="OE72" s="39">
        <v>0.18074821353509901</v>
      </c>
      <c r="OF72" s="39">
        <v>0.21457489878542499</v>
      </c>
      <c r="OG72" s="39">
        <v>0</v>
      </c>
      <c r="OH72" s="39">
        <v>0</v>
      </c>
      <c r="OI72" s="39">
        <v>2.3845381526104398E-2</v>
      </c>
      <c r="OJ72" s="39">
        <v>0.17654320987654301</v>
      </c>
      <c r="OK72" s="39">
        <v>0.21301446051167999</v>
      </c>
      <c r="OL72" s="39">
        <v>0.17875089734386199</v>
      </c>
      <c r="OM72" s="39">
        <v>0.225290697674419</v>
      </c>
      <c r="ON72" s="39">
        <v>0</v>
      </c>
      <c r="OO72" s="39">
        <v>0</v>
      </c>
      <c r="OP72" s="39">
        <v>5.7858910891089098E-2</v>
      </c>
      <c r="OQ72" s="39">
        <v>0.151558073654391</v>
      </c>
      <c r="OR72" s="39">
        <v>0.113682092555332</v>
      </c>
      <c r="OS72" s="39">
        <f t="shared" ref="OS72" si="611">IFERROR(OS9/OS51,0)</f>
        <v>0</v>
      </c>
      <c r="OT72" s="39">
        <f t="shared" si="156"/>
        <v>6.6932270916334663E-2</v>
      </c>
      <c r="OU72" s="39">
        <v>0</v>
      </c>
      <c r="OV72" s="39">
        <v>0</v>
      </c>
      <c r="OW72" s="39">
        <v>4.05482581382067E-2</v>
      </c>
      <c r="OX72" s="39">
        <v>8.6387434554973802E-2</v>
      </c>
      <c r="OY72" s="39">
        <v>0.14845938375350101</v>
      </c>
      <c r="OZ72" s="39">
        <v>8.5547290116896907E-2</v>
      </c>
      <c r="PA72" s="39">
        <v>7.4134199134199094E-2</v>
      </c>
      <c r="PB72" s="39">
        <v>0</v>
      </c>
      <c r="PC72" s="39">
        <v>0</v>
      </c>
      <c r="PD72" s="39">
        <v>3.9777983348751197E-2</v>
      </c>
      <c r="PE72" s="39">
        <v>7.1428571428571397E-2</v>
      </c>
      <c r="PF72" s="39">
        <v>6.6718386346004702E-2</v>
      </c>
      <c r="PG72" s="39">
        <v>6.3709677419354793E-2</v>
      </c>
      <c r="PH72" s="39">
        <v>9.1703056768558999E-2</v>
      </c>
      <c r="PI72" s="39">
        <v>0</v>
      </c>
      <c r="PJ72" s="39">
        <v>0</v>
      </c>
      <c r="PK72" s="39">
        <v>1.91311279394181E-2</v>
      </c>
      <c r="PL72" s="39">
        <v>0.107585139318885</v>
      </c>
      <c r="PM72" s="39">
        <v>6.6924066924066897E-2</v>
      </c>
      <c r="PN72" s="39">
        <v>5.5463576158940403E-2</v>
      </c>
      <c r="PO72" s="39">
        <v>4.8309178743961401E-2</v>
      </c>
      <c r="PP72" s="39">
        <v>0</v>
      </c>
      <c r="PQ72" s="39">
        <v>0</v>
      </c>
      <c r="PR72" s="39">
        <v>1.36120563928051E-2</v>
      </c>
      <c r="PS72" s="39">
        <v>6.00193610842207E-2</v>
      </c>
      <c r="PT72" s="39">
        <v>5.8823529411764698E-2</v>
      </c>
      <c r="PU72" s="39">
        <v>5.7692307692307702E-2</v>
      </c>
      <c r="PV72" s="39">
        <v>0</v>
      </c>
      <c r="PW72" s="39">
        <v>0</v>
      </c>
      <c r="PX72" s="39">
        <v>0</v>
      </c>
      <c r="PY72" s="39">
        <v>0</v>
      </c>
      <c r="PZ72" s="39">
        <v>0</v>
      </c>
      <c r="QA72" s="39">
        <v>0</v>
      </c>
      <c r="QB72" s="39">
        <v>0</v>
      </c>
      <c r="QC72" s="39">
        <v>0.125340599455041</v>
      </c>
      <c r="QD72" s="39">
        <v>0</v>
      </c>
      <c r="QE72" s="39">
        <v>0</v>
      </c>
      <c r="QF72" s="39">
        <v>1.29124820659971E-2</v>
      </c>
      <c r="QG72" s="39">
        <v>0</v>
      </c>
      <c r="QH72" s="39">
        <v>3.7463976945245003E-2</v>
      </c>
      <c r="QI72" s="39">
        <v>0.113657195233731</v>
      </c>
      <c r="QJ72" s="39">
        <v>2.3529411764705899E-2</v>
      </c>
      <c r="QK72" s="39">
        <v>0</v>
      </c>
      <c r="QL72" s="39">
        <v>0</v>
      </c>
      <c r="QM72" s="39">
        <v>8.5158150851581509E-3</v>
      </c>
      <c r="QN72" s="39">
        <v>3.1358885017421602E-2</v>
      </c>
      <c r="QO72" s="39">
        <v>4.2871385842472597E-2</v>
      </c>
      <c r="QP72" s="39">
        <v>5.2137643378519297E-2</v>
      </c>
      <c r="QQ72" s="39">
        <v>6.4485981308411197E-2</v>
      </c>
      <c r="QR72" s="39">
        <v>0</v>
      </c>
      <c r="QS72" s="39">
        <v>0</v>
      </c>
      <c r="QT72" s="39">
        <v>2.25825130283729E-2</v>
      </c>
      <c r="QU72" s="39">
        <v>9.8765432098765399E-2</v>
      </c>
      <c r="QV72" s="39">
        <v>0</v>
      </c>
      <c r="QW72" s="39">
        <v>0.29259259259259301</v>
      </c>
      <c r="QX72" s="39">
        <v>0</v>
      </c>
      <c r="QY72" s="39">
        <v>0</v>
      </c>
      <c r="QZ72" s="39">
        <v>0</v>
      </c>
      <c r="RA72" s="39">
        <v>2.89156626506024E-2</v>
      </c>
      <c r="RB72" s="39">
        <v>9.1970802919707995E-2</v>
      </c>
      <c r="RC72" s="39">
        <v>0</v>
      </c>
      <c r="RD72" s="39">
        <v>0</v>
      </c>
      <c r="RE72" s="39">
        <v>0</v>
      </c>
      <c r="RF72" s="39">
        <v>0</v>
      </c>
      <c r="RG72" s="39">
        <v>0</v>
      </c>
      <c r="RH72" s="39">
        <v>0</v>
      </c>
      <c r="RI72" s="39">
        <v>9.6256684491978606E-2</v>
      </c>
      <c r="RJ72" s="39">
        <v>0.13586173787806</v>
      </c>
      <c r="RK72" s="39">
        <v>0.11345265588914499</v>
      </c>
      <c r="RL72" s="39">
        <v>0.14203675344563599</v>
      </c>
      <c r="RM72" s="39">
        <v>0</v>
      </c>
      <c r="RN72" s="39">
        <v>0</v>
      </c>
      <c r="RO72" s="39">
        <v>4.7715223428427198E-2</v>
      </c>
      <c r="RP72" s="39">
        <v>0.178147268408551</v>
      </c>
      <c r="RQ72" s="39">
        <v>0.19191402251791201</v>
      </c>
      <c r="RR72" s="39">
        <v>0.196591243020864</v>
      </c>
      <c r="RS72" s="39">
        <v>0.211861379063951</v>
      </c>
      <c r="RT72" s="39">
        <v>0</v>
      </c>
      <c r="RU72" s="39">
        <v>0</v>
      </c>
      <c r="RV72" s="39">
        <v>5.87602238484718E-2</v>
      </c>
      <c r="RW72" s="39">
        <v>0.26139817629179302</v>
      </c>
      <c r="RX72" s="39">
        <v>0.23246257704725601</v>
      </c>
      <c r="RY72" s="39">
        <v>0.29579111457521401</v>
      </c>
      <c r="RZ72" s="39">
        <v>0.27976913730255198</v>
      </c>
      <c r="SA72" s="39">
        <v>0</v>
      </c>
      <c r="SB72" s="39">
        <v>0</v>
      </c>
      <c r="SC72" s="39">
        <v>0.123051340677614</v>
      </c>
      <c r="SD72" s="39">
        <v>0.26980198019801999</v>
      </c>
      <c r="SE72" s="39">
        <v>0.41256366723259802</v>
      </c>
      <c r="SF72" s="39">
        <v>0</v>
      </c>
      <c r="SG72" s="39">
        <v>0</v>
      </c>
      <c r="SH72" s="39">
        <v>0</v>
      </c>
      <c r="SI72" s="39">
        <v>0</v>
      </c>
      <c r="SJ72" s="39">
        <v>0</v>
      </c>
      <c r="SK72" s="39">
        <v>0</v>
      </c>
      <c r="SL72" s="39">
        <v>0</v>
      </c>
      <c r="SM72" s="39">
        <v>0</v>
      </c>
      <c r="SN72" s="39">
        <v>0</v>
      </c>
      <c r="SO72" s="39">
        <v>0</v>
      </c>
      <c r="SP72" s="39">
        <v>0</v>
      </c>
      <c r="SQ72" s="39">
        <v>3.2602977349959497E-2</v>
      </c>
      <c r="SR72" s="39">
        <v>0.36621534493874902</v>
      </c>
      <c r="SS72" s="39">
        <v>0</v>
      </c>
      <c r="ST72" s="39">
        <v>0</v>
      </c>
      <c r="SU72" s="39">
        <v>0</v>
      </c>
      <c r="SV72" s="39">
        <v>0</v>
      </c>
      <c r="SW72" s="39">
        <v>0</v>
      </c>
      <c r="SX72" s="39">
        <v>0</v>
      </c>
      <c r="SY72" s="39">
        <v>0</v>
      </c>
      <c r="SZ72" s="39">
        <v>0</v>
      </c>
      <c r="TA72" s="39">
        <v>0</v>
      </c>
      <c r="TB72" s="39">
        <v>0</v>
      </c>
      <c r="TC72" s="39">
        <v>0</v>
      </c>
      <c r="TD72" s="39">
        <v>0</v>
      </c>
      <c r="TE72" s="39">
        <v>0</v>
      </c>
      <c r="TF72" s="39">
        <v>0</v>
      </c>
      <c r="TG72" s="39">
        <v>0</v>
      </c>
      <c r="TH72" s="39">
        <v>0</v>
      </c>
      <c r="TI72" s="39">
        <v>0</v>
      </c>
      <c r="TJ72" s="39">
        <v>0</v>
      </c>
      <c r="TK72" s="39">
        <v>0</v>
      </c>
      <c r="TL72" s="39">
        <v>0</v>
      </c>
      <c r="TM72" s="39">
        <v>0</v>
      </c>
      <c r="TN72" s="39">
        <v>0</v>
      </c>
      <c r="TO72" s="39">
        <v>0</v>
      </c>
      <c r="TP72" s="39">
        <v>0</v>
      </c>
      <c r="TQ72" s="39">
        <v>0</v>
      </c>
      <c r="TR72" s="39">
        <v>0</v>
      </c>
      <c r="TS72" s="39">
        <v>0</v>
      </c>
      <c r="TT72" s="39">
        <v>0</v>
      </c>
      <c r="TU72" s="39">
        <v>0</v>
      </c>
      <c r="TV72" s="39">
        <v>0</v>
      </c>
      <c r="TW72" s="39">
        <v>0</v>
      </c>
      <c r="TX72" s="39">
        <v>0</v>
      </c>
      <c r="TY72" s="39">
        <v>0</v>
      </c>
      <c r="TZ72" s="39">
        <v>0</v>
      </c>
      <c r="UA72" s="39">
        <v>0</v>
      </c>
      <c r="UB72" s="39">
        <v>0</v>
      </c>
      <c r="UC72" s="39">
        <v>0</v>
      </c>
      <c r="UD72" s="39">
        <v>0</v>
      </c>
      <c r="UE72" s="39">
        <v>0</v>
      </c>
      <c r="UF72" s="39">
        <v>0</v>
      </c>
      <c r="UG72" s="39">
        <v>0</v>
      </c>
      <c r="UH72" s="45">
        <v>0</v>
      </c>
      <c r="UI72" s="45">
        <v>0</v>
      </c>
      <c r="UJ72" s="45">
        <v>0</v>
      </c>
      <c r="UK72" s="45">
        <v>0</v>
      </c>
      <c r="UL72" s="45">
        <v>0</v>
      </c>
      <c r="UM72" s="45">
        <v>0</v>
      </c>
      <c r="UN72" s="45">
        <v>0</v>
      </c>
      <c r="UO72" s="45">
        <v>0</v>
      </c>
      <c r="UP72" s="45">
        <v>0</v>
      </c>
      <c r="UQ72" s="45">
        <v>0</v>
      </c>
      <c r="UR72" s="45">
        <v>0</v>
      </c>
      <c r="US72" s="45">
        <v>0</v>
      </c>
      <c r="UT72" s="45">
        <v>0</v>
      </c>
      <c r="UU72" s="45">
        <v>0</v>
      </c>
      <c r="UV72" s="45">
        <v>0</v>
      </c>
      <c r="UW72" s="45">
        <v>0</v>
      </c>
      <c r="UX72" s="45">
        <v>0</v>
      </c>
      <c r="UY72" s="45">
        <v>0</v>
      </c>
      <c r="UZ72" s="45">
        <v>0</v>
      </c>
      <c r="VA72" s="45">
        <v>0</v>
      </c>
      <c r="VB72" s="45">
        <v>0</v>
      </c>
      <c r="VC72" s="45">
        <v>0</v>
      </c>
      <c r="VD72" s="45">
        <v>0</v>
      </c>
      <c r="VE72" s="45">
        <v>0</v>
      </c>
      <c r="VF72" s="45">
        <v>0</v>
      </c>
      <c r="VG72" s="45">
        <v>0</v>
      </c>
      <c r="VH72" s="45">
        <v>0</v>
      </c>
      <c r="VI72" s="45">
        <v>0</v>
      </c>
      <c r="VJ72" s="45">
        <v>0</v>
      </c>
      <c r="VK72" s="45">
        <v>0</v>
      </c>
      <c r="VL72" s="45">
        <v>0</v>
      </c>
      <c r="VM72" s="45">
        <v>0</v>
      </c>
      <c r="VN72" s="45">
        <v>0</v>
      </c>
      <c r="VO72" s="45">
        <v>0</v>
      </c>
      <c r="VP72" s="45">
        <v>0</v>
      </c>
      <c r="VQ72" s="45">
        <v>0</v>
      </c>
      <c r="VR72" s="45">
        <v>0</v>
      </c>
      <c r="VS72" s="45">
        <v>0</v>
      </c>
      <c r="VT72" s="45">
        <v>0</v>
      </c>
      <c r="VU72" s="45">
        <v>0</v>
      </c>
      <c r="VV72" s="45">
        <v>0</v>
      </c>
      <c r="VW72" s="45">
        <v>6.0590598890235302E-4</v>
      </c>
      <c r="VX72" s="35">
        <v>1.64359861591695E-2</v>
      </c>
      <c r="VY72" s="35">
        <v>6.4885496183206104E-2</v>
      </c>
      <c r="VZ72" s="35">
        <v>0</v>
      </c>
      <c r="WA72" s="35">
        <v>0</v>
      </c>
      <c r="WB72" s="35">
        <v>0</v>
      </c>
      <c r="WC72" s="35">
        <v>0.140747176368375</v>
      </c>
      <c r="WD72" s="35">
        <v>1.15667718191377E-2</v>
      </c>
      <c r="WE72" s="35">
        <v>0</v>
      </c>
      <c r="WF72" s="35">
        <v>1.78799489144317E-2</v>
      </c>
      <c r="WG72" s="35">
        <v>0</v>
      </c>
      <c r="WH72" s="35">
        <v>0</v>
      </c>
      <c r="WI72" s="35">
        <v>0</v>
      </c>
      <c r="WJ72" s="35">
        <v>4.1697147037308001E-2</v>
      </c>
      <c r="WK72" s="35">
        <v>0</v>
      </c>
      <c r="WL72" s="35">
        <v>9.5490716180371304E-2</v>
      </c>
      <c r="WM72" s="35">
        <v>0</v>
      </c>
      <c r="WN72" s="35">
        <v>0</v>
      </c>
      <c r="WO72" s="35">
        <v>0</v>
      </c>
      <c r="WP72" s="35">
        <v>0</v>
      </c>
      <c r="WQ72" s="35">
        <v>4.0126715945089798E-2</v>
      </c>
      <c r="WR72" s="35">
        <v>0</v>
      </c>
      <c r="WS72" s="35">
        <v>0</v>
      </c>
      <c r="WT72" s="35">
        <v>0</v>
      </c>
      <c r="WU72" s="35">
        <v>0</v>
      </c>
      <c r="WV72" s="45">
        <v>0</v>
      </c>
      <c r="WW72" s="45">
        <v>0</v>
      </c>
      <c r="WX72" s="45">
        <v>1.37295081967213E-2</v>
      </c>
      <c r="WY72" s="45">
        <v>0</v>
      </c>
      <c r="WZ72" s="45">
        <v>0</v>
      </c>
      <c r="XA72" s="45">
        <v>0</v>
      </c>
      <c r="XB72" s="45">
        <v>0</v>
      </c>
      <c r="XC72" s="45">
        <v>8.0717488789237707E-2</v>
      </c>
      <c r="XD72" s="45">
        <v>0</v>
      </c>
      <c r="XE72" s="45">
        <v>0</v>
      </c>
      <c r="XF72" s="45">
        <v>2.1817309997602501E-2</v>
      </c>
      <c r="XG72" s="45">
        <v>0</v>
      </c>
      <c r="XH72" s="45">
        <v>0</v>
      </c>
      <c r="XI72" s="45">
        <v>0</v>
      </c>
      <c r="XJ72" s="45">
        <v>0</v>
      </c>
      <c r="XK72" s="45">
        <v>0</v>
      </c>
      <c r="XL72" s="45">
        <v>0</v>
      </c>
      <c r="XM72" s="45">
        <v>2.7638190954773899E-2</v>
      </c>
      <c r="XN72" s="45">
        <v>0</v>
      </c>
      <c r="XO72" s="45">
        <v>0</v>
      </c>
      <c r="XP72" s="45">
        <v>0</v>
      </c>
      <c r="XQ72" s="45">
        <v>0</v>
      </c>
      <c r="XR72" s="45">
        <v>0</v>
      </c>
      <c r="XS72" s="45">
        <v>0</v>
      </c>
      <c r="XT72" s="45">
        <v>0</v>
      </c>
      <c r="XU72" s="45">
        <v>0</v>
      </c>
      <c r="XV72" s="45">
        <v>0</v>
      </c>
      <c r="XW72" s="45">
        <v>0</v>
      </c>
      <c r="XX72" s="45">
        <v>0</v>
      </c>
      <c r="XY72">
        <v>0</v>
      </c>
      <c r="XZ72">
        <v>0.20582010582010599</v>
      </c>
      <c r="YA72">
        <v>0</v>
      </c>
      <c r="YB72">
        <v>0.17847769028871399</v>
      </c>
      <c r="YC72">
        <v>0</v>
      </c>
      <c r="YD72">
        <v>0</v>
      </c>
      <c r="YE72">
        <v>0</v>
      </c>
      <c r="YF72" s="1">
        <v>0</v>
      </c>
      <c r="YG72" s="1">
        <v>0</v>
      </c>
      <c r="YH72" s="1">
        <v>0</v>
      </c>
      <c r="YI72" s="1">
        <v>0</v>
      </c>
      <c r="YJ72">
        <v>0</v>
      </c>
      <c r="YK72">
        <v>0</v>
      </c>
      <c r="YL72">
        <v>0</v>
      </c>
      <c r="YM72">
        <v>0.24594745667970899</v>
      </c>
      <c r="YN72">
        <v>0.304283604135894</v>
      </c>
      <c r="YO72">
        <v>0</v>
      </c>
      <c r="YP72">
        <v>0</v>
      </c>
      <c r="YQ72">
        <v>0</v>
      </c>
      <c r="YR72">
        <v>0</v>
      </c>
      <c r="YS72">
        <v>0</v>
      </c>
      <c r="YT72">
        <v>0</v>
      </c>
      <c r="YU72">
        <v>0.282604507801965</v>
      </c>
      <c r="YV72">
        <v>0</v>
      </c>
      <c r="YW72">
        <v>0</v>
      </c>
      <c r="YX72">
        <v>0</v>
      </c>
      <c r="YY72">
        <v>0</v>
      </c>
      <c r="YZ72">
        <v>0</v>
      </c>
      <c r="ZA72">
        <v>0</v>
      </c>
      <c r="ZB72">
        <v>0</v>
      </c>
      <c r="ZC72">
        <v>0</v>
      </c>
      <c r="ZD72">
        <v>0.34980988593155898</v>
      </c>
      <c r="ZE72">
        <v>0</v>
      </c>
      <c r="ZF72">
        <v>0</v>
      </c>
      <c r="ZG72">
        <v>0</v>
      </c>
      <c r="ZH72">
        <v>0</v>
      </c>
      <c r="ZI72">
        <v>0.35288966725043802</v>
      </c>
      <c r="ZJ72">
        <v>0</v>
      </c>
      <c r="ZK72">
        <v>0.30921052631578899</v>
      </c>
      <c r="ZL72">
        <v>0</v>
      </c>
      <c r="ZM72">
        <v>0.26236811254396197</v>
      </c>
      <c r="ZN72">
        <v>0</v>
      </c>
      <c r="ZO72">
        <v>0</v>
      </c>
      <c r="ZP72">
        <v>0</v>
      </c>
      <c r="ZQ72">
        <v>8.3125359953925906E-2</v>
      </c>
      <c r="ZR72">
        <v>0</v>
      </c>
      <c r="ZS72">
        <v>0.123103279490945</v>
      </c>
      <c r="ZT72">
        <v>0</v>
      </c>
      <c r="ZU72">
        <v>0</v>
      </c>
      <c r="ZV72">
        <v>0</v>
      </c>
      <c r="ZW72">
        <v>6.5035727261717302E-2</v>
      </c>
      <c r="ZX72">
        <v>0</v>
      </c>
      <c r="ZY72">
        <v>0</v>
      </c>
      <c r="ZZ72">
        <v>0.174065420560748</v>
      </c>
      <c r="AAA72">
        <v>0</v>
      </c>
      <c r="AAB72">
        <v>0</v>
      </c>
      <c r="AAC72">
        <v>0</v>
      </c>
      <c r="AAD72">
        <v>0</v>
      </c>
      <c r="AAE72">
        <v>0.17953696788648199</v>
      </c>
      <c r="AAF72">
        <v>7.6180698151950693E-2</v>
      </c>
      <c r="AAG72">
        <v>0</v>
      </c>
      <c r="AAH72">
        <v>0</v>
      </c>
      <c r="AAI72">
        <v>0</v>
      </c>
      <c r="AAJ72">
        <v>0.198430688753269</v>
      </c>
      <c r="AAK72">
        <v>0</v>
      </c>
      <c r="AAL72">
        <v>0</v>
      </c>
      <c r="AAM72">
        <v>0.12783751493428899</v>
      </c>
      <c r="AAN72">
        <v>0.14638403990024901</v>
      </c>
      <c r="AAO72">
        <v>0</v>
      </c>
      <c r="AAP72">
        <v>0</v>
      </c>
      <c r="AAQ72">
        <v>0</v>
      </c>
      <c r="AAR72">
        <v>0</v>
      </c>
      <c r="AAS72">
        <v>0</v>
      </c>
      <c r="AAT72">
        <v>0</v>
      </c>
      <c r="AAU72">
        <v>9.6425602660016596E-2</v>
      </c>
      <c r="AAV72">
        <v>0</v>
      </c>
      <c r="AAW72">
        <v>0</v>
      </c>
      <c r="AAX72">
        <v>0</v>
      </c>
      <c r="AAY72">
        <v>0.113214039917412</v>
      </c>
      <c r="AAZ72">
        <v>0</v>
      </c>
      <c r="ABA72">
        <v>0</v>
      </c>
      <c r="ABB72">
        <v>0</v>
      </c>
      <c r="ABC72">
        <v>0</v>
      </c>
      <c r="ABD72">
        <v>0</v>
      </c>
      <c r="ABE72">
        <v>0</v>
      </c>
      <c r="ABF72">
        <v>6.92173913043478E-2</v>
      </c>
      <c r="ABG72">
        <v>0</v>
      </c>
      <c r="ABH72">
        <v>5.6982343499197403E-2</v>
      </c>
      <c r="ABI72">
        <v>0</v>
      </c>
      <c r="ABJ72">
        <v>0</v>
      </c>
      <c r="ABK72">
        <v>7.6769025367156199E-2</v>
      </c>
      <c r="ABL72">
        <v>0</v>
      </c>
      <c r="ABM72">
        <v>4.7129391602399297E-2</v>
      </c>
      <c r="ABN72">
        <v>0</v>
      </c>
      <c r="ABO72">
        <v>0</v>
      </c>
      <c r="ABP72">
        <v>0</v>
      </c>
      <c r="ABQ72">
        <v>0</v>
      </c>
      <c r="ABR72">
        <v>0</v>
      </c>
      <c r="ABS72">
        <v>0</v>
      </c>
      <c r="ABT72">
        <v>0</v>
      </c>
      <c r="ABU72">
        <v>0</v>
      </c>
      <c r="ABV72">
        <v>5.5073633245914903E-2</v>
      </c>
      <c r="ABW72">
        <v>0</v>
      </c>
      <c r="ABX72">
        <v>0</v>
      </c>
      <c r="ABY72">
        <v>0</v>
      </c>
      <c r="ABZ72">
        <v>0</v>
      </c>
      <c r="ACA72">
        <v>0</v>
      </c>
      <c r="ACB72">
        <v>0</v>
      </c>
      <c r="ACC72">
        <v>0</v>
      </c>
      <c r="ACD72">
        <v>0</v>
      </c>
      <c r="ACE72">
        <v>0</v>
      </c>
      <c r="ACF72">
        <v>0</v>
      </c>
      <c r="ACG72">
        <v>4.1111111111111098E-2</v>
      </c>
      <c r="ACH72">
        <v>0</v>
      </c>
      <c r="ACI72">
        <v>0</v>
      </c>
      <c r="ACJ72">
        <v>0</v>
      </c>
      <c r="ACK72">
        <v>1.30614845492195E-2</v>
      </c>
      <c r="ACL72">
        <v>0</v>
      </c>
      <c r="ACM72">
        <v>0</v>
      </c>
      <c r="ACN72">
        <v>0</v>
      </c>
      <c r="ACO72">
        <v>0</v>
      </c>
      <c r="ACP72">
        <v>0</v>
      </c>
      <c r="ACQ72">
        <v>0</v>
      </c>
      <c r="ACR72">
        <v>0</v>
      </c>
      <c r="ACS72">
        <v>0</v>
      </c>
      <c r="ACT72">
        <v>0</v>
      </c>
      <c r="ACU72">
        <v>0</v>
      </c>
      <c r="ACV72">
        <v>0</v>
      </c>
      <c r="ACW72">
        <v>0</v>
      </c>
      <c r="ACX72">
        <v>0</v>
      </c>
      <c r="ACY72">
        <v>0</v>
      </c>
      <c r="ACZ72">
        <v>0</v>
      </c>
      <c r="ADA72">
        <v>0</v>
      </c>
      <c r="ADB72">
        <v>0</v>
      </c>
      <c r="ADC72">
        <v>0</v>
      </c>
      <c r="ADD72">
        <v>0</v>
      </c>
      <c r="ADE72">
        <v>0</v>
      </c>
      <c r="ADF72">
        <v>0</v>
      </c>
      <c r="ADG72">
        <v>0</v>
      </c>
      <c r="ADH72">
        <v>0</v>
      </c>
      <c r="ADI72">
        <v>0</v>
      </c>
      <c r="ADJ72">
        <v>0</v>
      </c>
      <c r="ADK72">
        <v>0</v>
      </c>
      <c r="ADL72">
        <v>5.1188299817184597E-2</v>
      </c>
      <c r="ADM72">
        <v>0</v>
      </c>
      <c r="ADN72">
        <v>0</v>
      </c>
      <c r="ADO72">
        <v>0</v>
      </c>
      <c r="ADP72">
        <v>0</v>
      </c>
      <c r="ADQ72">
        <v>0</v>
      </c>
      <c r="ADR72">
        <v>0</v>
      </c>
      <c r="ADS72">
        <v>0</v>
      </c>
      <c r="ADT72">
        <v>0</v>
      </c>
      <c r="ADU72">
        <v>0</v>
      </c>
      <c r="ADV72">
        <v>0</v>
      </c>
      <c r="ADW72">
        <v>0</v>
      </c>
      <c r="ADX72">
        <v>0</v>
      </c>
      <c r="ADY72">
        <v>0</v>
      </c>
      <c r="ADZ72">
        <v>0</v>
      </c>
      <c r="AEA72">
        <v>0</v>
      </c>
      <c r="AEB72">
        <v>0</v>
      </c>
      <c r="AEC72">
        <v>0</v>
      </c>
      <c r="AED72">
        <v>0</v>
      </c>
      <c r="AEE72">
        <v>0</v>
      </c>
      <c r="AEF72">
        <v>0</v>
      </c>
      <c r="AEG72">
        <v>0</v>
      </c>
      <c r="AEH72">
        <v>0</v>
      </c>
      <c r="AEI72">
        <v>0</v>
      </c>
      <c r="AEJ72">
        <v>0</v>
      </c>
      <c r="AEK72">
        <v>0</v>
      </c>
      <c r="AEL72">
        <v>0</v>
      </c>
      <c r="AEM72">
        <v>0</v>
      </c>
      <c r="AEN72">
        <v>0</v>
      </c>
      <c r="AEO72">
        <v>0</v>
      </c>
      <c r="AEP72">
        <v>0</v>
      </c>
      <c r="AEQ72">
        <v>0</v>
      </c>
      <c r="AER72">
        <v>0</v>
      </c>
      <c r="AES72">
        <v>0</v>
      </c>
      <c r="AET72">
        <v>0</v>
      </c>
      <c r="AEU72">
        <v>0</v>
      </c>
      <c r="AEV72">
        <v>0</v>
      </c>
      <c r="AEW72">
        <v>0</v>
      </c>
      <c r="AEX72">
        <v>0</v>
      </c>
      <c r="AEY72">
        <v>0</v>
      </c>
      <c r="AEZ72">
        <v>0</v>
      </c>
      <c r="AFA72">
        <v>0</v>
      </c>
      <c r="AFB72">
        <v>0</v>
      </c>
      <c r="AFC72">
        <v>0</v>
      </c>
      <c r="AFD72">
        <v>0</v>
      </c>
      <c r="AFE72">
        <v>0</v>
      </c>
      <c r="AFF72">
        <v>0</v>
      </c>
      <c r="AFG72">
        <v>0</v>
      </c>
      <c r="AFH72">
        <v>0</v>
      </c>
      <c r="AFI72">
        <v>0</v>
      </c>
      <c r="AFJ72">
        <v>0</v>
      </c>
      <c r="AFK72">
        <v>0</v>
      </c>
      <c r="AFL72">
        <v>0</v>
      </c>
      <c r="AFM72">
        <v>0</v>
      </c>
      <c r="AFN72">
        <v>0</v>
      </c>
      <c r="AFO72">
        <v>0</v>
      </c>
      <c r="AFP72">
        <v>0</v>
      </c>
      <c r="AFQ72">
        <v>0</v>
      </c>
      <c r="AFR72">
        <v>0</v>
      </c>
      <c r="AFS72">
        <v>0</v>
      </c>
      <c r="AFT72">
        <v>0</v>
      </c>
      <c r="AFU72">
        <v>0</v>
      </c>
      <c r="AFV72">
        <v>0</v>
      </c>
      <c r="AFW72">
        <v>0</v>
      </c>
      <c r="AFX72">
        <v>0</v>
      </c>
      <c r="AFY72">
        <v>0</v>
      </c>
      <c r="AFZ72">
        <v>0</v>
      </c>
      <c r="AGA72">
        <v>0</v>
      </c>
      <c r="AGB72">
        <v>0</v>
      </c>
      <c r="AGC72">
        <v>0</v>
      </c>
      <c r="AGD72">
        <v>0</v>
      </c>
      <c r="AGE72">
        <v>0</v>
      </c>
      <c r="AGF72">
        <v>0</v>
      </c>
      <c r="AGG72">
        <v>0</v>
      </c>
      <c r="AGH72">
        <v>0</v>
      </c>
      <c r="AGI72">
        <v>0</v>
      </c>
      <c r="AGJ72">
        <v>0</v>
      </c>
      <c r="AGK72">
        <v>0</v>
      </c>
      <c r="AGL72">
        <v>0</v>
      </c>
      <c r="AGM72">
        <v>0</v>
      </c>
      <c r="AGN72">
        <v>0</v>
      </c>
      <c r="AGO72">
        <v>0</v>
      </c>
      <c r="AGP72">
        <v>0</v>
      </c>
      <c r="AGQ72">
        <v>0</v>
      </c>
      <c r="AGR72">
        <v>0</v>
      </c>
      <c r="AGS72">
        <v>0</v>
      </c>
      <c r="AGT72">
        <v>0</v>
      </c>
      <c r="AGU72">
        <v>0</v>
      </c>
      <c r="AGV72">
        <v>0</v>
      </c>
      <c r="AGW72">
        <v>0</v>
      </c>
      <c r="AGX72">
        <v>0</v>
      </c>
      <c r="AGY72">
        <v>0</v>
      </c>
      <c r="AGZ72">
        <v>0</v>
      </c>
      <c r="AHA72">
        <v>0</v>
      </c>
      <c r="AHB72">
        <v>0</v>
      </c>
      <c r="AHC72">
        <v>8.4620042385709998E-2</v>
      </c>
      <c r="AHD72">
        <v>0</v>
      </c>
      <c r="AHE72">
        <v>0</v>
      </c>
      <c r="AHF72">
        <v>0</v>
      </c>
      <c r="AHG72">
        <v>0</v>
      </c>
      <c r="AHH72">
        <v>0</v>
      </c>
      <c r="AHI72">
        <v>0</v>
      </c>
      <c r="AHJ72">
        <v>0</v>
      </c>
      <c r="AHK72">
        <v>0</v>
      </c>
      <c r="AHL72">
        <v>0</v>
      </c>
      <c r="AHM72">
        <v>0</v>
      </c>
      <c r="AHN72">
        <v>0</v>
      </c>
      <c r="AHO72">
        <v>0</v>
      </c>
      <c r="AHP72">
        <v>0</v>
      </c>
      <c r="AHQ72">
        <v>0</v>
      </c>
    </row>
    <row r="73" spans="1:901">
      <c r="A73" s="1" t="s">
        <v>44</v>
      </c>
      <c r="C73" s="39">
        <f t="shared" si="157"/>
        <v>0.17698833087737464</v>
      </c>
      <c r="D73" s="39">
        <f t="shared" si="157"/>
        <v>0.78162613608450016</v>
      </c>
      <c r="E73" s="39">
        <f t="shared" si="157"/>
        <v>0.30621797710165094</v>
      </c>
      <c r="F73" s="39">
        <f t="shared" si="157"/>
        <v>0.34619765494137356</v>
      </c>
      <c r="G73" s="39">
        <f t="shared" si="222"/>
        <v>0.60921912624699004</v>
      </c>
      <c r="H73" s="39">
        <f t="shared" si="222"/>
        <v>0.77087737843551796</v>
      </c>
      <c r="I73" s="39">
        <f t="shared" si="222"/>
        <v>0.31492938802958975</v>
      </c>
      <c r="J73" s="39">
        <f t="shared" si="222"/>
        <v>0.29850932451818124</v>
      </c>
      <c r="K73" s="39">
        <f t="shared" si="222"/>
        <v>0.36266094420600858</v>
      </c>
      <c r="L73" s="39">
        <f t="shared" si="222"/>
        <v>0.19041924351658865</v>
      </c>
      <c r="M73" s="39">
        <f t="shared" si="222"/>
        <v>0.6337247227658187</v>
      </c>
      <c r="N73" s="39">
        <f t="shared" si="222"/>
        <v>1.3731215495272828E-2</v>
      </c>
      <c r="O73" s="39">
        <f t="shared" si="222"/>
        <v>0.26890044756259829</v>
      </c>
      <c r="P73" s="39">
        <f t="shared" si="222"/>
        <v>0.29922425534434771</v>
      </c>
      <c r="Q73" s="39">
        <f t="shared" si="222"/>
        <v>0.31215182124273033</v>
      </c>
      <c r="R73" s="39">
        <f t="shared" si="222"/>
        <v>0.3270323950414355</v>
      </c>
      <c r="S73" s="39">
        <f t="shared" si="222"/>
        <v>0.3420312280208187</v>
      </c>
      <c r="T73" s="39">
        <f t="shared" si="222"/>
        <v>0.66458550121401316</v>
      </c>
      <c r="U73" s="39">
        <f t="shared" si="222"/>
        <v>0.84141836985964047</v>
      </c>
      <c r="V73" s="39">
        <f t="shared" ref="V73:AY73" si="612">IFERROR(V10/V52,0)</f>
        <v>0.34355653597096708</v>
      </c>
      <c r="W73" s="39">
        <f t="shared" si="612"/>
        <v>0.28345092214382966</v>
      </c>
      <c r="X73" s="39">
        <f t="shared" si="612"/>
        <v>0.33398449807801373</v>
      </c>
      <c r="Y73" s="39">
        <f t="shared" si="612"/>
        <v>0.34253172795314024</v>
      </c>
      <c r="Z73" s="39">
        <f t="shared" si="612"/>
        <v>0.28642052565707132</v>
      </c>
      <c r="AA73" s="39">
        <f t="shared" si="612"/>
        <v>0.73597589244320816</v>
      </c>
      <c r="AB73" s="39">
        <f t="shared" si="612"/>
        <v>0.79292590105216032</v>
      </c>
      <c r="AC73" s="39">
        <f t="shared" si="612"/>
        <v>0.26763459621136593</v>
      </c>
      <c r="AD73" s="39">
        <f t="shared" si="612"/>
        <v>0.22272253033880621</v>
      </c>
      <c r="AE73" s="39">
        <f t="shared" si="612"/>
        <v>0.32872302372719686</v>
      </c>
      <c r="AF73" s="39">
        <f t="shared" si="612"/>
        <v>0.43005478404892344</v>
      </c>
      <c r="AG73" s="39">
        <f t="shared" si="612"/>
        <v>0.33247878898858574</v>
      </c>
      <c r="AH73" s="39">
        <f t="shared" si="612"/>
        <v>0.61022222222222222</v>
      </c>
      <c r="AI73" s="39">
        <f t="shared" si="612"/>
        <v>0.78485041374920428</v>
      </c>
      <c r="AJ73" s="39">
        <f t="shared" si="612"/>
        <v>0.29155752569010679</v>
      </c>
      <c r="AK73" s="39">
        <f t="shared" si="612"/>
        <v>0.32023391812865498</v>
      </c>
      <c r="AL73" s="39">
        <f t="shared" si="612"/>
        <v>0.32400646836869701</v>
      </c>
      <c r="AM73" s="39">
        <f t="shared" si="612"/>
        <v>0.32670426437122785</v>
      </c>
      <c r="AN73" s="39">
        <f t="shared" si="612"/>
        <v>0.32123053956067393</v>
      </c>
      <c r="AO73" s="39">
        <f t="shared" si="612"/>
        <v>0.61503738185921852</v>
      </c>
      <c r="AP73" s="39">
        <f t="shared" si="612"/>
        <v>0.70005041169551341</v>
      </c>
      <c r="AQ73" s="39">
        <f t="shared" si="612"/>
        <v>0.27785831190086507</v>
      </c>
      <c r="AR73" s="39">
        <f t="shared" si="612"/>
        <v>0.25675737689871964</v>
      </c>
      <c r="AS73" s="39">
        <f t="shared" si="612"/>
        <v>0.28625054141200251</v>
      </c>
      <c r="AT73" s="39">
        <f t="shared" si="612"/>
        <v>0.28985507246376813</v>
      </c>
      <c r="AU73" s="39">
        <f t="shared" si="612"/>
        <v>0.35730467615451639</v>
      </c>
      <c r="AV73" s="39">
        <f t="shared" si="612"/>
        <v>0.6508006463934185</v>
      </c>
      <c r="AW73" s="39">
        <f t="shared" si="612"/>
        <v>0.82233391608391604</v>
      </c>
      <c r="AX73" s="39">
        <f t="shared" si="612"/>
        <v>0.49198763002530221</v>
      </c>
      <c r="AY73" s="39">
        <f t="shared" si="612"/>
        <v>0.25922802143282397</v>
      </c>
      <c r="AZ73" s="39">
        <f t="shared" si="91"/>
        <v>0.27848924462231117</v>
      </c>
      <c r="BA73" s="39">
        <f t="shared" ref="BA73:BF73" si="613">IFERROR(BA10/BA52,0)</f>
        <v>0.30502982925324007</v>
      </c>
      <c r="BB73" s="39">
        <f t="shared" si="613"/>
        <v>0.36968677053363008</v>
      </c>
      <c r="BC73" s="39">
        <f t="shared" si="613"/>
        <v>0.77024728509747487</v>
      </c>
      <c r="BD73" s="39">
        <f t="shared" si="613"/>
        <v>0.9527468305800999</v>
      </c>
      <c r="BE73" s="39">
        <f t="shared" si="613"/>
        <v>0.27848592061261085</v>
      </c>
      <c r="BF73" s="39">
        <f t="shared" si="613"/>
        <v>0.35737321804159849</v>
      </c>
      <c r="BG73" s="39">
        <f t="shared" ref="BG73" si="614">IFERROR(BG10/BG52,0)</f>
        <v>0.3682155408043733</v>
      </c>
      <c r="BH73" s="39">
        <f t="shared" si="93"/>
        <v>0.35399019170753454</v>
      </c>
      <c r="BI73" s="39">
        <f t="shared" ref="BI73:BK73" si="615">IFERROR(BI10/BI52,0)</f>
        <v>0.38677315028710973</v>
      </c>
      <c r="BJ73" s="39">
        <f t="shared" si="615"/>
        <v>0.55510273391068088</v>
      </c>
      <c r="BK73" s="39">
        <f t="shared" si="615"/>
        <v>0.71921921921921927</v>
      </c>
      <c r="BL73" s="39">
        <f t="shared" ref="BL73:BM73" si="616">IFERROR(BL10/BL52,0)</f>
        <v>0.46006808064938465</v>
      </c>
      <c r="BM73" s="39">
        <f t="shared" si="616"/>
        <v>0.27375628842929012</v>
      </c>
      <c r="BN73" s="39">
        <f t="shared" ref="BN73:BO73" si="617">IFERROR(BN10/BN52,0)</f>
        <v>0.2739356814701378</v>
      </c>
      <c r="BO73" s="39">
        <f t="shared" si="617"/>
        <v>0.39166209544706526</v>
      </c>
      <c r="BP73" s="39">
        <f t="shared" ref="BP73:BQ73" si="618">IFERROR(BP10/BP52,0)</f>
        <v>0.34682289784751974</v>
      </c>
      <c r="BQ73" s="39">
        <f t="shared" si="618"/>
        <v>0.54187802288545472</v>
      </c>
      <c r="BR73" s="39">
        <f t="shared" ref="BR73:BS73" si="619">IFERROR(BR10/BR52,0)</f>
        <v>0.51320211233797408</v>
      </c>
      <c r="BS73" s="39">
        <f t="shared" si="619"/>
        <v>0.40455755031670476</v>
      </c>
      <c r="BT73" s="39">
        <f t="shared" ref="BT73:BU73" si="620">IFERROR(BT10/BT52,0)</f>
        <v>0.35771147722552954</v>
      </c>
      <c r="BU73" s="39">
        <f t="shared" si="620"/>
        <v>0.30579759345177471</v>
      </c>
      <c r="BV73" s="39">
        <f t="shared" ref="BV73:BW73" si="621">IFERROR(BV10/BV52,0)</f>
        <v>0.45364424918328267</v>
      </c>
      <c r="BW73" s="39">
        <f t="shared" si="621"/>
        <v>0.41224203979074847</v>
      </c>
      <c r="BX73" s="39">
        <f t="shared" ref="BX73:BY73" si="622">IFERROR(BX10/BX52,0)</f>
        <v>0.64317358034635519</v>
      </c>
      <c r="BY73" s="39">
        <f t="shared" si="622"/>
        <v>0.92642427712567998</v>
      </c>
      <c r="BZ73" s="39">
        <f t="shared" ref="BZ73:CA73" si="623">IFERROR(BZ10/BZ52,0)</f>
        <v>0.33629499694935938</v>
      </c>
      <c r="CA73" s="39">
        <f t="shared" si="623"/>
        <v>0.41017134524243531</v>
      </c>
      <c r="CB73" s="39">
        <f t="shared" ref="CB73:CC73" si="624">IFERROR(CB10/CB52,0)</f>
        <v>0.38516604392918252</v>
      </c>
      <c r="CC73" s="39">
        <f t="shared" si="624"/>
        <v>0.42571789651056657</v>
      </c>
      <c r="CD73" s="39">
        <f t="shared" ref="CD73:CE73" si="625">IFERROR(CD10/CD52,0)</f>
        <v>0.41185431871324313</v>
      </c>
      <c r="CE73" s="39">
        <f t="shared" si="625"/>
        <v>0.68938413168115409</v>
      </c>
      <c r="CF73" s="39">
        <f t="shared" ref="CF73:CG73" si="626">IFERROR(CF10/CF52,0)</f>
        <v>0.89060542797494779</v>
      </c>
      <c r="CG73" s="39">
        <f t="shared" si="626"/>
        <v>0.36101817227579874</v>
      </c>
      <c r="CH73" s="39">
        <f t="shared" ref="CH73:CI73" si="627">IFERROR(CH10/CH52,0)</f>
        <v>0.36509436838735249</v>
      </c>
      <c r="CI73" s="39">
        <f t="shared" si="627"/>
        <v>0.37498030069026383</v>
      </c>
      <c r="CJ73" s="39">
        <f t="shared" ref="CJ73:CK73" si="628">IFERROR(CJ10/CJ52,0)</f>
        <v>0.37623975189609116</v>
      </c>
      <c r="CK73" s="39">
        <f t="shared" si="628"/>
        <v>0.38261614623000761</v>
      </c>
      <c r="CL73" s="39">
        <f t="shared" ref="CL73:CM73" si="629">IFERROR(CL10/CL52,0)</f>
        <v>0.72045530632741883</v>
      </c>
      <c r="CM73" s="39">
        <f t="shared" si="629"/>
        <v>0.73545826615403698</v>
      </c>
      <c r="CN73" s="39">
        <f t="shared" ref="CN73:CO73" si="630">IFERROR(CN10/CN52,0)</f>
        <v>0.33453505348151236</v>
      </c>
      <c r="CO73" s="39">
        <f t="shared" si="630"/>
        <v>0.30974010347731923</v>
      </c>
      <c r="CP73" s="39">
        <f t="shared" ref="CP73:CQ73" si="631">IFERROR(CP10/CP52,0)</f>
        <v>0.36527150021670485</v>
      </c>
      <c r="CQ73" s="39">
        <f t="shared" si="631"/>
        <v>0.37765170202269366</v>
      </c>
      <c r="CR73" s="39">
        <f t="shared" ref="CR73:CS73" si="632">IFERROR(CR10/CR52,0)</f>
        <v>0.3891616132447781</v>
      </c>
      <c r="CS73" s="39">
        <f t="shared" si="632"/>
        <v>0.55039256529402336</v>
      </c>
      <c r="CT73" s="39">
        <f t="shared" ref="CT73:CU73" si="633">IFERROR(CT10/CT52,0)</f>
        <v>0.61880617653837289</v>
      </c>
      <c r="CU73" s="39">
        <f t="shared" si="633"/>
        <v>0.36775426219870666</v>
      </c>
      <c r="CV73" s="39">
        <f t="shared" ref="CV73:CW73" si="634">IFERROR(CV10/CV52,0)</f>
        <v>0.3575856143365656</v>
      </c>
      <c r="CW73" s="39">
        <f t="shared" si="634"/>
        <v>0.40576554324157432</v>
      </c>
      <c r="CX73" s="39">
        <f t="shared" ref="CX73" si="635">IFERROR(CX10/CX52,0)</f>
        <v>0.41605055020632736</v>
      </c>
      <c r="CY73" s="39">
        <v>0.41605055020632736</v>
      </c>
      <c r="CZ73" s="39">
        <v>0.30351809668438368</v>
      </c>
      <c r="DA73" s="39">
        <f t="shared" ref="DA73:DB73" si="636">IFERROR(DA10/DA52,0)</f>
        <v>0.30351809668438368</v>
      </c>
      <c r="DB73" s="39">
        <f t="shared" si="636"/>
        <v>0.38205759757483898</v>
      </c>
      <c r="DC73" s="39">
        <f t="shared" ref="DC73:DD73" si="637">IFERROR(DC10/DC52,0)</f>
        <v>0.3651186061569251</v>
      </c>
      <c r="DD73" s="39">
        <f t="shared" si="637"/>
        <v>0.37977886056971516</v>
      </c>
      <c r="DE73" s="39">
        <f t="shared" ref="DE73:DF73" si="638">IFERROR(DE10/DE52,0)</f>
        <v>0.45001217236062646</v>
      </c>
      <c r="DF73" s="39">
        <f t="shared" si="638"/>
        <v>0.73582504049988429</v>
      </c>
      <c r="DG73" s="39">
        <f t="shared" ref="DG73:DH73" si="639">IFERROR(DG10/DG52,0)</f>
        <v>0.60869057353112954</v>
      </c>
      <c r="DH73" s="39">
        <f t="shared" si="639"/>
        <v>0.67537352418765018</v>
      </c>
      <c r="DI73" s="39">
        <f t="shared" ref="DI73:DJ73" si="640">IFERROR(DI10/DI52,0)</f>
        <v>0.35888046870024837</v>
      </c>
      <c r="DJ73" s="39">
        <f t="shared" si="640"/>
        <v>0.37549240292628022</v>
      </c>
      <c r="DK73" s="39">
        <f t="shared" ref="DK73:DL73" si="641">IFERROR(DK10/DK52,0)</f>
        <v>0.40031479538300108</v>
      </c>
      <c r="DL73" s="39">
        <f t="shared" si="641"/>
        <v>0.38903486198770215</v>
      </c>
      <c r="DM73" s="39">
        <f t="shared" ref="DM73:DN73" si="642">IFERROR(DM10/DM52,0)</f>
        <v>0.45321514000281415</v>
      </c>
      <c r="DN73" s="39">
        <f t="shared" si="642"/>
        <v>0.67206396130072565</v>
      </c>
      <c r="DO73" s="39">
        <f t="shared" ref="DO73:DP73" si="643">IFERROR(DO10/DO52,0)</f>
        <v>0.71184851893513312</v>
      </c>
      <c r="DP73" s="39">
        <f t="shared" si="643"/>
        <v>0.37134012640268282</v>
      </c>
      <c r="DQ73" s="39">
        <f t="shared" ref="DQ73:DR73" si="644">IFERROR(DQ10/DQ52,0)</f>
        <v>0.38202166064981952</v>
      </c>
      <c r="DR73" s="39">
        <f t="shared" si="644"/>
        <v>0.4173022831513063</v>
      </c>
      <c r="DS73" s="39">
        <f t="shared" ref="DS73:DT73" si="645">IFERROR(DS10/DS52,0)</f>
        <v>0.40515018203883496</v>
      </c>
      <c r="DT73" s="39">
        <f t="shared" si="645"/>
        <v>0.42784773182121416</v>
      </c>
      <c r="DU73" s="39">
        <f t="shared" ref="DU73" si="646">IFERROR(DU10/DU52,0)</f>
        <v>0.51196259968833069</v>
      </c>
      <c r="DV73" s="39">
        <f t="shared" si="125"/>
        <v>0.47238474139948516</v>
      </c>
      <c r="DW73" s="39">
        <f t="shared" si="125"/>
        <v>0.3692830896724259</v>
      </c>
      <c r="DX73" s="39">
        <f t="shared" ref="DX73:DY73" si="647">IFERROR(DX10/DX52,0)</f>
        <v>0.37516888807741466</v>
      </c>
      <c r="DY73" s="39">
        <f t="shared" si="647"/>
        <v>0.41163463487442187</v>
      </c>
      <c r="DZ73" s="39">
        <f t="shared" ref="DZ73:EA73" si="648">IFERROR(DZ10/DZ52,0)</f>
        <v>0.39011662457287177</v>
      </c>
      <c r="EA73" s="39">
        <f t="shared" si="648"/>
        <v>0.38687215492631744</v>
      </c>
      <c r="EB73" s="39">
        <f t="shared" ref="EB73:EC73" si="649">IFERROR(EB10/EB52,0)</f>
        <v>0.49981610886355277</v>
      </c>
      <c r="EC73" s="39">
        <f t="shared" si="649"/>
        <v>0.49334182491894396</v>
      </c>
      <c r="ED73" s="39">
        <f t="shared" ref="ED73:EE73" si="650">IFERROR(ED10/ED52,0)</f>
        <v>0.35516242499482725</v>
      </c>
      <c r="EE73" s="39">
        <f t="shared" si="650"/>
        <v>0.34473219088603702</v>
      </c>
      <c r="EF73" s="39">
        <f t="shared" ref="EF73:EG73" si="651">IFERROR(EF10/EF52,0)</f>
        <v>0.36617176927452094</v>
      </c>
      <c r="EG73" s="39">
        <f t="shared" si="651"/>
        <v>0.34668642811772177</v>
      </c>
      <c r="EH73" s="39">
        <f t="shared" ref="EH73:EI73" si="652">IFERROR(EH10/EH52,0)</f>
        <v>0.36749412948674942</v>
      </c>
      <c r="EI73" s="39">
        <f t="shared" si="652"/>
        <v>0.43421865348980854</v>
      </c>
      <c r="EJ73" s="39">
        <f t="shared" ref="EJ73:EK73" si="653">IFERROR(EJ10/EJ52,0)</f>
        <v>0.50754611514812742</v>
      </c>
      <c r="EK73" s="39">
        <f t="shared" si="653"/>
        <v>0.40592592592592591</v>
      </c>
      <c r="EL73" s="39">
        <f t="shared" ref="EL73:EM73" si="654">IFERROR(EL10/EL52,0)</f>
        <v>0.30083917122558607</v>
      </c>
      <c r="EM73" s="39">
        <f t="shared" si="654"/>
        <v>0.31716548678769185</v>
      </c>
      <c r="EN73" s="39">
        <f t="shared" ref="EN73:EO73" si="655">IFERROR(EN10/EN52,0)</f>
        <v>0.34248300837116541</v>
      </c>
      <c r="EO73" s="39">
        <f t="shared" si="655"/>
        <v>0.35962428532534713</v>
      </c>
      <c r="EP73" s="39">
        <f t="shared" ref="EP73" si="656">IFERROR(EP10/EP52,0)</f>
        <v>0.43958831630064504</v>
      </c>
      <c r="EQ73" s="39">
        <f t="shared" ref="EQ73:ER73" si="657">IFERROR(EQ10/EQ52,0)</f>
        <v>0.45128923112822306</v>
      </c>
      <c r="ER73" s="39">
        <f t="shared" si="657"/>
        <v>0.28733509940863239</v>
      </c>
      <c r="ES73" s="39">
        <f t="shared" ref="ES73:ET73" si="658">IFERROR(ES10/ES52,0)</f>
        <v>0.28485933503836319</v>
      </c>
      <c r="ET73" s="39">
        <f t="shared" si="658"/>
        <v>0.28630805534699133</v>
      </c>
      <c r="EU73" s="39">
        <f t="shared" ref="EU73:EV73" si="659">IFERROR(EU10/EU52,0)</f>
        <v>0.29479539133889548</v>
      </c>
      <c r="EV73" s="39">
        <f t="shared" si="659"/>
        <v>0.28722651412396061</v>
      </c>
      <c r="EW73" s="39">
        <f t="shared" ref="EW73:EX73" si="660">IFERROR(EW10/EW52,0)</f>
        <v>0.33187596146061049</v>
      </c>
      <c r="EX73" s="39">
        <f t="shared" si="660"/>
        <v>0.4364609749225134</v>
      </c>
      <c r="EY73" s="39">
        <f t="shared" ref="EY73:EZ73" si="661">IFERROR(EY10/EY52,0)</f>
        <v>0.25920950504507734</v>
      </c>
      <c r="EZ73" s="39">
        <f t="shared" si="661"/>
        <v>0.27158180994107872</v>
      </c>
      <c r="FA73" s="39">
        <f t="shared" ref="FA73:FB73" si="662">IFERROR(FA10/FA52,0)</f>
        <v>0.28005540166204984</v>
      </c>
      <c r="FB73" s="39">
        <f t="shared" si="662"/>
        <v>0.24028604751089558</v>
      </c>
      <c r="FC73" s="39">
        <f t="shared" ref="FC73:FD73" si="663">IFERROR(FC10/FC52,0)</f>
        <v>0.25962115653971851</v>
      </c>
      <c r="FD73" s="39">
        <f t="shared" si="663"/>
        <v>0.27515291197588865</v>
      </c>
      <c r="FE73" s="39">
        <f t="shared" ref="FE73:FF73" si="664">IFERROR(FE10/FE52,0)</f>
        <v>0.30321798842062742</v>
      </c>
      <c r="FF73" s="39">
        <f t="shared" si="664"/>
        <v>0.25482557109969894</v>
      </c>
      <c r="FG73" s="39">
        <f t="shared" ref="FG73:FH73" si="665">IFERROR(FG10/FG52,0)</f>
        <v>0.25515205196338941</v>
      </c>
      <c r="FH73" s="39">
        <f t="shared" si="665"/>
        <v>0.26703272428918551</v>
      </c>
      <c r="FI73" s="39">
        <f t="shared" ref="FI73:FJ73" si="666">IFERROR(FI10/FI52,0)</f>
        <v>0.25509372453137735</v>
      </c>
      <c r="FJ73" s="39">
        <f t="shared" si="666"/>
        <v>0.24853369919396329</v>
      </c>
      <c r="FK73" s="39">
        <f t="shared" ref="FK73:FL73" si="667">IFERROR(FK10/FK52,0)</f>
        <v>0.27671097981290005</v>
      </c>
      <c r="FL73" s="39">
        <f t="shared" si="667"/>
        <v>0.31791044776119404</v>
      </c>
      <c r="FM73" s="39">
        <f t="shared" ref="FM73" si="668">IFERROR(FM10/FM52,0)</f>
        <v>0.24164045561425473</v>
      </c>
      <c r="FN73" s="39">
        <v>0.24989578322911657</v>
      </c>
      <c r="FO73" s="39">
        <f t="shared" ref="FO73" si="669">IFERROR(FO10/FO52,0)</f>
        <v>0.24202735317779567</v>
      </c>
      <c r="FP73" s="39">
        <v>0.24716363636363636</v>
      </c>
      <c r="FQ73" s="39">
        <f t="shared" ref="FQ73:HA73" si="670">IFERROR(FQ10/FQ52,0)</f>
        <v>0.25467743187640712</v>
      </c>
      <c r="FR73" s="39">
        <v>0.25563347358578775</v>
      </c>
      <c r="FS73" s="39">
        <f t="shared" si="670"/>
        <v>0.26500070591557251</v>
      </c>
      <c r="FT73" s="39">
        <f t="shared" si="670"/>
        <v>0.24570423936840707</v>
      </c>
      <c r="FU73" s="39">
        <f t="shared" si="670"/>
        <v>0.23694394149181666</v>
      </c>
      <c r="FV73" s="39">
        <f t="shared" si="670"/>
        <v>0.24887487017732815</v>
      </c>
      <c r="FW73" s="39">
        <f t="shared" si="670"/>
        <v>0.25900745179380807</v>
      </c>
      <c r="FX73" s="39">
        <f t="shared" si="670"/>
        <v>0.23910999686618614</v>
      </c>
      <c r="FY73" s="39">
        <f t="shared" si="670"/>
        <v>0.27574788764558117</v>
      </c>
      <c r="FZ73" s="39">
        <f t="shared" si="670"/>
        <v>0.29536124794745483</v>
      </c>
      <c r="GA73" s="39">
        <f t="shared" si="670"/>
        <v>0.22141372141372143</v>
      </c>
      <c r="GB73" s="39">
        <f t="shared" si="670"/>
        <v>0.21786087954369029</v>
      </c>
      <c r="GC73" s="39">
        <f t="shared" si="670"/>
        <v>0.2411962992182457</v>
      </c>
      <c r="GD73" s="39">
        <f t="shared" si="670"/>
        <v>0.22220496291406158</v>
      </c>
      <c r="GE73" s="39">
        <f t="shared" si="670"/>
        <v>0.23832106160821998</v>
      </c>
      <c r="GF73" s="39">
        <f t="shared" si="670"/>
        <v>0.28642406338122733</v>
      </c>
      <c r="GG73" s="39">
        <f t="shared" si="670"/>
        <v>0.2498200143988481</v>
      </c>
      <c r="GH73" s="39">
        <f t="shared" si="670"/>
        <v>0.20319950245318222</v>
      </c>
      <c r="GI73" s="39">
        <f t="shared" si="670"/>
        <v>0.21670206310679613</v>
      </c>
      <c r="GJ73" s="39">
        <f t="shared" si="670"/>
        <v>0.22682553992082469</v>
      </c>
      <c r="GK73" s="39">
        <f t="shared" si="670"/>
        <v>0.22276832598193658</v>
      </c>
      <c r="GL73" s="39">
        <f t="shared" si="670"/>
        <v>0.23819202477739063</v>
      </c>
      <c r="GM73" s="39">
        <f t="shared" si="670"/>
        <v>0.24337974337974339</v>
      </c>
      <c r="GN73" s="39">
        <f t="shared" si="670"/>
        <v>0.24889231361972644</v>
      </c>
      <c r="GO73" s="39">
        <f t="shared" si="670"/>
        <v>0.20453628218580999</v>
      </c>
      <c r="GP73" s="39">
        <f t="shared" si="670"/>
        <v>0.24175868624357885</v>
      </c>
      <c r="GQ73" s="39">
        <f t="shared" si="670"/>
        <v>0.25401246223564955</v>
      </c>
      <c r="GR73" s="39">
        <f t="shared" si="670"/>
        <v>0.22951185080615202</v>
      </c>
      <c r="GS73" s="39">
        <f t="shared" si="670"/>
        <v>0.1979536887452881</v>
      </c>
      <c r="GT73" s="39">
        <f t="shared" si="670"/>
        <v>0.26786850477200425</v>
      </c>
      <c r="GU73" s="39">
        <f t="shared" si="670"/>
        <v>0.24940000000000001</v>
      </c>
      <c r="GV73" s="39">
        <f t="shared" si="670"/>
        <v>0.18714222809335096</v>
      </c>
      <c r="GW73" s="39">
        <f t="shared" si="670"/>
        <v>0.23475922131147542</v>
      </c>
      <c r="GX73" s="39">
        <f t="shared" si="670"/>
        <v>0.20864623503145929</v>
      </c>
      <c r="GY73" s="39">
        <f t="shared" si="670"/>
        <v>0.19943076254101277</v>
      </c>
      <c r="GZ73" s="39">
        <f t="shared" si="670"/>
        <v>0.26875264270613108</v>
      </c>
      <c r="HA73" s="39">
        <f t="shared" si="670"/>
        <v>0.25136688630309828</v>
      </c>
      <c r="HB73" s="39">
        <f t="shared" si="148"/>
        <v>0.11404738539184074</v>
      </c>
      <c r="HC73" s="39">
        <f t="shared" si="148"/>
        <v>0.16725756808353137</v>
      </c>
      <c r="HD73" s="39">
        <f t="shared" ref="HD73:JO73" si="671">IFERROR(HD10/HD52,0)</f>
        <v>0.18966540544550783</v>
      </c>
      <c r="HE73" s="39">
        <f t="shared" si="671"/>
        <v>0.18033492616987387</v>
      </c>
      <c r="HF73" s="39">
        <f t="shared" si="671"/>
        <v>0.19262680694551365</v>
      </c>
      <c r="HG73" s="39">
        <f t="shared" si="671"/>
        <v>0.19287338189579176</v>
      </c>
      <c r="HH73" s="39">
        <f t="shared" si="671"/>
        <v>0.21725331794575881</v>
      </c>
      <c r="HI73" s="39">
        <f t="shared" si="671"/>
        <v>0.2409283477620188</v>
      </c>
      <c r="HJ73" s="39">
        <f t="shared" si="671"/>
        <v>0.1665494333724111</v>
      </c>
      <c r="HK73" s="39">
        <f t="shared" si="671"/>
        <v>0.18464416494188823</v>
      </c>
      <c r="HL73" s="39">
        <f t="shared" si="671"/>
        <v>0.15701219512195122</v>
      </c>
      <c r="HM73" s="39">
        <f t="shared" si="671"/>
        <v>0.17042136912283759</v>
      </c>
      <c r="HN73" s="39">
        <f t="shared" si="671"/>
        <v>0.15050730242504209</v>
      </c>
      <c r="HO73" s="39">
        <f t="shared" si="671"/>
        <v>0.24525222551928783</v>
      </c>
      <c r="HP73" s="39">
        <f t="shared" si="671"/>
        <v>0.1989209885137487</v>
      </c>
      <c r="HQ73" s="39">
        <f t="shared" si="671"/>
        <v>0.15859419841935626</v>
      </c>
      <c r="HR73" s="39">
        <f t="shared" si="671"/>
        <v>0.16677587035338312</v>
      </c>
      <c r="HS73" s="39">
        <f t="shared" si="671"/>
        <v>0.17743585182549917</v>
      </c>
      <c r="HT73" s="39">
        <f t="shared" si="671"/>
        <v>0.18649941429129246</v>
      </c>
      <c r="HU73" s="39">
        <f t="shared" si="671"/>
        <v>0.17601536134062609</v>
      </c>
      <c r="HV73" s="39">
        <f t="shared" si="671"/>
        <v>0.23817825234255829</v>
      </c>
      <c r="HW73" s="39">
        <f t="shared" si="671"/>
        <v>0.22970252739879221</v>
      </c>
      <c r="HX73" s="39">
        <f t="shared" si="671"/>
        <v>0.1605365189143875</v>
      </c>
      <c r="HY73" s="39">
        <f t="shared" si="671"/>
        <v>0.15519367101613069</v>
      </c>
      <c r="HZ73" s="39">
        <f t="shared" si="671"/>
        <v>0.16627716756251459</v>
      </c>
      <c r="IA73" s="39">
        <f t="shared" si="671"/>
        <v>0.15687992988606486</v>
      </c>
      <c r="IB73" s="39">
        <f t="shared" si="671"/>
        <v>0.15922679514715274</v>
      </c>
      <c r="IC73" s="39">
        <f t="shared" si="671"/>
        <v>0.19969408565601632</v>
      </c>
      <c r="ID73" s="39">
        <f t="shared" si="671"/>
        <v>0.18434145064152921</v>
      </c>
      <c r="IE73" s="39">
        <f t="shared" si="671"/>
        <v>0.1469403563129357</v>
      </c>
      <c r="IF73" s="39">
        <f t="shared" si="671"/>
        <v>0.17336175942549373</v>
      </c>
      <c r="IG73" s="39">
        <f t="shared" si="671"/>
        <v>0.18673521850899744</v>
      </c>
      <c r="IH73" s="39">
        <f t="shared" si="671"/>
        <v>0.15899304405432263</v>
      </c>
      <c r="II73" s="39">
        <f t="shared" si="671"/>
        <v>0.16202729513617509</v>
      </c>
      <c r="IJ73" s="39">
        <f t="shared" si="671"/>
        <v>0.206463496316142</v>
      </c>
      <c r="IK73" s="39">
        <f t="shared" si="671"/>
        <v>0.196415770609319</v>
      </c>
      <c r="IL73" s="39">
        <f t="shared" si="671"/>
        <v>0.15009492812584757</v>
      </c>
      <c r="IM73" s="39">
        <f t="shared" si="671"/>
        <v>0.17439832577607256</v>
      </c>
      <c r="IN73" s="39">
        <f t="shared" si="671"/>
        <v>0.13884192730346576</v>
      </c>
      <c r="IO73" s="39">
        <f t="shared" si="671"/>
        <v>0.16476841305998483</v>
      </c>
      <c r="IP73" s="39">
        <f t="shared" si="671"/>
        <v>0.15596164284421929</v>
      </c>
      <c r="IQ73" s="39">
        <f t="shared" si="671"/>
        <v>0.22640838812866537</v>
      </c>
      <c r="IR73" s="39">
        <f t="shared" si="671"/>
        <v>0.18964121931480982</v>
      </c>
      <c r="IS73" s="39">
        <f t="shared" si="671"/>
        <v>0.136443565226948</v>
      </c>
      <c r="IT73" s="39">
        <f t="shared" si="671"/>
        <v>0.15912297840008682</v>
      </c>
      <c r="IU73" s="39">
        <f t="shared" si="671"/>
        <v>0.17128175849272054</v>
      </c>
      <c r="IV73" s="39">
        <f t="shared" si="671"/>
        <v>0.18354354354354355</v>
      </c>
      <c r="IW73" s="39">
        <f t="shared" si="671"/>
        <v>0.16729080974891031</v>
      </c>
      <c r="IX73" s="39">
        <f t="shared" si="671"/>
        <v>0.2551737602499024</v>
      </c>
      <c r="IY73" s="39">
        <f t="shared" si="671"/>
        <v>0.24532771782047907</v>
      </c>
      <c r="IZ73" s="39">
        <f t="shared" si="671"/>
        <v>0.38228141925500164</v>
      </c>
      <c r="JA73" s="39">
        <f t="shared" si="671"/>
        <v>0.18337353452628036</v>
      </c>
      <c r="JB73" s="39">
        <f t="shared" si="671"/>
        <v>0.17353240990585836</v>
      </c>
      <c r="JC73" s="39">
        <f t="shared" si="671"/>
        <v>0.17662223340040242</v>
      </c>
      <c r="JD73" s="39">
        <f t="shared" si="671"/>
        <v>0.17105772956218521</v>
      </c>
      <c r="JE73" s="39">
        <f t="shared" si="671"/>
        <v>0.30703484549638393</v>
      </c>
      <c r="JF73" s="39">
        <f t="shared" si="671"/>
        <v>0.30516106685140282</v>
      </c>
      <c r="JG73" s="39">
        <f t="shared" si="671"/>
        <v>0.19246651785714286</v>
      </c>
      <c r="JH73" s="39">
        <f t="shared" si="671"/>
        <v>0.20074988283080769</v>
      </c>
      <c r="JI73" s="39">
        <f t="shared" si="671"/>
        <v>0.19903517805843135</v>
      </c>
      <c r="JJ73" s="39">
        <f t="shared" si="671"/>
        <v>0.19485839814759842</v>
      </c>
      <c r="JK73" s="39">
        <f t="shared" si="671"/>
        <v>0.21855534259702922</v>
      </c>
      <c r="JL73" s="39">
        <f t="shared" si="671"/>
        <v>0.30607853684776759</v>
      </c>
      <c r="JM73" s="39">
        <f t="shared" si="671"/>
        <v>0.27230590961761297</v>
      </c>
      <c r="JN73" s="39">
        <f t="shared" si="671"/>
        <v>0.22471316026013852</v>
      </c>
      <c r="JO73" s="39">
        <f t="shared" si="671"/>
        <v>0.20819825265124459</v>
      </c>
      <c r="JP73" s="39">
        <f t="shared" ref="JP73:KG73" si="672">IFERROR(JP10/JP52,0)</f>
        <v>0.22108436866455269</v>
      </c>
      <c r="JQ73" s="39">
        <f t="shared" si="672"/>
        <v>0.21854834408831528</v>
      </c>
      <c r="JR73" s="39">
        <f t="shared" si="672"/>
        <v>0.21818582122413033</v>
      </c>
      <c r="JS73" s="39">
        <f t="shared" si="672"/>
        <v>0.25341255821422837</v>
      </c>
      <c r="JT73" s="39">
        <f t="shared" si="672"/>
        <v>0.25497687512567868</v>
      </c>
      <c r="JU73" s="39">
        <f t="shared" si="672"/>
        <v>0.21081727177648291</v>
      </c>
      <c r="JV73" s="39">
        <f t="shared" si="672"/>
        <v>0.21997163372041487</v>
      </c>
      <c r="JW73" s="39">
        <f t="shared" si="672"/>
        <v>0.23636685552407932</v>
      </c>
      <c r="JX73" s="39">
        <f t="shared" si="672"/>
        <v>0.23447232603666132</v>
      </c>
      <c r="JY73" s="39">
        <f t="shared" si="672"/>
        <v>0.23458108861229798</v>
      </c>
      <c r="JZ73" s="39">
        <f t="shared" si="672"/>
        <v>0.32194463200540174</v>
      </c>
      <c r="KA73" s="39">
        <f t="shared" si="672"/>
        <v>0.3115153788447112</v>
      </c>
      <c r="KB73" s="39">
        <f t="shared" si="672"/>
        <v>0.23720717727197208</v>
      </c>
      <c r="KC73" s="39">
        <f t="shared" si="672"/>
        <v>0.25489541146507455</v>
      </c>
      <c r="KD73" s="39">
        <f t="shared" si="672"/>
        <v>0.27077210793481166</v>
      </c>
      <c r="KE73" s="39">
        <f t="shared" si="672"/>
        <v>0.27373469292731761</v>
      </c>
      <c r="KF73" s="39">
        <f t="shared" si="672"/>
        <v>0.28681956341530812</v>
      </c>
      <c r="KG73" s="39">
        <f t="shared" si="672"/>
        <v>0.36088458880442292</v>
      </c>
      <c r="KH73" s="39">
        <f t="shared" si="475"/>
        <v>0.32794331395348836</v>
      </c>
      <c r="KI73" s="39">
        <f t="shared" si="475"/>
        <v>0.29076284757606641</v>
      </c>
      <c r="KJ73" s="39">
        <f t="shared" si="541"/>
        <v>0.29596771387816162</v>
      </c>
      <c r="KK73" s="39">
        <f t="shared" si="541"/>
        <v>0.32104887741584864</v>
      </c>
      <c r="KL73" s="39">
        <f t="shared" si="541"/>
        <v>0.30603264260615415</v>
      </c>
      <c r="KM73" s="39">
        <f t="shared" si="541"/>
        <v>0.31449204004595438</v>
      </c>
      <c r="KN73" s="39">
        <f t="shared" si="541"/>
        <v>0.40849637876986272</v>
      </c>
      <c r="KO73" s="39">
        <f t="shared" si="541"/>
        <v>0.40489989462592202</v>
      </c>
      <c r="KP73" s="39">
        <f t="shared" si="541"/>
        <v>0.31408990918833551</v>
      </c>
      <c r="KQ73" s="39">
        <f t="shared" si="541"/>
        <v>0.31004657351962739</v>
      </c>
      <c r="KR73" s="39">
        <f t="shared" si="541"/>
        <v>0.3383295949333685</v>
      </c>
      <c r="KS73" s="39">
        <f t="shared" si="541"/>
        <v>0.32362290895825735</v>
      </c>
      <c r="KT73" s="39">
        <f t="shared" si="541"/>
        <v>0.33590405020875996</v>
      </c>
      <c r="KU73" s="39">
        <f t="shared" si="541"/>
        <v>0.36137122384170672</v>
      </c>
      <c r="KV73" s="39">
        <f t="shared" si="541"/>
        <v>0.49556447847604818</v>
      </c>
      <c r="KW73" s="39">
        <f t="shared" si="541"/>
        <v>0.32337356147435747</v>
      </c>
      <c r="KX73" s="39">
        <f t="shared" si="541"/>
        <v>0.33804884558921661</v>
      </c>
      <c r="KY73" s="39">
        <f t="shared" si="541"/>
        <v>0.34862109668419361</v>
      </c>
      <c r="KZ73" s="39">
        <f t="shared" ref="KZ73:NK73" si="673">IFERROR(KZ10/KZ52,0)</f>
        <v>0.34101717442319274</v>
      </c>
      <c r="LA73" s="39">
        <f t="shared" si="673"/>
        <v>0.35253882316244456</v>
      </c>
      <c r="LB73" s="39">
        <f t="shared" si="673"/>
        <v>0.42202131094607687</v>
      </c>
      <c r="LC73" s="39">
        <f t="shared" si="673"/>
        <v>0.44848484848484849</v>
      </c>
      <c r="LD73" s="39">
        <f t="shared" si="673"/>
        <v>0.36226666389195261</v>
      </c>
      <c r="LE73" s="39">
        <f t="shared" si="673"/>
        <v>0.3654662441179295</v>
      </c>
      <c r="LF73" s="39">
        <f t="shared" si="673"/>
        <v>0.36759475274410064</v>
      </c>
      <c r="LG73" s="39">
        <f t="shared" si="673"/>
        <v>0.37283431941259226</v>
      </c>
      <c r="LH73" s="39">
        <f t="shared" si="673"/>
        <v>0.38469719591761603</v>
      </c>
      <c r="LI73" s="39">
        <f t="shared" si="673"/>
        <v>0.47007950899707074</v>
      </c>
      <c r="LJ73" s="39">
        <f t="shared" si="673"/>
        <v>0.47244208844673591</v>
      </c>
      <c r="LK73" s="39">
        <f t="shared" si="673"/>
        <v>0.37280684461617314</v>
      </c>
      <c r="LL73" s="39">
        <f t="shared" si="673"/>
        <v>0.38151536390128737</v>
      </c>
      <c r="LM73" s="39">
        <f t="shared" si="673"/>
        <v>0.39855500942385158</v>
      </c>
      <c r="LN73" s="39">
        <f t="shared" si="673"/>
        <v>0.39799553332471993</v>
      </c>
      <c r="LO73" s="39">
        <f t="shared" si="673"/>
        <v>0.3975532738863623</v>
      </c>
      <c r="LP73" s="39">
        <f t="shared" si="673"/>
        <v>0.47224993764030931</v>
      </c>
      <c r="LQ73" s="39">
        <f t="shared" si="673"/>
        <v>0.49554896142433236</v>
      </c>
      <c r="LR73" s="39">
        <f t="shared" si="673"/>
        <v>0.37767005291822781</v>
      </c>
      <c r="LS73" s="39">
        <f t="shared" si="673"/>
        <v>0.39127213837778235</v>
      </c>
      <c r="LT73" s="39">
        <f t="shared" si="673"/>
        <v>0.4009664938109076</v>
      </c>
      <c r="LU73" s="39">
        <f t="shared" si="673"/>
        <v>0.38167273215154207</v>
      </c>
      <c r="LV73" s="39">
        <f t="shared" si="673"/>
        <v>0.39782594063404458</v>
      </c>
      <c r="LW73" s="39">
        <f t="shared" si="673"/>
        <v>0.55592105263157898</v>
      </c>
      <c r="LX73" s="39">
        <f t="shared" si="673"/>
        <v>0.49190672153635118</v>
      </c>
      <c r="LY73" s="39">
        <f t="shared" si="673"/>
        <v>0</v>
      </c>
      <c r="LZ73" s="39">
        <f t="shared" si="673"/>
        <v>0.24837649803978759</v>
      </c>
      <c r="MA73" s="39">
        <f t="shared" si="673"/>
        <v>0.37863102977238688</v>
      </c>
      <c r="MB73" s="39">
        <f t="shared" si="673"/>
        <v>0.37464711619073693</v>
      </c>
      <c r="MC73" s="39">
        <f t="shared" si="673"/>
        <v>0.36976947448923853</v>
      </c>
      <c r="MD73" s="39">
        <f t="shared" si="673"/>
        <v>0.48551321879160592</v>
      </c>
      <c r="ME73" s="39">
        <f t="shared" si="673"/>
        <v>0.4361709219385374</v>
      </c>
      <c r="MF73" s="39">
        <f t="shared" si="673"/>
        <v>0.34798018292682925</v>
      </c>
      <c r="MG73" s="39">
        <f t="shared" si="673"/>
        <v>0.36786344908769864</v>
      </c>
      <c r="MH73" s="39">
        <f t="shared" si="673"/>
        <v>0.38054223533751386</v>
      </c>
      <c r="MI73" s="39">
        <f t="shared" si="673"/>
        <v>0.37798867348319387</v>
      </c>
      <c r="MJ73" s="39">
        <f t="shared" si="673"/>
        <v>0.37026251371655272</v>
      </c>
      <c r="MK73" s="39">
        <f t="shared" si="673"/>
        <v>0.5034239010382151</v>
      </c>
      <c r="ML73" s="39">
        <f t="shared" si="673"/>
        <v>0.49754091031029241</v>
      </c>
      <c r="MM73" s="39">
        <f t="shared" si="673"/>
        <v>0.32006662072134162</v>
      </c>
      <c r="MN73" s="39">
        <f t="shared" si="673"/>
        <v>0.38113348575448469</v>
      </c>
      <c r="MO73" s="39">
        <f t="shared" si="673"/>
        <v>0.373548068209902</v>
      </c>
      <c r="MP73" s="39">
        <f t="shared" si="673"/>
        <v>0.38155039779078176</v>
      </c>
      <c r="MQ73" s="39">
        <f t="shared" si="673"/>
        <v>0.33940898499597133</v>
      </c>
      <c r="MR73" s="39">
        <f t="shared" si="673"/>
        <v>0.47915203371432219</v>
      </c>
      <c r="MS73" s="39">
        <f t="shared" si="673"/>
        <v>0.43152933254776532</v>
      </c>
      <c r="MT73" s="39">
        <f t="shared" si="673"/>
        <v>0.33106109864295152</v>
      </c>
      <c r="MU73" s="39">
        <f t="shared" si="673"/>
        <v>0.3497763775364075</v>
      </c>
      <c r="MV73" s="39">
        <f t="shared" si="673"/>
        <v>0.3716849651576678</v>
      </c>
      <c r="MW73" s="39">
        <f t="shared" si="673"/>
        <v>0.35225838386338326</v>
      </c>
      <c r="MX73" s="39">
        <f t="shared" si="673"/>
        <v>0.33870269099572259</v>
      </c>
      <c r="MY73" s="39">
        <f t="shared" si="673"/>
        <v>0.46180805176132278</v>
      </c>
      <c r="MZ73" s="39">
        <f t="shared" si="673"/>
        <v>0.47597803706245712</v>
      </c>
      <c r="NA73" s="39">
        <f t="shared" si="673"/>
        <v>0.30930622009569381</v>
      </c>
      <c r="NB73" s="39">
        <f t="shared" si="673"/>
        <v>0.34262235586893403</v>
      </c>
      <c r="NC73" s="39">
        <f t="shared" si="673"/>
        <v>0.34801522566612292</v>
      </c>
      <c r="ND73" s="39">
        <f t="shared" si="673"/>
        <v>0.41577140325617457</v>
      </c>
      <c r="NE73" s="39">
        <f t="shared" si="673"/>
        <v>0.32027895528510869</v>
      </c>
      <c r="NF73" s="39">
        <f t="shared" si="673"/>
        <v>0.43527253668763105</v>
      </c>
      <c r="NG73" s="39">
        <f t="shared" si="673"/>
        <v>0.36757641921397383</v>
      </c>
      <c r="NH73" s="39">
        <f t="shared" si="673"/>
        <v>0.31110393321241336</v>
      </c>
      <c r="NI73" s="39">
        <f t="shared" si="673"/>
        <v>0.31295177473298091</v>
      </c>
      <c r="NJ73" s="39">
        <f t="shared" si="673"/>
        <v>0.32393284319104576</v>
      </c>
      <c r="NK73" s="39">
        <f t="shared" si="673"/>
        <v>0.29728778771441139</v>
      </c>
      <c r="NL73" s="39">
        <f t="shared" ref="NL73:NN73" si="674">IFERROR(NL10/NL52,0)</f>
        <v>0.30376217774018732</v>
      </c>
      <c r="NM73" s="39">
        <f t="shared" si="674"/>
        <v>0.34912019609559658</v>
      </c>
      <c r="NN73" s="39">
        <f t="shared" si="674"/>
        <v>0.31982556902786641</v>
      </c>
      <c r="NO73" s="39">
        <f t="shared" ref="NO73" si="675">IFERROR(NO10/NO52,0)</f>
        <v>0.26845784784098697</v>
      </c>
      <c r="NP73" s="39">
        <v>0.27748349998583699</v>
      </c>
      <c r="NQ73" s="39">
        <v>0.26374282982791603</v>
      </c>
      <c r="NR73" s="39">
        <v>0.262731152204836</v>
      </c>
      <c r="NS73" s="39">
        <v>0.28431977776063</v>
      </c>
      <c r="NT73" s="39">
        <v>0.33733303146932297</v>
      </c>
      <c r="NU73" s="39">
        <v>0.31115353149713698</v>
      </c>
      <c r="NV73" s="39">
        <v>0.24173196135812999</v>
      </c>
      <c r="NW73" s="39">
        <v>0.24882006853300601</v>
      </c>
      <c r="NX73" s="39">
        <v>0.241330121093007</v>
      </c>
      <c r="NY73" s="39">
        <v>0.23278048780487801</v>
      </c>
      <c r="NZ73" s="39">
        <v>0.22674675707547201</v>
      </c>
      <c r="OA73" s="39">
        <v>0.31997145236112801</v>
      </c>
      <c r="OB73" s="39">
        <v>0.27545978589074899</v>
      </c>
      <c r="OC73" s="39">
        <v>0.21079955417375501</v>
      </c>
      <c r="OD73" s="39">
        <v>0.20368699239396701</v>
      </c>
      <c r="OE73" s="39">
        <v>0.1948225693167</v>
      </c>
      <c r="OF73" s="39">
        <v>0.18730068740698699</v>
      </c>
      <c r="OG73" s="39">
        <v>0.191674341499355</v>
      </c>
      <c r="OH73" s="39">
        <v>0.257893374741201</v>
      </c>
      <c r="OI73" s="39">
        <v>0.235147279081378</v>
      </c>
      <c r="OJ73" s="39">
        <v>0.144684060753591</v>
      </c>
      <c r="OK73" s="39">
        <v>0.18941035797025599</v>
      </c>
      <c r="OL73" s="39">
        <v>0.183718793077041</v>
      </c>
      <c r="OM73" s="39">
        <v>0.189277142740919</v>
      </c>
      <c r="ON73" s="39">
        <v>0.17870905587668601</v>
      </c>
      <c r="OO73" s="39">
        <v>0.20982367758186399</v>
      </c>
      <c r="OP73" s="39">
        <v>0.17198527155569199</v>
      </c>
      <c r="OQ73" s="39">
        <v>0.161857545386454</v>
      </c>
      <c r="OR73" s="39">
        <v>0.18888057644603701</v>
      </c>
      <c r="OS73" s="39">
        <f t="shared" ref="OS73" si="676">IFERROR(OS10/OS52,0)</f>
        <v>0</v>
      </c>
      <c r="OT73" s="39">
        <f t="shared" si="156"/>
        <v>8.4820860716557131E-2</v>
      </c>
      <c r="OU73" s="39">
        <v>0.17173612482717801</v>
      </c>
      <c r="OV73" s="39">
        <v>0.42692648361381802</v>
      </c>
      <c r="OW73" s="39">
        <v>0.123893805309735</v>
      </c>
      <c r="OX73" s="39">
        <v>0.17584787296608501</v>
      </c>
      <c r="OY73" s="39">
        <v>0.166677110094617</v>
      </c>
      <c r="OZ73" s="39">
        <v>0.16328921674983701</v>
      </c>
      <c r="PA73" s="39">
        <v>0.15450386900944801</v>
      </c>
      <c r="PB73" s="39">
        <v>0.161056284079131</v>
      </c>
      <c r="PC73" s="39">
        <v>0.21919111816018999</v>
      </c>
      <c r="PD73" s="39">
        <v>0.15919811320754701</v>
      </c>
      <c r="PE73" s="39">
        <v>0.134422018348624</v>
      </c>
      <c r="PF73" s="39">
        <v>0.14447062647273901</v>
      </c>
      <c r="PG73" s="39">
        <v>0.14777679062486801</v>
      </c>
      <c r="PH73" s="39">
        <v>0.15062216432325601</v>
      </c>
      <c r="PI73" s="39">
        <v>0.136914395695726</v>
      </c>
      <c r="PJ73" s="39">
        <v>0.18965170122810501</v>
      </c>
      <c r="PK73" s="39">
        <v>0.206887346502936</v>
      </c>
      <c r="PL73" s="39">
        <v>0.16896551724137901</v>
      </c>
      <c r="PM73" s="39">
        <v>0.15018989076386999</v>
      </c>
      <c r="PN73" s="39">
        <v>0.16372532619605201</v>
      </c>
      <c r="PO73" s="39">
        <v>0.16368755599163901</v>
      </c>
      <c r="PP73" s="39">
        <v>0.151951096198924</v>
      </c>
      <c r="PQ73" s="39">
        <v>0.23342225609756101</v>
      </c>
      <c r="PR73" s="39">
        <v>0.18894389438943901</v>
      </c>
      <c r="PS73" s="39">
        <v>0.14858566377370599</v>
      </c>
      <c r="PT73" s="39">
        <v>0.163295623357331</v>
      </c>
      <c r="PU73" s="39">
        <v>0.16126889869906599</v>
      </c>
      <c r="PV73" s="39">
        <v>0.153932082216265</v>
      </c>
      <c r="PW73" s="39">
        <v>0.14742406862500601</v>
      </c>
      <c r="PX73" s="39">
        <v>0.19108280254777099</v>
      </c>
      <c r="PY73" s="39">
        <v>0.161643223933914</v>
      </c>
      <c r="PZ73" s="39">
        <v>0.14657388529385701</v>
      </c>
      <c r="QA73" s="39">
        <v>0.15183151014479601</v>
      </c>
      <c r="QB73" s="39">
        <v>0.15129364239684501</v>
      </c>
      <c r="QC73" s="39">
        <v>0.142297589972812</v>
      </c>
      <c r="QD73" s="39">
        <v>0.150214138423307</v>
      </c>
      <c r="QE73" s="39">
        <v>0.18772982388233</v>
      </c>
      <c r="QF73" s="39">
        <v>0.164876123657093</v>
      </c>
      <c r="QG73" s="39">
        <v>0.148855649666607</v>
      </c>
      <c r="QH73" s="39">
        <v>0.13413718291054699</v>
      </c>
      <c r="QI73" s="39">
        <v>0.13476289358816801</v>
      </c>
      <c r="QJ73" s="39">
        <v>0.13498150320310401</v>
      </c>
      <c r="QK73" s="39">
        <v>0.14157734762438001</v>
      </c>
      <c r="QL73" s="39">
        <v>0.17812500000000001</v>
      </c>
      <c r="QM73" s="39">
        <v>0.178142329020333</v>
      </c>
      <c r="QN73" s="39">
        <v>0.13329046936050301</v>
      </c>
      <c r="QO73" s="39">
        <v>0.14581689029202799</v>
      </c>
      <c r="QP73" s="39">
        <v>0.139156690327365</v>
      </c>
      <c r="QQ73" s="39">
        <v>0.14848812095032399</v>
      </c>
      <c r="QR73" s="39">
        <v>0.14661566991191499</v>
      </c>
      <c r="QS73" s="39">
        <v>0.20729603155040699</v>
      </c>
      <c r="QT73" s="39">
        <v>0.19351351351351401</v>
      </c>
      <c r="QU73" s="39">
        <v>0.151661662171103</v>
      </c>
      <c r="QV73" s="39">
        <v>0.16701892109500799</v>
      </c>
      <c r="QW73" s="39">
        <v>0.16405678325772</v>
      </c>
      <c r="QX73" s="39">
        <v>0.170089393573327</v>
      </c>
      <c r="QY73" s="39">
        <v>0.19769491525423699</v>
      </c>
      <c r="QZ73" s="39">
        <v>0.37331473733147402</v>
      </c>
      <c r="RA73" s="39">
        <v>0.203627726193047</v>
      </c>
      <c r="RB73" s="39">
        <v>0.189550321199143</v>
      </c>
      <c r="RC73" s="39">
        <v>0.20505465539964299</v>
      </c>
      <c r="RD73" s="39">
        <v>0.268101172775569</v>
      </c>
      <c r="RE73" s="39">
        <v>0.32095804553594298</v>
      </c>
      <c r="RF73" s="39">
        <v>0.37608411062019298</v>
      </c>
      <c r="RG73" s="39">
        <v>0.44810941271118299</v>
      </c>
      <c r="RH73" s="39">
        <v>0.39158840342997098</v>
      </c>
      <c r="RI73" s="39">
        <v>0.37380600689315602</v>
      </c>
      <c r="RJ73" s="39">
        <v>0.41771639191542798</v>
      </c>
      <c r="RK73" s="39">
        <v>0.46408929149142703</v>
      </c>
      <c r="RL73" s="39">
        <v>0.46916122551481698</v>
      </c>
      <c r="RM73" s="39">
        <v>0.48471774448448102</v>
      </c>
      <c r="RN73" s="39">
        <v>0.55888021586200298</v>
      </c>
      <c r="RO73" s="39">
        <v>0.58890605850695399</v>
      </c>
      <c r="RP73" s="39">
        <v>0.48695929213792299</v>
      </c>
      <c r="RQ73" s="39">
        <v>0.54285784488371802</v>
      </c>
      <c r="RR73" s="39">
        <v>0.56026415045762901</v>
      </c>
      <c r="RS73" s="39">
        <v>0.59017988007994704</v>
      </c>
      <c r="RT73" s="39">
        <v>0.61586425966352498</v>
      </c>
      <c r="RU73" s="39">
        <v>0.70819914862113598</v>
      </c>
      <c r="RV73" s="39">
        <v>0.71573264135939396</v>
      </c>
      <c r="RW73" s="39">
        <v>0.61011437403400304</v>
      </c>
      <c r="RX73" s="39">
        <v>0.393647243910208</v>
      </c>
      <c r="RY73" s="39">
        <v>0.633025447690858</v>
      </c>
      <c r="RZ73" s="39">
        <v>0.66316740638371396</v>
      </c>
      <c r="SA73" s="39">
        <v>0.66131960090119102</v>
      </c>
      <c r="SB73" s="39">
        <v>0.71685671108668803</v>
      </c>
      <c r="SC73" s="39">
        <v>0.76514246715577505</v>
      </c>
      <c r="SD73" s="39">
        <v>0.60688219711304503</v>
      </c>
      <c r="SE73" s="39">
        <v>0.64300165289256195</v>
      </c>
      <c r="SF73" s="39">
        <v>0.62866936979572996</v>
      </c>
      <c r="SG73" s="39">
        <v>0.63827228612254705</v>
      </c>
      <c r="SH73" s="39">
        <v>0.63014428412874601</v>
      </c>
      <c r="SI73" s="39">
        <v>0.70582868727825598</v>
      </c>
      <c r="SJ73" s="39">
        <v>0.33156793686942199</v>
      </c>
      <c r="SK73" s="39">
        <v>0.62327727082098106</v>
      </c>
      <c r="SL73" s="39">
        <v>0.62991502770186503</v>
      </c>
      <c r="SM73" s="39">
        <v>0.65640116863834497</v>
      </c>
      <c r="SN73" s="39">
        <v>0.60276801977621697</v>
      </c>
      <c r="SO73" s="39">
        <v>0.62341682586853497</v>
      </c>
      <c r="SP73" s="39">
        <v>0.61365953109072402</v>
      </c>
      <c r="SQ73" s="39">
        <v>0.56309023335161201</v>
      </c>
      <c r="SR73" s="39">
        <v>0.50931427653765904</v>
      </c>
      <c r="SS73" s="39">
        <v>0.55961879930772496</v>
      </c>
      <c r="ST73" s="39">
        <v>0.62498403838085304</v>
      </c>
      <c r="SU73" s="39">
        <v>0.59492709599027904</v>
      </c>
      <c r="SV73" s="39">
        <v>0.574496027316304</v>
      </c>
      <c r="SW73" s="39">
        <v>0.60994764397905799</v>
      </c>
      <c r="SX73" s="39">
        <v>0.644632861376358</v>
      </c>
      <c r="SY73" s="39">
        <v>0.53375113258834195</v>
      </c>
      <c r="SZ73" s="39">
        <v>0.56130459085717099</v>
      </c>
      <c r="TA73" s="39">
        <v>0.52164973391388503</v>
      </c>
      <c r="TB73" s="39">
        <v>0.52583966658494696</v>
      </c>
      <c r="TC73" s="39">
        <v>0.53180320844157603</v>
      </c>
      <c r="TD73" s="39">
        <v>0.47924180156001001</v>
      </c>
      <c r="TE73" s="39">
        <v>0.53409970155852804</v>
      </c>
      <c r="TF73" s="39">
        <v>0.44694251190040302</v>
      </c>
      <c r="TG73" s="39">
        <v>0.48683249895703001</v>
      </c>
      <c r="TH73" s="39">
        <v>0.49014447607282902</v>
      </c>
      <c r="TI73" s="39">
        <v>0.47985516585350901</v>
      </c>
      <c r="TJ73" s="39">
        <v>0.44303630797590399</v>
      </c>
      <c r="TK73" s="39">
        <v>0.37273593898951402</v>
      </c>
      <c r="TL73" s="39">
        <v>0.51321675477836504</v>
      </c>
      <c r="TM73" s="39">
        <v>0.41512360332985199</v>
      </c>
      <c r="TN73" s="39">
        <v>0.46665154264972802</v>
      </c>
      <c r="TO73" s="39">
        <v>0.43134371042202901</v>
      </c>
      <c r="TP73" s="39">
        <v>0.36208305475076102</v>
      </c>
      <c r="TQ73" s="39">
        <v>0.33082019648160799</v>
      </c>
      <c r="TR73" s="39">
        <v>0.25171775898520099</v>
      </c>
      <c r="TS73" s="39">
        <v>0.30386142186936099</v>
      </c>
      <c r="TT73" s="39">
        <v>0.32575343464159501</v>
      </c>
      <c r="TU73" s="39">
        <v>0.37022762310691898</v>
      </c>
      <c r="TV73" s="39">
        <v>0.38375509430385701</v>
      </c>
      <c r="TW73" s="39">
        <v>0.381995259198186</v>
      </c>
      <c r="TX73" s="39">
        <v>0.35383244206773601</v>
      </c>
      <c r="TY73" s="39">
        <v>0.221870342771982</v>
      </c>
      <c r="TZ73" s="39">
        <v>0.28137092316196799</v>
      </c>
      <c r="UA73" s="39">
        <v>0.28102989878259199</v>
      </c>
      <c r="UB73" s="39">
        <v>0.29896802913800102</v>
      </c>
      <c r="UC73" s="39">
        <v>0.14171988452453901</v>
      </c>
      <c r="UD73" s="39">
        <v>0</v>
      </c>
      <c r="UE73" s="39">
        <v>0.27191011235955098</v>
      </c>
      <c r="UF73" s="39">
        <v>0.17764195583596201</v>
      </c>
      <c r="UG73" s="39">
        <v>0.21315120711562899</v>
      </c>
      <c r="UH73" s="45">
        <v>0.15583684950773599</v>
      </c>
      <c r="UI73" s="45">
        <v>0.239830747531735</v>
      </c>
      <c r="UJ73" s="45">
        <v>0.240231168319433</v>
      </c>
      <c r="UK73" s="45">
        <v>0.20797297297297301</v>
      </c>
      <c r="UL73" s="45">
        <v>0.20785840707964601</v>
      </c>
      <c r="UM73" s="45">
        <v>0.182196669310071</v>
      </c>
      <c r="UN73" s="45">
        <v>0.19432120674356701</v>
      </c>
      <c r="UO73" s="45">
        <v>0.17662504002561599</v>
      </c>
      <c r="UP73" s="45">
        <v>0.20072568940493499</v>
      </c>
      <c r="UQ73" s="45">
        <v>0.100347936106279</v>
      </c>
      <c r="UR73" s="45">
        <v>0.26141669964384601</v>
      </c>
      <c r="US73" s="45">
        <v>0</v>
      </c>
      <c r="UT73" s="45">
        <v>0.18447669305189099</v>
      </c>
      <c r="UU73" s="45">
        <v>0.24153267191241901</v>
      </c>
      <c r="UV73" s="45">
        <v>0.27538311053146403</v>
      </c>
      <c r="UW73" s="45">
        <v>0.855753646677472</v>
      </c>
      <c r="UX73" s="45">
        <v>2.3798478244810499</v>
      </c>
      <c r="UY73" s="45">
        <v>0.308421878342723</v>
      </c>
      <c r="UZ73" s="45">
        <v>0.264895487399883</v>
      </c>
      <c r="VA73" s="45">
        <v>9.5261239368165204E-2</v>
      </c>
      <c r="VB73" s="45">
        <v>0.18223086900129701</v>
      </c>
      <c r="VC73" s="45">
        <v>4.7095070422535197E-2</v>
      </c>
      <c r="VD73" s="45">
        <v>0</v>
      </c>
      <c r="VE73" s="45">
        <v>0</v>
      </c>
      <c r="VF73" s="45">
        <v>8.4593002625789504E-2</v>
      </c>
      <c r="VG73" s="45">
        <v>0</v>
      </c>
      <c r="VH73" s="45">
        <v>0.107723796186578</v>
      </c>
      <c r="VI73" s="45">
        <v>6.7323481116584594E-2</v>
      </c>
      <c r="VJ73" s="45">
        <v>0.128473152863397</v>
      </c>
      <c r="VK73" s="45">
        <v>0.139113555483662</v>
      </c>
      <c r="VL73" s="45">
        <v>5.9687430724894699E-2</v>
      </c>
      <c r="VM73" s="45">
        <v>0.113340870548332</v>
      </c>
      <c r="VN73" s="45">
        <v>0</v>
      </c>
      <c r="VO73" s="45">
        <v>8.2496194824961996E-2</v>
      </c>
      <c r="VP73" s="45">
        <v>8.2256169212690994E-2</v>
      </c>
      <c r="VQ73" s="45">
        <v>0.120347896440129</v>
      </c>
      <c r="VR73" s="45">
        <v>0.17739003998545999</v>
      </c>
      <c r="VS73" s="45">
        <v>6.1182781964491E-2</v>
      </c>
      <c r="VT73" s="45">
        <v>0</v>
      </c>
      <c r="VU73" s="45">
        <v>0</v>
      </c>
      <c r="VV73" s="45">
        <v>0</v>
      </c>
      <c r="VW73" s="45">
        <v>0</v>
      </c>
      <c r="VX73" s="35">
        <v>0</v>
      </c>
      <c r="VY73" s="35">
        <v>0</v>
      </c>
      <c r="VZ73" s="35">
        <v>0</v>
      </c>
      <c r="WA73" s="35">
        <v>0</v>
      </c>
      <c r="WB73" s="35">
        <v>0</v>
      </c>
      <c r="WC73" s="35">
        <v>1.3602155532843999E-2</v>
      </c>
      <c r="WD73" s="35">
        <v>0</v>
      </c>
      <c r="WE73" s="35">
        <v>0</v>
      </c>
      <c r="WF73" s="35">
        <v>0</v>
      </c>
      <c r="WG73" s="35">
        <v>0</v>
      </c>
      <c r="WH73" s="35">
        <v>0</v>
      </c>
      <c r="WI73" s="35">
        <v>0</v>
      </c>
      <c r="WJ73" s="35">
        <v>2.5925225693623901E-2</v>
      </c>
      <c r="WK73" s="35">
        <v>0</v>
      </c>
      <c r="WL73" s="35">
        <v>0</v>
      </c>
      <c r="WM73" s="35">
        <v>0</v>
      </c>
      <c r="WN73" s="35">
        <v>0</v>
      </c>
      <c r="WO73" s="35">
        <v>0</v>
      </c>
      <c r="WP73" s="35">
        <v>0</v>
      </c>
      <c r="WQ73" s="35">
        <v>0</v>
      </c>
      <c r="WR73" s="35">
        <v>0</v>
      </c>
      <c r="WS73" s="35">
        <v>0</v>
      </c>
      <c r="WT73" s="35">
        <v>0</v>
      </c>
      <c r="WU73" s="35">
        <v>0</v>
      </c>
      <c r="WV73" s="45">
        <v>0</v>
      </c>
      <c r="WW73" s="45">
        <v>0</v>
      </c>
      <c r="WX73" s="45">
        <v>0</v>
      </c>
      <c r="WY73" s="45">
        <v>0</v>
      </c>
      <c r="WZ73" s="45">
        <v>0</v>
      </c>
      <c r="XA73" s="45">
        <v>0</v>
      </c>
      <c r="XB73" s="45">
        <v>0</v>
      </c>
      <c r="XC73" s="45">
        <v>0</v>
      </c>
      <c r="XD73" s="45">
        <v>0</v>
      </c>
      <c r="XE73" s="45">
        <v>0</v>
      </c>
      <c r="XF73" s="45">
        <v>4.4674211322776602E-2</v>
      </c>
      <c r="XG73" s="45">
        <v>0</v>
      </c>
      <c r="XH73" s="45">
        <v>0</v>
      </c>
      <c r="XI73" s="45">
        <v>0</v>
      </c>
      <c r="XJ73" s="45">
        <v>0</v>
      </c>
      <c r="XK73" s="45">
        <v>0</v>
      </c>
      <c r="XL73" s="45">
        <v>0.109774244292335</v>
      </c>
      <c r="XM73" s="45">
        <v>0.113732925213578</v>
      </c>
      <c r="XN73" s="45">
        <v>0</v>
      </c>
      <c r="XO73" s="45">
        <v>0</v>
      </c>
      <c r="XP73" s="45">
        <v>0</v>
      </c>
      <c r="XQ73" s="45">
        <v>0</v>
      </c>
      <c r="XR73" s="45">
        <v>0.119620114185332</v>
      </c>
      <c r="XS73" s="45">
        <v>0</v>
      </c>
      <c r="XT73" s="45">
        <v>0</v>
      </c>
      <c r="XU73" s="45">
        <v>0</v>
      </c>
      <c r="XV73" s="45">
        <v>0</v>
      </c>
      <c r="XW73" s="45">
        <v>0</v>
      </c>
      <c r="XX73" s="45">
        <v>0</v>
      </c>
      <c r="XY73">
        <v>0.57204346598927502</v>
      </c>
      <c r="XZ73">
        <v>0.51054412913303804</v>
      </c>
      <c r="YA73">
        <v>0.56052984574111298</v>
      </c>
      <c r="YB73">
        <v>0.55489661380424105</v>
      </c>
      <c r="YC73">
        <v>0.20788131424280901</v>
      </c>
      <c r="YD73">
        <v>0.63383727818270796</v>
      </c>
      <c r="YE73">
        <v>0.557906853196387</v>
      </c>
      <c r="YF73" s="1">
        <v>0.64548087181832003</v>
      </c>
      <c r="YG73" s="1">
        <v>0</v>
      </c>
      <c r="YH73" s="1">
        <v>0</v>
      </c>
      <c r="YI73" s="1">
        <v>0.61794203410797899</v>
      </c>
      <c r="YJ73">
        <v>0.64497139540668302</v>
      </c>
      <c r="YK73">
        <v>0.32914935977119503</v>
      </c>
      <c r="YL73">
        <v>0.65190539829101402</v>
      </c>
      <c r="YM73">
        <v>0.63951259583789699</v>
      </c>
      <c r="YN73">
        <v>0.65852585258525898</v>
      </c>
      <c r="YO73">
        <v>0</v>
      </c>
      <c r="YP73">
        <v>0.64674261302954805</v>
      </c>
      <c r="YQ73">
        <v>0.32761405683589701</v>
      </c>
      <c r="YR73">
        <v>0.65691752185480801</v>
      </c>
      <c r="YS73">
        <v>0</v>
      </c>
      <c r="YT73">
        <v>0.66579099122188801</v>
      </c>
      <c r="YU73">
        <v>0.66082481915131597</v>
      </c>
      <c r="YV73">
        <v>0.67601355298516197</v>
      </c>
      <c r="YW73">
        <v>0.15766494178525201</v>
      </c>
      <c r="YX73">
        <v>0</v>
      </c>
      <c r="YY73">
        <v>0</v>
      </c>
      <c r="YZ73">
        <v>0</v>
      </c>
      <c r="ZA73">
        <v>0.65527058985603703</v>
      </c>
      <c r="ZB73">
        <v>0.575266134397871</v>
      </c>
      <c r="ZC73">
        <v>0.63385767790262204</v>
      </c>
      <c r="ZD73">
        <v>0.64565778888089098</v>
      </c>
      <c r="ZE73">
        <v>0.65776018472703301</v>
      </c>
      <c r="ZF73">
        <v>0.31413244693069597</v>
      </c>
      <c r="ZG73">
        <v>0.64104942361203099</v>
      </c>
      <c r="ZH73">
        <v>0.55120481927710796</v>
      </c>
      <c r="ZI73">
        <v>0.64299674267101004</v>
      </c>
      <c r="ZJ73">
        <v>0.58141686851917396</v>
      </c>
      <c r="ZK73">
        <v>0.62094816726580004</v>
      </c>
      <c r="ZL73">
        <v>0.62035303557100796</v>
      </c>
      <c r="ZM73">
        <v>0.61945927329085604</v>
      </c>
      <c r="ZN73">
        <v>0.58832152455411701</v>
      </c>
      <c r="ZO73">
        <v>5.5054468782944802E-2</v>
      </c>
      <c r="ZP73">
        <v>0.63067608476286596</v>
      </c>
      <c r="ZQ73">
        <v>0.55252071338295194</v>
      </c>
      <c r="ZR73">
        <v>0.58727395037790397</v>
      </c>
      <c r="ZS73">
        <v>0.57532411408815898</v>
      </c>
      <c r="ZT73">
        <v>0.54510451045104502</v>
      </c>
      <c r="ZU73">
        <v>0.52731237700122302</v>
      </c>
      <c r="ZV73">
        <v>0.38154323381155503</v>
      </c>
      <c r="ZW73">
        <v>0.49727173517642798</v>
      </c>
      <c r="ZX73">
        <v>0.51558454013618504</v>
      </c>
      <c r="ZY73">
        <v>0.53055317324185203</v>
      </c>
      <c r="ZZ73">
        <v>0.51537440548611901</v>
      </c>
      <c r="AAA73">
        <v>0.222478709798172</v>
      </c>
      <c r="AAB73">
        <v>0</v>
      </c>
      <c r="AAC73">
        <v>0.42226335272342702</v>
      </c>
      <c r="AAD73">
        <v>0.48607698607698602</v>
      </c>
      <c r="AAE73">
        <v>0.47547001891200402</v>
      </c>
      <c r="AAF73">
        <v>0.49277599407261102</v>
      </c>
      <c r="AAG73">
        <v>0.435779267416806</v>
      </c>
      <c r="AAH73">
        <v>0.45999102602452902</v>
      </c>
      <c r="AAI73">
        <v>0.214167341118434</v>
      </c>
      <c r="AAJ73">
        <v>0.35069444444444398</v>
      </c>
      <c r="AAK73">
        <v>0.45052083333333298</v>
      </c>
      <c r="AAL73">
        <v>0.37887366818873702</v>
      </c>
      <c r="AAM73">
        <v>0.39073946095369699</v>
      </c>
      <c r="AAN73">
        <v>0.175056378865979</v>
      </c>
      <c r="AAO73">
        <v>0.33718774825668602</v>
      </c>
      <c r="AAP73">
        <v>0</v>
      </c>
      <c r="AAQ73">
        <v>0.29747596153846201</v>
      </c>
      <c r="AAR73">
        <v>0.30276564774381398</v>
      </c>
      <c r="AAS73">
        <v>0.27795265676152098</v>
      </c>
      <c r="AAT73">
        <v>0.29259694477085801</v>
      </c>
      <c r="AAU73">
        <v>0.25631519958617099</v>
      </c>
      <c r="AAV73">
        <v>0.11024244962539</v>
      </c>
      <c r="AAW73">
        <v>0</v>
      </c>
      <c r="AAX73">
        <v>0.235821759259259</v>
      </c>
      <c r="AAY73">
        <v>0.24177631578947401</v>
      </c>
      <c r="AAZ73">
        <v>0.20776042041609699</v>
      </c>
      <c r="ABA73">
        <v>0.244027869940279</v>
      </c>
      <c r="ABB73">
        <v>6.9573823940381904E-2</v>
      </c>
      <c r="ABC73">
        <v>0.27120348642306402</v>
      </c>
      <c r="ABD73">
        <v>0</v>
      </c>
      <c r="ABE73">
        <v>0.25427646786870101</v>
      </c>
      <c r="ABF73">
        <v>0.18085357227069099</v>
      </c>
      <c r="ABG73">
        <v>0</v>
      </c>
      <c r="ABH73">
        <v>0</v>
      </c>
      <c r="ABI73">
        <v>0</v>
      </c>
      <c r="ABJ73">
        <v>0</v>
      </c>
      <c r="ABK73">
        <v>0</v>
      </c>
      <c r="ABL73">
        <v>0</v>
      </c>
      <c r="ABM73">
        <v>1.0879979560116699E-2</v>
      </c>
      <c r="ABN73">
        <v>0</v>
      </c>
      <c r="ABO73">
        <v>0</v>
      </c>
      <c r="ABP73">
        <v>0</v>
      </c>
      <c r="ABQ73">
        <v>0</v>
      </c>
      <c r="ABR73">
        <v>0</v>
      </c>
      <c r="ABS73">
        <v>0</v>
      </c>
      <c r="ABT73">
        <v>1.29515184890575E-2</v>
      </c>
      <c r="ABU73">
        <v>0</v>
      </c>
      <c r="ABV73">
        <v>0</v>
      </c>
      <c r="ABW73">
        <v>0</v>
      </c>
      <c r="ABX73">
        <v>0</v>
      </c>
      <c r="ABY73">
        <v>0</v>
      </c>
      <c r="ABZ73">
        <v>0</v>
      </c>
      <c r="ACA73">
        <v>4.0483924116179503E-3</v>
      </c>
      <c r="ACB73">
        <v>2.5018738207852002E-2</v>
      </c>
      <c r="ACC73">
        <v>0</v>
      </c>
      <c r="ACD73">
        <v>0</v>
      </c>
      <c r="ACE73">
        <v>0</v>
      </c>
      <c r="ACF73">
        <v>0</v>
      </c>
      <c r="ACG73">
        <v>0</v>
      </c>
      <c r="ACH73">
        <v>0</v>
      </c>
      <c r="ACI73">
        <v>0</v>
      </c>
      <c r="ACJ73">
        <v>0</v>
      </c>
      <c r="ACK73">
        <v>0</v>
      </c>
      <c r="ACL73">
        <v>0</v>
      </c>
      <c r="ACM73">
        <v>0</v>
      </c>
      <c r="ACN73">
        <v>3.5230219699564501E-3</v>
      </c>
      <c r="ACO73">
        <v>0</v>
      </c>
      <c r="ACP73">
        <v>0</v>
      </c>
      <c r="ACQ73">
        <v>0</v>
      </c>
      <c r="ACR73">
        <v>0</v>
      </c>
      <c r="ACS73">
        <v>0</v>
      </c>
      <c r="ACT73">
        <v>0</v>
      </c>
      <c r="ACU73">
        <v>3.4634414513468898E-3</v>
      </c>
      <c r="ACV73">
        <v>0</v>
      </c>
      <c r="ACW73">
        <v>0</v>
      </c>
      <c r="ACX73">
        <v>0</v>
      </c>
      <c r="ACY73">
        <v>0</v>
      </c>
      <c r="ACZ73">
        <v>0</v>
      </c>
      <c r="ADA73">
        <v>0</v>
      </c>
      <c r="ADB73">
        <v>0</v>
      </c>
      <c r="ADC73">
        <v>0</v>
      </c>
      <c r="ADD73">
        <v>0</v>
      </c>
      <c r="ADE73">
        <v>0</v>
      </c>
      <c r="ADF73">
        <v>0</v>
      </c>
      <c r="ADG73">
        <v>0</v>
      </c>
      <c r="ADH73">
        <v>0</v>
      </c>
      <c r="ADI73">
        <v>0</v>
      </c>
      <c r="ADJ73">
        <v>0</v>
      </c>
      <c r="ADK73">
        <v>0</v>
      </c>
      <c r="ADL73">
        <v>0.147976573376218</v>
      </c>
      <c r="ADM73">
        <v>0</v>
      </c>
      <c r="ADN73">
        <v>0</v>
      </c>
      <c r="ADO73">
        <v>0</v>
      </c>
      <c r="ADP73">
        <v>0</v>
      </c>
      <c r="ADQ73">
        <v>0</v>
      </c>
      <c r="ADR73">
        <v>0</v>
      </c>
      <c r="ADS73">
        <v>0</v>
      </c>
      <c r="ADT73">
        <v>0</v>
      </c>
      <c r="ADU73">
        <v>0</v>
      </c>
      <c r="ADV73">
        <v>0</v>
      </c>
      <c r="ADW73">
        <v>0</v>
      </c>
      <c r="ADX73">
        <v>0</v>
      </c>
      <c r="ADY73">
        <v>0</v>
      </c>
      <c r="ADZ73">
        <v>0</v>
      </c>
      <c r="AEA73">
        <v>0</v>
      </c>
      <c r="AEB73">
        <v>0</v>
      </c>
      <c r="AEC73">
        <v>0</v>
      </c>
      <c r="AED73">
        <v>0</v>
      </c>
      <c r="AEE73">
        <v>0</v>
      </c>
      <c r="AEF73">
        <v>0</v>
      </c>
      <c r="AEG73">
        <v>0</v>
      </c>
      <c r="AEH73">
        <v>0</v>
      </c>
      <c r="AEI73">
        <v>0</v>
      </c>
      <c r="AEJ73">
        <v>0</v>
      </c>
      <c r="AEK73">
        <v>0</v>
      </c>
      <c r="AEL73">
        <v>0</v>
      </c>
      <c r="AEM73">
        <v>0</v>
      </c>
      <c r="AEN73">
        <v>0</v>
      </c>
      <c r="AEO73">
        <v>0</v>
      </c>
      <c r="AEP73">
        <v>0</v>
      </c>
      <c r="AEQ73">
        <v>0</v>
      </c>
      <c r="AER73">
        <v>0</v>
      </c>
      <c r="AES73">
        <v>0</v>
      </c>
      <c r="AET73">
        <v>0</v>
      </c>
      <c r="AEU73">
        <v>0</v>
      </c>
      <c r="AEV73">
        <v>0</v>
      </c>
      <c r="AEW73">
        <v>0</v>
      </c>
      <c r="AEX73">
        <v>0</v>
      </c>
      <c r="AEY73">
        <v>0</v>
      </c>
      <c r="AEZ73">
        <v>0</v>
      </c>
      <c r="AFA73">
        <v>0</v>
      </c>
      <c r="AFB73">
        <v>0</v>
      </c>
      <c r="AFC73">
        <v>0</v>
      </c>
      <c r="AFD73">
        <v>0</v>
      </c>
      <c r="AFE73">
        <v>9.6649601923882705E-3</v>
      </c>
      <c r="AFF73">
        <v>0</v>
      </c>
      <c r="AFG73">
        <v>0</v>
      </c>
      <c r="AFH73">
        <v>0</v>
      </c>
      <c r="AFI73">
        <v>0</v>
      </c>
      <c r="AFJ73">
        <v>0</v>
      </c>
      <c r="AFK73">
        <v>0</v>
      </c>
      <c r="AFL73">
        <v>0</v>
      </c>
      <c r="AFM73">
        <v>0</v>
      </c>
      <c r="AFN73">
        <v>0</v>
      </c>
      <c r="AFO73">
        <v>0</v>
      </c>
      <c r="AFP73">
        <v>0</v>
      </c>
      <c r="AFQ73">
        <v>0</v>
      </c>
      <c r="AFR73">
        <v>0</v>
      </c>
      <c r="AFS73">
        <v>0</v>
      </c>
      <c r="AFT73">
        <v>4.7996844043131398E-2</v>
      </c>
      <c r="AFU73">
        <v>0</v>
      </c>
      <c r="AFV73">
        <v>0</v>
      </c>
      <c r="AFW73">
        <v>0</v>
      </c>
      <c r="AFX73">
        <v>0</v>
      </c>
      <c r="AFY73">
        <v>0</v>
      </c>
      <c r="AFZ73">
        <v>0</v>
      </c>
      <c r="AGA73">
        <v>0</v>
      </c>
      <c r="AGB73">
        <v>0</v>
      </c>
      <c r="AGC73">
        <v>0</v>
      </c>
      <c r="AGD73">
        <v>0</v>
      </c>
      <c r="AGE73">
        <v>0</v>
      </c>
      <c r="AGF73">
        <v>0</v>
      </c>
      <c r="AGG73">
        <v>0</v>
      </c>
      <c r="AGH73">
        <v>0</v>
      </c>
      <c r="AGI73">
        <v>0</v>
      </c>
      <c r="AGJ73">
        <v>0</v>
      </c>
      <c r="AGK73">
        <v>0</v>
      </c>
      <c r="AGL73">
        <v>0</v>
      </c>
      <c r="AGM73">
        <v>0</v>
      </c>
      <c r="AGN73">
        <v>0</v>
      </c>
      <c r="AGO73">
        <v>0</v>
      </c>
      <c r="AGP73">
        <v>0</v>
      </c>
      <c r="AGQ73">
        <v>0</v>
      </c>
      <c r="AGR73">
        <v>0</v>
      </c>
      <c r="AGS73">
        <v>0</v>
      </c>
      <c r="AGT73">
        <v>0</v>
      </c>
      <c r="AGU73">
        <v>0</v>
      </c>
      <c r="AGV73">
        <v>0</v>
      </c>
      <c r="AGW73">
        <v>0</v>
      </c>
      <c r="AGX73">
        <v>0</v>
      </c>
      <c r="AGY73">
        <v>0</v>
      </c>
      <c r="AGZ73">
        <v>0</v>
      </c>
      <c r="AHA73">
        <v>0</v>
      </c>
      <c r="AHB73">
        <v>0</v>
      </c>
      <c r="AHC73">
        <v>7.4220968535837303E-2</v>
      </c>
      <c r="AHD73">
        <v>0</v>
      </c>
      <c r="AHE73">
        <v>0</v>
      </c>
      <c r="AHF73">
        <v>0</v>
      </c>
      <c r="AHG73">
        <v>0</v>
      </c>
      <c r="AHH73">
        <v>0</v>
      </c>
      <c r="AHI73">
        <v>0</v>
      </c>
      <c r="AHJ73">
        <v>0</v>
      </c>
      <c r="AHK73">
        <v>0.46337157987643401</v>
      </c>
      <c r="AHL73">
        <v>0</v>
      </c>
      <c r="AHM73">
        <v>0</v>
      </c>
      <c r="AHN73">
        <v>0</v>
      </c>
      <c r="AHO73">
        <v>0</v>
      </c>
      <c r="AHP73">
        <v>0</v>
      </c>
      <c r="AHQ73">
        <v>0</v>
      </c>
    </row>
    <row r="74" spans="1:901">
      <c r="A74" s="1" t="s">
        <v>71</v>
      </c>
      <c r="C74" s="39">
        <f t="shared" si="157"/>
        <v>0.12549019607843137</v>
      </c>
      <c r="D74" s="39">
        <f t="shared" si="157"/>
        <v>0.13636363636363635</v>
      </c>
      <c r="E74" s="39">
        <f t="shared" si="157"/>
        <v>0.12474084312370422</v>
      </c>
      <c r="F74" s="39">
        <f t="shared" si="157"/>
        <v>0.12122432541280709</v>
      </c>
      <c r="G74" s="39">
        <f t="shared" si="222"/>
        <v>0.15572088250384813</v>
      </c>
      <c r="H74" s="39">
        <f t="shared" si="222"/>
        <v>0.10433634162447722</v>
      </c>
      <c r="I74" s="39">
        <f t="shared" si="222"/>
        <v>0.12789855072463768</v>
      </c>
      <c r="J74" s="39">
        <f t="shared" si="222"/>
        <v>0.11967479674796748</v>
      </c>
      <c r="K74" s="39">
        <f t="shared" si="222"/>
        <v>0.12744034707158353</v>
      </c>
      <c r="L74" s="39">
        <f t="shared" si="222"/>
        <v>5.0383228133453563E-2</v>
      </c>
      <c r="M74" s="39">
        <f t="shared" si="222"/>
        <v>0.16130473637176049</v>
      </c>
      <c r="N74" s="39">
        <f t="shared" si="222"/>
        <v>0.13604156825696739</v>
      </c>
      <c r="O74" s="39">
        <f t="shared" si="222"/>
        <v>0.14236377590176516</v>
      </c>
      <c r="P74" s="39">
        <f t="shared" si="222"/>
        <v>0.12872652076512148</v>
      </c>
      <c r="Q74" s="39">
        <f t="shared" si="222"/>
        <v>0.11403347434246827</v>
      </c>
      <c r="R74" s="39">
        <f t="shared" si="222"/>
        <v>0.12416891284815813</v>
      </c>
      <c r="S74" s="39">
        <f t="shared" si="222"/>
        <v>0.12059439893313012</v>
      </c>
      <c r="T74" s="39">
        <f t="shared" si="222"/>
        <v>0.15278783490224476</v>
      </c>
      <c r="U74" s="39">
        <f t="shared" si="222"/>
        <v>0.11527426160337553</v>
      </c>
      <c r="V74" s="39">
        <f t="shared" ref="V74:AY74" si="677">IFERROR(V11/V53,0)</f>
        <v>0.11230893000804505</v>
      </c>
      <c r="W74" s="39">
        <f t="shared" si="677"/>
        <v>0.12919808087731321</v>
      </c>
      <c r="X74" s="39">
        <f t="shared" si="677"/>
        <v>0.11697384066587396</v>
      </c>
      <c r="Y74" s="39">
        <f t="shared" si="677"/>
        <v>0.11737089201877934</v>
      </c>
      <c r="Z74" s="39">
        <f t="shared" si="677"/>
        <v>0.1418859649122807</v>
      </c>
      <c r="AA74" s="39">
        <f t="shared" si="677"/>
        <v>0.12008840864440079</v>
      </c>
      <c r="AB74" s="39">
        <f t="shared" si="677"/>
        <v>9.6202531645569619E-2</v>
      </c>
      <c r="AC74" s="39">
        <f t="shared" si="677"/>
        <v>0.12564180006040471</v>
      </c>
      <c r="AD74" s="39">
        <f t="shared" si="677"/>
        <v>0.10822821100917432</v>
      </c>
      <c r="AE74" s="39">
        <f t="shared" si="677"/>
        <v>9.5024721878862795E-2</v>
      </c>
      <c r="AF74" s="39">
        <f t="shared" si="677"/>
        <v>0.14541547277936961</v>
      </c>
      <c r="AG74" s="39">
        <f t="shared" si="677"/>
        <v>0.13364055299539171</v>
      </c>
      <c r="AH74" s="39">
        <f t="shared" si="677"/>
        <v>0.15314365999297505</v>
      </c>
      <c r="AI74" s="39">
        <f t="shared" si="677"/>
        <v>9.8187576983987335E-2</v>
      </c>
      <c r="AJ74" s="39">
        <f t="shared" si="677"/>
        <v>8.1747709654686404E-2</v>
      </c>
      <c r="AK74" s="39">
        <f t="shared" si="677"/>
        <v>0.10221992772328342</v>
      </c>
      <c r="AL74" s="39">
        <f t="shared" si="677"/>
        <v>9.2488059053408594E-2</v>
      </c>
      <c r="AM74" s="39">
        <f t="shared" si="677"/>
        <v>0.10072947384758653</v>
      </c>
      <c r="AN74" s="39">
        <f t="shared" si="677"/>
        <v>0.10289920384557609</v>
      </c>
      <c r="AO74" s="39">
        <f t="shared" si="677"/>
        <v>0.15075239398084817</v>
      </c>
      <c r="AP74" s="39">
        <f t="shared" si="677"/>
        <v>9.5870838691241606E-2</v>
      </c>
      <c r="AQ74" s="39">
        <f t="shared" si="677"/>
        <v>0.10448328267477204</v>
      </c>
      <c r="AR74" s="39">
        <f t="shared" si="677"/>
        <v>0.1005164378385187</v>
      </c>
      <c r="AS74" s="39">
        <f t="shared" si="677"/>
        <v>0.10144390966308775</v>
      </c>
      <c r="AT74" s="39">
        <f t="shared" si="677"/>
        <v>9.8173515981735154E-2</v>
      </c>
      <c r="AU74" s="39">
        <f t="shared" si="677"/>
        <v>0.1138537488429497</v>
      </c>
      <c r="AV74" s="39">
        <f t="shared" si="677"/>
        <v>0.12551484933882506</v>
      </c>
      <c r="AW74" s="39">
        <f t="shared" si="677"/>
        <v>0.11692573402417962</v>
      </c>
      <c r="AX74" s="39">
        <f t="shared" si="677"/>
        <v>0.13495782567947517</v>
      </c>
      <c r="AY74" s="39">
        <f t="shared" si="677"/>
        <v>0.12543312543312543</v>
      </c>
      <c r="AZ74" s="39">
        <f t="shared" si="91"/>
        <v>0.16102038061816709</v>
      </c>
      <c r="BA74" s="39">
        <f t="shared" ref="BA74:BF74" si="678">IFERROR(BA11/BA53,0)</f>
        <v>0.11569478908188585</v>
      </c>
      <c r="BB74" s="39">
        <f t="shared" si="678"/>
        <v>0.1456698530460836</v>
      </c>
      <c r="BC74" s="39">
        <f t="shared" si="678"/>
        <v>0.15036469048064335</v>
      </c>
      <c r="BD74" s="39">
        <f t="shared" si="678"/>
        <v>0.13716626642181098</v>
      </c>
      <c r="BE74" s="39">
        <f t="shared" si="678"/>
        <v>0.18495547073791349</v>
      </c>
      <c r="BF74" s="39">
        <f t="shared" si="678"/>
        <v>0.1250528690258001</v>
      </c>
      <c r="BG74" s="39">
        <f t="shared" ref="BG74" si="679">IFERROR(BG11/BG53,0)</f>
        <v>0.1228970941664846</v>
      </c>
      <c r="BH74" s="39">
        <f t="shared" si="93"/>
        <v>0.15069733743886976</v>
      </c>
      <c r="BI74" s="39">
        <f t="shared" ref="BI74:BK74" si="680">IFERROR(BI11/BI53,0)</f>
        <v>0.13567534827377348</v>
      </c>
      <c r="BJ74" s="39">
        <f t="shared" si="680"/>
        <v>0.14044321329639889</v>
      </c>
      <c r="BK74" s="39">
        <f t="shared" si="680"/>
        <v>0.11779168529280286</v>
      </c>
      <c r="BL74" s="39">
        <f t="shared" ref="BL74:BM74" si="681">IFERROR(BL11/BL53,0)</f>
        <v>0.12080391091797936</v>
      </c>
      <c r="BM74" s="39">
        <f t="shared" si="681"/>
        <v>0.11832312764955252</v>
      </c>
      <c r="BN74" s="39">
        <f t="shared" ref="BN74:BO74" si="682">IFERROR(BN11/BN53,0)</f>
        <v>0.12179031766974525</v>
      </c>
      <c r="BO74" s="39">
        <f t="shared" si="682"/>
        <v>0.11614066726780883</v>
      </c>
      <c r="BP74" s="39">
        <f t="shared" ref="BP74:BQ74" si="683">IFERROR(BP11/BP53,0)</f>
        <v>0.12476722532588454</v>
      </c>
      <c r="BQ74" s="39">
        <f t="shared" si="683"/>
        <v>0.12677484787018256</v>
      </c>
      <c r="BR74" s="39">
        <f t="shared" ref="BR74:BS74" si="684">IFERROR(BR11/BR53,0)</f>
        <v>0.13222453222453223</v>
      </c>
      <c r="BS74" s="39">
        <f t="shared" si="684"/>
        <v>0.16055321707757064</v>
      </c>
      <c r="BT74" s="39">
        <f t="shared" ref="BT74:BU74" si="685">IFERROR(BT11/BT53,0)</f>
        <v>0.15993802970928642</v>
      </c>
      <c r="BU74" s="39">
        <f t="shared" si="685"/>
        <v>0.13199855046204023</v>
      </c>
      <c r="BV74" s="39">
        <f t="shared" ref="BV74:BW74" si="686">IFERROR(BV11/BV53,0)</f>
        <v>0.15627286027798098</v>
      </c>
      <c r="BW74" s="39">
        <f t="shared" si="686"/>
        <v>0.14670039089445849</v>
      </c>
      <c r="BX74" s="39">
        <f t="shared" ref="BX74:BY74" si="687">IFERROR(BX11/BX53,0)</f>
        <v>0.1525279705424161</v>
      </c>
      <c r="BY74" s="39">
        <f t="shared" si="687"/>
        <v>0.16469687021230028</v>
      </c>
      <c r="BZ74" s="39">
        <f t="shared" ref="BZ74:CA74" si="688">IFERROR(BZ11/BZ53,0)</f>
        <v>0.18619170033051782</v>
      </c>
      <c r="CA74" s="39">
        <f t="shared" si="688"/>
        <v>0.12577774804308556</v>
      </c>
      <c r="CB74" s="39">
        <f t="shared" ref="CB74:CC74" si="689">IFERROR(CB11/CB53,0)</f>
        <v>0.17818236084166542</v>
      </c>
      <c r="CC74" s="39">
        <f t="shared" si="689"/>
        <v>0.15408320493066255</v>
      </c>
      <c r="CD74" s="39">
        <f t="shared" ref="CD74:CE74" si="690">IFERROR(CD11/CD53,0)</f>
        <v>0.19077700568540745</v>
      </c>
      <c r="CE74" s="39">
        <f t="shared" si="690"/>
        <v>0.18958594730238393</v>
      </c>
      <c r="CF74" s="39">
        <f t="shared" ref="CF74:CG74" si="691">IFERROR(CF11/CF53,0)</f>
        <v>0.17202772347609738</v>
      </c>
      <c r="CG74" s="39">
        <f t="shared" si="691"/>
        <v>0.21856142891624428</v>
      </c>
      <c r="CH74" s="39">
        <f t="shared" ref="CH74:CI74" si="692">IFERROR(CH11/CH53,0)</f>
        <v>0.1839987969020227</v>
      </c>
      <c r="CI74" s="39">
        <f t="shared" si="692"/>
        <v>0.171036386084683</v>
      </c>
      <c r="CJ74" s="39">
        <f t="shared" ref="CJ74:CK74" si="693">IFERROR(CJ11/CJ53,0)</f>
        <v>0.17109756097560977</v>
      </c>
      <c r="CK74" s="39">
        <f t="shared" si="693"/>
        <v>0.20129654255319149</v>
      </c>
      <c r="CL74" s="39">
        <f t="shared" ref="CL74:CM74" si="694">IFERROR(CL11/CL53,0)</f>
        <v>0.16844305120167188</v>
      </c>
      <c r="CM74" s="39">
        <f t="shared" si="694"/>
        <v>0.17640047675804529</v>
      </c>
      <c r="CN74" s="39">
        <f t="shared" ref="CN74:CO74" si="695">IFERROR(CN11/CN53,0)</f>
        <v>0.21171590015020386</v>
      </c>
      <c r="CO74" s="39">
        <f t="shared" si="695"/>
        <v>0.20715258012622201</v>
      </c>
      <c r="CP74" s="39">
        <f t="shared" ref="CP74:CQ74" si="696">IFERROR(CP11/CP53,0)</f>
        <v>0.1853901494189264</v>
      </c>
      <c r="CQ74" s="39">
        <f t="shared" si="696"/>
        <v>0.18725692061313201</v>
      </c>
      <c r="CR74" s="39">
        <f t="shared" ref="CR74:CS74" si="697">IFERROR(CR11/CR53,0)</f>
        <v>0.19920462762111352</v>
      </c>
      <c r="CS74" s="39">
        <f t="shared" si="697"/>
        <v>0.16421805528706745</v>
      </c>
      <c r="CT74" s="39">
        <f t="shared" ref="CT74:CU74" si="698">IFERROR(CT11/CT53,0)</f>
        <v>0.19362340126063277</v>
      </c>
      <c r="CU74" s="39">
        <f t="shared" si="698"/>
        <v>0.21483250228246364</v>
      </c>
      <c r="CV74" s="39">
        <f t="shared" ref="CV74:CW74" si="699">IFERROR(CV11/CV53,0)</f>
        <v>0.20842748091603053</v>
      </c>
      <c r="CW74" s="39">
        <f t="shared" si="699"/>
        <v>0.26239015817223199</v>
      </c>
      <c r="CX74" s="39">
        <f t="shared" ref="CX74:CY74" si="700">IFERROR(CX11/CX53,0)</f>
        <v>0.21102136795828647</v>
      </c>
      <c r="CY74" s="39">
        <f t="shared" si="700"/>
        <v>0.26782626385922081</v>
      </c>
      <c r="CZ74" s="39">
        <f t="shared" ref="CZ74:DA74" si="701">IFERROR(CZ11/CZ53,0)</f>
        <v>0.30406630406630408</v>
      </c>
      <c r="DA74" s="39">
        <f t="shared" si="701"/>
        <v>0.28603589519104494</v>
      </c>
      <c r="DB74" s="39">
        <f t="shared" ref="DB74:DC74" si="702">IFERROR(DB11/DB53,0)</f>
        <v>0.28275600025330883</v>
      </c>
      <c r="DC74" s="39">
        <f t="shared" si="702"/>
        <v>0.28052416279553494</v>
      </c>
      <c r="DD74" s="39">
        <f t="shared" ref="DD74:DE74" si="703">IFERROR(DD11/DD53,0)</f>
        <v>0.26051164025847567</v>
      </c>
      <c r="DE74" s="39">
        <f t="shared" si="703"/>
        <v>0.2962800875273523</v>
      </c>
      <c r="DF74" s="39">
        <f t="shared" ref="DF74:DG74" si="704">IFERROR(DF11/DF53,0)</f>
        <v>0.25159479459045675</v>
      </c>
      <c r="DG74" s="39">
        <f t="shared" si="704"/>
        <v>0.2262747232807113</v>
      </c>
      <c r="DH74" s="39">
        <f t="shared" ref="DH74:DI74" si="705">IFERROR(DH11/DH53,0)</f>
        <v>0.28855559178350182</v>
      </c>
      <c r="DI74" s="39">
        <f t="shared" si="705"/>
        <v>0.26152294503277862</v>
      </c>
      <c r="DJ74" s="39">
        <f t="shared" ref="DJ74:DK74" si="706">IFERROR(DJ11/DJ53,0)</f>
        <v>0.25625929598413483</v>
      </c>
      <c r="DK74" s="39">
        <f t="shared" si="706"/>
        <v>0.24403215831787262</v>
      </c>
      <c r="DL74" s="39">
        <f t="shared" ref="DL74:DM74" si="707">IFERROR(DL11/DL53,0)</f>
        <v>0.22199108469539375</v>
      </c>
      <c r="DM74" s="39">
        <f t="shared" si="707"/>
        <v>0.23332370776783137</v>
      </c>
      <c r="DN74" s="39">
        <f t="shared" ref="DN74:DO74" si="708">IFERROR(DN11/DN53,0)</f>
        <v>0.23672080772607551</v>
      </c>
      <c r="DO74" s="39">
        <f t="shared" si="708"/>
        <v>0.21824123242107721</v>
      </c>
      <c r="DP74" s="39">
        <f t="shared" ref="DP74:DQ74" si="709">IFERROR(DP11/DP53,0)</f>
        <v>0.20378680764738427</v>
      </c>
      <c r="DQ74" s="39">
        <f t="shared" si="709"/>
        <v>0.21682116210716709</v>
      </c>
      <c r="DR74" s="39">
        <f t="shared" ref="DR74:DS74" si="710">IFERROR(DR11/DR53,0)</f>
        <v>0.17595911829761268</v>
      </c>
      <c r="DS74" s="39">
        <f t="shared" si="710"/>
        <v>0.16596404215747054</v>
      </c>
      <c r="DT74" s="39">
        <f t="shared" ref="DT74:DU74" si="711">IFERROR(DT11/DT53,0)</f>
        <v>0.18110317706716342</v>
      </c>
      <c r="DU74" s="39">
        <f t="shared" si="711"/>
        <v>0.17421783720628325</v>
      </c>
      <c r="DV74" s="39">
        <f t="shared" si="125"/>
        <v>0.16656446420358731</v>
      </c>
      <c r="DW74" s="39">
        <f t="shared" si="125"/>
        <v>0.16512073027090696</v>
      </c>
      <c r="DX74" s="39">
        <f t="shared" ref="DX74:DY74" si="712">IFERROR(DX11/DX53,0)</f>
        <v>0.14965522467227399</v>
      </c>
      <c r="DY74" s="39">
        <f t="shared" si="712"/>
        <v>0.1534355735979552</v>
      </c>
      <c r="DZ74" s="39">
        <f t="shared" ref="DZ74:EA74" si="713">IFERROR(DZ11/DZ53,0)</f>
        <v>0.1561812248615011</v>
      </c>
      <c r="EA74" s="39">
        <f t="shared" si="713"/>
        <v>0.15012393576894062</v>
      </c>
      <c r="EB74" s="39">
        <f t="shared" ref="EB74:EC74" si="714">IFERROR(EB11/EB53,0)</f>
        <v>0.14314800313234141</v>
      </c>
      <c r="EC74" s="39">
        <f t="shared" si="714"/>
        <v>0.15532900834105653</v>
      </c>
      <c r="ED74" s="39">
        <f t="shared" ref="ED74:EE74" si="715">IFERROR(ED11/ED53,0)</f>
        <v>0.13886671987230648</v>
      </c>
      <c r="EE74" s="39">
        <f t="shared" si="715"/>
        <v>0.12765185856754308</v>
      </c>
      <c r="EF74" s="39">
        <f t="shared" ref="EF74:EG74" si="716">IFERROR(EF11/EF53,0)</f>
        <v>0.12056737588652482</v>
      </c>
      <c r="EG74" s="39">
        <f t="shared" si="716"/>
        <v>0.12101653892698669</v>
      </c>
      <c r="EH74" s="39">
        <f t="shared" ref="EH74:EI74" si="717">IFERROR(EH11/EH53,0)</f>
        <v>0.1383741781231321</v>
      </c>
      <c r="EI74" s="39">
        <f t="shared" si="717"/>
        <v>0.14316788609847736</v>
      </c>
      <c r="EJ74" s="39">
        <f t="shared" ref="EJ74:EK74" si="718">IFERROR(EJ11/EJ53,0)</f>
        <v>0.12193225985563576</v>
      </c>
      <c r="EK74" s="39">
        <f t="shared" si="718"/>
        <v>0.11954651280493978</v>
      </c>
      <c r="EL74" s="39">
        <f t="shared" ref="EL74:EM74" si="719">IFERROR(EL11/EL53,0)</f>
        <v>0.11343375345834614</v>
      </c>
      <c r="EM74" s="39">
        <f t="shared" si="719"/>
        <v>0.10195116968025335</v>
      </c>
      <c r="EN74" s="39">
        <f t="shared" ref="EN74:EO74" si="720">IFERROR(EN11/EN53,0)</f>
        <v>0.1034300232902816</v>
      </c>
      <c r="EO74" s="39">
        <f t="shared" si="720"/>
        <v>9.9271690943635207E-2</v>
      </c>
      <c r="EP74" s="39">
        <f t="shared" ref="EP74" si="721">IFERROR(EP11/EP53,0)</f>
        <v>0.1019742800217352</v>
      </c>
      <c r="EQ74" s="39">
        <f t="shared" ref="EQ74:ER74" si="722">IFERROR(EQ11/EQ53,0)</f>
        <v>0.10236612702366127</v>
      </c>
      <c r="ER74" s="39">
        <f t="shared" si="722"/>
        <v>9.9187353890682395E-2</v>
      </c>
      <c r="ES74" s="39">
        <f t="shared" ref="ES74:ET74" si="723">IFERROR(ES11/ES53,0)</f>
        <v>8.5373206318581932E-2</v>
      </c>
      <c r="ET74" s="39">
        <f t="shared" si="723"/>
        <v>7.8279569892473116E-2</v>
      </c>
      <c r="EU74" s="39">
        <f t="shared" ref="EU74:EV74" si="724">IFERROR(EU11/EU53,0)</f>
        <v>7.8950307091010613E-2</v>
      </c>
      <c r="EV74" s="39">
        <f t="shared" si="724"/>
        <v>9.6742153357171234E-2</v>
      </c>
      <c r="EW74" s="39">
        <f t="shared" ref="EW74:EX74" si="725">IFERROR(EW11/EW53,0)</f>
        <v>0.12007684918347743</v>
      </c>
      <c r="EX74" s="39">
        <f t="shared" si="725"/>
        <v>7.901643873463185E-2</v>
      </c>
      <c r="EY74" s="39">
        <f t="shared" ref="EY74:EZ74" si="726">IFERROR(EY11/EY53,0)</f>
        <v>0.12253829321663019</v>
      </c>
      <c r="EZ74" s="39">
        <f t="shared" si="726"/>
        <v>8.0840374514729391E-2</v>
      </c>
      <c r="FA74" s="39">
        <f t="shared" ref="FA74:FB74" si="727">IFERROR(FA11/FA53,0)</f>
        <v>8.2261245187341528E-2</v>
      </c>
      <c r="FB74" s="39">
        <f t="shared" si="727"/>
        <v>7.7289336729044408E-2</v>
      </c>
      <c r="FC74" s="39">
        <f t="shared" ref="FC74:FD74" si="728">IFERROR(FC11/FC53,0)</f>
        <v>8.2298928753613332E-2</v>
      </c>
      <c r="FD74" s="39">
        <f t="shared" si="728"/>
        <v>5.5539201256010202E-2</v>
      </c>
      <c r="FE74" s="39">
        <f t="shared" ref="FE74:FF74" si="729">IFERROR(FE11/FE53,0)</f>
        <v>7.7404053471323842E-2</v>
      </c>
      <c r="FF74" s="39">
        <f t="shared" si="729"/>
        <v>8.890652907322881E-2</v>
      </c>
      <c r="FG74" s="39">
        <f t="shared" ref="FG74:FH74" si="730">IFERROR(FG11/FG53,0)</f>
        <v>6.8826319507518413E-2</v>
      </c>
      <c r="FH74" s="39">
        <f t="shared" si="730"/>
        <v>6.6980814540558736E-2</v>
      </c>
      <c r="FI74" s="39">
        <f t="shared" ref="FI74:FJ74" si="731">IFERROR(FI11/FI53,0)</f>
        <v>5.6747286556704558E-2</v>
      </c>
      <c r="FJ74" s="39">
        <f t="shared" si="731"/>
        <v>9.1994519475435507E-2</v>
      </c>
      <c r="FK74" s="39">
        <f t="shared" ref="FK74:FL74" si="732">IFERROR(FK11/FK53,0)</f>
        <v>9.8613552040617072E-2</v>
      </c>
      <c r="FL74" s="39">
        <f t="shared" si="732"/>
        <v>7.1157044428605376E-2</v>
      </c>
      <c r="FM74" s="39">
        <f t="shared" ref="FM74" si="733">IFERROR(FM11/FM53,0)</f>
        <v>7.1626984126984122E-2</v>
      </c>
      <c r="FN74" s="39">
        <v>6.3492063492063489E-2</v>
      </c>
      <c r="FO74" s="39">
        <f t="shared" ref="FO74" si="734">IFERROR(FO11/FO53,0)</f>
        <v>5.1910112359550564E-2</v>
      </c>
      <c r="FP74" s="39">
        <v>7.650614967688138E-2</v>
      </c>
      <c r="FQ74" s="39">
        <f t="shared" ref="FQ74:HA74" si="735">IFERROR(FQ11/FQ53,0)</f>
        <v>7.2782874617736998E-2</v>
      </c>
      <c r="FR74" s="39">
        <v>9.5147928994082837E-2</v>
      </c>
      <c r="FS74" s="39">
        <f t="shared" si="735"/>
        <v>5.8098200399911128E-2</v>
      </c>
      <c r="FT74" s="39">
        <f t="shared" si="735"/>
        <v>6.0919411037428345E-2</v>
      </c>
      <c r="FU74" s="39">
        <f t="shared" si="735"/>
        <v>5.1105121293800536E-2</v>
      </c>
      <c r="FV74" s="39">
        <f t="shared" si="735"/>
        <v>5.3493061321314199E-2</v>
      </c>
      <c r="FW74" s="39">
        <f t="shared" si="735"/>
        <v>4.9939831528279181E-2</v>
      </c>
      <c r="FX74" s="39">
        <f t="shared" si="735"/>
        <v>5.3256704980842909E-2</v>
      </c>
      <c r="FY74" s="39">
        <f t="shared" si="735"/>
        <v>6.603245663122552E-2</v>
      </c>
      <c r="FZ74" s="39">
        <f t="shared" si="735"/>
        <v>4.6458242238740712E-2</v>
      </c>
      <c r="GA74" s="39">
        <f t="shared" si="735"/>
        <v>5.0534053060755715E-2</v>
      </c>
      <c r="GB74" s="39">
        <f t="shared" si="735"/>
        <v>5.4214173932483789E-2</v>
      </c>
      <c r="GC74" s="39">
        <f t="shared" si="735"/>
        <v>6.758034026465029E-2</v>
      </c>
      <c r="GD74" s="39">
        <f t="shared" si="735"/>
        <v>5.0402084041227771E-2</v>
      </c>
      <c r="GE74" s="39">
        <f t="shared" si="735"/>
        <v>6.4824020680055675E-2</v>
      </c>
      <c r="GF74" s="39">
        <f t="shared" si="735"/>
        <v>4.9487293802942485E-2</v>
      </c>
      <c r="GG74" s="39">
        <f t="shared" si="735"/>
        <v>5.0517414042505843E-2</v>
      </c>
      <c r="GH74" s="39">
        <f t="shared" si="735"/>
        <v>4.3233670173976453E-2</v>
      </c>
      <c r="GI74" s="39">
        <f t="shared" si="735"/>
        <v>5.1279405695418903E-2</v>
      </c>
      <c r="GJ74" s="39">
        <f t="shared" si="735"/>
        <v>4.7921225382932163E-2</v>
      </c>
      <c r="GK74" s="39">
        <f t="shared" si="735"/>
        <v>5.3565450284566454E-2</v>
      </c>
      <c r="GL74" s="39">
        <f t="shared" si="735"/>
        <v>5.7741009623501607E-2</v>
      </c>
      <c r="GM74" s="39">
        <f t="shared" si="735"/>
        <v>5.4776219104876421E-2</v>
      </c>
      <c r="GN74" s="39">
        <f t="shared" si="735"/>
        <v>5.0792718731650033E-2</v>
      </c>
      <c r="GO74" s="39">
        <f t="shared" si="735"/>
        <v>3.9508573448824462E-2</v>
      </c>
      <c r="GP74" s="39">
        <f t="shared" si="735"/>
        <v>4.6028973594986131E-2</v>
      </c>
      <c r="GQ74" s="39">
        <f t="shared" si="735"/>
        <v>5.0965587338463771E-2</v>
      </c>
      <c r="GR74" s="39">
        <f t="shared" si="735"/>
        <v>5.7533539731682147E-2</v>
      </c>
      <c r="GS74" s="39">
        <f t="shared" si="735"/>
        <v>6.1613295500608026E-2</v>
      </c>
      <c r="GT74" s="39">
        <f t="shared" si="735"/>
        <v>3.6861614497528832E-2</v>
      </c>
      <c r="GU74" s="39">
        <f t="shared" si="735"/>
        <v>3.4389750505731627E-2</v>
      </c>
      <c r="GV74" s="39">
        <f t="shared" si="735"/>
        <v>3.6469291654142873E-2</v>
      </c>
      <c r="GW74" s="39">
        <f t="shared" si="735"/>
        <v>4.6227130020569447E-2</v>
      </c>
      <c r="GX74" s="39">
        <f t="shared" si="735"/>
        <v>3.799787829105989E-2</v>
      </c>
      <c r="GY74" s="39">
        <f t="shared" si="735"/>
        <v>3.1447249774571688E-2</v>
      </c>
      <c r="GZ74" s="39">
        <f t="shared" si="735"/>
        <v>4.2975206611570248E-2</v>
      </c>
      <c r="HA74" s="39">
        <f t="shared" si="735"/>
        <v>2.6980696131773122E-2</v>
      </c>
      <c r="HB74" s="39">
        <f t="shared" si="148"/>
        <v>2.4521129909815906E-2</v>
      </c>
      <c r="HC74" s="39">
        <f t="shared" si="148"/>
        <v>4.3483047115808013E-2</v>
      </c>
      <c r="HD74" s="39">
        <f t="shared" ref="HD74:JO74" si="736">IFERROR(HD11/HD53,0)</f>
        <v>2.8966789667896679E-2</v>
      </c>
      <c r="HE74" s="39">
        <f t="shared" si="736"/>
        <v>3.9060315092756592E-2</v>
      </c>
      <c r="HF74" s="39">
        <f t="shared" si="736"/>
        <v>3.723916532905297E-2</v>
      </c>
      <c r="HG74" s="39">
        <f t="shared" si="736"/>
        <v>4.0052527905449768E-2</v>
      </c>
      <c r="HH74" s="39">
        <f t="shared" si="736"/>
        <v>4.4576196750109792E-2</v>
      </c>
      <c r="HI74" s="39">
        <f t="shared" si="736"/>
        <v>3.1328320802005011E-2</v>
      </c>
      <c r="HJ74" s="39">
        <f t="shared" si="736"/>
        <v>3.957231040564374E-2</v>
      </c>
      <c r="HK74" s="39">
        <f t="shared" si="736"/>
        <v>3.4807670989912429E-2</v>
      </c>
      <c r="HL74" s="39">
        <f t="shared" si="736"/>
        <v>4.0504648074369189E-2</v>
      </c>
      <c r="HM74" s="39">
        <f t="shared" si="736"/>
        <v>3.8544873987911961E-2</v>
      </c>
      <c r="HN74" s="39">
        <f t="shared" si="736"/>
        <v>4.8100816471423502E-2</v>
      </c>
      <c r="HO74" s="39">
        <f t="shared" si="736"/>
        <v>4.9648946840521561E-2</v>
      </c>
      <c r="HP74" s="39">
        <f t="shared" si="736"/>
        <v>4.0622585274312839E-2</v>
      </c>
      <c r="HQ74" s="39">
        <f t="shared" si="736"/>
        <v>3.9632143639150429E-2</v>
      </c>
      <c r="HR74" s="39">
        <f t="shared" si="736"/>
        <v>3.7751285647498828E-2</v>
      </c>
      <c r="HS74" s="39">
        <f t="shared" si="736"/>
        <v>3.5347551342812006E-2</v>
      </c>
      <c r="HT74" s="39">
        <f t="shared" si="736"/>
        <v>3.3588168943476625E-2</v>
      </c>
      <c r="HU74" s="39">
        <f t="shared" si="736"/>
        <v>4.5630045630045628E-2</v>
      </c>
      <c r="HV74" s="39">
        <f t="shared" si="736"/>
        <v>4.5958048550553854E-2</v>
      </c>
      <c r="HW74" s="39">
        <f t="shared" si="736"/>
        <v>3.4692107545533389E-2</v>
      </c>
      <c r="HX74" s="39">
        <f t="shared" si="736"/>
        <v>4.0806969280146724E-2</v>
      </c>
      <c r="HY74" s="39">
        <f t="shared" si="736"/>
        <v>4.4671566375746437E-2</v>
      </c>
      <c r="HZ74" s="39">
        <f t="shared" si="736"/>
        <v>4.5196456961162847E-2</v>
      </c>
      <c r="IA74" s="39">
        <f t="shared" si="736"/>
        <v>5.0840672538030422E-2</v>
      </c>
      <c r="IB74" s="39">
        <f t="shared" si="736"/>
        <v>6.4172901080631756E-2</v>
      </c>
      <c r="IC74" s="39">
        <f t="shared" si="736"/>
        <v>5.4949847361535104E-2</v>
      </c>
      <c r="ID74" s="39">
        <f t="shared" si="736"/>
        <v>5.3389043639740022E-2</v>
      </c>
      <c r="IE74" s="39">
        <f t="shared" si="736"/>
        <v>5.8184077026607307E-2</v>
      </c>
      <c r="IF74" s="39">
        <f t="shared" si="736"/>
        <v>5.1903114186851208E-2</v>
      </c>
      <c r="IG74" s="39">
        <f t="shared" si="736"/>
        <v>5.7902511078286562E-2</v>
      </c>
      <c r="IH74" s="39">
        <f t="shared" si="736"/>
        <v>5.6051246854266761E-2</v>
      </c>
      <c r="II74" s="39">
        <f t="shared" si="736"/>
        <v>3.9350263097689318E-2</v>
      </c>
      <c r="IJ74" s="39">
        <f t="shared" si="736"/>
        <v>8.2665021591610113E-2</v>
      </c>
      <c r="IK74" s="39">
        <f t="shared" si="736"/>
        <v>5.4781990039638177E-2</v>
      </c>
      <c r="IL74" s="39">
        <f t="shared" si="736"/>
        <v>5.1724137931034482E-2</v>
      </c>
      <c r="IM74" s="39">
        <f t="shared" si="736"/>
        <v>5.7680812910938434E-2</v>
      </c>
      <c r="IN74" s="39">
        <f t="shared" si="736"/>
        <v>5.0607690775054795E-2</v>
      </c>
      <c r="IO74" s="39">
        <f t="shared" si="736"/>
        <v>4.9130205587770162E-2</v>
      </c>
      <c r="IP74" s="39">
        <f t="shared" si="736"/>
        <v>5.3665326322301268E-2</v>
      </c>
      <c r="IQ74" s="39">
        <f t="shared" si="736"/>
        <v>4.8755186721991702E-2</v>
      </c>
      <c r="IR74" s="39">
        <f t="shared" si="736"/>
        <v>4.8996458087367176E-2</v>
      </c>
      <c r="IS74" s="39">
        <f t="shared" si="736"/>
        <v>6.8790205436812621E-2</v>
      </c>
      <c r="IT74" s="39">
        <f t="shared" si="736"/>
        <v>5.7856494096276113E-2</v>
      </c>
      <c r="IU74" s="39">
        <f t="shared" si="736"/>
        <v>5.4399576794216191E-2</v>
      </c>
      <c r="IV74" s="39">
        <f t="shared" si="736"/>
        <v>5.6663376110562685E-2</v>
      </c>
      <c r="IW74" s="39">
        <f t="shared" si="736"/>
        <v>4.7599507591300778E-2</v>
      </c>
      <c r="IX74" s="39">
        <f t="shared" si="736"/>
        <v>6.0056127221702525E-2</v>
      </c>
      <c r="IY74" s="39">
        <f t="shared" si="736"/>
        <v>6.6648431801604666E-2</v>
      </c>
      <c r="IZ74" s="39">
        <f t="shared" si="736"/>
        <v>6.2396466040861402E-2</v>
      </c>
      <c r="JA74" s="39">
        <f t="shared" si="736"/>
        <v>6.0233717133528097E-2</v>
      </c>
      <c r="JB74" s="39">
        <f t="shared" si="736"/>
        <v>7.2844518748507281E-2</v>
      </c>
      <c r="JC74" s="39">
        <f t="shared" si="736"/>
        <v>6.7570879973854067E-2</v>
      </c>
      <c r="JD74" s="39">
        <f t="shared" si="736"/>
        <v>6.4405534467980904E-2</v>
      </c>
      <c r="JE74" s="39">
        <f t="shared" si="736"/>
        <v>6.4950768699257214E-2</v>
      </c>
      <c r="JF74" s="39">
        <f t="shared" si="736"/>
        <v>7.6060710589858568E-2</v>
      </c>
      <c r="JG74" s="39">
        <f t="shared" si="736"/>
        <v>6.427923095965013E-2</v>
      </c>
      <c r="JH74" s="39">
        <f t="shared" si="736"/>
        <v>7.2556293676128036E-2</v>
      </c>
      <c r="JI74" s="39">
        <f t="shared" si="736"/>
        <v>7.1256320497860751E-2</v>
      </c>
      <c r="JJ74" s="39">
        <f t="shared" si="736"/>
        <v>6.1167747914735865E-2</v>
      </c>
      <c r="JK74" s="39">
        <f t="shared" si="736"/>
        <v>8.1231538286753016E-2</v>
      </c>
      <c r="JL74" s="39">
        <f t="shared" si="736"/>
        <v>7.6825194846508668E-2</v>
      </c>
      <c r="JM74" s="39">
        <f t="shared" si="736"/>
        <v>6.6987913737262025E-2</v>
      </c>
      <c r="JN74" s="39">
        <f t="shared" si="736"/>
        <v>7.5163164311841071E-2</v>
      </c>
      <c r="JO74" s="39">
        <f t="shared" si="736"/>
        <v>8.2069958499195392E-2</v>
      </c>
      <c r="JP74" s="39">
        <f t="shared" ref="JP74:KG74" si="737">IFERROR(JP11/JP53,0)</f>
        <v>7.0668307870537975E-2</v>
      </c>
      <c r="JQ74" s="39">
        <f t="shared" si="737"/>
        <v>7.479351483634139E-2</v>
      </c>
      <c r="JR74" s="39">
        <f t="shared" si="737"/>
        <v>7.8613807982740022E-2</v>
      </c>
      <c r="JS74" s="39">
        <f t="shared" si="737"/>
        <v>8.6169321039396479E-2</v>
      </c>
      <c r="JT74" s="39">
        <f t="shared" si="737"/>
        <v>8.4956748013221742E-2</v>
      </c>
      <c r="JU74" s="39">
        <f t="shared" si="737"/>
        <v>7.6290996670680733E-2</v>
      </c>
      <c r="JV74" s="39">
        <f t="shared" si="737"/>
        <v>8.6111708611170859E-2</v>
      </c>
      <c r="JW74" s="39">
        <f t="shared" si="737"/>
        <v>8.6035894206549113E-2</v>
      </c>
      <c r="JX74" s="39">
        <f t="shared" si="737"/>
        <v>7.6450166353247501E-2</v>
      </c>
      <c r="JY74" s="39">
        <f t="shared" si="737"/>
        <v>8.3350940207056828E-2</v>
      </c>
      <c r="JZ74" s="39">
        <f t="shared" si="737"/>
        <v>8.949207202364956E-2</v>
      </c>
      <c r="KA74" s="39">
        <f t="shared" si="737"/>
        <v>8.7686043246279141E-2</v>
      </c>
      <c r="KB74" s="39">
        <f t="shared" si="737"/>
        <v>8.3764870538838354E-2</v>
      </c>
      <c r="KC74" s="39">
        <f t="shared" si="737"/>
        <v>8.4656456372066882E-2</v>
      </c>
      <c r="KD74" s="39">
        <f t="shared" si="737"/>
        <v>7.0096638083571527E-2</v>
      </c>
      <c r="KE74" s="39">
        <f t="shared" si="737"/>
        <v>9.3318217246510307E-2</v>
      </c>
      <c r="KF74" s="39">
        <f t="shared" si="737"/>
        <v>8.657205240174673E-2</v>
      </c>
      <c r="KG74" s="39">
        <f t="shared" si="737"/>
        <v>9.0204264201580439E-2</v>
      </c>
      <c r="KH74" s="39">
        <f t="shared" si="475"/>
        <v>8.9468517739447487E-2</v>
      </c>
      <c r="KI74" s="39">
        <f t="shared" si="475"/>
        <v>8.7926320333860983E-2</v>
      </c>
      <c r="KJ74" s="39">
        <f t="shared" si="541"/>
        <v>9.1069330199764986E-2</v>
      </c>
      <c r="KK74" s="39">
        <f t="shared" si="541"/>
        <v>8.0763071781661214E-2</v>
      </c>
      <c r="KL74" s="39">
        <f t="shared" si="541"/>
        <v>7.326349024110218E-2</v>
      </c>
      <c r="KM74" s="39">
        <f t="shared" si="541"/>
        <v>9.1468101460415063E-2</v>
      </c>
      <c r="KN74" s="39">
        <f t="shared" si="541"/>
        <v>0.1010073875083949</v>
      </c>
      <c r="KO74" s="39">
        <f t="shared" si="541"/>
        <v>8.6224283985478017E-2</v>
      </c>
      <c r="KP74" s="39">
        <f t="shared" si="541"/>
        <v>9.7231124214844256E-2</v>
      </c>
      <c r="KQ74" s="39">
        <f t="shared" si="541"/>
        <v>7.9016964458491906E-2</v>
      </c>
      <c r="KR74" s="39">
        <f t="shared" si="541"/>
        <v>8.3782950516417445E-2</v>
      </c>
      <c r="KS74" s="39">
        <f t="shared" si="541"/>
        <v>7.6007593457943931E-2</v>
      </c>
      <c r="KT74" s="39">
        <f t="shared" si="541"/>
        <v>7.236776071464418E-2</v>
      </c>
      <c r="KU74" s="39">
        <f t="shared" si="541"/>
        <v>0.10462287104622871</v>
      </c>
      <c r="KV74" s="39">
        <f t="shared" si="541"/>
        <v>8.0690574985180799E-2</v>
      </c>
      <c r="KW74" s="39">
        <f t="shared" si="541"/>
        <v>8.2373271889400926E-2</v>
      </c>
      <c r="KX74" s="39">
        <f t="shared" si="541"/>
        <v>9.3144560357675113E-2</v>
      </c>
      <c r="KY74" s="39">
        <f t="shared" si="541"/>
        <v>8.0039386692924458E-2</v>
      </c>
      <c r="KZ74" s="39">
        <f t="shared" ref="KZ74:NK74" si="738">IFERROR(KZ11/KZ53,0)</f>
        <v>8.7574910107870552E-2</v>
      </c>
      <c r="LA74" s="39">
        <f t="shared" si="738"/>
        <v>9.09377297070251E-2</v>
      </c>
      <c r="LB74" s="39">
        <f t="shared" si="738"/>
        <v>8.3347364876241795E-2</v>
      </c>
      <c r="LC74" s="39">
        <f t="shared" si="738"/>
        <v>8.8629830725007991E-2</v>
      </c>
      <c r="LD74" s="39">
        <f t="shared" si="738"/>
        <v>9.3397590361445779E-2</v>
      </c>
      <c r="LE74" s="39">
        <f t="shared" si="738"/>
        <v>8.0816068321999057E-2</v>
      </c>
      <c r="LF74" s="39">
        <f t="shared" si="738"/>
        <v>8.4300718629076843E-2</v>
      </c>
      <c r="LG74" s="39">
        <f t="shared" si="738"/>
        <v>9.1179612391271175E-2</v>
      </c>
      <c r="LH74" s="39">
        <f t="shared" si="738"/>
        <v>7.957302280446385E-2</v>
      </c>
      <c r="LI74" s="39">
        <f t="shared" si="738"/>
        <v>9.353316680543991E-2</v>
      </c>
      <c r="LJ74" s="39">
        <f t="shared" si="738"/>
        <v>8.6256362795002317E-2</v>
      </c>
      <c r="LK74" s="39">
        <f t="shared" si="738"/>
        <v>8.311292778712831E-2</v>
      </c>
      <c r="LL74" s="39">
        <f t="shared" si="738"/>
        <v>8.0440554626806965E-2</v>
      </c>
      <c r="LM74" s="39">
        <f t="shared" si="738"/>
        <v>9.1186958736627605E-2</v>
      </c>
      <c r="LN74" s="39">
        <f t="shared" si="738"/>
        <v>8.0046742623429742E-2</v>
      </c>
      <c r="LO74" s="39">
        <f t="shared" si="738"/>
        <v>0</v>
      </c>
      <c r="LP74" s="39">
        <f t="shared" si="738"/>
        <v>3.1190362595419848E-2</v>
      </c>
      <c r="LQ74" s="39">
        <f t="shared" si="738"/>
        <v>7.7666551605108727E-2</v>
      </c>
      <c r="LR74" s="39">
        <f t="shared" si="738"/>
        <v>8.3333333333333329E-2</v>
      </c>
      <c r="LS74" s="39">
        <f t="shared" si="738"/>
        <v>8.420681758125606E-2</v>
      </c>
      <c r="LT74" s="39">
        <f t="shared" si="738"/>
        <v>7.6365101752971995E-2</v>
      </c>
      <c r="LU74" s="39">
        <f t="shared" si="738"/>
        <v>6.9172688154583092E-2</v>
      </c>
      <c r="LV74" s="39">
        <f t="shared" si="738"/>
        <v>6.8399951403231685E-2</v>
      </c>
      <c r="LW74" s="39">
        <f t="shared" si="738"/>
        <v>8.1007115489874104E-2</v>
      </c>
      <c r="LX74" s="39">
        <f t="shared" si="738"/>
        <v>6.3769806551958783E-2</v>
      </c>
      <c r="LY74" s="39">
        <f t="shared" si="738"/>
        <v>7.295838411979802E-2</v>
      </c>
      <c r="LZ74" s="39">
        <f t="shared" si="738"/>
        <v>7.8264027601234798E-2</v>
      </c>
      <c r="MA74" s="39">
        <f t="shared" si="738"/>
        <v>6.4637681159420285E-2</v>
      </c>
      <c r="MB74" s="39">
        <f t="shared" si="738"/>
        <v>6.4129930394431559E-2</v>
      </c>
      <c r="MC74" s="39">
        <f t="shared" si="738"/>
        <v>7.7184160905091143E-2</v>
      </c>
      <c r="MD74" s="39">
        <f t="shared" si="738"/>
        <v>7.1481208548268241E-2</v>
      </c>
      <c r="ME74" s="39">
        <f t="shared" si="738"/>
        <v>5.4139408978118655E-2</v>
      </c>
      <c r="MF74" s="39">
        <f t="shared" si="738"/>
        <v>7.2379994973611458E-2</v>
      </c>
      <c r="MG74" s="39">
        <f t="shared" si="738"/>
        <v>5.3479067044012882E-2</v>
      </c>
      <c r="MH74" s="39">
        <f t="shared" si="738"/>
        <v>5.6356373740882253E-2</v>
      </c>
      <c r="MI74" s="39">
        <f t="shared" si="738"/>
        <v>6.5075086638428953E-2</v>
      </c>
      <c r="MJ74" s="39">
        <f t="shared" si="738"/>
        <v>6.4350243224461437E-2</v>
      </c>
      <c r="MK74" s="39">
        <f t="shared" si="738"/>
        <v>7.37134909596662E-2</v>
      </c>
      <c r="ML74" s="39">
        <f t="shared" si="738"/>
        <v>4.775549188156638E-2</v>
      </c>
      <c r="MM74" s="39">
        <f t="shared" si="738"/>
        <v>6.5666960697833968E-2</v>
      </c>
      <c r="MN74" s="39">
        <f t="shared" si="738"/>
        <v>5.5459471924362964E-2</v>
      </c>
      <c r="MO74" s="39">
        <f t="shared" si="738"/>
        <v>5.1640983413716035E-2</v>
      </c>
      <c r="MP74" s="39">
        <f t="shared" si="738"/>
        <v>5.003395970115463E-2</v>
      </c>
      <c r="MQ74" s="39">
        <f t="shared" si="738"/>
        <v>5.829596412556054E-2</v>
      </c>
      <c r="MR74" s="39">
        <f t="shared" si="738"/>
        <v>6.3015960374243257E-2</v>
      </c>
      <c r="MS74" s="39">
        <f t="shared" si="738"/>
        <v>4.9935529246278282E-2</v>
      </c>
      <c r="MT74" s="39">
        <f t="shared" si="738"/>
        <v>4.5624222314392365E-2</v>
      </c>
      <c r="MU74" s="39">
        <f t="shared" si="738"/>
        <v>5.4901423877327493E-2</v>
      </c>
      <c r="MV74" s="39">
        <f t="shared" si="738"/>
        <v>4.5477513895907026E-2</v>
      </c>
      <c r="MW74" s="39">
        <f t="shared" si="738"/>
        <v>5.7915057915057917E-2</v>
      </c>
      <c r="MX74" s="39">
        <f t="shared" si="738"/>
        <v>4.2409829567974636E-2</v>
      </c>
      <c r="MY74" s="39">
        <f t="shared" si="738"/>
        <v>5.5348721767187886E-2</v>
      </c>
      <c r="MZ74" s="39">
        <f t="shared" si="738"/>
        <v>4.1452772073921972E-2</v>
      </c>
      <c r="NA74" s="39">
        <f t="shared" si="738"/>
        <v>3.9544487548492054E-2</v>
      </c>
      <c r="NB74" s="39">
        <f t="shared" si="738"/>
        <v>4.8982271831910701E-2</v>
      </c>
      <c r="NC74" s="39">
        <f t="shared" si="738"/>
        <v>4.4807080625086433E-2</v>
      </c>
      <c r="ND74" s="39">
        <f t="shared" si="738"/>
        <v>0</v>
      </c>
      <c r="NE74" s="39">
        <f t="shared" si="738"/>
        <v>0</v>
      </c>
      <c r="NF74" s="39">
        <f t="shared" si="738"/>
        <v>9.5089146074444787E-3</v>
      </c>
      <c r="NG74" s="39">
        <f t="shared" si="738"/>
        <v>4.0465171472647443E-2</v>
      </c>
      <c r="NH74" s="39">
        <f t="shared" si="738"/>
        <v>3.4807417974322394E-2</v>
      </c>
      <c r="NI74" s="39">
        <f t="shared" si="738"/>
        <v>3.8511826934506124E-2</v>
      </c>
      <c r="NJ74" s="39">
        <f t="shared" si="738"/>
        <v>3.5966340933767646E-2</v>
      </c>
      <c r="NK74" s="39">
        <f t="shared" si="738"/>
        <v>3.0562492567487217E-2</v>
      </c>
      <c r="NL74" s="39">
        <f t="shared" ref="NL74:NN74" si="739">IFERROR(NL11/NL53,0)</f>
        <v>3.5037878787878785E-2</v>
      </c>
      <c r="NM74" s="39">
        <f t="shared" si="739"/>
        <v>5.1659451659451662E-2</v>
      </c>
      <c r="NN74" s="39">
        <f t="shared" si="739"/>
        <v>3.2035349351008012E-2</v>
      </c>
      <c r="NO74" s="39">
        <f t="shared" ref="NO74" si="740">IFERROR(NO11/NO53,0)</f>
        <v>3.5568829758349171E-2</v>
      </c>
      <c r="NP74" s="39">
        <v>3.4257322175732199E-2</v>
      </c>
      <c r="NQ74" s="39">
        <v>2.81214848143982E-2</v>
      </c>
      <c r="NR74" s="39">
        <v>3.1181318681318699E-2</v>
      </c>
      <c r="NS74" s="39">
        <v>3.9281705948372603E-2</v>
      </c>
      <c r="NT74" s="39">
        <v>4.0266222961730401E-2</v>
      </c>
      <c r="NU74" s="39">
        <v>3.6698578474035397E-2</v>
      </c>
      <c r="NV74" s="39">
        <v>2.79655400927767E-2</v>
      </c>
      <c r="NW74" s="39">
        <v>2.9786081776333601E-2</v>
      </c>
      <c r="NX74" s="39">
        <v>2.6918829376035298E-2</v>
      </c>
      <c r="NY74" s="39">
        <v>3.5101526837714503E-2</v>
      </c>
      <c r="NZ74" s="39">
        <v>2.9003168413356099E-2</v>
      </c>
      <c r="OA74" s="39">
        <v>3.4047919293820901E-2</v>
      </c>
      <c r="OB74" s="39">
        <v>3.4789869190091798E-2</v>
      </c>
      <c r="OC74" s="39">
        <v>2.4922720247295201E-2</v>
      </c>
      <c r="OD74" s="39">
        <v>2.70463481472656E-2</v>
      </c>
      <c r="OE74" s="39">
        <v>0</v>
      </c>
      <c r="OF74" s="39">
        <v>2.55451713395639E-2</v>
      </c>
      <c r="OG74" s="39">
        <v>8.9465836330146504E-3</v>
      </c>
      <c r="OH74" s="39">
        <v>4.2312661498708E-2</v>
      </c>
      <c r="OI74" s="39">
        <v>2.8015456803753801E-2</v>
      </c>
      <c r="OJ74" s="39">
        <v>2.80047945951836E-2</v>
      </c>
      <c r="OK74" s="39">
        <v>2.9844227689620001E-2</v>
      </c>
      <c r="OL74" s="39">
        <v>2.52717035485138E-2</v>
      </c>
      <c r="OM74" s="39">
        <v>2.2858884486437098E-2</v>
      </c>
      <c r="ON74" s="39">
        <v>2.98308103294746E-2</v>
      </c>
      <c r="OO74" s="39">
        <v>3.9687312086590501E-2</v>
      </c>
      <c r="OP74" s="39">
        <v>3.08996838171888E-2</v>
      </c>
      <c r="OQ74" s="39">
        <v>2.2371653950601301E-2</v>
      </c>
      <c r="OR74" s="39">
        <v>1.9855339668132198E-2</v>
      </c>
      <c r="OS74" s="39">
        <f t="shared" ref="OS74" si="741">IFERROR(OS11/OS53,0)</f>
        <v>2.5137568784392196E-2</v>
      </c>
      <c r="OT74" s="39">
        <f t="shared" si="156"/>
        <v>1.834862385321101E-2</v>
      </c>
      <c r="OU74" s="39">
        <v>2.6970954356846499E-2</v>
      </c>
      <c r="OV74" s="39">
        <v>2.2140221402214E-2</v>
      </c>
      <c r="OW74" s="39">
        <v>1.9236016371077799E-2</v>
      </c>
      <c r="OX74" s="39">
        <v>2.5004883766360599E-2</v>
      </c>
      <c r="OY74" s="39">
        <v>2.78699402786994E-2</v>
      </c>
      <c r="OZ74" s="39">
        <v>3.1074380165289298E-2</v>
      </c>
      <c r="PA74" s="39">
        <v>3.93959290873276E-2</v>
      </c>
      <c r="PB74" s="39">
        <v>3.0606717226435501E-2</v>
      </c>
      <c r="PC74" s="39">
        <v>3.7911301859799698E-2</v>
      </c>
      <c r="PD74" s="39">
        <v>2.8785431047143501E-2</v>
      </c>
      <c r="PE74" s="39">
        <v>2.7415530527563702E-2</v>
      </c>
      <c r="PF74" s="39">
        <v>2.8125000000000001E-2</v>
      </c>
      <c r="PG74" s="39">
        <v>3.7995686079309803E-2</v>
      </c>
      <c r="PH74" s="39">
        <v>3.39917317409279E-2</v>
      </c>
      <c r="PI74" s="39">
        <v>3.6842105263157898E-2</v>
      </c>
      <c r="PJ74" s="39">
        <v>3.7267080745341602E-2</v>
      </c>
      <c r="PK74" s="39">
        <v>2.6095186587344499E-2</v>
      </c>
      <c r="PL74" s="39">
        <v>2.9400864731315601E-2</v>
      </c>
      <c r="PM74" s="39">
        <v>2.8575450450450499E-2</v>
      </c>
      <c r="PN74" s="39">
        <v>2.97142857142857E-2</v>
      </c>
      <c r="PO74" s="39">
        <v>3.97167487684729E-2</v>
      </c>
      <c r="PP74" s="39">
        <v>3.4453424074861801E-2</v>
      </c>
      <c r="PQ74" s="39">
        <v>3.6768802228412299E-2</v>
      </c>
      <c r="PR74" s="39">
        <v>2.9988789237668199E-2</v>
      </c>
      <c r="PS74" s="39">
        <v>3.4805194805194797E-2</v>
      </c>
      <c r="PT74" s="39">
        <v>2.6250812215724499E-2</v>
      </c>
      <c r="PU74" s="39">
        <v>3.9387613082811399E-2</v>
      </c>
      <c r="PV74" s="39">
        <v>3.1408914148968001E-2</v>
      </c>
      <c r="PW74" s="39">
        <v>4.2780748663101602E-2</v>
      </c>
      <c r="PX74" s="39">
        <v>2.78683664393715E-2</v>
      </c>
      <c r="PY74" s="39">
        <v>3.3004926108374397E-2</v>
      </c>
      <c r="PZ74" s="39">
        <v>3.2141005702436498E-2</v>
      </c>
      <c r="QA74" s="39">
        <v>3.8801906058543202E-2</v>
      </c>
      <c r="QB74" s="39">
        <v>4.0119760479041901E-2</v>
      </c>
      <c r="QC74" s="39">
        <v>4.0632054176072199E-2</v>
      </c>
      <c r="QD74" s="39">
        <v>4.5641447368421101E-2</v>
      </c>
      <c r="QE74" s="39">
        <v>0</v>
      </c>
      <c r="QF74" s="39">
        <v>3.0099728014505899E-2</v>
      </c>
      <c r="QG74" s="39">
        <v>4.2763157894736802E-2</v>
      </c>
      <c r="QH74" s="39">
        <v>4.6875E-2</v>
      </c>
      <c r="QI74" s="39">
        <v>3.6886436247458597E-2</v>
      </c>
      <c r="QJ74" s="39">
        <v>4.6342098411871903E-2</v>
      </c>
      <c r="QK74" s="39">
        <v>3.6510444093382499E-2</v>
      </c>
      <c r="QL74" s="39">
        <v>6.2287655719139301E-2</v>
      </c>
      <c r="QM74" s="39">
        <v>4.0062926061877301E-2</v>
      </c>
      <c r="QN74" s="39">
        <v>4.2822276458841797E-2</v>
      </c>
      <c r="QO74" s="39">
        <v>4.53986358045399E-2</v>
      </c>
      <c r="QP74" s="39">
        <v>4.7781934794227703E-2</v>
      </c>
      <c r="QQ74" s="39">
        <v>0</v>
      </c>
      <c r="QR74" s="39">
        <v>2.1809588116137701E-2</v>
      </c>
      <c r="QS74" s="39">
        <v>5.1449571253572898E-2</v>
      </c>
      <c r="QT74" s="39">
        <v>5.5887078264861098E-2</v>
      </c>
      <c r="QU74" s="39">
        <v>6.25E-2</v>
      </c>
      <c r="QV74" s="39">
        <v>6.7152330251237499E-2</v>
      </c>
      <c r="QW74" s="39">
        <v>0</v>
      </c>
      <c r="QX74" s="39">
        <v>6.9233989116785299E-2</v>
      </c>
      <c r="QY74" s="39">
        <v>2.9233085830001601E-2</v>
      </c>
      <c r="QZ74" s="39">
        <v>8.9855979962429597E-2</v>
      </c>
      <c r="RA74" s="39">
        <v>0.109635627530364</v>
      </c>
      <c r="RB74" s="39">
        <v>0.11488962754623699</v>
      </c>
      <c r="RC74" s="39">
        <v>0.103742357568441</v>
      </c>
      <c r="RD74" s="39">
        <v>0.10398458791467</v>
      </c>
      <c r="RE74" s="39">
        <v>0.12775747733116799</v>
      </c>
      <c r="RF74" s="39">
        <v>0.13281674823273501</v>
      </c>
      <c r="RG74" s="39">
        <v>0.14671689989235701</v>
      </c>
      <c r="RH74" s="39">
        <v>0.16694841452794401</v>
      </c>
      <c r="RI74" s="39">
        <v>0.19880860351962201</v>
      </c>
      <c r="RJ74" s="39">
        <v>0.215363831174881</v>
      </c>
      <c r="RK74" s="39">
        <v>0.20604698672114399</v>
      </c>
      <c r="RL74" s="39">
        <v>0.20194207406784601</v>
      </c>
      <c r="RM74" s="39">
        <v>0.22852967625899301</v>
      </c>
      <c r="RN74" s="39">
        <v>0.226626236372825</v>
      </c>
      <c r="RO74" s="39">
        <v>0.248757726336202</v>
      </c>
      <c r="RP74" s="39">
        <v>0.27584600398119502</v>
      </c>
      <c r="RQ74" s="39">
        <v>0</v>
      </c>
      <c r="RR74" s="39">
        <v>0.16950961384536001</v>
      </c>
      <c r="RS74" s="39">
        <v>0.35338017545949002</v>
      </c>
      <c r="RT74" s="39">
        <v>0.358363287212566</v>
      </c>
      <c r="RU74" s="39">
        <v>0.374366698617007</v>
      </c>
      <c r="RV74" s="39">
        <v>0.33158697717263003</v>
      </c>
      <c r="RW74" s="39">
        <v>0.36257369041603499</v>
      </c>
      <c r="RX74" s="39">
        <v>0.34254097678675399</v>
      </c>
      <c r="RY74" s="39">
        <v>0.362605974049652</v>
      </c>
      <c r="RZ74" s="39">
        <v>0.36298750085376702</v>
      </c>
      <c r="SA74" s="39">
        <v>0.36282603190681201</v>
      </c>
      <c r="SB74" s="39">
        <v>0.376934770591487</v>
      </c>
      <c r="SC74" s="39">
        <v>0</v>
      </c>
      <c r="SD74" s="39">
        <v>0.19038709560226</v>
      </c>
      <c r="SE74" s="39">
        <v>0.30915345498055602</v>
      </c>
      <c r="SF74" s="39">
        <v>0.30383540561338102</v>
      </c>
      <c r="SG74" s="39">
        <v>0.28917055447751899</v>
      </c>
      <c r="SH74" s="39">
        <v>0.27189051713697499</v>
      </c>
      <c r="SI74" s="39">
        <v>0.26622718052738298</v>
      </c>
      <c r="SJ74" s="39">
        <v>0.148787090609905</v>
      </c>
      <c r="SK74" s="39">
        <v>0.25115615680511699</v>
      </c>
      <c r="SL74" s="39">
        <v>0.25464684014869898</v>
      </c>
      <c r="SM74" s="39">
        <v>0.241033961841884</v>
      </c>
      <c r="SN74" s="39">
        <v>0.21036281577867699</v>
      </c>
      <c r="SO74" s="39">
        <v>0.21158531083641599</v>
      </c>
      <c r="SP74" s="39">
        <v>0.19928386220521099</v>
      </c>
      <c r="SQ74" s="39">
        <v>0.17876215638878001</v>
      </c>
      <c r="SR74" s="39">
        <v>0.20041035144615801</v>
      </c>
      <c r="SS74" s="39">
        <v>0.19085111408550501</v>
      </c>
      <c r="ST74" s="39">
        <v>0.175099535500995</v>
      </c>
      <c r="SU74" s="39">
        <v>0.15997618642626299</v>
      </c>
      <c r="SV74" s="39">
        <v>0.14536007733204401</v>
      </c>
      <c r="SW74" s="39">
        <v>0.13883579496090401</v>
      </c>
      <c r="SX74" s="39">
        <v>0.13374951229028501</v>
      </c>
      <c r="SY74" s="39">
        <v>0.12475340535462701</v>
      </c>
      <c r="SZ74" s="39">
        <v>0.12524361472971601</v>
      </c>
      <c r="TA74" s="39">
        <v>0.13600357023318099</v>
      </c>
      <c r="TB74" s="39">
        <v>0.11363093817140101</v>
      </c>
      <c r="TC74" s="39">
        <v>0.10553551826877799</v>
      </c>
      <c r="TD74" s="39">
        <v>0.10677025527191999</v>
      </c>
      <c r="TE74" s="39">
        <v>9.2076664690772594E-2</v>
      </c>
      <c r="TF74" s="39">
        <v>8.2029503799731798E-2</v>
      </c>
      <c r="TG74" s="39">
        <v>9.1182945197543705E-2</v>
      </c>
      <c r="TH74" s="39">
        <v>8.1176327621825306E-2</v>
      </c>
      <c r="TI74" s="39">
        <v>7.69230769230769E-2</v>
      </c>
      <c r="TJ74" s="39">
        <v>7.7726975832788994E-2</v>
      </c>
      <c r="TK74" s="39">
        <v>5.5963955418544001E-2</v>
      </c>
      <c r="TL74" s="39">
        <v>6.45337211416106E-2</v>
      </c>
      <c r="TM74" s="39">
        <v>6.5759637188208597E-2</v>
      </c>
      <c r="TN74" s="39">
        <v>6.2924462924462896E-2</v>
      </c>
      <c r="TO74" s="39">
        <v>7.1321218745730303E-2</v>
      </c>
      <c r="TP74" s="39">
        <v>6.5578817733990102E-2</v>
      </c>
      <c r="TQ74" s="39">
        <v>4.6793760831889103E-2</v>
      </c>
      <c r="TR74" s="39">
        <v>5.4338036625637902E-2</v>
      </c>
      <c r="TS74" s="39">
        <v>5.1972789115646303E-2</v>
      </c>
      <c r="TT74" s="39">
        <v>4.6479308214947501E-2</v>
      </c>
      <c r="TU74" s="39">
        <v>4.5090909090909098E-2</v>
      </c>
      <c r="TV74" s="39">
        <v>5.0099866844207697E-2</v>
      </c>
      <c r="TW74" s="39">
        <v>4.2779783393501802E-2</v>
      </c>
      <c r="TX74" s="39">
        <v>4.1273584905660403E-2</v>
      </c>
      <c r="TY74" s="39">
        <v>3.9803707742639E-2</v>
      </c>
      <c r="TZ74" s="39">
        <v>4.6710050614605897E-2</v>
      </c>
      <c r="UA74" s="39">
        <v>4.5399515738498798E-2</v>
      </c>
      <c r="UB74" s="39">
        <v>5.0925925925925902E-2</v>
      </c>
      <c r="UC74" s="39">
        <v>0</v>
      </c>
      <c r="UD74" s="39">
        <v>4.7106937291729802E-2</v>
      </c>
      <c r="UE74" s="39">
        <v>3.5635155096011797E-2</v>
      </c>
      <c r="UF74" s="39">
        <v>3.6724700761697503E-2</v>
      </c>
      <c r="UG74" s="39">
        <v>4.8993288590603999E-2</v>
      </c>
      <c r="UH74" s="45">
        <v>5.4915350689998602E-2</v>
      </c>
      <c r="UI74" s="45">
        <v>4.8102694315136099E-2</v>
      </c>
      <c r="UJ74" s="45">
        <v>4.3007563399080503E-2</v>
      </c>
      <c r="UK74" s="45">
        <v>3.68284228769497E-2</v>
      </c>
      <c r="UL74" s="45">
        <v>3.9702718560532001E-2</v>
      </c>
      <c r="UM74" s="45">
        <v>3.4143676591095302E-2</v>
      </c>
      <c r="UN74" s="45">
        <v>4.2229729729729701E-2</v>
      </c>
      <c r="UO74" s="45">
        <v>4.5104030263349297E-2</v>
      </c>
      <c r="UP74" s="45">
        <v>4.8198716894226001E-2</v>
      </c>
      <c r="UQ74" s="45">
        <v>1.9012703555290299E-2</v>
      </c>
      <c r="UR74" s="45">
        <v>3.4259857789269599E-2</v>
      </c>
      <c r="US74" s="45">
        <v>0</v>
      </c>
      <c r="UT74" s="45">
        <v>3.52372833191247E-2</v>
      </c>
      <c r="UU74" s="45">
        <v>5.0520059435364001E-2</v>
      </c>
      <c r="UV74" s="45">
        <v>4.0480000000000002E-2</v>
      </c>
      <c r="UW74" s="45">
        <v>4.2696629213483099E-2</v>
      </c>
      <c r="UX74" s="45">
        <v>5.4291881122364299E-2</v>
      </c>
      <c r="UY74" s="45">
        <v>4.80787431383684E-2</v>
      </c>
      <c r="UZ74" s="45">
        <v>4.2215714982918498E-2</v>
      </c>
      <c r="VA74" s="45">
        <v>3.9929536112742199E-2</v>
      </c>
      <c r="VB74" s="45">
        <v>5.4679439941046397E-2</v>
      </c>
      <c r="VC74" s="45">
        <v>0</v>
      </c>
      <c r="VD74" s="45">
        <v>6.3117738859025496E-2</v>
      </c>
      <c r="VE74" s="45">
        <v>1.81366096241041E-2</v>
      </c>
      <c r="VF74" s="45">
        <v>0</v>
      </c>
      <c r="VG74" s="45">
        <v>0</v>
      </c>
      <c r="VH74" s="45">
        <v>2.5081788440567101E-2</v>
      </c>
      <c r="VI74" s="45">
        <v>6.6750278706800406E-2</v>
      </c>
      <c r="VJ74" s="45">
        <v>7.4238306393935097E-2</v>
      </c>
      <c r="VK74" s="45">
        <v>7.94194390084801E-2</v>
      </c>
      <c r="VL74" s="45">
        <v>7.4182603331277006E-2</v>
      </c>
      <c r="VM74" s="45">
        <v>2.8831168831168801E-2</v>
      </c>
      <c r="VN74" s="45">
        <v>0</v>
      </c>
      <c r="VO74" s="45">
        <v>7.0803500397772501E-2</v>
      </c>
      <c r="VP74" s="45">
        <v>9.9001996007983997E-2</v>
      </c>
      <c r="VQ74" s="45">
        <v>0.111816858541749</v>
      </c>
      <c r="VR74" s="45">
        <v>0.122135271101174</v>
      </c>
      <c r="VS74" s="45">
        <v>6.0720568115186703E-2</v>
      </c>
      <c r="VT74" s="45">
        <v>5.4937200040845499E-2</v>
      </c>
      <c r="VU74" s="45">
        <v>0.140365984930032</v>
      </c>
      <c r="VV74" s="45">
        <v>0</v>
      </c>
      <c r="VW74" s="45">
        <v>0</v>
      </c>
      <c r="VX74" s="35">
        <v>0.18119085173501601</v>
      </c>
      <c r="VY74" s="35">
        <v>9.1972202252576102E-2</v>
      </c>
      <c r="VZ74" s="35">
        <v>0.21616374079767001</v>
      </c>
      <c r="WA74" s="35">
        <v>0</v>
      </c>
      <c r="WB74" s="35">
        <v>0.21097322011757</v>
      </c>
      <c r="WC74" s="35">
        <v>0.22351973684210499</v>
      </c>
      <c r="WD74" s="35">
        <v>0.21534153806081899</v>
      </c>
      <c r="WE74" s="35">
        <v>0.21482582563174599</v>
      </c>
      <c r="WF74" s="35">
        <v>0.21651263093037601</v>
      </c>
      <c r="WG74" s="35">
        <v>0.10926654740608201</v>
      </c>
      <c r="WH74" s="35">
        <v>0</v>
      </c>
      <c r="WI74" s="35">
        <v>0</v>
      </c>
      <c r="WJ74" s="35">
        <v>9.5706761717295294E-2</v>
      </c>
      <c r="WK74" s="35">
        <v>0.221932114882507</v>
      </c>
      <c r="WL74" s="35">
        <v>0.20667295449186501</v>
      </c>
      <c r="WM74" s="35">
        <v>0.2190297018414</v>
      </c>
      <c r="WN74" s="35">
        <v>5.1965180691110502E-2</v>
      </c>
      <c r="WO74" s="35">
        <v>0</v>
      </c>
      <c r="WP74" s="35">
        <v>0</v>
      </c>
      <c r="WQ74" s="35">
        <v>9.2644173710853303E-2</v>
      </c>
      <c r="WR74" s="35">
        <v>0</v>
      </c>
      <c r="WS74" s="35">
        <v>0</v>
      </c>
      <c r="WT74" s="35">
        <v>0</v>
      </c>
      <c r="WU74" s="35">
        <v>6.8557189794703294E-2</v>
      </c>
      <c r="WV74" s="45">
        <v>0</v>
      </c>
      <c r="WW74" s="45">
        <v>0</v>
      </c>
      <c r="WX74" s="45">
        <v>0.108340425531915</v>
      </c>
      <c r="WY74" s="45">
        <v>0</v>
      </c>
      <c r="WZ74" s="45">
        <v>0</v>
      </c>
      <c r="XA74" s="45">
        <v>5.0294592014746099E-2</v>
      </c>
      <c r="XB74" s="45">
        <v>0</v>
      </c>
      <c r="XC74" s="45">
        <v>0.204765921552088</v>
      </c>
      <c r="XD74" s="45">
        <v>0</v>
      </c>
      <c r="XE74" s="45">
        <v>0.20551439329527499</v>
      </c>
      <c r="XF74" s="45">
        <v>3.2997159090909098E-2</v>
      </c>
      <c r="XG74" s="45">
        <v>0</v>
      </c>
      <c r="XH74" s="45">
        <v>0</v>
      </c>
      <c r="XI74" s="45">
        <v>0</v>
      </c>
      <c r="XJ74" s="45">
        <v>0</v>
      </c>
      <c r="XK74" s="45">
        <v>0.18254698383493201</v>
      </c>
      <c r="XL74" s="45">
        <v>0.185477108837833</v>
      </c>
      <c r="XM74" s="45">
        <v>3.7954558059566303E-2</v>
      </c>
      <c r="XN74" s="45">
        <v>0</v>
      </c>
      <c r="XO74" s="45">
        <v>0</v>
      </c>
      <c r="XP74" s="45">
        <v>0</v>
      </c>
      <c r="XQ74" s="45">
        <v>0</v>
      </c>
      <c r="XR74" s="45">
        <v>2.6012415016257801E-2</v>
      </c>
      <c r="XS74" s="45">
        <v>0</v>
      </c>
      <c r="XT74" s="45">
        <v>0</v>
      </c>
      <c r="XU74" s="45">
        <v>0</v>
      </c>
      <c r="XV74" s="45">
        <v>0</v>
      </c>
      <c r="XW74" s="45">
        <v>0</v>
      </c>
      <c r="XX74" s="45">
        <v>0</v>
      </c>
      <c r="XY74">
        <v>0.189075630252101</v>
      </c>
      <c r="XZ74">
        <v>0</v>
      </c>
      <c r="YA74">
        <v>0.129315389116442</v>
      </c>
      <c r="YB74">
        <v>0.1825809029165</v>
      </c>
      <c r="YC74">
        <v>4.7053031368687603E-2</v>
      </c>
      <c r="YD74">
        <v>0.16910153396639899</v>
      </c>
      <c r="YE74">
        <v>0</v>
      </c>
      <c r="YF74" s="1">
        <v>0</v>
      </c>
      <c r="YG74" s="1">
        <v>0</v>
      </c>
      <c r="YH74" s="1">
        <v>0</v>
      </c>
      <c r="YI74" s="1">
        <v>0</v>
      </c>
      <c r="YJ74">
        <v>0</v>
      </c>
      <c r="YK74">
        <v>0</v>
      </c>
      <c r="YL74">
        <v>0</v>
      </c>
      <c r="YM74">
        <v>0</v>
      </c>
      <c r="YN74">
        <v>0</v>
      </c>
      <c r="YO74">
        <v>0</v>
      </c>
      <c r="YP74">
        <v>0</v>
      </c>
      <c r="YQ74">
        <v>0</v>
      </c>
      <c r="YR74">
        <v>0</v>
      </c>
      <c r="YS74">
        <v>0</v>
      </c>
      <c r="YT74">
        <v>0</v>
      </c>
      <c r="YU74">
        <v>0</v>
      </c>
      <c r="YV74">
        <v>0</v>
      </c>
      <c r="YW74">
        <v>0</v>
      </c>
      <c r="YX74">
        <v>0</v>
      </c>
      <c r="YY74">
        <v>0</v>
      </c>
      <c r="YZ74">
        <v>0</v>
      </c>
      <c r="ZA74">
        <v>0</v>
      </c>
      <c r="ZB74">
        <v>0</v>
      </c>
      <c r="ZC74">
        <v>0</v>
      </c>
      <c r="ZD74">
        <v>0</v>
      </c>
      <c r="ZE74">
        <v>0</v>
      </c>
      <c r="ZF74">
        <v>0</v>
      </c>
      <c r="ZG74">
        <v>0</v>
      </c>
      <c r="ZH74">
        <v>0</v>
      </c>
      <c r="ZI74">
        <v>0</v>
      </c>
      <c r="ZJ74">
        <v>0</v>
      </c>
      <c r="ZK74">
        <v>0</v>
      </c>
      <c r="ZL74">
        <v>0</v>
      </c>
      <c r="ZM74">
        <v>0</v>
      </c>
      <c r="ZN74">
        <v>0</v>
      </c>
      <c r="ZO74">
        <v>0</v>
      </c>
      <c r="ZP74">
        <v>0</v>
      </c>
      <c r="ZQ74">
        <v>0</v>
      </c>
      <c r="ZR74">
        <v>0</v>
      </c>
      <c r="ZS74">
        <v>0</v>
      </c>
      <c r="ZT74">
        <v>0</v>
      </c>
      <c r="ZU74">
        <v>0</v>
      </c>
      <c r="ZV74">
        <v>0</v>
      </c>
      <c r="ZW74">
        <v>0</v>
      </c>
      <c r="ZX74">
        <v>0</v>
      </c>
      <c r="ZY74">
        <v>0</v>
      </c>
      <c r="ZZ74">
        <v>0</v>
      </c>
      <c r="AAA74">
        <v>0</v>
      </c>
      <c r="AAB74">
        <v>0</v>
      </c>
      <c r="AAC74">
        <v>0</v>
      </c>
      <c r="AAD74">
        <v>0</v>
      </c>
      <c r="AAE74">
        <v>0</v>
      </c>
      <c r="AAF74">
        <v>0</v>
      </c>
      <c r="AAG74">
        <v>0</v>
      </c>
      <c r="AAH74">
        <v>0</v>
      </c>
      <c r="AAI74">
        <v>0</v>
      </c>
      <c r="AAJ74">
        <v>0</v>
      </c>
      <c r="AAK74">
        <v>0</v>
      </c>
      <c r="AAL74">
        <v>0</v>
      </c>
      <c r="AAM74">
        <v>0</v>
      </c>
      <c r="AAN74">
        <v>0</v>
      </c>
      <c r="AAO74">
        <v>0</v>
      </c>
      <c r="AAP74">
        <v>0</v>
      </c>
      <c r="AAQ74">
        <v>0</v>
      </c>
      <c r="AAR74">
        <v>0</v>
      </c>
      <c r="AAS74">
        <v>0</v>
      </c>
      <c r="AAT74">
        <v>0</v>
      </c>
      <c r="AAU74">
        <v>0</v>
      </c>
      <c r="AAV74">
        <v>0</v>
      </c>
      <c r="AAW74">
        <v>0</v>
      </c>
      <c r="AAX74">
        <v>0</v>
      </c>
      <c r="AAY74">
        <v>0</v>
      </c>
      <c r="AAZ74">
        <v>0</v>
      </c>
      <c r="ABA74">
        <v>0</v>
      </c>
      <c r="ABB74">
        <v>0</v>
      </c>
      <c r="ABC74">
        <v>0</v>
      </c>
      <c r="ABD74">
        <v>0</v>
      </c>
      <c r="ABE74">
        <v>0</v>
      </c>
      <c r="ABF74">
        <v>0</v>
      </c>
      <c r="ABG74">
        <v>0</v>
      </c>
      <c r="ABH74">
        <v>0</v>
      </c>
      <c r="ABI74">
        <v>0</v>
      </c>
      <c r="ABJ74">
        <v>0</v>
      </c>
      <c r="ABK74">
        <v>0</v>
      </c>
      <c r="ABL74">
        <v>0</v>
      </c>
      <c r="ABM74">
        <v>0</v>
      </c>
      <c r="ABN74">
        <v>0</v>
      </c>
      <c r="ABO74">
        <v>0</v>
      </c>
      <c r="ABP74">
        <v>0</v>
      </c>
      <c r="ABQ74">
        <v>0</v>
      </c>
      <c r="ABR74">
        <v>0</v>
      </c>
      <c r="ABS74">
        <v>3.3990080538745103E-2</v>
      </c>
      <c r="ABT74">
        <v>0</v>
      </c>
      <c r="ABU74">
        <v>0</v>
      </c>
      <c r="ABV74">
        <v>0</v>
      </c>
      <c r="ABW74">
        <v>0</v>
      </c>
      <c r="ABX74">
        <v>0</v>
      </c>
      <c r="ABY74">
        <v>0</v>
      </c>
      <c r="ABZ74">
        <v>0</v>
      </c>
      <c r="ACA74">
        <v>0</v>
      </c>
      <c r="ACB74">
        <v>0</v>
      </c>
      <c r="ACC74">
        <v>0</v>
      </c>
      <c r="ACD74">
        <v>0</v>
      </c>
      <c r="ACE74">
        <v>0</v>
      </c>
      <c r="ACF74">
        <v>0</v>
      </c>
      <c r="ACG74">
        <v>0</v>
      </c>
      <c r="ACH74">
        <v>3.3843712071702003E-2</v>
      </c>
      <c r="ACI74">
        <v>0</v>
      </c>
      <c r="ACJ74">
        <v>0</v>
      </c>
      <c r="ACK74">
        <v>0</v>
      </c>
      <c r="ACL74">
        <v>0</v>
      </c>
      <c r="ACM74">
        <v>0</v>
      </c>
      <c r="ACN74">
        <v>3.1578947368421102E-2</v>
      </c>
      <c r="ACO74">
        <v>0</v>
      </c>
      <c r="ACP74">
        <v>0</v>
      </c>
      <c r="ACQ74">
        <v>0</v>
      </c>
      <c r="ACR74">
        <v>0</v>
      </c>
      <c r="ACS74">
        <v>0</v>
      </c>
      <c r="ACT74">
        <v>0</v>
      </c>
      <c r="ACU74">
        <v>0</v>
      </c>
      <c r="ACV74">
        <v>0</v>
      </c>
      <c r="ACW74">
        <v>0</v>
      </c>
      <c r="ACX74">
        <v>0</v>
      </c>
      <c r="ACY74">
        <v>0</v>
      </c>
      <c r="ACZ74">
        <v>0</v>
      </c>
      <c r="ADA74">
        <v>0</v>
      </c>
      <c r="ADB74">
        <v>5.8765778401122001E-2</v>
      </c>
      <c r="ADC74">
        <v>0</v>
      </c>
      <c r="ADD74">
        <v>0</v>
      </c>
      <c r="ADE74">
        <v>0</v>
      </c>
      <c r="ADF74">
        <v>0</v>
      </c>
      <c r="ADG74">
        <v>0</v>
      </c>
      <c r="ADH74">
        <v>0</v>
      </c>
      <c r="ADI74">
        <v>0</v>
      </c>
      <c r="ADJ74">
        <v>0</v>
      </c>
      <c r="ADK74">
        <v>0</v>
      </c>
      <c r="ADL74">
        <v>0</v>
      </c>
      <c r="ADM74">
        <v>0</v>
      </c>
      <c r="ADN74">
        <v>0</v>
      </c>
      <c r="ADO74">
        <v>0</v>
      </c>
      <c r="ADP74">
        <v>0</v>
      </c>
      <c r="ADQ74">
        <v>0</v>
      </c>
      <c r="ADR74">
        <v>0</v>
      </c>
      <c r="ADS74">
        <v>0</v>
      </c>
      <c r="ADT74">
        <v>0</v>
      </c>
      <c r="ADU74">
        <v>0</v>
      </c>
      <c r="ADV74">
        <v>0</v>
      </c>
      <c r="ADW74">
        <v>0.18783933679724399</v>
      </c>
      <c r="ADX74">
        <v>0</v>
      </c>
      <c r="ADY74">
        <v>0</v>
      </c>
      <c r="ADZ74">
        <v>0</v>
      </c>
      <c r="AEA74">
        <v>0</v>
      </c>
      <c r="AEB74">
        <v>0</v>
      </c>
      <c r="AEC74">
        <v>0</v>
      </c>
      <c r="AED74">
        <v>0</v>
      </c>
      <c r="AEE74">
        <v>0</v>
      </c>
      <c r="AEF74">
        <v>0</v>
      </c>
      <c r="AEG74">
        <v>0</v>
      </c>
      <c r="AEH74">
        <v>0</v>
      </c>
      <c r="AEI74">
        <v>0</v>
      </c>
      <c r="AEJ74">
        <v>0</v>
      </c>
      <c r="AEK74">
        <v>0</v>
      </c>
      <c r="AEL74">
        <v>0</v>
      </c>
      <c r="AEM74">
        <v>0</v>
      </c>
      <c r="AEN74">
        <v>0</v>
      </c>
      <c r="AEO74">
        <v>0</v>
      </c>
      <c r="AEP74">
        <v>0</v>
      </c>
      <c r="AEQ74">
        <v>0</v>
      </c>
      <c r="AER74">
        <v>0</v>
      </c>
      <c r="AES74">
        <v>0</v>
      </c>
      <c r="AET74">
        <v>0</v>
      </c>
      <c r="AEU74">
        <v>0</v>
      </c>
      <c r="AEV74">
        <v>0</v>
      </c>
      <c r="AEW74">
        <v>0</v>
      </c>
      <c r="AEX74">
        <v>0</v>
      </c>
      <c r="AEY74">
        <v>0</v>
      </c>
      <c r="AEZ74">
        <v>0</v>
      </c>
      <c r="AFA74">
        <v>0</v>
      </c>
      <c r="AFB74">
        <v>0</v>
      </c>
      <c r="AFC74">
        <v>0</v>
      </c>
      <c r="AFD74">
        <v>0</v>
      </c>
      <c r="AFE74">
        <v>0</v>
      </c>
      <c r="AFF74">
        <v>0</v>
      </c>
      <c r="AFG74">
        <v>0</v>
      </c>
      <c r="AFH74">
        <v>0</v>
      </c>
      <c r="AFI74">
        <v>0</v>
      </c>
      <c r="AFJ74">
        <v>0</v>
      </c>
      <c r="AFK74">
        <v>0</v>
      </c>
      <c r="AFL74">
        <v>0</v>
      </c>
      <c r="AFM74">
        <v>0</v>
      </c>
      <c r="AFN74">
        <v>0</v>
      </c>
      <c r="AFO74">
        <v>0</v>
      </c>
      <c r="AFP74">
        <v>0</v>
      </c>
      <c r="AFQ74">
        <v>0</v>
      </c>
      <c r="AFR74">
        <v>0</v>
      </c>
      <c r="AFS74">
        <v>0</v>
      </c>
      <c r="AFT74">
        <v>0</v>
      </c>
      <c r="AFU74">
        <v>0</v>
      </c>
      <c r="AFV74">
        <v>0</v>
      </c>
      <c r="AFW74">
        <v>0</v>
      </c>
      <c r="AFX74">
        <v>0</v>
      </c>
      <c r="AFY74">
        <v>0</v>
      </c>
      <c r="AFZ74">
        <v>0</v>
      </c>
      <c r="AGA74">
        <v>0</v>
      </c>
      <c r="AGB74">
        <v>0</v>
      </c>
      <c r="AGC74">
        <v>0</v>
      </c>
      <c r="AGD74">
        <v>0</v>
      </c>
      <c r="AGE74">
        <v>0</v>
      </c>
      <c r="AGF74">
        <v>0</v>
      </c>
      <c r="AGG74">
        <v>0</v>
      </c>
      <c r="AGH74">
        <v>0</v>
      </c>
      <c r="AGI74">
        <v>0</v>
      </c>
      <c r="AGJ74">
        <v>0</v>
      </c>
      <c r="AGK74">
        <v>0</v>
      </c>
      <c r="AGL74">
        <v>0</v>
      </c>
      <c r="AGM74">
        <v>0</v>
      </c>
      <c r="AGN74">
        <v>0</v>
      </c>
      <c r="AGO74">
        <v>0</v>
      </c>
      <c r="AGP74">
        <v>0</v>
      </c>
      <c r="AGQ74">
        <v>0</v>
      </c>
      <c r="AGR74">
        <v>0</v>
      </c>
      <c r="AGS74">
        <v>0</v>
      </c>
      <c r="AGT74">
        <v>0</v>
      </c>
      <c r="AGU74">
        <v>0</v>
      </c>
      <c r="AGV74">
        <v>0</v>
      </c>
      <c r="AGW74">
        <v>0</v>
      </c>
      <c r="AGX74">
        <v>0</v>
      </c>
      <c r="AGY74">
        <v>0</v>
      </c>
      <c r="AGZ74">
        <v>0</v>
      </c>
      <c r="AHA74">
        <v>0</v>
      </c>
      <c r="AHB74">
        <v>0</v>
      </c>
      <c r="AHC74">
        <v>6.4279155188246102E-3</v>
      </c>
      <c r="AHD74">
        <v>0</v>
      </c>
      <c r="AHE74">
        <v>0</v>
      </c>
      <c r="AHF74">
        <v>0</v>
      </c>
      <c r="AHG74">
        <v>0</v>
      </c>
      <c r="AHH74">
        <v>0</v>
      </c>
      <c r="AHI74">
        <v>0</v>
      </c>
      <c r="AHJ74">
        <v>0</v>
      </c>
      <c r="AHK74">
        <v>2.8491446345256601E-2</v>
      </c>
      <c r="AHL74">
        <v>0</v>
      </c>
      <c r="AHM74">
        <v>0</v>
      </c>
      <c r="AHN74">
        <v>0</v>
      </c>
      <c r="AHO74">
        <v>0</v>
      </c>
      <c r="AHP74">
        <v>0</v>
      </c>
      <c r="AHQ74">
        <v>0</v>
      </c>
    </row>
    <row r="75" spans="1:901">
      <c r="A75" s="1" t="s">
        <v>45</v>
      </c>
      <c r="C75" s="39">
        <f t="shared" si="157"/>
        <v>0.25305324865657058</v>
      </c>
      <c r="D75" s="39">
        <f t="shared" si="157"/>
        <v>0.24168421052631578</v>
      </c>
      <c r="E75" s="39">
        <f t="shared" si="157"/>
        <v>0.23807415605976756</v>
      </c>
      <c r="F75" s="39">
        <f t="shared" si="157"/>
        <v>0.23331398723157284</v>
      </c>
      <c r="G75" s="39">
        <f t="shared" si="222"/>
        <v>0.23701202535394822</v>
      </c>
      <c r="H75" s="39">
        <f t="shared" si="222"/>
        <v>0.25744110593877839</v>
      </c>
      <c r="I75" s="39">
        <f t="shared" si="222"/>
        <v>0.23020478454569279</v>
      </c>
      <c r="J75" s="39">
        <f t="shared" si="222"/>
        <v>0.23037132828376131</v>
      </c>
      <c r="K75" s="39">
        <f t="shared" si="222"/>
        <v>0.22006850381441695</v>
      </c>
      <c r="L75" s="39">
        <f t="shared" si="222"/>
        <v>0.11270805119916125</v>
      </c>
      <c r="M75" s="39">
        <f t="shared" si="222"/>
        <v>0.22391389946187162</v>
      </c>
      <c r="N75" s="39">
        <f t="shared" si="222"/>
        <v>0.23559361258967831</v>
      </c>
      <c r="O75" s="39">
        <f t="shared" si="222"/>
        <v>0.21817533856022808</v>
      </c>
      <c r="P75" s="39">
        <f t="shared" si="222"/>
        <v>0.21988333756023332</v>
      </c>
      <c r="Q75" s="39">
        <f t="shared" si="222"/>
        <v>0.22621520565018696</v>
      </c>
      <c r="R75" s="39">
        <f t="shared" si="222"/>
        <v>0.19767710620594015</v>
      </c>
      <c r="S75" s="39">
        <f t="shared" si="222"/>
        <v>0.25625754527162981</v>
      </c>
      <c r="T75" s="39">
        <f t="shared" si="222"/>
        <v>0.20227699789985631</v>
      </c>
      <c r="U75" s="39">
        <f t="shared" si="222"/>
        <v>0.21446347533304055</v>
      </c>
      <c r="V75" s="39">
        <f t="shared" ref="V75:AY75" si="742">IFERROR(V12/V54,0)</f>
        <v>0.20921687208145143</v>
      </c>
      <c r="W75" s="39">
        <f t="shared" si="742"/>
        <v>0.19302949061662197</v>
      </c>
      <c r="X75" s="39">
        <f t="shared" si="742"/>
        <v>0.19568268119531121</v>
      </c>
      <c r="Y75" s="39">
        <f t="shared" si="742"/>
        <v>0.11836292767431789</v>
      </c>
      <c r="Z75" s="39">
        <f t="shared" si="742"/>
        <v>0.12306942570100465</v>
      </c>
      <c r="AA75" s="39">
        <f t="shared" si="742"/>
        <v>0.11835097639555527</v>
      </c>
      <c r="AB75" s="39">
        <f t="shared" si="742"/>
        <v>0.14459633737425845</v>
      </c>
      <c r="AC75" s="39">
        <f t="shared" si="742"/>
        <v>0.12792196631144723</v>
      </c>
      <c r="AD75" s="39">
        <f t="shared" si="742"/>
        <v>0.12054806362378977</v>
      </c>
      <c r="AE75" s="39">
        <f t="shared" si="742"/>
        <v>0.11335055256806538</v>
      </c>
      <c r="AF75" s="39">
        <f t="shared" si="742"/>
        <v>0.12838696454191434</v>
      </c>
      <c r="AG75" s="39">
        <f t="shared" si="742"/>
        <v>0.13034776082061547</v>
      </c>
      <c r="AH75" s="39">
        <f t="shared" si="742"/>
        <v>0.11520544360115154</v>
      </c>
      <c r="AI75" s="39">
        <f t="shared" si="742"/>
        <v>0.15190703776590761</v>
      </c>
      <c r="AJ75" s="39">
        <f t="shared" si="742"/>
        <v>0.12057695659752483</v>
      </c>
      <c r="AK75" s="39">
        <f t="shared" si="742"/>
        <v>0.12930699061865031</v>
      </c>
      <c r="AL75" s="39">
        <f t="shared" si="742"/>
        <v>0.12149392530373482</v>
      </c>
      <c r="AM75" s="39">
        <f t="shared" si="742"/>
        <v>0.12685283760543772</v>
      </c>
      <c r="AN75" s="39">
        <f t="shared" si="742"/>
        <v>0.11148754067668168</v>
      </c>
      <c r="AO75" s="39">
        <f t="shared" si="742"/>
        <v>0.1100586110946658</v>
      </c>
      <c r="AP75" s="39">
        <f t="shared" si="742"/>
        <v>9.3997458207058363E-2</v>
      </c>
      <c r="AQ75" s="39">
        <f t="shared" si="742"/>
        <v>0.10933705136277773</v>
      </c>
      <c r="AR75" s="39">
        <f t="shared" si="742"/>
        <v>0.11345646437994723</v>
      </c>
      <c r="AS75" s="39">
        <f t="shared" si="742"/>
        <v>0.15778876075416437</v>
      </c>
      <c r="AT75" s="39">
        <f t="shared" si="742"/>
        <v>8.3826501154734417E-2</v>
      </c>
      <c r="AU75" s="39">
        <f t="shared" si="742"/>
        <v>0.12066546402084587</v>
      </c>
      <c r="AV75" s="39">
        <f t="shared" si="742"/>
        <v>0.11975082447783071</v>
      </c>
      <c r="AW75" s="39">
        <f t="shared" si="742"/>
        <v>0.13732230249359123</v>
      </c>
      <c r="AX75" s="39">
        <f t="shared" si="742"/>
        <v>0.12511926446352675</v>
      </c>
      <c r="AY75" s="39">
        <f t="shared" si="742"/>
        <v>0.14694838031342311</v>
      </c>
      <c r="AZ75" s="39">
        <f t="shared" si="91"/>
        <v>0.1165158371040724</v>
      </c>
      <c r="BA75" s="39">
        <f t="shared" ref="BA75:BF75" si="743">IFERROR(BA12/BA54,0)</f>
        <v>0.12429350520575111</v>
      </c>
      <c r="BB75" s="39">
        <f t="shared" si="743"/>
        <v>0.12326877155744229</v>
      </c>
      <c r="BC75" s="39">
        <f t="shared" si="743"/>
        <v>0.11313246162592382</v>
      </c>
      <c r="BD75" s="39">
        <f t="shared" si="743"/>
        <v>0.12149055640632976</v>
      </c>
      <c r="BE75" s="39">
        <f t="shared" si="743"/>
        <v>0.12445625906234896</v>
      </c>
      <c r="BF75" s="39">
        <f t="shared" si="743"/>
        <v>0.11448658079745472</v>
      </c>
      <c r="BG75" s="39">
        <f t="shared" ref="BG75" si="744">IFERROR(BG12/BG54,0)</f>
        <v>0.11559835201686308</v>
      </c>
      <c r="BH75" s="39">
        <f t="shared" si="93"/>
        <v>9.5955286287225869E-2</v>
      </c>
      <c r="BI75" s="39">
        <f t="shared" ref="BI75:BK75" si="745">IFERROR(BI12/BI54,0)</f>
        <v>0.11991142905808209</v>
      </c>
      <c r="BJ75" s="39">
        <f t="shared" si="745"/>
        <v>9.4961093903452448E-2</v>
      </c>
      <c r="BK75" s="39">
        <f t="shared" si="745"/>
        <v>0.10855799986944317</v>
      </c>
      <c r="BL75" s="39">
        <f t="shared" ref="BL75:BM75" si="746">IFERROR(BL12/BL54,0)</f>
        <v>9.4715618699301354E-2</v>
      </c>
      <c r="BM75" s="39">
        <f t="shared" si="746"/>
        <v>8.840325554206574E-2</v>
      </c>
      <c r="BN75" s="39">
        <f t="shared" ref="BN75:BO75" si="747">IFERROR(BN12/BN54,0)</f>
        <v>9.8074663292054595E-2</v>
      </c>
      <c r="BO75" s="39">
        <f t="shared" si="747"/>
        <v>0.10318240620957309</v>
      </c>
      <c r="BP75" s="39">
        <f t="shared" ref="BP75:BQ75" si="748">IFERROR(BP12/BP54,0)</f>
        <v>8.4194351719387481E-2</v>
      </c>
      <c r="BQ75" s="39">
        <f t="shared" si="748"/>
        <v>8.7578988941548183E-2</v>
      </c>
      <c r="BR75" s="39">
        <f t="shared" ref="BR75:BS75" si="749">IFERROR(BR12/BR54,0)</f>
        <v>0.11526212640862323</v>
      </c>
      <c r="BS75" s="39">
        <f t="shared" si="749"/>
        <v>9.4902513507164665E-2</v>
      </c>
      <c r="BT75" s="39">
        <f t="shared" ref="BT75:BU75" si="750">IFERROR(BT12/BT54,0)</f>
        <v>0.10990802188846199</v>
      </c>
      <c r="BU75" s="39">
        <f t="shared" si="750"/>
        <v>0.10060044779157337</v>
      </c>
      <c r="BV75" s="39">
        <f t="shared" ref="BV75:BW75" si="751">IFERROR(BV12/BV54,0)</f>
        <v>0.10045213288775309</v>
      </c>
      <c r="BW75" s="39">
        <f t="shared" si="751"/>
        <v>0.11246943765281174</v>
      </c>
      <c r="BX75" s="39">
        <f t="shared" ref="BX75:BY75" si="752">IFERROR(BX12/BX54,0)</f>
        <v>0.10219602623823558</v>
      </c>
      <c r="BY75" s="39">
        <f t="shared" si="752"/>
        <v>0.10095167008770294</v>
      </c>
      <c r="BZ75" s="39">
        <f t="shared" ref="BZ75:CA75" si="753">IFERROR(BZ12/BZ54,0)</f>
        <v>0.10478838080108931</v>
      </c>
      <c r="CA75" s="39">
        <f t="shared" si="753"/>
        <v>0.11177732895733401</v>
      </c>
      <c r="CB75" s="39">
        <f t="shared" ref="CB75:CC75" si="754">IFERROR(CB12/CB54,0)</f>
        <v>0.11746864975211432</v>
      </c>
      <c r="CC75" s="39">
        <f t="shared" si="754"/>
        <v>9.8656160613092986E-2</v>
      </c>
      <c r="CD75" s="39">
        <f t="shared" ref="CD75:CE75" si="755">IFERROR(CD12/CD54,0)</f>
        <v>9.7553199968119869E-2</v>
      </c>
      <c r="CE75" s="39">
        <f t="shared" si="755"/>
        <v>0.10147492625368731</v>
      </c>
      <c r="CF75" s="39">
        <f t="shared" ref="CF75:CG75" si="756">IFERROR(CF12/CF54,0)</f>
        <v>9.3085106382978719E-2</v>
      </c>
      <c r="CG75" s="39">
        <f t="shared" si="756"/>
        <v>7.8522727272727272E-2</v>
      </c>
      <c r="CH75" s="39">
        <f t="shared" ref="CH75:CI75" si="757">IFERROR(CH12/CH54,0)</f>
        <v>0.14068976304058808</v>
      </c>
      <c r="CI75" s="39">
        <f t="shared" si="757"/>
        <v>0.11896876420546788</v>
      </c>
      <c r="CJ75" s="39">
        <f t="shared" ref="CJ75:CK75" si="758">IFERROR(CJ12/CJ54,0)</f>
        <v>0.1285862849452499</v>
      </c>
      <c r="CK75" s="39">
        <f t="shared" si="758"/>
        <v>0.12340779619791334</v>
      </c>
      <c r="CL75" s="39">
        <f t="shared" ref="CL75:CM75" si="759">IFERROR(CL12/CL54,0)</f>
        <v>0.13168677441384019</v>
      </c>
      <c r="CM75" s="39">
        <f t="shared" si="759"/>
        <v>0.13980635236630168</v>
      </c>
      <c r="CN75" s="39">
        <f t="shared" ref="CN75:CO75" si="760">IFERROR(CN12/CN54,0)</f>
        <v>0.10549372484016102</v>
      </c>
      <c r="CO75" s="39">
        <f t="shared" si="760"/>
        <v>0.12046995557633855</v>
      </c>
      <c r="CP75" s="39">
        <f t="shared" ref="CP75:CQ75" si="761">IFERROR(CP12/CP54,0)</f>
        <v>8.1500599803700613E-2</v>
      </c>
      <c r="CQ75" s="39">
        <f t="shared" si="761"/>
        <v>0.13684345211438809</v>
      </c>
      <c r="CR75" s="39">
        <f t="shared" ref="CR75:CS75" si="762">IFERROR(CR12/CR54,0)</f>
        <v>0.12026163222833358</v>
      </c>
      <c r="CS75" s="39">
        <f t="shared" si="762"/>
        <v>0.11430616871495049</v>
      </c>
      <c r="CT75" s="39">
        <f t="shared" ref="CT75:CU75" si="763">IFERROR(CT12/CT54,0)</f>
        <v>0.11497875839386049</v>
      </c>
      <c r="CU75" s="39">
        <f t="shared" si="763"/>
        <v>0.11489245848080588</v>
      </c>
      <c r="CV75" s="39">
        <f t="shared" ref="CV75:CW75" si="764">IFERROR(CV12/CV54,0)</f>
        <v>0.10146381773108251</v>
      </c>
      <c r="CW75" s="39">
        <f t="shared" si="764"/>
        <v>0.1136710516752671</v>
      </c>
      <c r="CX75" s="39">
        <f t="shared" ref="CX75:CY75" si="765">IFERROR(CX12/CX54,0)</f>
        <v>0.12524334847501623</v>
      </c>
      <c r="CY75" s="39">
        <f t="shared" si="765"/>
        <v>0.12769406828151822</v>
      </c>
      <c r="CZ75" s="39">
        <f t="shared" ref="CZ75:DA75" si="766">IFERROR(CZ12/CZ54,0)</f>
        <v>0.12537582681900181</v>
      </c>
      <c r="DA75" s="39">
        <f t="shared" si="766"/>
        <v>0.12752971410215228</v>
      </c>
      <c r="DB75" s="39">
        <f t="shared" ref="DB75:DC75" si="767">IFERROR(DB12/DB54,0)</f>
        <v>0.12549623748296498</v>
      </c>
      <c r="DC75" s="39">
        <f t="shared" si="767"/>
        <v>0.12853431147791533</v>
      </c>
      <c r="DD75" s="39">
        <f t="shared" ref="DD75:DE75" si="768">IFERROR(DD12/DD54,0)</f>
        <v>0.13550634159164093</v>
      </c>
      <c r="DE75" s="39">
        <f t="shared" si="768"/>
        <v>0.15968772178850249</v>
      </c>
      <c r="DF75" s="39">
        <f t="shared" ref="DF75:DG75" si="769">IFERROR(DF12/DF54,0)</f>
        <v>0.1125562372188139</v>
      </c>
      <c r="DG75" s="39">
        <f t="shared" si="769"/>
        <v>0.12969031623791577</v>
      </c>
      <c r="DH75" s="39">
        <f t="shared" ref="DH75:DI75" si="770">IFERROR(DH12/DH54,0)</f>
        <v>6.920914137408983E-2</v>
      </c>
      <c r="DI75" s="39">
        <f t="shared" si="770"/>
        <v>0.12099644128113879</v>
      </c>
      <c r="DJ75" s="39">
        <f t="shared" ref="DJ75:DK75" si="771">IFERROR(DJ12/DJ54,0)</f>
        <v>0.14795884935456391</v>
      </c>
      <c r="DK75" s="39">
        <f t="shared" si="771"/>
        <v>0.19133126934984521</v>
      </c>
      <c r="DL75" s="39">
        <f t="shared" ref="DL75:DM75" si="772">IFERROR(DL12/DL54,0)</f>
        <v>0.14234947710427454</v>
      </c>
      <c r="DM75" s="39">
        <f t="shared" si="772"/>
        <v>0.1735059048073482</v>
      </c>
      <c r="DN75" s="39">
        <f t="shared" ref="DN75:DO75" si="773">IFERROR(DN12/DN54,0)</f>
        <v>0.16460217341743294</v>
      </c>
      <c r="DO75" s="39">
        <f t="shared" si="773"/>
        <v>0.17844533911427687</v>
      </c>
      <c r="DP75" s="39">
        <f t="shared" ref="DP75:DQ75" si="774">IFERROR(DP12/DP54,0)</f>
        <v>9.6424732703513039E-2</v>
      </c>
      <c r="DQ75" s="39">
        <f t="shared" si="774"/>
        <v>0.14306061987237922</v>
      </c>
      <c r="DR75" s="39">
        <f t="shared" ref="DR75:DS75" si="775">IFERROR(DR12/DR54,0)</f>
        <v>0.15326157113410649</v>
      </c>
      <c r="DS75" s="39">
        <f t="shared" si="775"/>
        <v>0.15880893300248139</v>
      </c>
      <c r="DT75" s="39">
        <f t="shared" ref="DT75:DU75" si="776">IFERROR(DT12/DT54,0)</f>
        <v>0.13682485662065924</v>
      </c>
      <c r="DU75" s="39">
        <f t="shared" si="776"/>
        <v>0.15093827543424318</v>
      </c>
      <c r="DV75" s="39">
        <f t="shared" si="125"/>
        <v>0.16842265994808367</v>
      </c>
      <c r="DW75" s="39">
        <f t="shared" si="125"/>
        <v>0.17698914276454383</v>
      </c>
      <c r="DX75" s="39">
        <f t="shared" ref="DX75:DY75" si="777">IFERROR(DX12/DX54,0)</f>
        <v>0.13988232960930785</v>
      </c>
      <c r="DY75" s="39">
        <f t="shared" si="777"/>
        <v>0.13333847260766779</v>
      </c>
      <c r="DZ75" s="39">
        <f t="shared" ref="DZ75:EA75" si="778">IFERROR(DZ12/DZ54,0)</f>
        <v>0.17880754162585699</v>
      </c>
      <c r="EA75" s="39">
        <f t="shared" si="778"/>
        <v>0.15501863278147718</v>
      </c>
      <c r="EB75" s="39">
        <f t="shared" ref="EB75:EC75" si="779">IFERROR(EB12/EB54,0)</f>
        <v>0</v>
      </c>
      <c r="EC75" s="39">
        <f t="shared" si="779"/>
        <v>9.1101043439043891E-2</v>
      </c>
      <c r="ED75" s="39">
        <f t="shared" ref="ED75:EE75" si="780">IFERROR(ED12/ED54,0)</f>
        <v>0.19637647333411132</v>
      </c>
      <c r="EE75" s="39">
        <f t="shared" si="780"/>
        <v>0.15613900879733347</v>
      </c>
      <c r="EF75" s="39">
        <f t="shared" ref="EF75:EG75" si="781">IFERROR(EF12/EF54,0)</f>
        <v>0.16598289223178614</v>
      </c>
      <c r="EG75" s="39">
        <f t="shared" si="781"/>
        <v>0.14354576312036796</v>
      </c>
      <c r="EH75" s="39">
        <f t="shared" ref="EH75:EI75" si="782">IFERROR(EH12/EH54,0)</f>
        <v>0.15576389096229062</v>
      </c>
      <c r="EI75" s="39">
        <f t="shared" si="782"/>
        <v>0.21768939025576195</v>
      </c>
      <c r="EJ75" s="39">
        <f t="shared" ref="EJ75:EK75" si="783">IFERROR(EJ12/EJ54,0)</f>
        <v>0.17283405674489322</v>
      </c>
      <c r="EK75" s="39">
        <f t="shared" si="783"/>
        <v>0.18823141947524427</v>
      </c>
      <c r="EL75" s="39">
        <f t="shared" ref="EL75:EM75" si="784">IFERROR(EL12/EL54,0)</f>
        <v>0.13282038095614851</v>
      </c>
      <c r="EM75" s="39">
        <f t="shared" si="784"/>
        <v>0.18735642960948853</v>
      </c>
      <c r="EN75" s="39">
        <f t="shared" ref="EN75:EO75" si="785">IFERROR(EN12/EN54,0)</f>
        <v>0.15670524740159805</v>
      </c>
      <c r="EO75" s="39">
        <f t="shared" si="785"/>
        <v>0.23168324207546467</v>
      </c>
      <c r="EP75" s="39">
        <f t="shared" ref="EP75" si="786">IFERROR(EP12/EP54,0)</f>
        <v>0.16113288208051299</v>
      </c>
      <c r="EQ75" s="39">
        <f t="shared" ref="EQ75:ER75" si="787">IFERROR(EQ12/EQ54,0)</f>
        <v>0.17860701314563043</v>
      </c>
      <c r="ER75" s="39">
        <f t="shared" si="787"/>
        <v>0.16585678695641448</v>
      </c>
      <c r="ES75" s="39">
        <f t="shared" ref="ES75:ET75" si="788">IFERROR(ES12/ES54,0)</f>
        <v>0.14676865646768655</v>
      </c>
      <c r="ET75" s="39">
        <f t="shared" si="788"/>
        <v>0.14610457063711912</v>
      </c>
      <c r="EU75" s="39">
        <f t="shared" ref="EU75:EV75" si="789">IFERROR(EU12/EU54,0)</f>
        <v>0.11985818235818235</v>
      </c>
      <c r="EV75" s="39">
        <f t="shared" si="789"/>
        <v>0.16748065063532139</v>
      </c>
      <c r="EW75" s="39">
        <f t="shared" ref="EW75:EX75" si="790">IFERROR(EW12/EW54,0)</f>
        <v>0.13933356533843744</v>
      </c>
      <c r="EX75" s="39">
        <f t="shared" si="790"/>
        <v>0.14684869491405531</v>
      </c>
      <c r="EY75" s="39">
        <f t="shared" ref="EY75:EZ75" si="791">IFERROR(EY12/EY54,0)</f>
        <v>0.12966009731508385</v>
      </c>
      <c r="EZ75" s="39">
        <f t="shared" si="791"/>
        <v>0.16418975151587206</v>
      </c>
      <c r="FA75" s="39">
        <f t="shared" ref="FA75:FB75" si="792">IFERROR(FA12/FA54,0)</f>
        <v>0.14397090366501911</v>
      </c>
      <c r="FB75" s="39">
        <f t="shared" si="792"/>
        <v>0.12403221413842742</v>
      </c>
      <c r="FC75" s="39">
        <f t="shared" ref="FC75:FD75" si="793">IFERROR(FC12/FC54,0)</f>
        <v>0.16426877119865216</v>
      </c>
      <c r="FD75" s="39">
        <f t="shared" si="793"/>
        <v>0.15351736420302761</v>
      </c>
      <c r="FE75" s="39">
        <f t="shared" ref="FE75:FF75" si="794">IFERROR(FE12/FE54,0)</f>
        <v>0.13391349267846853</v>
      </c>
      <c r="FF75" s="39">
        <f t="shared" si="794"/>
        <v>0.14842670135783398</v>
      </c>
      <c r="FG75" s="39">
        <f t="shared" ref="FG75:FH75" si="795">IFERROR(FG12/FG54,0)</f>
        <v>0.1468745365564289</v>
      </c>
      <c r="FH75" s="39">
        <f t="shared" si="795"/>
        <v>0.14182040907234864</v>
      </c>
      <c r="FI75" s="39">
        <f t="shared" ref="FI75:FJ75" si="796">IFERROR(FI12/FI54,0)</f>
        <v>0.14187617047840645</v>
      </c>
      <c r="FJ75" s="39">
        <f t="shared" si="796"/>
        <v>0.13902667290594292</v>
      </c>
      <c r="FK75" s="39">
        <f t="shared" ref="FK75:FL75" si="797">IFERROR(FK12/FK54,0)</f>
        <v>0.15816300782235679</v>
      </c>
      <c r="FL75" s="39">
        <f t="shared" si="797"/>
        <v>0.12182256377609021</v>
      </c>
      <c r="FM75" s="39">
        <f t="shared" ref="FM75" si="798">IFERROR(FM12/FM54,0)</f>
        <v>0.12489002863935009</v>
      </c>
      <c r="FN75" s="39">
        <v>8.8278408165481298E-2</v>
      </c>
      <c r="FO75" s="39">
        <f t="shared" ref="FO75" si="799">IFERROR(FO12/FO54,0)</f>
        <v>0.1517715969527095</v>
      </c>
      <c r="FP75" s="39">
        <v>0.12025384920491833</v>
      </c>
      <c r="FQ75" s="39">
        <f t="shared" ref="FQ75:HA75" si="800">IFERROR(FQ12/FQ54,0)</f>
        <v>0.12681174213040461</v>
      </c>
      <c r="FR75" s="39">
        <v>0.14215368666580278</v>
      </c>
      <c r="FS75" s="39">
        <f t="shared" si="800"/>
        <v>0.12126503262980989</v>
      </c>
      <c r="FT75" s="39">
        <f t="shared" si="800"/>
        <v>0.12402195492234031</v>
      </c>
      <c r="FU75" s="39">
        <f t="shared" si="800"/>
        <v>0.11908867201232068</v>
      </c>
      <c r="FV75" s="39">
        <f t="shared" si="800"/>
        <v>0.12032990061070531</v>
      </c>
      <c r="FW75" s="39">
        <f t="shared" si="800"/>
        <v>8.6810567114801424E-2</v>
      </c>
      <c r="FX75" s="39">
        <f t="shared" si="800"/>
        <v>8.8463682701497293E-2</v>
      </c>
      <c r="FY75" s="39">
        <f t="shared" si="800"/>
        <v>0.14652210770534957</v>
      </c>
      <c r="FZ75" s="39">
        <f t="shared" si="800"/>
        <v>0.12260919644751599</v>
      </c>
      <c r="GA75" s="39">
        <f t="shared" si="800"/>
        <v>0.12062190812720848</v>
      </c>
      <c r="GB75" s="39">
        <f t="shared" si="800"/>
        <v>0.12449717159019484</v>
      </c>
      <c r="GC75" s="39">
        <f t="shared" si="800"/>
        <v>0.13008598741413269</v>
      </c>
      <c r="GD75" s="39">
        <f t="shared" si="800"/>
        <v>0.1351843355484186</v>
      </c>
      <c r="GE75" s="39">
        <f t="shared" si="800"/>
        <v>0.10676341519747479</v>
      </c>
      <c r="GF75" s="39">
        <f t="shared" si="800"/>
        <v>0.17422241388604387</v>
      </c>
      <c r="GG75" s="39">
        <f t="shared" si="800"/>
        <v>0.13827616046500238</v>
      </c>
      <c r="GH75" s="39">
        <f t="shared" si="800"/>
        <v>0.15759713357966634</v>
      </c>
      <c r="GI75" s="39">
        <f t="shared" si="800"/>
        <v>0.11610678434180341</v>
      </c>
      <c r="GJ75" s="39">
        <f t="shared" si="800"/>
        <v>0.18627221154296966</v>
      </c>
      <c r="GK75" s="39">
        <f t="shared" si="800"/>
        <v>0.1138279262086514</v>
      </c>
      <c r="GL75" s="39">
        <f t="shared" si="800"/>
        <v>0.12534293794054335</v>
      </c>
      <c r="GM75" s="39">
        <f t="shared" si="800"/>
        <v>0.10956262896187802</v>
      </c>
      <c r="GN75" s="39">
        <f t="shared" si="800"/>
        <v>0.13018659579644776</v>
      </c>
      <c r="GO75" s="39">
        <f t="shared" si="800"/>
        <v>0.12226548275958657</v>
      </c>
      <c r="GP75" s="39">
        <f t="shared" si="800"/>
        <v>0.16235921158487529</v>
      </c>
      <c r="GQ75" s="39">
        <f t="shared" si="800"/>
        <v>0.13020823092199696</v>
      </c>
      <c r="GR75" s="39">
        <f t="shared" si="800"/>
        <v>0.14828114273644188</v>
      </c>
      <c r="GS75" s="39">
        <f t="shared" si="800"/>
        <v>0.15312312148204821</v>
      </c>
      <c r="GT75" s="39">
        <f t="shared" si="800"/>
        <v>0.18981918524435407</v>
      </c>
      <c r="GU75" s="39">
        <f t="shared" si="800"/>
        <v>0.13612378431913755</v>
      </c>
      <c r="GV75" s="39">
        <f t="shared" si="800"/>
        <v>0.13681409163088867</v>
      </c>
      <c r="GW75" s="39">
        <f t="shared" si="800"/>
        <v>0.121981371097049</v>
      </c>
      <c r="GX75" s="39">
        <f t="shared" si="800"/>
        <v>0.12436097948131375</v>
      </c>
      <c r="GY75" s="39">
        <f t="shared" si="800"/>
        <v>0.16228538450440053</v>
      </c>
      <c r="GZ75" s="39">
        <f t="shared" si="800"/>
        <v>0.141301247771836</v>
      </c>
      <c r="HA75" s="39">
        <f t="shared" si="800"/>
        <v>0.13368183438279671</v>
      </c>
      <c r="HB75" s="39">
        <f t="shared" si="148"/>
        <v>7.5882143281454206E-2</v>
      </c>
      <c r="HC75" s="39">
        <f t="shared" si="148"/>
        <v>0.11024011202482119</v>
      </c>
      <c r="HD75" s="39">
        <f t="shared" ref="HD75:JO75" si="801">IFERROR(HD12/HD54,0)</f>
        <v>0.19727317138162279</v>
      </c>
      <c r="HE75" s="39">
        <f t="shared" si="801"/>
        <v>0.11549193956480878</v>
      </c>
      <c r="HF75" s="39">
        <f t="shared" si="801"/>
        <v>0.1088805932246432</v>
      </c>
      <c r="HG75" s="39">
        <f t="shared" si="801"/>
        <v>0.11666066812812878</v>
      </c>
      <c r="HH75" s="39">
        <f t="shared" si="801"/>
        <v>0.1163862641161558</v>
      </c>
      <c r="HI75" s="39">
        <f t="shared" si="801"/>
        <v>0.17954054397559735</v>
      </c>
      <c r="HJ75" s="39">
        <f t="shared" si="801"/>
        <v>0.13297038402563616</v>
      </c>
      <c r="HK75" s="39">
        <f t="shared" si="801"/>
        <v>0.11406010089932003</v>
      </c>
      <c r="HL75" s="39">
        <f t="shared" si="801"/>
        <v>0.15236427320490367</v>
      </c>
      <c r="HM75" s="39">
        <f t="shared" si="801"/>
        <v>0.11336642912429605</v>
      </c>
      <c r="HN75" s="39">
        <f t="shared" si="801"/>
        <v>0.1165235950471587</v>
      </c>
      <c r="HO75" s="39">
        <f t="shared" si="801"/>
        <v>0.1778489185408372</v>
      </c>
      <c r="HP75" s="39">
        <f t="shared" si="801"/>
        <v>0.10486982780972136</v>
      </c>
      <c r="HQ75" s="39">
        <f t="shared" si="801"/>
        <v>0.11362637966064466</v>
      </c>
      <c r="HR75" s="39">
        <f t="shared" si="801"/>
        <v>0.14730449279553612</v>
      </c>
      <c r="HS75" s="39">
        <f t="shared" si="801"/>
        <v>0.10181147036707909</v>
      </c>
      <c r="HT75" s="39">
        <f t="shared" si="801"/>
        <v>9.6996134340532683E-2</v>
      </c>
      <c r="HU75" s="39">
        <f t="shared" si="801"/>
        <v>0.13884957772198128</v>
      </c>
      <c r="HV75" s="39">
        <f t="shared" si="801"/>
        <v>0.1338666894840421</v>
      </c>
      <c r="HW75" s="39">
        <f t="shared" si="801"/>
        <v>8.2491004104659787E-2</v>
      </c>
      <c r="HX75" s="39">
        <f t="shared" si="801"/>
        <v>9.1632643334869021E-2</v>
      </c>
      <c r="HY75" s="39">
        <f t="shared" si="801"/>
        <v>0.11370431893687707</v>
      </c>
      <c r="HZ75" s="39">
        <f t="shared" si="801"/>
        <v>9.4243306977389377E-2</v>
      </c>
      <c r="IA75" s="39">
        <f t="shared" si="801"/>
        <v>8.1788791527084945E-2</v>
      </c>
      <c r="IB75" s="39">
        <f t="shared" si="801"/>
        <v>9.0031822482153606E-2</v>
      </c>
      <c r="IC75" s="39">
        <f t="shared" si="801"/>
        <v>0.13347200554688854</v>
      </c>
      <c r="ID75" s="39">
        <f t="shared" si="801"/>
        <v>8.7217425572313975E-2</v>
      </c>
      <c r="IE75" s="39">
        <f t="shared" si="801"/>
        <v>0.1034993985845758</v>
      </c>
      <c r="IF75" s="39">
        <f t="shared" si="801"/>
        <v>0.11135931765763936</v>
      </c>
      <c r="IG75" s="39">
        <f t="shared" si="801"/>
        <v>8.0911721120598398E-2</v>
      </c>
      <c r="IH75" s="39">
        <f t="shared" si="801"/>
        <v>8.9387005285548535E-2</v>
      </c>
      <c r="II75" s="39">
        <f t="shared" si="801"/>
        <v>7.7646894821216977E-2</v>
      </c>
      <c r="IJ75" s="39">
        <f t="shared" si="801"/>
        <v>0.15796074959421572</v>
      </c>
      <c r="IK75" s="39">
        <f t="shared" si="801"/>
        <v>8.4393020848735761E-2</v>
      </c>
      <c r="IL75" s="39">
        <f t="shared" si="801"/>
        <v>8.4506417460223582E-2</v>
      </c>
      <c r="IM75" s="39">
        <f t="shared" si="801"/>
        <v>0.10226824756648573</v>
      </c>
      <c r="IN75" s="39">
        <f t="shared" si="801"/>
        <v>8.1104239044072976E-2</v>
      </c>
      <c r="IO75" s="39">
        <f t="shared" si="801"/>
        <v>8.5909815013491986E-2</v>
      </c>
      <c r="IP75" s="39">
        <f t="shared" si="801"/>
        <v>8.7785580061319354E-2</v>
      </c>
      <c r="IQ75" s="39">
        <f t="shared" si="801"/>
        <v>6.9166948865560449E-2</v>
      </c>
      <c r="IR75" s="39">
        <f t="shared" si="801"/>
        <v>0.11155045084625201</v>
      </c>
      <c r="IS75" s="39">
        <f t="shared" si="801"/>
        <v>8.2531176606794349E-2</v>
      </c>
      <c r="IT75" s="39">
        <f t="shared" si="801"/>
        <v>7.8830896334666584E-2</v>
      </c>
      <c r="IU75" s="39">
        <f t="shared" si="801"/>
        <v>9.5726168517036164E-2</v>
      </c>
      <c r="IV75" s="39">
        <f t="shared" si="801"/>
        <v>7.205558976163251E-2</v>
      </c>
      <c r="IW75" s="39">
        <f t="shared" si="801"/>
        <v>7.725460836486514E-2</v>
      </c>
      <c r="IX75" s="39">
        <f t="shared" si="801"/>
        <v>0</v>
      </c>
      <c r="IY75" s="39">
        <f t="shared" si="801"/>
        <v>4.6770047267600964E-2</v>
      </c>
      <c r="IZ75" s="39">
        <f t="shared" si="801"/>
        <v>7.5625717965676895E-2</v>
      </c>
      <c r="JA75" s="39">
        <f t="shared" si="801"/>
        <v>5.8404226739500312E-2</v>
      </c>
      <c r="JB75" s="39">
        <f t="shared" si="801"/>
        <v>0.14654665254735852</v>
      </c>
      <c r="JC75" s="39">
        <f t="shared" si="801"/>
        <v>7.5306573506345356E-2</v>
      </c>
      <c r="JD75" s="39">
        <f t="shared" si="801"/>
        <v>7.71190141186745E-2</v>
      </c>
      <c r="JE75" s="39">
        <f t="shared" si="801"/>
        <v>9.3920473217219844E-2</v>
      </c>
      <c r="JF75" s="39">
        <f t="shared" si="801"/>
        <v>7.0830215097892474E-2</v>
      </c>
      <c r="JG75" s="39">
        <f t="shared" si="801"/>
        <v>7.4005341058253751E-2</v>
      </c>
      <c r="JH75" s="39">
        <f t="shared" si="801"/>
        <v>7.9555712547588212E-2</v>
      </c>
      <c r="JI75" s="39">
        <f t="shared" si="801"/>
        <v>6.1014954004446967E-2</v>
      </c>
      <c r="JJ75" s="39">
        <f t="shared" si="801"/>
        <v>6.3659296631547707E-2</v>
      </c>
      <c r="JK75" s="39">
        <f t="shared" si="801"/>
        <v>7.0678969838865166E-2</v>
      </c>
      <c r="JL75" s="39">
        <f t="shared" si="801"/>
        <v>3.79631872124001E-2</v>
      </c>
      <c r="JM75" s="39">
        <f t="shared" si="801"/>
        <v>8.2792082766410799E-2</v>
      </c>
      <c r="JN75" s="39">
        <f t="shared" si="801"/>
        <v>0.14152553257857942</v>
      </c>
      <c r="JO75" s="39">
        <f t="shared" si="801"/>
        <v>8.0283813747228386E-2</v>
      </c>
      <c r="JP75" s="39">
        <f t="shared" ref="JP75:KG75" si="802">IFERROR(JP12/JP54,0)</f>
        <v>6.5818983540502529E-2</v>
      </c>
      <c r="JQ75" s="39">
        <f t="shared" si="802"/>
        <v>6.2498899667259376E-2</v>
      </c>
      <c r="JR75" s="39">
        <f t="shared" si="802"/>
        <v>6.7117827013998335E-2</v>
      </c>
      <c r="JS75" s="39">
        <f t="shared" si="802"/>
        <v>5.6140750441268573E-2</v>
      </c>
      <c r="JT75" s="39">
        <f t="shared" si="802"/>
        <v>6.6017149029029915E-2</v>
      </c>
      <c r="JU75" s="39">
        <f t="shared" si="802"/>
        <v>5.6233558162074489E-2</v>
      </c>
      <c r="JV75" s="39">
        <f t="shared" si="802"/>
        <v>7.1446324443169867E-2</v>
      </c>
      <c r="JW75" s="39">
        <f t="shared" si="802"/>
        <v>5.772406545563729E-2</v>
      </c>
      <c r="JX75" s="39">
        <f t="shared" si="802"/>
        <v>5.5648468920479435E-2</v>
      </c>
      <c r="JY75" s="39">
        <f t="shared" si="802"/>
        <v>4.9779884862851335E-2</v>
      </c>
      <c r="JZ75" s="39">
        <f t="shared" si="802"/>
        <v>8.1167197719268822E-2</v>
      </c>
      <c r="KA75" s="39">
        <f t="shared" si="802"/>
        <v>0</v>
      </c>
      <c r="KB75" s="39">
        <f t="shared" si="802"/>
        <v>0</v>
      </c>
      <c r="KC75" s="39">
        <f t="shared" si="802"/>
        <v>3.9909267660401815E-2</v>
      </c>
      <c r="KD75" s="39">
        <f t="shared" si="802"/>
        <v>5.3306329887846539E-2</v>
      </c>
      <c r="KE75" s="39">
        <f t="shared" si="802"/>
        <v>5.0329102876468232E-2</v>
      </c>
      <c r="KF75" s="39">
        <f t="shared" si="802"/>
        <v>4.7128927410617555E-2</v>
      </c>
      <c r="KG75" s="39">
        <f t="shared" si="802"/>
        <v>8.2173067829559188E-2</v>
      </c>
      <c r="KH75" s="39">
        <f t="shared" si="475"/>
        <v>5.3652142469716148E-2</v>
      </c>
      <c r="KI75" s="39">
        <f t="shared" si="475"/>
        <v>5.2627294558183074E-2</v>
      </c>
      <c r="KJ75" s="39">
        <f t="shared" si="541"/>
        <v>4.6888508728363039E-2</v>
      </c>
      <c r="KK75" s="39">
        <f t="shared" si="541"/>
        <v>4.1682226371476838E-2</v>
      </c>
      <c r="KL75" s="39">
        <f t="shared" si="541"/>
        <v>5.0086582933298263E-2</v>
      </c>
      <c r="KM75" s="39">
        <f t="shared" si="541"/>
        <v>4.1742016467034022E-2</v>
      </c>
      <c r="KN75" s="39">
        <f t="shared" si="541"/>
        <v>3.4004708344232276E-2</v>
      </c>
      <c r="KO75" s="39">
        <f t="shared" si="541"/>
        <v>4.1722885313959519E-2</v>
      </c>
      <c r="KP75" s="39">
        <f t="shared" si="541"/>
        <v>4.2159682528124659E-2</v>
      </c>
      <c r="KQ75" s="39">
        <f t="shared" si="541"/>
        <v>4.2241411536017348E-2</v>
      </c>
      <c r="KR75" s="39">
        <f t="shared" si="541"/>
        <v>4.1751422876985349E-2</v>
      </c>
      <c r="KS75" s="39">
        <f t="shared" si="541"/>
        <v>3.9069543787942536E-2</v>
      </c>
      <c r="KT75" s="39">
        <f t="shared" si="541"/>
        <v>3.6855203619909502E-2</v>
      </c>
      <c r="KU75" s="39">
        <f t="shared" si="541"/>
        <v>3.3613854161599455E-2</v>
      </c>
      <c r="KV75" s="39">
        <f t="shared" si="541"/>
        <v>3.846908734052993E-2</v>
      </c>
      <c r="KW75" s="39">
        <f t="shared" si="541"/>
        <v>3.6321031048623317E-2</v>
      </c>
      <c r="KX75" s="39">
        <f t="shared" si="541"/>
        <v>3.6624783269473639E-2</v>
      </c>
      <c r="KY75" s="39">
        <f t="shared" si="541"/>
        <v>3.1294755177085347E-2</v>
      </c>
      <c r="KZ75" s="39">
        <f t="shared" ref="KZ75:NK75" si="803">IFERROR(KZ12/KZ54,0)</f>
        <v>3.4133983136071785E-2</v>
      </c>
      <c r="LA75" s="39">
        <f t="shared" si="803"/>
        <v>3.4587618096984608E-2</v>
      </c>
      <c r="LB75" s="39">
        <f t="shared" si="803"/>
        <v>2.8193060169804357E-2</v>
      </c>
      <c r="LC75" s="39">
        <f t="shared" si="803"/>
        <v>3.1687853762642666E-2</v>
      </c>
      <c r="LD75" s="39">
        <f t="shared" si="803"/>
        <v>2.8950868333301207E-2</v>
      </c>
      <c r="LE75" s="39">
        <f t="shared" si="803"/>
        <v>2.9171717171717172E-2</v>
      </c>
      <c r="LF75" s="39">
        <f t="shared" si="803"/>
        <v>3.6470833768131067E-2</v>
      </c>
      <c r="LG75" s="39">
        <f t="shared" si="803"/>
        <v>5.406310367031552E-2</v>
      </c>
      <c r="LH75" s="39">
        <f t="shared" si="803"/>
        <v>4.8964116452268114E-2</v>
      </c>
      <c r="LI75" s="39">
        <f t="shared" si="803"/>
        <v>5.9359641170014792E-2</v>
      </c>
      <c r="LJ75" s="39">
        <f t="shared" si="803"/>
        <v>4.9389070402363157E-2</v>
      </c>
      <c r="LK75" s="39">
        <f t="shared" si="803"/>
        <v>4.6704040208776339E-2</v>
      </c>
      <c r="LL75" s="39">
        <f t="shared" si="803"/>
        <v>4.3192752806553679E-2</v>
      </c>
      <c r="LM75" s="39">
        <f t="shared" si="803"/>
        <v>3.1798665136249626E-2</v>
      </c>
      <c r="LN75" s="39">
        <f t="shared" si="803"/>
        <v>3.494761195025916E-2</v>
      </c>
      <c r="LO75" s="39">
        <f t="shared" si="803"/>
        <v>3.3813069571015784E-2</v>
      </c>
      <c r="LP75" s="39">
        <f t="shared" si="803"/>
        <v>2.9103743563038825E-2</v>
      </c>
      <c r="LQ75" s="39">
        <f t="shared" si="803"/>
        <v>3.1578667092685787E-2</v>
      </c>
      <c r="LR75" s="39">
        <f t="shared" si="803"/>
        <v>2.9853151501722297E-2</v>
      </c>
      <c r="LS75" s="39">
        <f t="shared" si="803"/>
        <v>3.1250650188294531E-2</v>
      </c>
      <c r="LT75" s="39">
        <f t="shared" si="803"/>
        <v>2.5944648793249276E-2</v>
      </c>
      <c r="LU75" s="39">
        <f t="shared" si="803"/>
        <v>3.2491915004449458E-2</v>
      </c>
      <c r="LV75" s="39">
        <f t="shared" si="803"/>
        <v>2.6807740803684008E-2</v>
      </c>
      <c r="LW75" s="39">
        <f t="shared" si="803"/>
        <v>3.4311596450952407E-2</v>
      </c>
      <c r="LX75" s="39">
        <f t="shared" si="803"/>
        <v>0</v>
      </c>
      <c r="LY75" s="39">
        <f t="shared" si="803"/>
        <v>1.6308755401997489E-2</v>
      </c>
      <c r="LZ75" s="39">
        <f t="shared" si="803"/>
        <v>2.8344014885259457E-2</v>
      </c>
      <c r="MA75" s="39">
        <f t="shared" si="803"/>
        <v>2.9092424716057101E-2</v>
      </c>
      <c r="MB75" s="39">
        <f t="shared" si="803"/>
        <v>2.2917317911847451E-2</v>
      </c>
      <c r="MC75" s="39">
        <f t="shared" si="803"/>
        <v>2.1760773716398805E-2</v>
      </c>
      <c r="MD75" s="39">
        <f t="shared" si="803"/>
        <v>2.3961847155984647E-2</v>
      </c>
      <c r="ME75" s="39">
        <f t="shared" si="803"/>
        <v>2.7230296728011416E-2</v>
      </c>
      <c r="MF75" s="39">
        <f t="shared" si="803"/>
        <v>2.6198686212941382E-2</v>
      </c>
      <c r="MG75" s="39">
        <f t="shared" si="803"/>
        <v>2.206085480879277E-2</v>
      </c>
      <c r="MH75" s="39">
        <f t="shared" si="803"/>
        <v>2.3206970409033252E-2</v>
      </c>
      <c r="MI75" s="39">
        <f t="shared" si="803"/>
        <v>2.3952348766475159E-2</v>
      </c>
      <c r="MJ75" s="39">
        <f t="shared" si="803"/>
        <v>0</v>
      </c>
      <c r="MK75" s="39">
        <f t="shared" si="803"/>
        <v>7.0905407511298113E-3</v>
      </c>
      <c r="ML75" s="39">
        <f t="shared" si="803"/>
        <v>2.2308229855399667E-2</v>
      </c>
      <c r="MM75" s="39">
        <f t="shared" si="803"/>
        <v>2.403638975341154E-2</v>
      </c>
      <c r="MN75" s="39">
        <f t="shared" si="803"/>
        <v>2.3520920457681449E-2</v>
      </c>
      <c r="MO75" s="39">
        <f t="shared" si="803"/>
        <v>2.1412240590925079E-2</v>
      </c>
      <c r="MP75" s="39">
        <f t="shared" si="803"/>
        <v>2.3402340234023402E-2</v>
      </c>
      <c r="MQ75" s="39">
        <f t="shared" si="803"/>
        <v>2.4210865363968218E-2</v>
      </c>
      <c r="MR75" s="39">
        <f t="shared" si="803"/>
        <v>2.3660959416962012E-2</v>
      </c>
      <c r="MS75" s="39">
        <f t="shared" si="803"/>
        <v>2.4366295444562158E-2</v>
      </c>
      <c r="MT75" s="39">
        <f t="shared" si="803"/>
        <v>2.3941393234625654E-2</v>
      </c>
      <c r="MU75" s="39">
        <f t="shared" si="803"/>
        <v>2.5243998944869426E-2</v>
      </c>
      <c r="MV75" s="39">
        <f t="shared" si="803"/>
        <v>2.2062415196743554E-2</v>
      </c>
      <c r="MW75" s="39">
        <f t="shared" si="803"/>
        <v>2.3137761461236885E-2</v>
      </c>
      <c r="MX75" s="39">
        <f t="shared" si="803"/>
        <v>1.9317892593535252E-2</v>
      </c>
      <c r="MY75" s="39">
        <f t="shared" si="803"/>
        <v>1.5033438346321782E-2</v>
      </c>
      <c r="MZ75" s="39">
        <f t="shared" si="803"/>
        <v>2.5043478260869566E-2</v>
      </c>
      <c r="NA75" s="39">
        <f t="shared" si="803"/>
        <v>2.2474886852853516E-2</v>
      </c>
      <c r="NB75" s="39">
        <f t="shared" si="803"/>
        <v>2.3159994795506789E-2</v>
      </c>
      <c r="NC75" s="39">
        <f t="shared" si="803"/>
        <v>2.6002435614090477E-2</v>
      </c>
      <c r="ND75" s="39">
        <f t="shared" si="803"/>
        <v>2.1169836566950206E-2</v>
      </c>
      <c r="NE75" s="39">
        <f t="shared" si="803"/>
        <v>1.5734779472657816E-2</v>
      </c>
      <c r="NF75" s="39">
        <f t="shared" si="803"/>
        <v>3.0791298111403298E-2</v>
      </c>
      <c r="NG75" s="39">
        <f t="shared" si="803"/>
        <v>2.2718656128787658E-2</v>
      </c>
      <c r="NH75" s="39">
        <f t="shared" si="803"/>
        <v>2.2765193938424265E-2</v>
      </c>
      <c r="NI75" s="39">
        <f t="shared" si="803"/>
        <v>2.4142458937086778E-2</v>
      </c>
      <c r="NJ75" s="39">
        <f t="shared" si="803"/>
        <v>1.988410156595594E-2</v>
      </c>
      <c r="NK75" s="39">
        <f t="shared" si="803"/>
        <v>2.1981562252180811E-2</v>
      </c>
      <c r="NL75" s="39">
        <f t="shared" ref="NL75:NN75" si="804">IFERROR(NL12/NL54,0)</f>
        <v>2.1056359129416252E-2</v>
      </c>
      <c r="NM75" s="39">
        <f t="shared" si="804"/>
        <v>1.9238862502254553E-2</v>
      </c>
      <c r="NN75" s="39">
        <f t="shared" si="804"/>
        <v>2.4604619410626919E-2</v>
      </c>
      <c r="NO75" s="39">
        <f t="shared" ref="NO75" si="805">IFERROR(NO12/NO54,0)</f>
        <v>2.4306177260519247E-2</v>
      </c>
      <c r="NP75" s="39">
        <v>2.35911486753199E-2</v>
      </c>
      <c r="NQ75" s="39">
        <v>2.1053092309712401E-2</v>
      </c>
      <c r="NR75" s="39">
        <v>0</v>
      </c>
      <c r="NS75" s="39">
        <v>9.7604259094942296E-3</v>
      </c>
      <c r="NT75" s="39">
        <v>1.9360139680583401E-2</v>
      </c>
      <c r="NU75" s="39">
        <v>2.2695074106364399E-2</v>
      </c>
      <c r="NV75" s="39">
        <v>2.3358785523878399E-2</v>
      </c>
      <c r="NW75" s="39">
        <v>2.2504510654898301E-2</v>
      </c>
      <c r="NX75" s="39">
        <v>2.0530348725509899E-2</v>
      </c>
      <c r="NY75" s="39">
        <v>2.4559111691704799E-2</v>
      </c>
      <c r="NZ75" s="39">
        <v>2.0908837468636698E-2</v>
      </c>
      <c r="OA75" s="39">
        <v>2.5730701973519898E-2</v>
      </c>
      <c r="OB75" s="39">
        <v>1.9317211948790901E-2</v>
      </c>
      <c r="OC75" s="39">
        <v>2.0793465577596301E-2</v>
      </c>
      <c r="OD75" s="39">
        <v>2.5067024128686301E-2</v>
      </c>
      <c r="OE75" s="39">
        <v>2.1398406547955901E-2</v>
      </c>
      <c r="OF75" s="39">
        <v>1.8858307849133501E-2</v>
      </c>
      <c r="OG75" s="39">
        <v>2.2584356854245299E-2</v>
      </c>
      <c r="OH75" s="39">
        <v>1.9507031604415501E-2</v>
      </c>
      <c r="OI75" s="39">
        <v>2.1195711628924599E-2</v>
      </c>
      <c r="OJ75" s="39">
        <v>2.2577405126861402E-2</v>
      </c>
      <c r="OK75" s="39">
        <v>0</v>
      </c>
      <c r="OL75" s="39">
        <v>1.18555060471038E-2</v>
      </c>
      <c r="OM75" s="39">
        <v>2.2597947761194E-2</v>
      </c>
      <c r="ON75" s="39">
        <v>1.8826685211862301E-2</v>
      </c>
      <c r="OO75" s="39">
        <v>1.8680240975108599E-2</v>
      </c>
      <c r="OP75" s="39">
        <v>2.3227885178676001E-2</v>
      </c>
      <c r="OQ75" s="39">
        <v>2.27471969731925E-2</v>
      </c>
      <c r="OR75" s="39">
        <v>2.2485073786189001E-2</v>
      </c>
      <c r="OS75" s="39">
        <f t="shared" ref="OS75" si="806">IFERROR(OS12/OS54,0)</f>
        <v>0</v>
      </c>
      <c r="OT75" s="39">
        <f t="shared" si="156"/>
        <v>1.1668004567707214E-2</v>
      </c>
      <c r="OU75" s="39">
        <v>2.0382399522574399E-2</v>
      </c>
      <c r="OV75" s="39">
        <v>1.9066563167087099E-2</v>
      </c>
      <c r="OW75" s="39">
        <v>2.40963855421687E-2</v>
      </c>
      <c r="OX75" s="39">
        <v>1.8326259034071399E-2</v>
      </c>
      <c r="OY75" s="39">
        <v>2.5604486531212601E-2</v>
      </c>
      <c r="OZ75" s="39">
        <v>2.2403172728039801E-2</v>
      </c>
      <c r="PA75" s="39">
        <v>2.27258246076078E-2</v>
      </c>
      <c r="PB75" s="39">
        <v>2.1238701634088801E-2</v>
      </c>
      <c r="PC75" s="39">
        <v>2.0194504968911099E-2</v>
      </c>
      <c r="PD75" s="39">
        <v>2.41292033265036E-2</v>
      </c>
      <c r="PE75" s="39">
        <v>2.4818571829517699E-2</v>
      </c>
      <c r="PF75" s="39">
        <v>2.5858104435804202E-2</v>
      </c>
      <c r="PG75" s="39">
        <v>2.3421879463010602E-2</v>
      </c>
      <c r="PH75" s="39">
        <v>2.1899356150457499E-2</v>
      </c>
      <c r="PI75" s="39">
        <v>2.39909340791821E-2</v>
      </c>
      <c r="PJ75" s="39">
        <v>3.5168001355874799E-2</v>
      </c>
      <c r="PK75" s="39">
        <v>3.4614472123368899E-2</v>
      </c>
      <c r="PL75" s="39">
        <v>2.9978118161925599E-2</v>
      </c>
      <c r="PM75" s="39">
        <v>3.1248619760611301E-2</v>
      </c>
      <c r="PN75" s="39">
        <v>3.1900541707311998E-2</v>
      </c>
      <c r="PO75" s="39">
        <v>3.5809927134583003E-2</v>
      </c>
      <c r="PP75" s="39">
        <v>3.2584519572953698E-2</v>
      </c>
      <c r="PQ75" s="39">
        <v>3.09298975672215E-2</v>
      </c>
      <c r="PR75" s="39">
        <v>3.50777225691754E-2</v>
      </c>
      <c r="PS75" s="39">
        <v>3.02001048075617E-2</v>
      </c>
      <c r="PT75" s="39">
        <v>3.0738611233967299E-2</v>
      </c>
      <c r="PU75" s="39">
        <v>0</v>
      </c>
      <c r="PV75" s="39">
        <v>1.6534655545517599E-2</v>
      </c>
      <c r="PW75" s="39">
        <v>2.9854778790948999E-2</v>
      </c>
      <c r="PX75" s="39">
        <v>3.6804013487951301E-2</v>
      </c>
      <c r="PY75" s="39">
        <v>3.3933705187114499E-2</v>
      </c>
      <c r="PZ75" s="39">
        <v>0</v>
      </c>
      <c r="QA75" s="39">
        <v>1.57926847564086E-2</v>
      </c>
      <c r="QB75" s="39">
        <v>3.2674153645833301E-2</v>
      </c>
      <c r="QC75" s="39">
        <v>3.3396592268657897E-2</v>
      </c>
      <c r="QD75" s="39">
        <v>1.7580357551095101E-2</v>
      </c>
      <c r="QE75" s="39">
        <v>6.8633281788985395E-2</v>
      </c>
      <c r="QF75" s="39">
        <v>3.4790136165832201E-2</v>
      </c>
      <c r="QG75" s="39">
        <v>3.5542145068380403E-2</v>
      </c>
      <c r="QH75" s="39">
        <v>3.6409066571479597E-2</v>
      </c>
      <c r="QI75" s="39">
        <v>2.9790412584032699E-2</v>
      </c>
      <c r="QJ75" s="39">
        <v>0</v>
      </c>
      <c r="QK75" s="39">
        <v>0</v>
      </c>
      <c r="QL75" s="39">
        <v>7.51951493160822E-3</v>
      </c>
      <c r="QM75" s="39">
        <v>3.4990530303030301E-2</v>
      </c>
      <c r="QN75" s="39">
        <v>3.4777507751613201E-2</v>
      </c>
      <c r="QO75" s="39">
        <v>3.2557173342398001E-2</v>
      </c>
      <c r="QP75" s="39">
        <v>3.2519859456156402E-2</v>
      </c>
      <c r="QQ75" s="39">
        <v>3.6496637432650303E-2</v>
      </c>
      <c r="QR75" s="39">
        <v>3.5645037651620998E-2</v>
      </c>
      <c r="QS75" s="39">
        <v>3.8084172476116701E-2</v>
      </c>
      <c r="QT75" s="39">
        <v>3.8758695038373703E-2</v>
      </c>
      <c r="QU75" s="39">
        <v>3.6727122835943898E-2</v>
      </c>
      <c r="QV75" s="39">
        <v>3.8629518072289197E-2</v>
      </c>
      <c r="QW75" s="39">
        <v>6.9911041339612803E-2</v>
      </c>
      <c r="QX75" s="39">
        <v>3.82461782884157E-2</v>
      </c>
      <c r="QY75" s="39">
        <v>2.8612968886304199E-2</v>
      </c>
      <c r="QZ75" s="39">
        <v>8.0892444026193E-2</v>
      </c>
      <c r="RA75" s="39">
        <v>5.07948724115539E-2</v>
      </c>
      <c r="RB75" s="39">
        <v>6.2518467830982402E-2</v>
      </c>
      <c r="RC75" s="39">
        <v>6.8479355488418894E-2</v>
      </c>
      <c r="RD75" s="39">
        <v>7.0785648004949006E-2</v>
      </c>
      <c r="RE75" s="39">
        <v>0</v>
      </c>
      <c r="RF75" s="39">
        <v>8.1452882524926898E-2</v>
      </c>
      <c r="RG75" s="39">
        <v>9.2249657064471899E-2</v>
      </c>
      <c r="RH75" s="39">
        <v>0.10785497231819501</v>
      </c>
      <c r="RI75" s="39">
        <v>0.12442171901631401</v>
      </c>
      <c r="RJ75" s="39">
        <v>0.127932404428517</v>
      </c>
      <c r="RK75" s="39">
        <v>0.147292427059661</v>
      </c>
      <c r="RL75" s="39">
        <v>0.16735815786744099</v>
      </c>
      <c r="RM75" s="39">
        <v>0</v>
      </c>
      <c r="RN75" s="39">
        <v>7.7845581720389898E-2</v>
      </c>
      <c r="RO75" s="39">
        <v>0.21404965232794901</v>
      </c>
      <c r="RP75" s="39">
        <v>0.21247848207796199</v>
      </c>
      <c r="RQ75" s="39">
        <v>0.22348464547939301</v>
      </c>
      <c r="RR75" s="39">
        <v>0.25977133741026298</v>
      </c>
      <c r="RS75" s="39">
        <v>0.31285376468516501</v>
      </c>
      <c r="RT75" s="39">
        <v>0</v>
      </c>
      <c r="RU75" s="39">
        <v>0.10743024349461799</v>
      </c>
      <c r="RV75" s="39">
        <v>0.31316842331684203</v>
      </c>
      <c r="RW75" s="39">
        <v>0.32849634984125797</v>
      </c>
      <c r="RX75" s="39">
        <v>0.336189930200533</v>
      </c>
      <c r="RY75" s="39">
        <v>0.34962198262178301</v>
      </c>
      <c r="RZ75" s="39">
        <v>0.32066036242547202</v>
      </c>
      <c r="SA75" s="39">
        <v>0.32491069585290899</v>
      </c>
      <c r="SB75" s="39">
        <v>0.34419726553569002</v>
      </c>
      <c r="SC75" s="39">
        <v>0.33263560791818703</v>
      </c>
      <c r="SD75" s="39">
        <v>0.29925910730877398</v>
      </c>
      <c r="SE75" s="39">
        <v>0.28525176985601802</v>
      </c>
      <c r="SF75" s="39">
        <v>0.27362529258115897</v>
      </c>
      <c r="SG75" s="39">
        <v>0</v>
      </c>
      <c r="SH75" s="39">
        <v>0.112752621120822</v>
      </c>
      <c r="SI75" s="39">
        <v>0.27244247596413501</v>
      </c>
      <c r="SJ75" s="39">
        <v>0.14757156180500799</v>
      </c>
      <c r="SK75" s="39">
        <v>0.22259755927799199</v>
      </c>
      <c r="SL75" s="39">
        <v>0.20873575139129399</v>
      </c>
      <c r="SM75" s="39">
        <v>0.21127972099894299</v>
      </c>
      <c r="SN75" s="39">
        <v>0.189567871993263</v>
      </c>
      <c r="SO75" s="39">
        <v>0.179430767869109</v>
      </c>
      <c r="SP75" s="39">
        <v>0.18967151297614501</v>
      </c>
      <c r="SQ75" s="39">
        <v>0.12660690029883201</v>
      </c>
      <c r="SR75" s="39">
        <v>0.13552741917116101</v>
      </c>
      <c r="SS75" s="39">
        <v>0</v>
      </c>
      <c r="ST75" s="39">
        <v>7.1414415354125405E-2</v>
      </c>
      <c r="SU75" s="39">
        <v>0.128908568579501</v>
      </c>
      <c r="SV75" s="39">
        <v>0.13097515601704601</v>
      </c>
      <c r="SW75" s="39">
        <v>0.120368988267606</v>
      </c>
      <c r="SX75" s="39">
        <v>0.111424252920616</v>
      </c>
      <c r="SY75" s="39">
        <v>0.122811770321349</v>
      </c>
      <c r="SZ75" s="39">
        <v>0.108365257016951</v>
      </c>
      <c r="TA75" s="39">
        <v>0.102631181007107</v>
      </c>
      <c r="TB75" s="39">
        <v>0.14023899542963</v>
      </c>
      <c r="TC75" s="39">
        <v>8.3797857071330806E-2</v>
      </c>
      <c r="TD75" s="39">
        <v>6.7320727791651797E-2</v>
      </c>
      <c r="TE75" s="39">
        <v>5.73316938210882E-2</v>
      </c>
      <c r="TF75" s="39">
        <v>4.92197074924422E-2</v>
      </c>
      <c r="TG75" s="39">
        <v>3.9405043412335999E-2</v>
      </c>
      <c r="TH75" s="39">
        <v>4.41680001376486E-2</v>
      </c>
      <c r="TI75" s="39">
        <v>6.09556524134355E-2</v>
      </c>
      <c r="TJ75" s="39">
        <v>7.0668790391973796E-2</v>
      </c>
      <c r="TK75" s="39">
        <v>4.2886668963141597E-2</v>
      </c>
      <c r="TL75" s="39">
        <v>3.3974373880892E-2</v>
      </c>
      <c r="TM75" s="39">
        <v>3.5314416458806099E-2</v>
      </c>
      <c r="TN75" s="39">
        <v>3.7312692269524703E-2</v>
      </c>
      <c r="TO75" s="39">
        <v>4.29275756545393E-2</v>
      </c>
      <c r="TP75" s="39">
        <v>0</v>
      </c>
      <c r="TQ75" s="39">
        <v>3.3866823859149603E-2</v>
      </c>
      <c r="TR75" s="39">
        <v>2.69956939383902E-2</v>
      </c>
      <c r="TS75" s="39">
        <v>0.242988133764833</v>
      </c>
      <c r="TT75" s="39">
        <v>1.5044072776584899E-2</v>
      </c>
      <c r="TU75" s="39">
        <v>2.3635079666328301E-2</v>
      </c>
      <c r="TV75" s="39">
        <v>5.4887777895968499E-2</v>
      </c>
      <c r="TW75" s="39">
        <v>2.22312564190346E-2</v>
      </c>
      <c r="TX75" s="39">
        <v>1.7775520568816702E-2</v>
      </c>
      <c r="TY75" s="39">
        <v>1.8372006584187299E-2</v>
      </c>
      <c r="TZ75" s="39">
        <v>1.56272678891093E-2</v>
      </c>
      <c r="UA75" s="39">
        <v>0</v>
      </c>
      <c r="UB75" s="39">
        <v>8.9188171030325902E-3</v>
      </c>
      <c r="UC75" s="39">
        <v>0</v>
      </c>
      <c r="UD75" s="39">
        <v>1.6713023959400799E-2</v>
      </c>
      <c r="UE75" s="39">
        <v>1.5190382777526301E-2</v>
      </c>
      <c r="UF75" s="39">
        <v>2.9533986346096799E-2</v>
      </c>
      <c r="UG75" s="39">
        <v>1.44906811573478E-2</v>
      </c>
      <c r="UH75" s="45">
        <v>0</v>
      </c>
      <c r="UI75" s="45">
        <v>6.2180067777291596E-3</v>
      </c>
      <c r="UJ75" s="45">
        <v>9.1491919326833204E-3</v>
      </c>
      <c r="UK75" s="45">
        <v>9.9466600861790808E-3</v>
      </c>
      <c r="UL75" s="45">
        <v>9.8032109593012701E-3</v>
      </c>
      <c r="UM75" s="45">
        <v>4.72321934630644E-3</v>
      </c>
      <c r="UN75" s="45">
        <v>0</v>
      </c>
      <c r="UO75" s="45">
        <v>1.0003100471597999E-2</v>
      </c>
      <c r="UP75" s="45">
        <v>7.0987705392748998E-3</v>
      </c>
      <c r="UQ75" s="45">
        <v>3.8686582497933198E-3</v>
      </c>
      <c r="UR75" s="45">
        <v>1.08610432135775E-2</v>
      </c>
      <c r="US75" s="45">
        <v>0</v>
      </c>
      <c r="UT75" s="45">
        <v>4.8211888197241502E-3</v>
      </c>
      <c r="UU75" s="45">
        <v>9.1349684241445097E-3</v>
      </c>
      <c r="UV75" s="45">
        <v>1.5569595770743299E-2</v>
      </c>
      <c r="UW75" s="45">
        <v>1.75857577073383E-2</v>
      </c>
      <c r="UX75" s="45">
        <v>8.7958750379132505E-3</v>
      </c>
      <c r="UY75" s="45">
        <v>6.92865318580694E-3</v>
      </c>
      <c r="UZ75" s="45">
        <v>8.8892906647381406E-3</v>
      </c>
      <c r="VA75" s="45">
        <v>1.47050506193089E-2</v>
      </c>
      <c r="VB75" s="45">
        <v>2.0592775548008601E-2</v>
      </c>
      <c r="VC75" s="45">
        <v>0</v>
      </c>
      <c r="VD75" s="45">
        <v>1.9200617507296701E-2</v>
      </c>
      <c r="VE75" s="45">
        <v>1.1141929213190099E-2</v>
      </c>
      <c r="VF75" s="45">
        <v>0</v>
      </c>
      <c r="VG75" s="45">
        <v>2.7118644067796599E-2</v>
      </c>
      <c r="VH75" s="45">
        <v>1.42952127659574E-2</v>
      </c>
      <c r="VI75" s="45">
        <v>0.12477276483225901</v>
      </c>
      <c r="VJ75" s="45">
        <v>1.2993485457975899E-2</v>
      </c>
      <c r="VK75" s="45">
        <v>1.8289535140981798E-2</v>
      </c>
      <c r="VL75" s="45">
        <v>9.7771537041370891E-3</v>
      </c>
      <c r="VM75" s="45">
        <v>0</v>
      </c>
      <c r="VN75" s="45">
        <v>2.4296158033908801E-2</v>
      </c>
      <c r="VO75" s="45">
        <v>5.6978233034571099E-2</v>
      </c>
      <c r="VP75" s="45">
        <v>2.1582484583939601E-2</v>
      </c>
      <c r="VQ75" s="45">
        <v>2.33829752156949E-2</v>
      </c>
      <c r="VR75" s="45">
        <v>1.93840940801276E-2</v>
      </c>
      <c r="VS75" s="45">
        <v>1.02386564525633E-2</v>
      </c>
      <c r="VT75" s="45">
        <v>1.71523145594062E-2</v>
      </c>
      <c r="VU75" s="45">
        <v>2.5588374664349999E-2</v>
      </c>
      <c r="VV75" s="45">
        <v>0</v>
      </c>
      <c r="VW75" s="45">
        <v>0</v>
      </c>
      <c r="VX75" s="35">
        <v>1.9820697161515799E-2</v>
      </c>
      <c r="VY75" s="35">
        <v>5.1272604464093798E-3</v>
      </c>
      <c r="VZ75" s="35">
        <v>1.09962612711678E-2</v>
      </c>
      <c r="WA75" s="35">
        <v>0</v>
      </c>
      <c r="WB75" s="35">
        <v>1.7469256407309501E-2</v>
      </c>
      <c r="WC75" s="35">
        <v>2.8815892997639699E-2</v>
      </c>
      <c r="WD75" s="35">
        <v>1.0631871451008801E-2</v>
      </c>
      <c r="WE75" s="35">
        <v>1.36267107126003E-2</v>
      </c>
      <c r="WF75" s="35">
        <v>1.1117287381878799E-2</v>
      </c>
      <c r="WG75" s="35">
        <v>6.7030371577791797E-3</v>
      </c>
      <c r="WH75" s="35">
        <v>0</v>
      </c>
      <c r="WI75" s="35">
        <v>0</v>
      </c>
      <c r="WJ75" s="35">
        <v>1.0540150499948501E-2</v>
      </c>
      <c r="WK75" s="35">
        <v>1.5347494165578899E-2</v>
      </c>
      <c r="WL75" s="35">
        <v>1.4168102623013599E-2</v>
      </c>
      <c r="WM75" s="35">
        <v>1.41699112784834E-2</v>
      </c>
      <c r="WN75" s="35">
        <v>8.3655442059416499E-3</v>
      </c>
      <c r="WO75" s="35">
        <v>0</v>
      </c>
      <c r="WP75" s="35">
        <v>0</v>
      </c>
      <c r="WQ75" s="35">
        <v>9.1505656298055699E-3</v>
      </c>
      <c r="WR75" s="35">
        <v>0</v>
      </c>
      <c r="WS75" s="35">
        <v>0</v>
      </c>
      <c r="WT75" s="35">
        <v>0</v>
      </c>
      <c r="WU75" s="35">
        <v>1.1825348696179501E-2</v>
      </c>
      <c r="WV75" s="45">
        <v>0</v>
      </c>
      <c r="WW75" s="45">
        <v>0</v>
      </c>
      <c r="WX75" s="45">
        <v>1.01181830186188E-2</v>
      </c>
      <c r="WY75" s="45">
        <v>0</v>
      </c>
      <c r="WZ75" s="45">
        <v>1.8439206198711901E-2</v>
      </c>
      <c r="XA75" s="45">
        <v>9.4151149571187302E-3</v>
      </c>
      <c r="XB75" s="45">
        <v>0</v>
      </c>
      <c r="XC75" s="45">
        <v>4.8328894234899902E-2</v>
      </c>
      <c r="XD75" s="45">
        <v>0</v>
      </c>
      <c r="XE75" s="45">
        <v>3.1184359347229001E-2</v>
      </c>
      <c r="XF75" s="45">
        <v>7.3251417769376204E-3</v>
      </c>
      <c r="XG75" s="45">
        <v>0</v>
      </c>
      <c r="XH75" s="45">
        <v>0</v>
      </c>
      <c r="XI75" s="45">
        <v>0</v>
      </c>
      <c r="XJ75" s="45">
        <v>0</v>
      </c>
      <c r="XK75" s="45">
        <v>3.9459052265308298E-2</v>
      </c>
      <c r="XL75" s="45">
        <v>6.8752300331247698E-2</v>
      </c>
      <c r="XM75" s="45">
        <v>1.02886203298715E-2</v>
      </c>
      <c r="XN75" s="45">
        <v>0</v>
      </c>
      <c r="XO75" s="45">
        <v>0</v>
      </c>
      <c r="XP75" s="45">
        <v>0</v>
      </c>
      <c r="XQ75" s="45">
        <v>0</v>
      </c>
      <c r="XR75" s="45">
        <v>1.1062438272917601E-2</v>
      </c>
      <c r="XS75" s="45">
        <v>0</v>
      </c>
      <c r="XT75" s="45">
        <v>0</v>
      </c>
      <c r="XU75" s="45">
        <v>0</v>
      </c>
      <c r="XV75" s="45">
        <v>0</v>
      </c>
      <c r="XW75" s="45">
        <v>0</v>
      </c>
      <c r="XX75" s="45">
        <v>0</v>
      </c>
      <c r="XY75">
        <v>0.129392434370215</v>
      </c>
      <c r="XZ75">
        <v>5.7414698162729698E-2</v>
      </c>
      <c r="YA75">
        <v>0</v>
      </c>
      <c r="YB75">
        <v>8.91361771483168E-2</v>
      </c>
      <c r="YC75">
        <v>3.46076404372914E-2</v>
      </c>
      <c r="YD75">
        <v>7.2200868290794501E-2</v>
      </c>
      <c r="YE75">
        <v>0.129434618137205</v>
      </c>
      <c r="YF75" s="1">
        <v>0.121164207074256</v>
      </c>
      <c r="YG75" s="1">
        <v>0</v>
      </c>
      <c r="YH75" s="1">
        <v>0</v>
      </c>
      <c r="YI75" s="1">
        <v>0.117908132204788</v>
      </c>
      <c r="YJ75">
        <v>0.13261228390235399</v>
      </c>
      <c r="YK75">
        <v>6.5826664043815403E-2</v>
      </c>
      <c r="YL75">
        <v>0.133948735939658</v>
      </c>
      <c r="YM75">
        <v>0.32467375543740901</v>
      </c>
      <c r="YN75">
        <v>0.175658169202731</v>
      </c>
      <c r="YO75">
        <v>0</v>
      </c>
      <c r="YP75">
        <v>0.17964552319000501</v>
      </c>
      <c r="YQ75">
        <v>0.117545467629169</v>
      </c>
      <c r="YR75">
        <v>0</v>
      </c>
      <c r="YS75">
        <v>0.17652826670524499</v>
      </c>
      <c r="YT75">
        <v>0.16961472288271601</v>
      </c>
      <c r="YU75">
        <v>0.42131925368342199</v>
      </c>
      <c r="YV75">
        <v>0.20754653244603599</v>
      </c>
      <c r="YW75">
        <v>4.4626637674777099E-2</v>
      </c>
      <c r="YX75">
        <v>0</v>
      </c>
      <c r="YY75">
        <v>0</v>
      </c>
      <c r="YZ75">
        <v>0</v>
      </c>
      <c r="ZA75">
        <v>0.18321870701513099</v>
      </c>
      <c r="ZB75">
        <v>0.21382705479452099</v>
      </c>
      <c r="ZC75">
        <v>0.23095207085178401</v>
      </c>
      <c r="ZD75">
        <v>0.210613162775076</v>
      </c>
      <c r="ZE75">
        <v>0.21214134451687899</v>
      </c>
      <c r="ZF75">
        <v>0.10422319892986801</v>
      </c>
      <c r="ZG75">
        <v>0.26852911072310198</v>
      </c>
      <c r="ZH75">
        <v>0.19412922406934399</v>
      </c>
      <c r="ZI75">
        <v>0.19046637252072099</v>
      </c>
      <c r="ZJ75">
        <v>0.16800605959836701</v>
      </c>
      <c r="ZK75">
        <v>0.16224476800950899</v>
      </c>
      <c r="ZL75">
        <v>0.17939988271323401</v>
      </c>
      <c r="ZM75">
        <v>0</v>
      </c>
      <c r="ZN75">
        <v>6.5941736159582695E-2</v>
      </c>
      <c r="ZO75">
        <v>3.5012679111545597E-2</v>
      </c>
      <c r="ZP75">
        <v>0</v>
      </c>
      <c r="ZQ75">
        <v>0.105459420585807</v>
      </c>
      <c r="ZR75">
        <v>0.181958983123264</v>
      </c>
      <c r="ZS75">
        <v>0.17111408129569899</v>
      </c>
      <c r="ZT75">
        <v>0.149867252586286</v>
      </c>
      <c r="ZU75">
        <v>0.150885420878143</v>
      </c>
      <c r="ZV75">
        <v>0.19478730122280299</v>
      </c>
      <c r="ZW75">
        <v>0.16613037778572301</v>
      </c>
      <c r="ZX75">
        <v>0.141060591308863</v>
      </c>
      <c r="ZY75">
        <v>0.14487160457176801</v>
      </c>
      <c r="ZZ75">
        <v>0</v>
      </c>
      <c r="AAA75">
        <v>0</v>
      </c>
      <c r="AAB75">
        <v>0.107955441951466</v>
      </c>
      <c r="AAC75">
        <v>0</v>
      </c>
      <c r="AAD75">
        <v>0.17507227754577601</v>
      </c>
      <c r="AAE75">
        <v>5.9955628900230602E-2</v>
      </c>
      <c r="AAF75">
        <v>9.8677771993753299E-2</v>
      </c>
      <c r="AAG75">
        <v>8.87868143744934E-2</v>
      </c>
      <c r="AAH75">
        <v>8.9146326353611693E-2</v>
      </c>
      <c r="AAI75">
        <v>3.8276131310045099E-2</v>
      </c>
      <c r="AAJ75">
        <v>0.106206252916472</v>
      </c>
      <c r="AAK75">
        <v>8.0291629667710404E-2</v>
      </c>
      <c r="AAL75">
        <v>7.66266857249394E-2</v>
      </c>
      <c r="AAM75">
        <v>8.4239446785722594E-2</v>
      </c>
      <c r="AAN75">
        <v>0</v>
      </c>
      <c r="AAO75">
        <v>0</v>
      </c>
      <c r="AAP75">
        <v>6.0161465610929998E-2</v>
      </c>
      <c r="AAQ75">
        <v>5.7330119029682103E-2</v>
      </c>
      <c r="AAR75">
        <v>6.1191626409017701E-2</v>
      </c>
      <c r="AAS75">
        <v>4.9978986842530597E-2</v>
      </c>
      <c r="AAT75">
        <v>0</v>
      </c>
      <c r="AAU75">
        <v>2.9886260293256601E-2</v>
      </c>
      <c r="AAV75">
        <v>0</v>
      </c>
      <c r="AAW75">
        <v>4.0142201155384402E-2</v>
      </c>
      <c r="AAX75">
        <v>4.52586206896552E-2</v>
      </c>
      <c r="AAY75">
        <v>4.4485706549069699E-2</v>
      </c>
      <c r="AAZ75">
        <v>4.1467676179382601E-2</v>
      </c>
      <c r="ABA75">
        <v>4.0274816394219398E-2</v>
      </c>
      <c r="ABB75">
        <v>0</v>
      </c>
      <c r="ABC75">
        <v>0</v>
      </c>
      <c r="ABD75">
        <v>3.6301549776727102E-2</v>
      </c>
      <c r="ABE75">
        <v>3.3069144575020498E-2</v>
      </c>
      <c r="ABF75">
        <v>4.7001827376652101E-2</v>
      </c>
      <c r="ABG75">
        <v>3.7298317885341603E-2</v>
      </c>
      <c r="ABH75">
        <v>5.6358528246962102E-2</v>
      </c>
      <c r="ABI75">
        <v>0</v>
      </c>
      <c r="ABJ75">
        <v>2.9466439900328299E-2</v>
      </c>
      <c r="ABK75">
        <v>2.0825058162628401E-2</v>
      </c>
      <c r="ABL75">
        <v>1.89334528344163E-2</v>
      </c>
      <c r="ABM75">
        <v>2.7448188577756698E-2</v>
      </c>
      <c r="ABN75">
        <v>2.8548147717021199E-2</v>
      </c>
      <c r="ABO75">
        <v>0</v>
      </c>
      <c r="ABP75">
        <v>1.0906843196682101E-2</v>
      </c>
      <c r="ABQ75">
        <v>6.7634399978613599E-3</v>
      </c>
      <c r="ABR75">
        <v>0</v>
      </c>
      <c r="ABS75">
        <v>2.1233859397417499E-2</v>
      </c>
      <c r="ABT75">
        <v>2.4011853401316102E-2</v>
      </c>
      <c r="ABU75">
        <v>2.8110870847257701E-2</v>
      </c>
      <c r="ABV75">
        <v>3.1179248334303598E-2</v>
      </c>
      <c r="ABW75">
        <v>3.0329188344259601E-3</v>
      </c>
      <c r="ABX75">
        <v>0</v>
      </c>
      <c r="ABY75">
        <v>0</v>
      </c>
      <c r="ABZ75">
        <v>0</v>
      </c>
      <c r="ACA75">
        <v>1.2524613447819501E-2</v>
      </c>
      <c r="ACB75">
        <v>0</v>
      </c>
      <c r="ACC75">
        <v>0</v>
      </c>
      <c r="ACD75">
        <v>0</v>
      </c>
      <c r="ACE75">
        <v>0</v>
      </c>
      <c r="ACF75">
        <v>0</v>
      </c>
      <c r="ACG75">
        <v>5.0921955403087499E-3</v>
      </c>
      <c r="ACH75">
        <v>1.54744525547445E-2</v>
      </c>
      <c r="ACI75">
        <v>1.7615692249095399E-2</v>
      </c>
      <c r="ACJ75">
        <v>1.75491496803763E-2</v>
      </c>
      <c r="ACK75">
        <v>2.74799013279822E-3</v>
      </c>
      <c r="ACL75">
        <v>0</v>
      </c>
      <c r="ACM75">
        <v>0</v>
      </c>
      <c r="ACN75">
        <v>1.30096410732954E-2</v>
      </c>
      <c r="ACO75">
        <v>0</v>
      </c>
      <c r="ACP75">
        <v>6.30661391070317E-3</v>
      </c>
      <c r="ACQ75">
        <v>0</v>
      </c>
      <c r="ACR75">
        <v>0</v>
      </c>
      <c r="ACS75">
        <v>0</v>
      </c>
      <c r="ACT75">
        <v>0</v>
      </c>
      <c r="ACU75">
        <v>2.2335341782671901E-2</v>
      </c>
      <c r="ACV75">
        <v>4.5194540408902998E-3</v>
      </c>
      <c r="ACW75">
        <v>0</v>
      </c>
      <c r="ACX75">
        <v>0</v>
      </c>
      <c r="ACY75">
        <v>0</v>
      </c>
      <c r="ACZ75">
        <v>0</v>
      </c>
      <c r="ADA75">
        <v>0</v>
      </c>
      <c r="ADB75">
        <v>2.0991575749205901E-2</v>
      </c>
      <c r="ADC75">
        <v>5.5591259640102801E-2</v>
      </c>
      <c r="ADD75">
        <v>3.55266492102373E-2</v>
      </c>
      <c r="ADE75">
        <v>0</v>
      </c>
      <c r="ADF75">
        <v>0</v>
      </c>
      <c r="ADG75">
        <v>0</v>
      </c>
      <c r="ADH75">
        <v>0</v>
      </c>
      <c r="ADI75">
        <v>3.5311232586845397E-2</v>
      </c>
      <c r="ADJ75">
        <v>0</v>
      </c>
      <c r="ADK75">
        <v>0</v>
      </c>
      <c r="ADL75">
        <v>3.4521296411275298E-2</v>
      </c>
      <c r="ADM75">
        <v>0</v>
      </c>
      <c r="ADN75">
        <v>0</v>
      </c>
      <c r="ADO75">
        <v>0</v>
      </c>
      <c r="ADP75">
        <v>0</v>
      </c>
      <c r="ADQ75">
        <v>0</v>
      </c>
      <c r="ADR75">
        <v>2.11337868480726E-2</v>
      </c>
      <c r="ADS75">
        <v>0</v>
      </c>
      <c r="ADT75">
        <v>0</v>
      </c>
      <c r="ADU75">
        <v>0</v>
      </c>
      <c r="ADV75">
        <v>0</v>
      </c>
      <c r="ADW75">
        <v>0.22564220066702301</v>
      </c>
      <c r="ADX75">
        <v>0</v>
      </c>
      <c r="ADY75">
        <v>4.07134925655738E-2</v>
      </c>
      <c r="ADZ75">
        <v>0</v>
      </c>
      <c r="AEA75">
        <v>0</v>
      </c>
      <c r="AEB75">
        <v>0</v>
      </c>
      <c r="AEC75">
        <v>0</v>
      </c>
      <c r="AED75">
        <v>0</v>
      </c>
      <c r="AEE75">
        <v>0</v>
      </c>
      <c r="AEF75">
        <v>0</v>
      </c>
      <c r="AEG75">
        <v>0</v>
      </c>
      <c r="AEH75">
        <v>0</v>
      </c>
      <c r="AEI75">
        <v>0</v>
      </c>
      <c r="AEJ75">
        <v>0</v>
      </c>
      <c r="AEK75">
        <v>1.46215574440143E-2</v>
      </c>
      <c r="AEL75">
        <v>0</v>
      </c>
      <c r="AEM75">
        <v>0</v>
      </c>
      <c r="AEN75">
        <v>0</v>
      </c>
      <c r="AEO75">
        <v>0</v>
      </c>
      <c r="AEP75">
        <v>0</v>
      </c>
      <c r="AEQ75">
        <v>0</v>
      </c>
      <c r="AER75">
        <v>6.2032454827943397E-3</v>
      </c>
      <c r="AES75">
        <v>0</v>
      </c>
      <c r="AET75">
        <v>0</v>
      </c>
      <c r="AEU75">
        <v>0</v>
      </c>
      <c r="AEV75">
        <v>0</v>
      </c>
      <c r="AEW75">
        <v>0</v>
      </c>
      <c r="AEX75">
        <v>0</v>
      </c>
      <c r="AEY75">
        <v>0</v>
      </c>
      <c r="AEZ75">
        <v>0</v>
      </c>
      <c r="AFA75">
        <v>0</v>
      </c>
      <c r="AFB75">
        <v>0</v>
      </c>
      <c r="AFC75">
        <v>0</v>
      </c>
      <c r="AFD75">
        <v>0</v>
      </c>
      <c r="AFE75">
        <v>4.7309899856709404E-3</v>
      </c>
      <c r="AFF75">
        <v>0</v>
      </c>
      <c r="AFG75">
        <v>0</v>
      </c>
      <c r="AFH75">
        <v>0</v>
      </c>
      <c r="AFI75">
        <v>0</v>
      </c>
      <c r="AFJ75">
        <v>0</v>
      </c>
      <c r="AFK75">
        <v>0</v>
      </c>
      <c r="AFL75">
        <v>0</v>
      </c>
      <c r="AFM75">
        <v>0</v>
      </c>
      <c r="AFN75">
        <v>9.0946227774074892E-3</v>
      </c>
      <c r="AFO75">
        <v>0</v>
      </c>
      <c r="AFP75">
        <v>0</v>
      </c>
      <c r="AFQ75">
        <v>0</v>
      </c>
      <c r="AFR75">
        <v>0</v>
      </c>
      <c r="AFS75">
        <v>0</v>
      </c>
      <c r="AFT75">
        <v>3.28962882610951E-3</v>
      </c>
      <c r="AFU75">
        <v>0</v>
      </c>
      <c r="AFV75">
        <v>0</v>
      </c>
      <c r="AFW75">
        <v>0</v>
      </c>
      <c r="AFX75">
        <v>0</v>
      </c>
      <c r="AFY75">
        <v>0</v>
      </c>
      <c r="AFZ75">
        <v>0</v>
      </c>
      <c r="AGA75">
        <v>1.27372916567334E-3</v>
      </c>
      <c r="AGB75">
        <v>0</v>
      </c>
      <c r="AGC75">
        <v>0</v>
      </c>
      <c r="AGD75">
        <v>0</v>
      </c>
      <c r="AGE75">
        <v>0</v>
      </c>
      <c r="AGF75">
        <v>0</v>
      </c>
      <c r="AGG75">
        <v>0</v>
      </c>
      <c r="AGH75">
        <v>0</v>
      </c>
      <c r="AGI75">
        <v>0</v>
      </c>
      <c r="AGJ75">
        <v>0</v>
      </c>
      <c r="AGK75">
        <v>0</v>
      </c>
      <c r="AGL75">
        <v>0</v>
      </c>
      <c r="AGM75">
        <v>0</v>
      </c>
      <c r="AGN75">
        <v>0</v>
      </c>
      <c r="AGO75">
        <v>8.4540977716407299E-4</v>
      </c>
      <c r="AGP75">
        <v>0</v>
      </c>
      <c r="AGQ75">
        <v>0</v>
      </c>
      <c r="AGR75">
        <v>0</v>
      </c>
      <c r="AGS75">
        <v>0</v>
      </c>
      <c r="AGT75">
        <v>0</v>
      </c>
      <c r="AGU75">
        <v>0</v>
      </c>
      <c r="AGV75">
        <v>0</v>
      </c>
      <c r="AGW75">
        <v>0</v>
      </c>
      <c r="AGX75">
        <v>0</v>
      </c>
      <c r="AGY75">
        <v>0</v>
      </c>
      <c r="AGZ75">
        <v>0</v>
      </c>
      <c r="AHA75">
        <v>0</v>
      </c>
      <c r="AHB75">
        <v>0</v>
      </c>
      <c r="AHC75">
        <v>6.74624815690077E-3</v>
      </c>
      <c r="AHD75">
        <v>0</v>
      </c>
      <c r="AHE75">
        <v>0</v>
      </c>
      <c r="AHF75">
        <v>0</v>
      </c>
      <c r="AHG75">
        <v>0</v>
      </c>
      <c r="AHH75">
        <v>0</v>
      </c>
      <c r="AHI75">
        <v>0</v>
      </c>
      <c r="AHJ75">
        <v>0</v>
      </c>
      <c r="AHK75">
        <v>0</v>
      </c>
      <c r="AHL75">
        <v>0</v>
      </c>
      <c r="AHM75">
        <v>0</v>
      </c>
      <c r="AHN75">
        <v>0</v>
      </c>
      <c r="AHO75">
        <v>0</v>
      </c>
      <c r="AHP75">
        <v>0</v>
      </c>
      <c r="AHQ75">
        <v>0</v>
      </c>
    </row>
    <row r="76" spans="1:901">
      <c r="A76" s="1" t="s">
        <v>99</v>
      </c>
      <c r="C76" s="39">
        <f t="shared" si="157"/>
        <v>1.7444219066937119E-2</v>
      </c>
      <c r="D76" s="39">
        <f t="shared" si="157"/>
        <v>3.9495114006514655E-2</v>
      </c>
      <c r="E76" s="39">
        <f t="shared" si="157"/>
        <v>3.6219081272084806E-2</v>
      </c>
      <c r="F76" s="39">
        <f t="shared" si="157"/>
        <v>5.073051948051948E-2</v>
      </c>
      <c r="G76" s="39">
        <f t="shared" si="222"/>
        <v>7.1491100087540116E-2</v>
      </c>
      <c r="H76" s="39">
        <f t="shared" si="222"/>
        <v>4.4995673492933375E-2</v>
      </c>
      <c r="I76" s="39">
        <f t="shared" si="222"/>
        <v>0</v>
      </c>
      <c r="J76" s="39">
        <f t="shared" si="222"/>
        <v>7.1927781013395461E-2</v>
      </c>
      <c r="K76" s="39">
        <f t="shared" si="222"/>
        <v>6.1993047508690613E-2</v>
      </c>
      <c r="L76" s="39">
        <f t="shared" si="222"/>
        <v>3.9105129137868316E-2</v>
      </c>
      <c r="M76" s="39">
        <f t="shared" si="222"/>
        <v>3.6675824175824177E-2</v>
      </c>
      <c r="N76" s="39">
        <f t="shared" si="222"/>
        <v>3.4696406443618343E-2</v>
      </c>
      <c r="O76" s="39">
        <f t="shared" si="222"/>
        <v>3.9199673336055535E-2</v>
      </c>
      <c r="P76" s="39">
        <f t="shared" si="222"/>
        <v>3.9516129032258061E-2</v>
      </c>
      <c r="Q76" s="39">
        <f t="shared" si="222"/>
        <v>0</v>
      </c>
      <c r="R76" s="39">
        <f t="shared" si="222"/>
        <v>3.7014563106796114E-2</v>
      </c>
      <c r="S76" s="39">
        <f t="shared" si="222"/>
        <v>3.736799350121852E-2</v>
      </c>
      <c r="T76" s="39">
        <f t="shared" si="222"/>
        <v>3.7006237006237008E-2</v>
      </c>
      <c r="U76" s="39">
        <f t="shared" si="222"/>
        <v>3.9419087136929459E-2</v>
      </c>
      <c r="V76" s="39">
        <f t="shared" ref="V76:AY76" si="807">IFERROR(V13/V55,0)</f>
        <v>4.2667771333885669E-2</v>
      </c>
      <c r="W76" s="39">
        <f t="shared" si="807"/>
        <v>4.3695380774032462E-2</v>
      </c>
      <c r="X76" s="39">
        <f t="shared" si="807"/>
        <v>4.4653830397378122E-2</v>
      </c>
      <c r="Y76" s="39">
        <f t="shared" si="807"/>
        <v>4.7925896093435359E-2</v>
      </c>
      <c r="Z76" s="39">
        <f t="shared" si="807"/>
        <v>5.0501002004008019E-2</v>
      </c>
      <c r="AA76" s="39">
        <f t="shared" si="807"/>
        <v>5.703734099302421E-2</v>
      </c>
      <c r="AB76" s="39">
        <f t="shared" si="807"/>
        <v>6.0066280033140018E-2</v>
      </c>
      <c r="AC76" s="39">
        <f t="shared" si="807"/>
        <v>0.11872146118721461</v>
      </c>
      <c r="AD76" s="39">
        <f t="shared" si="807"/>
        <v>0.11977263499796996</v>
      </c>
      <c r="AE76" s="39">
        <f t="shared" si="807"/>
        <v>3.751379183523354E-2</v>
      </c>
      <c r="AF76" s="39">
        <f t="shared" si="807"/>
        <v>5.5027369634111208E-2</v>
      </c>
      <c r="AG76" s="39">
        <f t="shared" si="807"/>
        <v>8.6313193588162765E-2</v>
      </c>
      <c r="AH76" s="39">
        <f t="shared" si="807"/>
        <v>6.6115702479338845E-2</v>
      </c>
      <c r="AI76" s="39">
        <f t="shared" si="807"/>
        <v>6.0593737291581941E-2</v>
      </c>
      <c r="AJ76" s="39">
        <f t="shared" si="807"/>
        <v>5.8420628525382753E-2</v>
      </c>
      <c r="AK76" s="39">
        <f t="shared" si="807"/>
        <v>5.8149058149058151E-2</v>
      </c>
      <c r="AL76" s="39">
        <f t="shared" si="807"/>
        <v>6.4216478190630047E-2</v>
      </c>
      <c r="AM76" s="39">
        <f t="shared" si="807"/>
        <v>6.7545304777594725E-2</v>
      </c>
      <c r="AN76" s="39">
        <f t="shared" si="807"/>
        <v>6.8163265306122447E-2</v>
      </c>
      <c r="AO76" s="39">
        <f t="shared" si="807"/>
        <v>7.0182555780933062E-2</v>
      </c>
      <c r="AP76" s="39">
        <f t="shared" si="807"/>
        <v>0</v>
      </c>
      <c r="AQ76" s="39">
        <f t="shared" si="807"/>
        <v>3.5244075349402472E-2</v>
      </c>
      <c r="AR76" s="39">
        <f t="shared" si="807"/>
        <v>7.4454956807897987E-2</v>
      </c>
      <c r="AS76" s="39">
        <f t="shared" si="807"/>
        <v>0</v>
      </c>
      <c r="AT76" s="39">
        <f t="shared" si="807"/>
        <v>3.9885457148701169E-2</v>
      </c>
      <c r="AU76" s="39">
        <f t="shared" si="807"/>
        <v>7.8066914498141265E-2</v>
      </c>
      <c r="AV76" s="39">
        <f t="shared" si="807"/>
        <v>0</v>
      </c>
      <c r="AW76" s="39">
        <f t="shared" si="807"/>
        <v>0</v>
      </c>
      <c r="AX76" s="39">
        <f t="shared" si="807"/>
        <v>2.4192420640469864E-2</v>
      </c>
      <c r="AY76" s="39">
        <f t="shared" si="807"/>
        <v>8.5132890365448508E-2</v>
      </c>
      <c r="AZ76" s="39">
        <f t="shared" si="91"/>
        <v>7.5720164609053495E-2</v>
      </c>
      <c r="BA76" s="39">
        <f t="shared" ref="BA76:BF76" si="808">IFERROR(BA13/BA55,0)</f>
        <v>7.4150787075393534E-2</v>
      </c>
      <c r="BB76" s="39">
        <f t="shared" si="808"/>
        <v>0</v>
      </c>
      <c r="BC76" s="39">
        <f t="shared" si="808"/>
        <v>0</v>
      </c>
      <c r="BD76" s="39">
        <f t="shared" si="808"/>
        <v>0</v>
      </c>
      <c r="BE76" s="39">
        <f t="shared" si="808"/>
        <v>0</v>
      </c>
      <c r="BF76" s="39">
        <f t="shared" si="808"/>
        <v>1.3623094388582549E-2</v>
      </c>
      <c r="BG76" s="39">
        <f t="shared" ref="BG76" si="809">IFERROR(BG13/BG55,0)</f>
        <v>6.767842493847416E-2</v>
      </c>
      <c r="BH76" s="39">
        <f t="shared" si="93"/>
        <v>6.7050596462361167E-2</v>
      </c>
      <c r="BI76" s="39">
        <f t="shared" ref="BI76:BK76" si="810">IFERROR(BI13/BI55,0)</f>
        <v>6.4201544087769194E-2</v>
      </c>
      <c r="BJ76" s="39">
        <f t="shared" si="810"/>
        <v>6.3223140495867775E-2</v>
      </c>
      <c r="BK76" s="39">
        <f t="shared" si="810"/>
        <v>0</v>
      </c>
      <c r="BL76" s="39">
        <f t="shared" ref="BL76:BM76" si="811">IFERROR(BL13/BL55,0)</f>
        <v>6.0358890701468187E-2</v>
      </c>
      <c r="BM76" s="39">
        <f t="shared" si="811"/>
        <v>5.872756933115824E-2</v>
      </c>
      <c r="BN76" s="39">
        <f t="shared" ref="BN76:BO76" si="812">IFERROR(BN13/BN55,0)</f>
        <v>5.7692307692307696E-2</v>
      </c>
      <c r="BO76" s="39">
        <f t="shared" si="812"/>
        <v>6.2780269058295965E-2</v>
      </c>
      <c r="BP76" s="39">
        <f t="shared" ref="BP76:BQ76" si="813">IFERROR(BP13/BP55,0)</f>
        <v>6.3993519643580396E-2</v>
      </c>
      <c r="BQ76" s="39">
        <f t="shared" si="813"/>
        <v>4.5441389290882782E-2</v>
      </c>
      <c r="BR76" s="39">
        <f t="shared" ref="BR76:BS76" si="814">IFERROR(BR13/BR55,0)</f>
        <v>6.7073170731707321E-2</v>
      </c>
      <c r="BS76" s="39">
        <f t="shared" si="814"/>
        <v>0</v>
      </c>
      <c r="BT76" s="39">
        <f t="shared" ref="BT76:BU76" si="815">IFERROR(BT13/BT55,0)</f>
        <v>3.4602076124567477E-2</v>
      </c>
      <c r="BU76" s="39">
        <f t="shared" si="815"/>
        <v>7.0828331332533009E-2</v>
      </c>
      <c r="BV76" s="39">
        <f t="shared" ref="BV76:BW76" si="816">IFERROR(BV13/BV55,0)</f>
        <v>0</v>
      </c>
      <c r="BW76" s="39">
        <f t="shared" si="816"/>
        <v>0</v>
      </c>
      <c r="BX76" s="39">
        <f t="shared" ref="BX76:BY76" si="817">IFERROR(BX13/BX55,0)</f>
        <v>0</v>
      </c>
      <c r="BY76" s="39">
        <f t="shared" si="817"/>
        <v>1.9185869454877678E-2</v>
      </c>
      <c r="BZ76" s="39">
        <f t="shared" ref="BZ76:CA76" si="818">IFERROR(BZ13/BZ55,0)</f>
        <v>0</v>
      </c>
      <c r="CA76" s="39">
        <f t="shared" si="818"/>
        <v>3.8087520259319288E-2</v>
      </c>
      <c r="CB76" s="39">
        <f t="shared" ref="CB76:CC76" si="819">IFERROR(CB13/CB55,0)</f>
        <v>8.2053354890865002E-2</v>
      </c>
      <c r="CC76" s="39">
        <f t="shared" si="819"/>
        <v>8.7821043910521951E-2</v>
      </c>
      <c r="CD76" s="39">
        <f t="shared" ref="CD76:CE76" si="820">IFERROR(CD13/CD55,0)</f>
        <v>8.1244947453516569E-2</v>
      </c>
      <c r="CE76" s="39">
        <f t="shared" si="820"/>
        <v>8.8981288981288986E-2</v>
      </c>
      <c r="CF76" s="39">
        <f t="shared" ref="CF76:CG76" si="821">IFERROR(CF13/CF55,0)</f>
        <v>8.3637840032480718E-2</v>
      </c>
      <c r="CG76" s="39">
        <f t="shared" si="821"/>
        <v>7.6243980738362763E-2</v>
      </c>
      <c r="CH76" s="39">
        <f t="shared" ref="CH76:CI76" si="822">IFERROR(CH13/CH55,0)</f>
        <v>0</v>
      </c>
      <c r="CI76" s="39">
        <f t="shared" si="822"/>
        <v>0</v>
      </c>
      <c r="CJ76" s="39">
        <f t="shared" ref="CJ76:CK76" si="823">IFERROR(CJ13/CJ55,0)</f>
        <v>6.0344827586206899E-2</v>
      </c>
      <c r="CK76" s="39">
        <f t="shared" si="823"/>
        <v>9.5912585997571839E-2</v>
      </c>
      <c r="CL76" s="39">
        <f t="shared" ref="CL76:CM76" si="824">IFERROR(CL13/CL55,0)</f>
        <v>0.10080971659919029</v>
      </c>
      <c r="CM76" s="39">
        <f t="shared" si="824"/>
        <v>0.10349075975359343</v>
      </c>
      <c r="CN76" s="39">
        <f t="shared" ref="CN76:CO76" si="825">IFERROR(CN13/CN55,0)</f>
        <v>0.10763606823720552</v>
      </c>
      <c r="CO76" s="39">
        <f t="shared" si="825"/>
        <v>0</v>
      </c>
      <c r="CP76" s="39">
        <f t="shared" ref="CP76:CQ76" si="826">IFERROR(CP13/CP55,0)</f>
        <v>5.3613511390416341E-2</v>
      </c>
      <c r="CQ76" s="39">
        <f t="shared" si="826"/>
        <v>0.11578079934074989</v>
      </c>
      <c r="CR76" s="39">
        <f t="shared" ref="CR76:CS76" si="827">IFERROR(CR13/CR55,0)</f>
        <v>0.11643270024772914</v>
      </c>
      <c r="CS76" s="39">
        <f t="shared" si="827"/>
        <v>0.12026090501426824</v>
      </c>
      <c r="CT76" s="39">
        <f t="shared" ref="CT76:CU76" si="828">IFERROR(CT13/CT55,0)</f>
        <v>0</v>
      </c>
      <c r="CU76" s="39">
        <f t="shared" si="828"/>
        <v>0</v>
      </c>
      <c r="CV76" s="39">
        <f t="shared" ref="CV76:CW76" si="829">IFERROR(CV13/CV55,0)</f>
        <v>3.8924558587479938E-2</v>
      </c>
      <c r="CW76" s="39">
        <f t="shared" si="829"/>
        <v>0</v>
      </c>
      <c r="CX76" s="39">
        <f t="shared" ref="CX76:CY76" si="830">IFERROR(CX13/CX55,0)</f>
        <v>0</v>
      </c>
      <c r="CY76" s="39">
        <f t="shared" si="830"/>
        <v>0</v>
      </c>
      <c r="CZ76" s="39">
        <f t="shared" ref="CZ76:DA76" si="831">IFERROR(CZ13/CZ55,0)</f>
        <v>3.5149863760217982E-2</v>
      </c>
      <c r="DA76" s="39">
        <f t="shared" si="831"/>
        <v>0.10890688259109312</v>
      </c>
      <c r="DB76" s="39">
        <f t="shared" ref="DB76:DC76" si="832">IFERROR(DB13/DB55,0)</f>
        <v>0.11423841059602649</v>
      </c>
      <c r="DC76" s="39">
        <f t="shared" si="832"/>
        <v>0</v>
      </c>
      <c r="DD76" s="39">
        <f t="shared" ref="DD76:DE76" si="833">IFERROR(DD13/DD55,0)</f>
        <v>0.11730449251247921</v>
      </c>
      <c r="DE76" s="39">
        <f t="shared" si="833"/>
        <v>0.11183941007783695</v>
      </c>
      <c r="DF76" s="39">
        <f t="shared" ref="DF76:DG76" si="834">IFERROR(DF13/DF55,0)</f>
        <v>0.1158021712907117</v>
      </c>
      <c r="DG76" s="39">
        <f t="shared" si="834"/>
        <v>0.12769784172661872</v>
      </c>
      <c r="DH76" s="39">
        <f t="shared" ref="DH76:DI76" si="835">IFERROR(DH13/DH55,0)</f>
        <v>0.11037891268533773</v>
      </c>
      <c r="DI76" s="39">
        <f t="shared" si="835"/>
        <v>0.12003311258278146</v>
      </c>
      <c r="DJ76" s="39">
        <f t="shared" ref="DJ76:DK76" si="836">IFERROR(DJ13/DJ55,0)</f>
        <v>0.12423124231242312</v>
      </c>
      <c r="DK76" s="39">
        <f t="shared" si="836"/>
        <v>0.12556237218813907</v>
      </c>
      <c r="DL76" s="39">
        <f t="shared" ref="DL76:DM76" si="837">IFERROR(DL13/DL55,0)</f>
        <v>0.13225538971807629</v>
      </c>
      <c r="DM76" s="39">
        <f t="shared" si="837"/>
        <v>0.13604603370324703</v>
      </c>
      <c r="DN76" s="39">
        <f t="shared" ref="DN76:DO76" si="838">IFERROR(DN13/DN55,0)</f>
        <v>0</v>
      </c>
      <c r="DO76" s="39">
        <f t="shared" si="838"/>
        <v>6.4220183486238536E-2</v>
      </c>
      <c r="DP76" s="39">
        <f t="shared" ref="DP76:DQ76" si="839">IFERROR(DP13/DP55,0)</f>
        <v>0.13066557778685178</v>
      </c>
      <c r="DQ76" s="39">
        <f t="shared" si="839"/>
        <v>0.11996779388083736</v>
      </c>
      <c r="DR76" s="39">
        <f t="shared" ref="DR76:DS76" si="840">IFERROR(DR13/DR55,0)</f>
        <v>0</v>
      </c>
      <c r="DS76" s="39">
        <f t="shared" si="840"/>
        <v>6.4326298701298704E-2</v>
      </c>
      <c r="DT76" s="39">
        <f t="shared" ref="DT76:DU76" si="841">IFERROR(DT13/DT55,0)</f>
        <v>0.13430353430353431</v>
      </c>
      <c r="DU76" s="39">
        <f t="shared" si="841"/>
        <v>0.13653289201489449</v>
      </c>
      <c r="DV76" s="39">
        <f t="shared" si="125"/>
        <v>0</v>
      </c>
      <c r="DW76" s="39">
        <f t="shared" si="125"/>
        <v>0</v>
      </c>
      <c r="DX76" s="39">
        <f t="shared" ref="DX76:DY76" si="842">IFERROR(DX13/DX55,0)</f>
        <v>8.4557309540150991E-2</v>
      </c>
      <c r="DY76" s="39">
        <f t="shared" si="842"/>
        <v>0.11725846407927333</v>
      </c>
      <c r="DZ76" s="39">
        <f t="shared" ref="DZ76:EA76" si="843">IFERROR(DZ13/DZ55,0)</f>
        <v>0.11142397425583267</v>
      </c>
      <c r="EA76" s="39">
        <f t="shared" si="843"/>
        <v>0.11069958847736626</v>
      </c>
      <c r="EB76" s="39">
        <f t="shared" ref="EB76:EC76" si="844">IFERROR(EB13/EB55,0)</f>
        <v>0.10794044665012408</v>
      </c>
      <c r="EC76" s="39">
        <f t="shared" si="844"/>
        <v>0.10537021969080554</v>
      </c>
      <c r="ED76" s="39">
        <f t="shared" ref="ED76:EE76" si="845">IFERROR(ED13/ED55,0)</f>
        <v>0.10190824198132359</v>
      </c>
      <c r="EE76" s="39">
        <f t="shared" si="845"/>
        <v>0</v>
      </c>
      <c r="EF76" s="39">
        <f t="shared" ref="EF76:EG76" si="846">IFERROR(EF13/EF55,0)</f>
        <v>0</v>
      </c>
      <c r="EG76" s="39">
        <f t="shared" si="846"/>
        <v>0</v>
      </c>
      <c r="EH76" s="39">
        <f t="shared" ref="EH76:EI76" si="847">IFERROR(EH13/EH55,0)</f>
        <v>2.4587675806941212E-2</v>
      </c>
      <c r="EI76" s="39">
        <f t="shared" si="847"/>
        <v>6.6434580794894116E-2</v>
      </c>
      <c r="EJ76" s="39">
        <f t="shared" ref="EJ76:EK76" si="848">IFERROR(EJ13/EJ55,0)</f>
        <v>0</v>
      </c>
      <c r="EK76" s="39">
        <f t="shared" si="848"/>
        <v>4.2724458204334369E-2</v>
      </c>
      <c r="EL76" s="39">
        <f t="shared" ref="EL76:EM76" si="849">IFERROR(EL13/EL55,0)</f>
        <v>8.1885856079404462E-2</v>
      </c>
      <c r="EM76" s="39">
        <f t="shared" si="849"/>
        <v>8.1600000000000006E-2</v>
      </c>
      <c r="EN76" s="39">
        <f t="shared" ref="EN76:EO76" si="850">IFERROR(EN13/EN55,0)</f>
        <v>8.4160381103612542E-2</v>
      </c>
      <c r="EO76" s="39">
        <f t="shared" si="850"/>
        <v>8.2131410256410256E-2</v>
      </c>
      <c r="EP76" s="39">
        <f t="shared" ref="EP76" si="851">IFERROR(EP13/EP55,0)</f>
        <v>8.5390530149736951E-2</v>
      </c>
      <c r="EQ76" s="39">
        <f t="shared" ref="EQ76:ER76" si="852">IFERROR(EQ13/EQ55,0)</f>
        <v>0</v>
      </c>
      <c r="ER76" s="39">
        <f t="shared" si="852"/>
        <v>0</v>
      </c>
      <c r="ES76" s="39">
        <f t="shared" ref="ES76:ET76" si="853">IFERROR(ES13/ES55,0)</f>
        <v>0</v>
      </c>
      <c r="ET76" s="39">
        <f t="shared" si="853"/>
        <v>0</v>
      </c>
      <c r="EU76" s="39">
        <f t="shared" ref="EU76:EV76" si="854">IFERROR(EU13/EU55,0)</f>
        <v>0</v>
      </c>
      <c r="EV76" s="39">
        <f t="shared" si="854"/>
        <v>0</v>
      </c>
      <c r="EW76" s="39">
        <f t="shared" ref="EW76:EX76" si="855">IFERROR(EW13/EW55,0)</f>
        <v>1.0770311402481855E-2</v>
      </c>
      <c r="EX76" s="39">
        <f t="shared" si="855"/>
        <v>0</v>
      </c>
      <c r="EY76" s="39">
        <f t="shared" ref="EY76:EZ76" si="856">IFERROR(EY13/EY55,0)</f>
        <v>0</v>
      </c>
      <c r="EZ76" s="39">
        <f t="shared" si="856"/>
        <v>2.353585112205802E-2</v>
      </c>
      <c r="FA76" s="39">
        <f t="shared" ref="FA76:FB76" si="857">IFERROR(FA13/FA55,0)</f>
        <v>0</v>
      </c>
      <c r="FB76" s="39">
        <f t="shared" si="857"/>
        <v>0</v>
      </c>
      <c r="FC76" s="39">
        <f t="shared" ref="FC76:FD76" si="858">IFERROR(FC13/FC55,0)</f>
        <v>0</v>
      </c>
      <c r="FD76" s="39">
        <f t="shared" si="858"/>
        <v>7.0644929765200454E-2</v>
      </c>
      <c r="FE76" s="39">
        <f t="shared" ref="FE76:FF76" si="859">IFERROR(FE13/FE55,0)</f>
        <v>0</v>
      </c>
      <c r="FF76" s="39">
        <f t="shared" si="859"/>
        <v>0</v>
      </c>
      <c r="FG76" s="39">
        <f t="shared" ref="FG76:FH76" si="860">IFERROR(FG13/FG55,0)</f>
        <v>2.1270830510770899E-2</v>
      </c>
      <c r="FH76" s="39">
        <f t="shared" si="860"/>
        <v>6.2857142857142861E-2</v>
      </c>
      <c r="FI76" s="39">
        <f t="shared" ref="FI76:FJ76" si="861">IFERROR(FI13/FI55,0)</f>
        <v>0</v>
      </c>
      <c r="FJ76" s="39">
        <f t="shared" si="861"/>
        <v>0</v>
      </c>
      <c r="FK76" s="39">
        <f>IFERROR(FK13/FK55,0)</f>
        <v>0</v>
      </c>
      <c r="FL76" s="39">
        <f t="shared" ref="FL76" si="862">IFERROR(FL13/FL55,0)</f>
        <v>0</v>
      </c>
      <c r="FM76" s="39">
        <f t="shared" ref="FM76" si="863">IFERROR(FM13/FM55,0)</f>
        <v>0</v>
      </c>
      <c r="FN76" s="39">
        <v>1.0783124410297884E-2</v>
      </c>
      <c r="FO76" s="39">
        <f t="shared" ref="FO76" si="864">IFERROR(FO13/FO55,0)</f>
        <v>0</v>
      </c>
      <c r="FP76" s="39">
        <v>0</v>
      </c>
      <c r="FQ76" s="39">
        <f t="shared" ref="FQ76:HA76" si="865">IFERROR(FQ13/FQ55,0)</f>
        <v>0</v>
      </c>
      <c r="FR76" s="39">
        <v>0</v>
      </c>
      <c r="FS76" s="39">
        <f t="shared" si="865"/>
        <v>1.0998439937597504E-2</v>
      </c>
      <c r="FT76" s="39">
        <f t="shared" si="865"/>
        <v>5.4870775347912522E-2</v>
      </c>
      <c r="FU76" s="39">
        <f t="shared" si="865"/>
        <v>5.4909819639278559E-2</v>
      </c>
      <c r="FV76" s="39">
        <f t="shared" si="865"/>
        <v>5.3072625698324022E-2</v>
      </c>
      <c r="FW76" s="39">
        <f t="shared" si="865"/>
        <v>5.6093623890234062E-2</v>
      </c>
      <c r="FX76" s="39">
        <f t="shared" si="865"/>
        <v>5.4831288343558285E-2</v>
      </c>
      <c r="FY76" s="39">
        <f t="shared" si="865"/>
        <v>6.0655737704918035E-2</v>
      </c>
      <c r="FZ76" s="39">
        <f t="shared" si="865"/>
        <v>6.2678062678062682E-2</v>
      </c>
      <c r="GA76" s="39">
        <f t="shared" si="865"/>
        <v>0</v>
      </c>
      <c r="GB76" s="39">
        <f t="shared" si="865"/>
        <v>0</v>
      </c>
      <c r="GC76" s="39">
        <f t="shared" si="865"/>
        <v>0</v>
      </c>
      <c r="GD76" s="39">
        <f t="shared" si="865"/>
        <v>1.6934046345811051E-2</v>
      </c>
      <c r="GE76" s="39">
        <f t="shared" si="865"/>
        <v>6.3183475091130009E-2</v>
      </c>
      <c r="GF76" s="39">
        <f t="shared" si="865"/>
        <v>0</v>
      </c>
      <c r="GG76" s="39">
        <f t="shared" si="865"/>
        <v>0</v>
      </c>
      <c r="GH76" s="39">
        <f t="shared" si="865"/>
        <v>1.788790247780575E-2</v>
      </c>
      <c r="GI76" s="39">
        <f t="shared" si="865"/>
        <v>0</v>
      </c>
      <c r="GJ76" s="39">
        <f t="shared" si="865"/>
        <v>0</v>
      </c>
      <c r="GK76" s="39">
        <f t="shared" si="865"/>
        <v>0</v>
      </c>
      <c r="GL76" s="39">
        <f t="shared" si="865"/>
        <v>0</v>
      </c>
      <c r="GM76" s="39">
        <f t="shared" si="865"/>
        <v>1.0831500936558351E-2</v>
      </c>
      <c r="GN76" s="39">
        <f t="shared" si="865"/>
        <v>0</v>
      </c>
      <c r="GO76" s="39">
        <f t="shared" si="865"/>
        <v>0</v>
      </c>
      <c r="GP76" s="39">
        <f t="shared" si="865"/>
        <v>0</v>
      </c>
      <c r="GQ76" s="39">
        <f t="shared" si="865"/>
        <v>0</v>
      </c>
      <c r="GR76" s="39">
        <f t="shared" si="865"/>
        <v>0</v>
      </c>
      <c r="GS76" s="39">
        <f t="shared" si="865"/>
        <v>0</v>
      </c>
      <c r="GT76" s="39">
        <f t="shared" si="865"/>
        <v>8.9275362318840586E-3</v>
      </c>
      <c r="GU76" s="39">
        <f t="shared" si="865"/>
        <v>0</v>
      </c>
      <c r="GV76" s="39">
        <f t="shared" si="865"/>
        <v>0</v>
      </c>
      <c r="GW76" s="39">
        <f t="shared" si="865"/>
        <v>0</v>
      </c>
      <c r="GX76" s="39">
        <f t="shared" si="865"/>
        <v>0</v>
      </c>
      <c r="GY76" s="39">
        <f t="shared" si="865"/>
        <v>0</v>
      </c>
      <c r="GZ76" s="39">
        <f t="shared" si="865"/>
        <v>1.1816638370118846E-2</v>
      </c>
      <c r="HA76" s="39">
        <f t="shared" si="865"/>
        <v>0</v>
      </c>
      <c r="HB76" s="39">
        <f t="shared" si="148"/>
        <v>6.746987951807229E-2</v>
      </c>
      <c r="HC76" s="39">
        <f t="shared" si="148"/>
        <v>6.3473053892215567E-2</v>
      </c>
      <c r="HD76" s="39">
        <f t="shared" ref="HD76:JO76" si="866">IFERROR(HD13/HD55,0)</f>
        <v>0.11718426501035197</v>
      </c>
      <c r="HE76" s="39">
        <f t="shared" si="866"/>
        <v>3.0018010806483891E-2</v>
      </c>
      <c r="HF76" s="39">
        <f t="shared" si="866"/>
        <v>6.3707357172215373E-2</v>
      </c>
      <c r="HG76" s="39">
        <f t="shared" si="866"/>
        <v>6.3485477178423233E-2</v>
      </c>
      <c r="HH76" s="39">
        <f t="shared" si="866"/>
        <v>0</v>
      </c>
      <c r="HI76" s="39">
        <f t="shared" si="866"/>
        <v>3.8491345905450787E-2</v>
      </c>
      <c r="HJ76" s="39">
        <f t="shared" si="866"/>
        <v>6.280193236714976E-2</v>
      </c>
      <c r="HK76" s="39">
        <f t="shared" si="866"/>
        <v>6.2398703403565639E-2</v>
      </c>
      <c r="HL76" s="39">
        <f t="shared" si="866"/>
        <v>0</v>
      </c>
      <c r="HM76" s="39">
        <f t="shared" si="866"/>
        <v>3.0181086519114688E-2</v>
      </c>
      <c r="HN76" s="39">
        <f t="shared" si="866"/>
        <v>0</v>
      </c>
      <c r="HO76" s="39">
        <f t="shared" si="866"/>
        <v>6.2230437461491067E-2</v>
      </c>
      <c r="HP76" s="39">
        <f t="shared" si="866"/>
        <v>6.1607507139942883E-2</v>
      </c>
      <c r="HQ76" s="39">
        <f t="shared" si="866"/>
        <v>0</v>
      </c>
      <c r="HR76" s="39">
        <f t="shared" si="866"/>
        <v>2.7800324675324676E-2</v>
      </c>
      <c r="HS76" s="39">
        <f t="shared" si="866"/>
        <v>0</v>
      </c>
      <c r="HT76" s="39">
        <f t="shared" si="866"/>
        <v>0</v>
      </c>
      <c r="HU76" s="39">
        <f t="shared" si="866"/>
        <v>5.6338028169014086E-2</v>
      </c>
      <c r="HV76" s="39">
        <f t="shared" si="866"/>
        <v>5.2865213882163031E-2</v>
      </c>
      <c r="HW76" s="39">
        <f t="shared" si="866"/>
        <v>5.330620549338759E-2</v>
      </c>
      <c r="HX76" s="39">
        <f t="shared" si="866"/>
        <v>5.478896103896104E-2</v>
      </c>
      <c r="HY76" s="39">
        <f t="shared" si="866"/>
        <v>5.3268765133171914E-2</v>
      </c>
      <c r="HZ76" s="39">
        <f t="shared" si="866"/>
        <v>5.1012145748987853E-2</v>
      </c>
      <c r="IA76" s="39">
        <f t="shared" si="866"/>
        <v>5.1313628899835796E-2</v>
      </c>
      <c r="IB76" s="39">
        <f t="shared" si="866"/>
        <v>0</v>
      </c>
      <c r="IC76" s="39">
        <f t="shared" si="866"/>
        <v>0</v>
      </c>
      <c r="ID76" s="39">
        <f t="shared" si="866"/>
        <v>0</v>
      </c>
      <c r="IE76" s="39">
        <f t="shared" si="866"/>
        <v>1.3422818791946308E-2</v>
      </c>
      <c r="IF76" s="39">
        <f t="shared" si="866"/>
        <v>0</v>
      </c>
      <c r="IG76" s="39">
        <f t="shared" si="866"/>
        <v>0</v>
      </c>
      <c r="IH76" s="39">
        <f t="shared" si="866"/>
        <v>1.8906420021762786E-2</v>
      </c>
      <c r="II76" s="39">
        <f t="shared" si="866"/>
        <v>6.0104881000403391E-2</v>
      </c>
      <c r="IJ76" s="39">
        <f t="shared" si="866"/>
        <v>0</v>
      </c>
      <c r="IK76" s="39">
        <f t="shared" si="866"/>
        <v>0</v>
      </c>
      <c r="IL76" s="39">
        <f t="shared" si="866"/>
        <v>0</v>
      </c>
      <c r="IM76" s="39">
        <f t="shared" si="866"/>
        <v>1.4896439138863382E-2</v>
      </c>
      <c r="IN76" s="39">
        <f t="shared" si="866"/>
        <v>6.0096153846153848E-2</v>
      </c>
      <c r="IO76" s="39">
        <f t="shared" si="866"/>
        <v>0</v>
      </c>
      <c r="IP76" s="39">
        <f t="shared" si="866"/>
        <v>0</v>
      </c>
      <c r="IQ76" s="39">
        <f t="shared" si="866"/>
        <v>0</v>
      </c>
      <c r="IR76" s="39">
        <f t="shared" si="866"/>
        <v>1.4943580359865812E-2</v>
      </c>
      <c r="IS76" s="39">
        <f t="shared" si="866"/>
        <v>0</v>
      </c>
      <c r="IT76" s="39">
        <f t="shared" si="866"/>
        <v>0</v>
      </c>
      <c r="IU76" s="39">
        <f t="shared" si="866"/>
        <v>2.8524857375713121E-2</v>
      </c>
      <c r="IV76" s="39">
        <f t="shared" si="866"/>
        <v>5.7498994772818654E-2</v>
      </c>
      <c r="IW76" s="39">
        <f t="shared" si="866"/>
        <v>0</v>
      </c>
      <c r="IX76" s="39">
        <f t="shared" si="866"/>
        <v>0</v>
      </c>
      <c r="IY76" s="39">
        <f t="shared" si="866"/>
        <v>0</v>
      </c>
      <c r="IZ76" s="39">
        <f t="shared" si="866"/>
        <v>0</v>
      </c>
      <c r="JA76" s="39">
        <f t="shared" si="866"/>
        <v>5.8792018213472616E-2</v>
      </c>
      <c r="JB76" s="39">
        <f t="shared" si="866"/>
        <v>0</v>
      </c>
      <c r="JC76" s="39">
        <f t="shared" si="866"/>
        <v>0</v>
      </c>
      <c r="JD76" s="39">
        <f t="shared" si="866"/>
        <v>0</v>
      </c>
      <c r="JE76" s="39">
        <f t="shared" si="866"/>
        <v>0</v>
      </c>
      <c r="JF76" s="39">
        <f t="shared" si="866"/>
        <v>1.5024087531640402E-2</v>
      </c>
      <c r="JG76" s="39">
        <f t="shared" si="866"/>
        <v>0</v>
      </c>
      <c r="JH76" s="39">
        <f t="shared" si="866"/>
        <v>3.8477282030290626E-2</v>
      </c>
      <c r="JI76" s="39">
        <f t="shared" si="866"/>
        <v>0</v>
      </c>
      <c r="JJ76" s="39">
        <f t="shared" si="866"/>
        <v>0</v>
      </c>
      <c r="JK76" s="39">
        <f t="shared" si="866"/>
        <v>0</v>
      </c>
      <c r="JL76" s="39">
        <f t="shared" si="866"/>
        <v>0</v>
      </c>
      <c r="JM76" s="39">
        <f t="shared" si="866"/>
        <v>1.5907799691583475E-2</v>
      </c>
      <c r="JN76" s="39">
        <f t="shared" si="866"/>
        <v>8.1247435371358229E-2</v>
      </c>
      <c r="JO76" s="39">
        <f t="shared" si="866"/>
        <v>0</v>
      </c>
      <c r="JP76" s="39">
        <f t="shared" ref="JP76:KG76" si="867">IFERROR(JP13/JP55,0)</f>
        <v>0</v>
      </c>
      <c r="JQ76" s="39">
        <f t="shared" si="867"/>
        <v>0</v>
      </c>
      <c r="JR76" s="39">
        <f t="shared" si="867"/>
        <v>0</v>
      </c>
      <c r="JS76" s="39">
        <f t="shared" si="867"/>
        <v>3.8971638441134465E-2</v>
      </c>
      <c r="JT76" s="39">
        <f t="shared" si="867"/>
        <v>0</v>
      </c>
      <c r="JU76" s="39">
        <f t="shared" si="867"/>
        <v>0</v>
      </c>
      <c r="JV76" s="39">
        <f t="shared" si="867"/>
        <v>0</v>
      </c>
      <c r="JW76" s="39">
        <f t="shared" si="867"/>
        <v>0</v>
      </c>
      <c r="JX76" s="39">
        <f t="shared" si="867"/>
        <v>0</v>
      </c>
      <c r="JY76" s="39">
        <f t="shared" si="867"/>
        <v>1.2635135135135134E-2</v>
      </c>
      <c r="JZ76" s="39">
        <f t="shared" si="867"/>
        <v>0.08</v>
      </c>
      <c r="KA76" s="39">
        <f t="shared" si="867"/>
        <v>0</v>
      </c>
      <c r="KB76" s="39">
        <f t="shared" si="867"/>
        <v>0</v>
      </c>
      <c r="KC76" s="39">
        <f t="shared" si="867"/>
        <v>0</v>
      </c>
      <c r="KD76" s="39">
        <f t="shared" si="867"/>
        <v>0</v>
      </c>
      <c r="KE76" s="39">
        <f t="shared" si="867"/>
        <v>1.7798179914633165E-2</v>
      </c>
      <c r="KF76" s="39">
        <f t="shared" si="867"/>
        <v>0</v>
      </c>
      <c r="KG76" s="39">
        <f t="shared" si="867"/>
        <v>4.6209971625456023E-2</v>
      </c>
      <c r="KH76" s="39">
        <f t="shared" si="475"/>
        <v>0</v>
      </c>
      <c r="KI76" s="39">
        <f t="shared" si="475"/>
        <v>0</v>
      </c>
      <c r="KJ76" s="39">
        <f t="shared" si="541"/>
        <v>3.1632512721771422E-2</v>
      </c>
      <c r="KK76" s="39">
        <f t="shared" si="541"/>
        <v>0</v>
      </c>
      <c r="KL76" s="39">
        <f t="shared" si="541"/>
        <v>0</v>
      </c>
      <c r="KM76" s="39">
        <f t="shared" si="541"/>
        <v>3.2919000136593358E-2</v>
      </c>
      <c r="KN76" s="39">
        <f t="shared" si="541"/>
        <v>0</v>
      </c>
      <c r="KO76" s="39">
        <f t="shared" si="541"/>
        <v>4.878048780487805E-2</v>
      </c>
      <c r="KP76" s="39">
        <f t="shared" si="541"/>
        <v>9.3461692739671073E-2</v>
      </c>
      <c r="KQ76" s="39">
        <f t="shared" si="541"/>
        <v>9.9220992209922101E-2</v>
      </c>
      <c r="KR76" s="39">
        <f t="shared" si="541"/>
        <v>9.9156965074267356E-2</v>
      </c>
      <c r="KS76" s="39">
        <f t="shared" si="541"/>
        <v>0</v>
      </c>
      <c r="KT76" s="39">
        <f t="shared" si="541"/>
        <v>0</v>
      </c>
      <c r="KU76" s="39">
        <f t="shared" si="541"/>
        <v>0</v>
      </c>
      <c r="KV76" s="39">
        <f t="shared" si="541"/>
        <v>0</v>
      </c>
      <c r="KW76" s="39">
        <f t="shared" si="541"/>
        <v>2.1843671040834622E-2</v>
      </c>
      <c r="KX76" s="39">
        <f t="shared" si="541"/>
        <v>0</v>
      </c>
      <c r="KY76" s="39">
        <f t="shared" si="541"/>
        <v>5.5679287305122498E-2</v>
      </c>
      <c r="KZ76" s="39">
        <f t="shared" ref="KZ76:NK76" si="868">IFERROR(KZ13/KZ55,0)</f>
        <v>0</v>
      </c>
      <c r="LA76" s="39">
        <f t="shared" si="868"/>
        <v>0</v>
      </c>
      <c r="LB76" s="39">
        <f t="shared" si="868"/>
        <v>0</v>
      </c>
      <c r="LC76" s="39">
        <f t="shared" si="868"/>
        <v>2.8116118554608202E-2</v>
      </c>
      <c r="LD76" s="39">
        <f t="shared" si="868"/>
        <v>0.11119936457505956</v>
      </c>
      <c r="LE76" s="39">
        <f t="shared" si="868"/>
        <v>0.10935023771790808</v>
      </c>
      <c r="LF76" s="39">
        <f t="shared" si="868"/>
        <v>0.11381789137380191</v>
      </c>
      <c r="LG76" s="39">
        <f t="shared" si="868"/>
        <v>0</v>
      </c>
      <c r="LH76" s="39">
        <f t="shared" si="868"/>
        <v>0</v>
      </c>
      <c r="LI76" s="39">
        <f t="shared" si="868"/>
        <v>4.0774299835255351E-2</v>
      </c>
      <c r="LJ76" s="39">
        <f t="shared" si="868"/>
        <v>0</v>
      </c>
      <c r="LK76" s="39">
        <f t="shared" si="868"/>
        <v>0</v>
      </c>
      <c r="LL76" s="39">
        <f t="shared" si="868"/>
        <v>3.936688311688312E-2</v>
      </c>
      <c r="LM76" s="39">
        <f t="shared" si="868"/>
        <v>0</v>
      </c>
      <c r="LN76" s="39">
        <f t="shared" si="868"/>
        <v>0</v>
      </c>
      <c r="LO76" s="39">
        <f t="shared" si="868"/>
        <v>0</v>
      </c>
      <c r="LP76" s="39">
        <f t="shared" si="868"/>
        <v>0</v>
      </c>
      <c r="LQ76" s="39">
        <f t="shared" si="868"/>
        <v>2.4440085008991336E-2</v>
      </c>
      <c r="LR76" s="39">
        <f t="shared" si="868"/>
        <v>0.12307067424857839</v>
      </c>
      <c r="LS76" s="39">
        <f t="shared" si="868"/>
        <v>0</v>
      </c>
      <c r="LT76" s="39">
        <f t="shared" si="868"/>
        <v>0</v>
      </c>
      <c r="LU76" s="39">
        <f t="shared" si="868"/>
        <v>0</v>
      </c>
      <c r="LV76" s="39">
        <f t="shared" si="868"/>
        <v>0</v>
      </c>
      <c r="LW76" s="39">
        <f t="shared" si="868"/>
        <v>0</v>
      </c>
      <c r="LX76" s="39">
        <f t="shared" si="868"/>
        <v>0</v>
      </c>
      <c r="LY76" s="39">
        <f t="shared" si="868"/>
        <v>1.6393442622950821E-2</v>
      </c>
      <c r="LZ76" s="39">
        <f t="shared" si="868"/>
        <v>0.11367313915857605</v>
      </c>
      <c r="MA76" s="39">
        <f t="shared" si="868"/>
        <v>0</v>
      </c>
      <c r="MB76" s="39">
        <f t="shared" si="868"/>
        <v>0</v>
      </c>
      <c r="MC76" s="39">
        <f t="shared" si="868"/>
        <v>0</v>
      </c>
      <c r="MD76" s="39">
        <f t="shared" si="868"/>
        <v>0</v>
      </c>
      <c r="ME76" s="39">
        <f t="shared" si="868"/>
        <v>2.7450980392156862E-2</v>
      </c>
      <c r="MF76" s="39">
        <f t="shared" si="868"/>
        <v>0.11097708082026538</v>
      </c>
      <c r="MG76" s="39">
        <f t="shared" si="868"/>
        <v>0</v>
      </c>
      <c r="MH76" s="39">
        <f t="shared" si="868"/>
        <v>0</v>
      </c>
      <c r="MI76" s="39">
        <f t="shared" si="868"/>
        <v>0</v>
      </c>
      <c r="MJ76" s="39">
        <f t="shared" si="868"/>
        <v>0</v>
      </c>
      <c r="MK76" s="39">
        <f t="shared" si="868"/>
        <v>0</v>
      </c>
      <c r="ML76" s="39">
        <f t="shared" si="868"/>
        <v>0</v>
      </c>
      <c r="MM76" s="39">
        <f t="shared" si="868"/>
        <v>1.7156272574042862E-2</v>
      </c>
      <c r="MN76" s="39">
        <f t="shared" si="868"/>
        <v>0</v>
      </c>
      <c r="MO76" s="39">
        <f t="shared" si="868"/>
        <v>0</v>
      </c>
      <c r="MP76" s="39">
        <f t="shared" si="868"/>
        <v>0</v>
      </c>
      <c r="MQ76" s="39">
        <f t="shared" si="868"/>
        <v>0</v>
      </c>
      <c r="MR76" s="39">
        <f t="shared" si="868"/>
        <v>0</v>
      </c>
      <c r="MS76" s="39">
        <f t="shared" si="868"/>
        <v>0</v>
      </c>
      <c r="MT76" s="39">
        <f t="shared" si="868"/>
        <v>1.7976343834172619E-2</v>
      </c>
      <c r="MU76" s="39">
        <f t="shared" si="868"/>
        <v>0</v>
      </c>
      <c r="MV76" s="39">
        <f t="shared" si="868"/>
        <v>0</v>
      </c>
      <c r="MW76" s="39">
        <f t="shared" si="868"/>
        <v>0</v>
      </c>
      <c r="MX76" s="39">
        <f t="shared" si="868"/>
        <v>3.2358870967741933E-2</v>
      </c>
      <c r="MY76" s="39">
        <f t="shared" si="868"/>
        <v>0.13192182410423453</v>
      </c>
      <c r="MZ76" s="39">
        <f t="shared" si="868"/>
        <v>0</v>
      </c>
      <c r="NA76" s="39">
        <f t="shared" si="868"/>
        <v>0</v>
      </c>
      <c r="NB76" s="39">
        <f t="shared" si="868"/>
        <v>0</v>
      </c>
      <c r="NC76" s="39">
        <f t="shared" si="868"/>
        <v>0</v>
      </c>
      <c r="ND76" s="39">
        <f t="shared" si="868"/>
        <v>0</v>
      </c>
      <c r="NE76" s="39">
        <f t="shared" si="868"/>
        <v>0</v>
      </c>
      <c r="NF76" s="39">
        <f t="shared" si="868"/>
        <v>1.9662594531704481E-2</v>
      </c>
      <c r="NG76" s="39">
        <f t="shared" si="868"/>
        <v>0</v>
      </c>
      <c r="NH76" s="39">
        <f t="shared" si="868"/>
        <v>0</v>
      </c>
      <c r="NI76" s="39">
        <f t="shared" si="868"/>
        <v>0</v>
      </c>
      <c r="NJ76" s="39">
        <f t="shared" si="868"/>
        <v>0</v>
      </c>
      <c r="NK76" s="39">
        <f t="shared" si="868"/>
        <v>0</v>
      </c>
      <c r="NL76" s="39">
        <f t="shared" ref="NL76:NN76" si="869">IFERROR(NL13/NL55,0)</f>
        <v>0</v>
      </c>
      <c r="NM76" s="39">
        <f t="shared" si="869"/>
        <v>1.9621666079191635E-2</v>
      </c>
      <c r="NN76" s="39">
        <f t="shared" si="869"/>
        <v>0</v>
      </c>
      <c r="NO76" s="39">
        <f t="shared" ref="NO76" si="870">IFERROR(NO13/NO55,0)</f>
        <v>0</v>
      </c>
      <c r="NP76" s="39">
        <v>0</v>
      </c>
      <c r="NQ76" s="39">
        <v>0</v>
      </c>
      <c r="NR76" s="39">
        <v>0</v>
      </c>
      <c r="NS76" s="39">
        <v>0</v>
      </c>
      <c r="NT76" s="39">
        <v>0</v>
      </c>
      <c r="NU76" s="39">
        <v>0</v>
      </c>
      <c r="NV76" s="39">
        <v>1.50730954326705E-2</v>
      </c>
      <c r="NW76" s="39">
        <v>0.13128491620111701</v>
      </c>
      <c r="NX76" s="39">
        <v>0</v>
      </c>
      <c r="NY76" s="39">
        <v>0</v>
      </c>
      <c r="NZ76" s="39">
        <v>0</v>
      </c>
      <c r="OA76" s="39">
        <v>0</v>
      </c>
      <c r="OB76" s="39">
        <v>0</v>
      </c>
      <c r="OC76" s="39">
        <v>0</v>
      </c>
      <c r="OD76" s="39">
        <v>1.7473503294185001E-2</v>
      </c>
      <c r="OE76" s="39">
        <v>0.124493106244931</v>
      </c>
      <c r="OF76" s="39">
        <v>0</v>
      </c>
      <c r="OG76" s="39">
        <v>0</v>
      </c>
      <c r="OH76" s="39">
        <v>0</v>
      </c>
      <c r="OI76" s="39">
        <v>0</v>
      </c>
      <c r="OJ76" s="39">
        <v>0</v>
      </c>
      <c r="OK76" s="39">
        <v>1.9091029198044701E-2</v>
      </c>
      <c r="OL76" s="39">
        <v>0.117860016090105</v>
      </c>
      <c r="OM76" s="39">
        <v>0</v>
      </c>
      <c r="ON76" s="39">
        <v>0</v>
      </c>
      <c r="OO76" s="39">
        <v>0</v>
      </c>
      <c r="OP76" s="39">
        <v>2.6134540994433401E-2</v>
      </c>
      <c r="OQ76" s="39">
        <v>0</v>
      </c>
      <c r="OR76" s="39">
        <v>0</v>
      </c>
      <c r="OS76" s="39">
        <f t="shared" ref="OS76" si="871">IFERROR(OS13/OS55,0)</f>
        <v>0</v>
      </c>
      <c r="OT76" s="39">
        <f t="shared" si="156"/>
        <v>0</v>
      </c>
      <c r="OU76" s="39">
        <v>0</v>
      </c>
      <c r="OV76" s="39">
        <v>0</v>
      </c>
      <c r="OW76" s="39">
        <v>0</v>
      </c>
      <c r="OX76" s="39">
        <v>0</v>
      </c>
      <c r="OY76" s="39">
        <v>0</v>
      </c>
      <c r="OZ76" s="39">
        <v>0</v>
      </c>
      <c r="PA76" s="39">
        <v>8.7429285137021508E-3</v>
      </c>
      <c r="PB76" s="39">
        <v>0</v>
      </c>
      <c r="PC76" s="39">
        <v>0</v>
      </c>
      <c r="PD76" s="39">
        <v>0</v>
      </c>
      <c r="PE76" s="39">
        <v>0</v>
      </c>
      <c r="PF76" s="39">
        <v>1.5703124999999998E-2</v>
      </c>
      <c r="PG76" s="39">
        <v>7.5574600701207598E-2</v>
      </c>
      <c r="PH76" s="39">
        <v>6.3685152057245106E-2</v>
      </c>
      <c r="PI76" s="39">
        <v>6.4490445859872597E-2</v>
      </c>
      <c r="PJ76" s="39">
        <v>6.2055335968379401E-2</v>
      </c>
      <c r="PK76" s="39">
        <v>0</v>
      </c>
      <c r="PL76" s="39">
        <v>0</v>
      </c>
      <c r="PM76" s="39">
        <v>0</v>
      </c>
      <c r="PN76" s="39">
        <v>0</v>
      </c>
      <c r="PO76" s="39">
        <v>0</v>
      </c>
      <c r="PP76" s="39">
        <v>0</v>
      </c>
      <c r="PQ76" s="39">
        <v>0</v>
      </c>
      <c r="PR76" s="39">
        <v>0</v>
      </c>
      <c r="PS76" s="39">
        <v>0</v>
      </c>
      <c r="PT76" s="39">
        <v>0</v>
      </c>
      <c r="PU76" s="39">
        <v>0</v>
      </c>
      <c r="PV76" s="39">
        <v>0</v>
      </c>
      <c r="PW76" s="39">
        <v>3.4431874077717698E-3</v>
      </c>
      <c r="PX76" s="39">
        <v>0</v>
      </c>
      <c r="PY76" s="39">
        <v>0</v>
      </c>
      <c r="PZ76" s="39">
        <v>0</v>
      </c>
      <c r="QA76" s="39">
        <v>0</v>
      </c>
      <c r="QB76" s="39">
        <v>0</v>
      </c>
      <c r="QC76" s="39">
        <v>0</v>
      </c>
      <c r="QD76" s="39">
        <v>0</v>
      </c>
      <c r="QE76" s="39">
        <v>0</v>
      </c>
      <c r="QF76" s="39">
        <v>0</v>
      </c>
      <c r="QG76" s="39">
        <v>0</v>
      </c>
      <c r="QH76" s="39">
        <v>0</v>
      </c>
      <c r="QI76" s="39">
        <v>0</v>
      </c>
      <c r="QJ76" s="39">
        <v>0</v>
      </c>
      <c r="QK76" s="39">
        <v>2.3152435636228899E-3</v>
      </c>
      <c r="QL76" s="39">
        <v>2.8683693516699402E-2</v>
      </c>
      <c r="QM76" s="39">
        <v>1.3349272763498701E-2</v>
      </c>
      <c r="QN76" s="39">
        <v>0</v>
      </c>
      <c r="QO76" s="39">
        <v>0</v>
      </c>
      <c r="QP76" s="39">
        <v>7.0516232038318298E-3</v>
      </c>
      <c r="QQ76" s="39">
        <v>1.8496654860291201E-2</v>
      </c>
      <c r="QR76" s="39">
        <v>1.8578352180937001E-2</v>
      </c>
      <c r="QS76" s="39">
        <v>0</v>
      </c>
      <c r="QT76" s="39">
        <v>8.9467263115087393E-3</v>
      </c>
      <c r="QU76" s="39">
        <v>0</v>
      </c>
      <c r="QV76" s="39">
        <v>8.5674437138872298E-3</v>
      </c>
      <c r="QW76" s="39">
        <v>1.5095879232966101E-2</v>
      </c>
      <c r="QX76" s="39">
        <v>0</v>
      </c>
      <c r="QY76" s="39">
        <v>0</v>
      </c>
      <c r="QZ76" s="39">
        <v>0</v>
      </c>
      <c r="RA76" s="39">
        <v>0</v>
      </c>
      <c r="RB76" s="39">
        <v>0</v>
      </c>
      <c r="RC76" s="39">
        <v>1.8967619563744699E-3</v>
      </c>
      <c r="RD76" s="39">
        <v>0</v>
      </c>
      <c r="RE76" s="39">
        <v>0</v>
      </c>
      <c r="RF76" s="39">
        <v>3.6309844002151699E-3</v>
      </c>
      <c r="RG76" s="39">
        <v>1.01916021198532E-2</v>
      </c>
      <c r="RH76" s="39">
        <v>0</v>
      </c>
      <c r="RI76" s="39">
        <v>0</v>
      </c>
      <c r="RJ76" s="39">
        <v>6.1534254068097904E-3</v>
      </c>
      <c r="RK76" s="39">
        <v>2.18535006070417E-2</v>
      </c>
      <c r="RL76" s="39">
        <v>0</v>
      </c>
      <c r="RM76" s="39">
        <v>2.7895694360218298E-2</v>
      </c>
      <c r="RN76" s="39">
        <v>6.4607882974400593E-2</v>
      </c>
      <c r="RO76" s="39">
        <v>7.4212271973465999E-2</v>
      </c>
      <c r="RP76" s="39">
        <v>8.8798370672097796E-2</v>
      </c>
      <c r="RQ76" s="39">
        <v>0</v>
      </c>
      <c r="RR76" s="39">
        <v>6.2322371092164E-2</v>
      </c>
      <c r="RS76" s="39">
        <v>0</v>
      </c>
      <c r="RT76" s="39">
        <v>0</v>
      </c>
      <c r="RU76" s="39">
        <v>0</v>
      </c>
      <c r="RV76" s="39">
        <v>0</v>
      </c>
      <c r="RW76" s="39">
        <v>0</v>
      </c>
      <c r="RX76" s="39">
        <v>0</v>
      </c>
      <c r="RY76" s="39">
        <v>2.72137501053164E-2</v>
      </c>
      <c r="RZ76" s="39">
        <v>0</v>
      </c>
      <c r="SA76" s="39">
        <v>0</v>
      </c>
      <c r="SB76" s="39">
        <v>0</v>
      </c>
      <c r="SC76" s="39">
        <v>0</v>
      </c>
      <c r="SD76" s="39">
        <v>0</v>
      </c>
      <c r="SE76" s="39">
        <v>0</v>
      </c>
      <c r="SF76" s="39">
        <v>2.5934052538550599E-2</v>
      </c>
      <c r="SG76" s="39">
        <v>0.19318181818181801</v>
      </c>
      <c r="SH76" s="39">
        <v>0.18919491525423701</v>
      </c>
      <c r="SI76" s="39">
        <v>0</v>
      </c>
      <c r="SJ76" s="39">
        <v>0.203108367042793</v>
      </c>
      <c r="SK76" s="39">
        <v>0</v>
      </c>
      <c r="SL76" s="39">
        <v>0</v>
      </c>
      <c r="SM76" s="39">
        <v>0</v>
      </c>
      <c r="SN76" s="39">
        <v>0</v>
      </c>
      <c r="SO76" s="39">
        <v>0</v>
      </c>
      <c r="SP76" s="39">
        <v>0</v>
      </c>
      <c r="SQ76" s="39">
        <v>0</v>
      </c>
      <c r="SR76" s="39">
        <v>0</v>
      </c>
      <c r="SS76" s="39">
        <v>0</v>
      </c>
      <c r="ST76" s="39">
        <v>0</v>
      </c>
      <c r="SU76" s="39">
        <v>0</v>
      </c>
      <c r="SV76" s="39">
        <v>1.5362158890649199E-2</v>
      </c>
      <c r="SW76" s="39">
        <v>0.17441736724486501</v>
      </c>
      <c r="SX76" s="39">
        <v>0</v>
      </c>
      <c r="SY76" s="39">
        <v>0</v>
      </c>
      <c r="SZ76" s="39">
        <v>0</v>
      </c>
      <c r="TA76" s="39">
        <v>0</v>
      </c>
      <c r="TB76" s="39">
        <v>0</v>
      </c>
      <c r="TC76" s="39">
        <v>0</v>
      </c>
      <c r="TD76" s="39">
        <v>0</v>
      </c>
      <c r="TE76" s="39">
        <v>0</v>
      </c>
      <c r="TF76" s="39">
        <v>0</v>
      </c>
      <c r="TG76" s="39">
        <v>0</v>
      </c>
      <c r="TH76" s="39">
        <v>0</v>
      </c>
      <c r="TI76" s="39">
        <v>0</v>
      </c>
      <c r="TJ76" s="39">
        <v>0</v>
      </c>
      <c r="TK76" s="39">
        <v>6.0481099656357401E-3</v>
      </c>
      <c r="TL76" s="39">
        <v>0</v>
      </c>
      <c r="TM76" s="39">
        <v>0</v>
      </c>
      <c r="TN76" s="39">
        <v>0</v>
      </c>
      <c r="TO76" s="39">
        <v>0</v>
      </c>
      <c r="TP76" s="39">
        <v>0</v>
      </c>
      <c r="TQ76" s="39">
        <v>0</v>
      </c>
      <c r="TR76" s="39">
        <v>0</v>
      </c>
      <c r="TS76" s="39">
        <v>0</v>
      </c>
      <c r="TT76" s="39">
        <v>0</v>
      </c>
      <c r="TU76" s="39">
        <v>0</v>
      </c>
      <c r="TV76" s="39">
        <v>0</v>
      </c>
      <c r="TW76" s="39">
        <v>0</v>
      </c>
      <c r="TX76" s="39">
        <v>0</v>
      </c>
      <c r="TY76" s="39">
        <v>0</v>
      </c>
      <c r="TZ76" s="39">
        <v>0</v>
      </c>
      <c r="UA76" s="39">
        <v>0</v>
      </c>
      <c r="UB76" s="39">
        <v>0</v>
      </c>
      <c r="UC76" s="39">
        <v>1.2370392028969201E-3</v>
      </c>
      <c r="UD76" s="39">
        <v>0</v>
      </c>
      <c r="UE76" s="39">
        <v>0</v>
      </c>
      <c r="UF76" s="39">
        <v>0</v>
      </c>
      <c r="UG76" s="39">
        <v>0</v>
      </c>
      <c r="UH76" s="45">
        <v>0</v>
      </c>
      <c r="UI76" s="45">
        <v>0</v>
      </c>
      <c r="UJ76" s="45">
        <v>0</v>
      </c>
      <c r="UK76" s="45">
        <v>0</v>
      </c>
      <c r="UL76" s="45">
        <v>0</v>
      </c>
      <c r="UM76" s="45">
        <v>0</v>
      </c>
      <c r="UN76" s="45">
        <v>0</v>
      </c>
      <c r="UO76" s="45">
        <v>0</v>
      </c>
      <c r="UP76" s="45">
        <v>0</v>
      </c>
      <c r="UQ76" s="45">
        <v>1.82638590459819E-3</v>
      </c>
      <c r="UR76" s="45">
        <v>0</v>
      </c>
      <c r="US76" s="45">
        <v>0</v>
      </c>
      <c r="UT76" s="45">
        <v>0</v>
      </c>
      <c r="UU76" s="45">
        <v>0</v>
      </c>
      <c r="UV76" s="45">
        <v>0</v>
      </c>
      <c r="UW76" s="45">
        <v>0</v>
      </c>
      <c r="UX76" s="45">
        <v>0</v>
      </c>
      <c r="UY76" s="45">
        <v>8.9099030602547008E-3</v>
      </c>
      <c r="UZ76" s="45">
        <v>4.4205679201841904E-3</v>
      </c>
      <c r="VA76" s="45">
        <v>0</v>
      </c>
      <c r="VB76" s="45">
        <v>0</v>
      </c>
      <c r="VC76" s="45">
        <v>0</v>
      </c>
      <c r="VD76" s="45">
        <v>0</v>
      </c>
      <c r="VE76" s="45">
        <v>0</v>
      </c>
      <c r="VF76" s="45">
        <v>0</v>
      </c>
      <c r="VG76" s="45">
        <v>0</v>
      </c>
      <c r="VH76" s="45">
        <v>0</v>
      </c>
      <c r="VI76" s="45">
        <v>0</v>
      </c>
      <c r="VJ76" s="45">
        <v>0</v>
      </c>
      <c r="VK76" s="45">
        <v>0</v>
      </c>
      <c r="VL76" s="45">
        <v>0</v>
      </c>
      <c r="VM76" s="45">
        <v>0</v>
      </c>
      <c r="VN76" s="45">
        <v>0</v>
      </c>
      <c r="VO76" s="45">
        <v>0</v>
      </c>
      <c r="VP76" s="45">
        <v>0</v>
      </c>
      <c r="VQ76" s="45">
        <v>0</v>
      </c>
      <c r="VR76" s="45">
        <v>0</v>
      </c>
      <c r="VS76" s="45">
        <v>0</v>
      </c>
      <c r="VT76" s="45">
        <v>0</v>
      </c>
      <c r="VU76" s="45">
        <v>0</v>
      </c>
      <c r="VV76" s="45">
        <v>0</v>
      </c>
      <c r="VW76" s="45">
        <v>0</v>
      </c>
      <c r="VX76" s="35">
        <v>0</v>
      </c>
      <c r="VY76" s="35">
        <v>0</v>
      </c>
      <c r="VZ76" s="35">
        <v>0</v>
      </c>
      <c r="WA76" s="35">
        <v>0</v>
      </c>
      <c r="WB76" s="35">
        <v>0</v>
      </c>
      <c r="WC76" s="35">
        <v>0</v>
      </c>
      <c r="WD76" s="35">
        <v>0</v>
      </c>
      <c r="WE76" s="35">
        <v>0</v>
      </c>
      <c r="WF76" s="35">
        <v>0</v>
      </c>
      <c r="WG76" s="35">
        <v>0</v>
      </c>
      <c r="WH76" s="35">
        <v>0</v>
      </c>
      <c r="WI76" s="35">
        <v>0</v>
      </c>
      <c r="WJ76" s="35">
        <v>0</v>
      </c>
      <c r="WK76" s="35">
        <v>0</v>
      </c>
      <c r="WL76" s="35">
        <v>0</v>
      </c>
      <c r="WM76" s="35">
        <v>0</v>
      </c>
      <c r="WN76" s="35">
        <v>0</v>
      </c>
      <c r="WO76" s="35">
        <v>0</v>
      </c>
      <c r="WP76" s="35">
        <v>0</v>
      </c>
      <c r="WQ76" s="35">
        <v>0</v>
      </c>
      <c r="WR76" s="35">
        <v>0</v>
      </c>
      <c r="WS76" s="35">
        <v>0</v>
      </c>
      <c r="WT76" s="35">
        <v>0</v>
      </c>
      <c r="WU76" s="35">
        <v>0</v>
      </c>
      <c r="WV76" s="45">
        <v>0</v>
      </c>
      <c r="WW76" s="45">
        <v>0</v>
      </c>
      <c r="WX76" s="45">
        <v>0</v>
      </c>
      <c r="WY76" s="45">
        <v>0</v>
      </c>
      <c r="WZ76" s="45">
        <v>0</v>
      </c>
      <c r="XA76" s="45">
        <v>0</v>
      </c>
      <c r="XB76" s="45">
        <v>0</v>
      </c>
      <c r="XC76" s="45">
        <v>2.3368385912201601E-2</v>
      </c>
      <c r="XD76" s="45">
        <v>0</v>
      </c>
      <c r="XE76" s="45">
        <v>0</v>
      </c>
      <c r="XF76" s="45">
        <v>0</v>
      </c>
      <c r="XG76" s="45">
        <v>0</v>
      </c>
      <c r="XH76" s="45">
        <v>0</v>
      </c>
      <c r="XI76" s="45">
        <v>0</v>
      </c>
      <c r="XJ76" s="45">
        <v>0</v>
      </c>
      <c r="XK76" s="45">
        <v>0</v>
      </c>
      <c r="XL76" s="45">
        <v>0</v>
      </c>
      <c r="XM76" s="45">
        <v>0</v>
      </c>
      <c r="XN76" s="45">
        <v>0</v>
      </c>
      <c r="XO76" s="45">
        <v>0</v>
      </c>
      <c r="XP76" s="45">
        <v>0</v>
      </c>
      <c r="XQ76" s="45">
        <v>0</v>
      </c>
      <c r="XR76" s="45">
        <v>0</v>
      </c>
      <c r="XS76" s="45">
        <v>0</v>
      </c>
      <c r="XT76" s="45">
        <v>0</v>
      </c>
      <c r="XU76" s="45">
        <v>0</v>
      </c>
      <c r="XV76" s="45">
        <v>0</v>
      </c>
      <c r="XW76" s="45">
        <v>0</v>
      </c>
      <c r="XX76" s="45">
        <v>0</v>
      </c>
      <c r="XY76">
        <v>0</v>
      </c>
      <c r="XZ76">
        <v>0</v>
      </c>
      <c r="YA76">
        <v>0</v>
      </c>
      <c r="YB76">
        <v>0</v>
      </c>
      <c r="YC76">
        <v>0</v>
      </c>
      <c r="YD76">
        <v>0</v>
      </c>
      <c r="YE76">
        <v>0</v>
      </c>
      <c r="YF76" s="1">
        <v>0</v>
      </c>
      <c r="YG76" s="1">
        <v>0</v>
      </c>
      <c r="YH76" s="1">
        <v>0</v>
      </c>
      <c r="YI76" s="1">
        <v>0</v>
      </c>
      <c r="YJ76">
        <v>0</v>
      </c>
      <c r="YK76">
        <v>0</v>
      </c>
      <c r="YL76">
        <v>0</v>
      </c>
      <c r="YM76">
        <v>0</v>
      </c>
      <c r="YN76">
        <v>0</v>
      </c>
      <c r="YO76">
        <v>0</v>
      </c>
      <c r="YP76">
        <v>0</v>
      </c>
      <c r="YQ76">
        <v>0</v>
      </c>
      <c r="YR76">
        <v>0</v>
      </c>
      <c r="YS76">
        <v>0</v>
      </c>
      <c r="YT76">
        <v>0</v>
      </c>
      <c r="YU76">
        <v>0</v>
      </c>
      <c r="YV76">
        <v>0</v>
      </c>
      <c r="YW76">
        <v>0</v>
      </c>
      <c r="YX76">
        <v>0</v>
      </c>
      <c r="YY76">
        <v>0</v>
      </c>
      <c r="YZ76">
        <v>0</v>
      </c>
      <c r="ZA76">
        <v>0</v>
      </c>
      <c r="ZB76">
        <v>0</v>
      </c>
      <c r="ZC76">
        <v>0</v>
      </c>
      <c r="ZD76">
        <v>0</v>
      </c>
      <c r="ZE76">
        <v>4.8415741903372099E-3</v>
      </c>
      <c r="ZF76">
        <v>0</v>
      </c>
      <c r="ZG76">
        <v>0</v>
      </c>
      <c r="ZH76">
        <v>0</v>
      </c>
      <c r="ZI76">
        <v>0</v>
      </c>
      <c r="ZJ76">
        <v>0</v>
      </c>
      <c r="ZK76">
        <v>0</v>
      </c>
      <c r="ZL76">
        <v>0</v>
      </c>
      <c r="ZM76">
        <v>0</v>
      </c>
      <c r="ZN76">
        <v>0</v>
      </c>
      <c r="ZO76">
        <v>0</v>
      </c>
      <c r="ZP76">
        <v>0</v>
      </c>
      <c r="ZQ76">
        <v>0</v>
      </c>
      <c r="ZR76">
        <v>0</v>
      </c>
      <c r="ZS76">
        <v>0</v>
      </c>
      <c r="ZT76">
        <v>0</v>
      </c>
      <c r="ZU76">
        <v>0</v>
      </c>
      <c r="ZV76">
        <v>0</v>
      </c>
      <c r="ZW76">
        <v>0</v>
      </c>
      <c r="ZX76">
        <v>0</v>
      </c>
      <c r="ZY76">
        <v>0</v>
      </c>
      <c r="ZZ76">
        <v>0</v>
      </c>
      <c r="AAA76">
        <v>0</v>
      </c>
      <c r="AAB76">
        <v>0</v>
      </c>
      <c r="AAC76">
        <v>0</v>
      </c>
      <c r="AAD76">
        <v>0</v>
      </c>
      <c r="AAE76">
        <v>0</v>
      </c>
      <c r="AAF76">
        <v>0</v>
      </c>
      <c r="AAG76">
        <v>0</v>
      </c>
      <c r="AAH76">
        <v>0</v>
      </c>
      <c r="AAI76">
        <v>0</v>
      </c>
      <c r="AAJ76">
        <v>0</v>
      </c>
      <c r="AAK76">
        <v>1.5208778010587401E-3</v>
      </c>
      <c r="AAL76">
        <v>0</v>
      </c>
      <c r="AAM76">
        <v>0</v>
      </c>
      <c r="AAN76">
        <v>0</v>
      </c>
      <c r="AAO76">
        <v>0</v>
      </c>
      <c r="AAP76">
        <v>0</v>
      </c>
      <c r="AAQ76">
        <v>0</v>
      </c>
      <c r="AAR76">
        <v>0</v>
      </c>
      <c r="AAS76">
        <v>0</v>
      </c>
      <c r="AAT76">
        <v>0</v>
      </c>
      <c r="AAU76">
        <v>0</v>
      </c>
      <c r="AAV76">
        <v>0</v>
      </c>
      <c r="AAW76">
        <v>0</v>
      </c>
      <c r="AAX76">
        <v>0</v>
      </c>
      <c r="AAY76">
        <v>0</v>
      </c>
      <c r="AAZ76">
        <v>0</v>
      </c>
      <c r="ABA76">
        <v>0</v>
      </c>
      <c r="ABB76">
        <v>0</v>
      </c>
      <c r="ABC76">
        <v>0</v>
      </c>
      <c r="ABD76">
        <v>0</v>
      </c>
      <c r="ABE76">
        <v>0</v>
      </c>
      <c r="ABF76">
        <v>0</v>
      </c>
      <c r="ABG76">
        <v>0</v>
      </c>
      <c r="ABH76">
        <v>0</v>
      </c>
      <c r="ABI76">
        <v>0</v>
      </c>
      <c r="ABJ76">
        <v>0</v>
      </c>
      <c r="ABK76">
        <v>0</v>
      </c>
      <c r="ABL76">
        <v>0</v>
      </c>
      <c r="ABM76">
        <v>0</v>
      </c>
      <c r="ABN76">
        <v>0</v>
      </c>
      <c r="ABO76">
        <v>0</v>
      </c>
      <c r="ABP76">
        <v>0</v>
      </c>
      <c r="ABQ76">
        <v>0</v>
      </c>
      <c r="ABR76">
        <v>0</v>
      </c>
      <c r="ABS76">
        <v>0</v>
      </c>
      <c r="ABT76">
        <v>0</v>
      </c>
      <c r="ABU76">
        <v>0</v>
      </c>
      <c r="ABV76">
        <v>0</v>
      </c>
      <c r="ABW76">
        <v>0</v>
      </c>
      <c r="ABX76">
        <v>0</v>
      </c>
      <c r="ABY76">
        <v>0</v>
      </c>
      <c r="ABZ76">
        <v>0</v>
      </c>
      <c r="ACA76">
        <v>0</v>
      </c>
      <c r="ACB76">
        <v>0</v>
      </c>
      <c r="ACC76">
        <v>0</v>
      </c>
      <c r="ACD76">
        <v>0</v>
      </c>
      <c r="ACE76">
        <v>0</v>
      </c>
      <c r="ACF76">
        <v>0</v>
      </c>
      <c r="ACG76">
        <v>0</v>
      </c>
      <c r="ACH76">
        <v>0</v>
      </c>
      <c r="ACI76">
        <v>0</v>
      </c>
      <c r="ACJ76">
        <v>0</v>
      </c>
      <c r="ACK76">
        <v>0</v>
      </c>
      <c r="ACL76">
        <v>0</v>
      </c>
      <c r="ACM76">
        <v>0</v>
      </c>
      <c r="ACN76">
        <v>0</v>
      </c>
      <c r="ACO76">
        <v>0</v>
      </c>
      <c r="ACP76">
        <v>0</v>
      </c>
      <c r="ACQ76">
        <v>0</v>
      </c>
      <c r="ACR76">
        <v>0</v>
      </c>
      <c r="ACS76">
        <v>0</v>
      </c>
      <c r="ACT76">
        <v>0</v>
      </c>
      <c r="ACU76">
        <v>0</v>
      </c>
      <c r="ACV76">
        <v>0</v>
      </c>
      <c r="ACW76">
        <v>0</v>
      </c>
      <c r="ACX76">
        <v>0</v>
      </c>
      <c r="ACY76">
        <v>0</v>
      </c>
      <c r="ACZ76">
        <v>0</v>
      </c>
      <c r="ADA76">
        <v>0</v>
      </c>
      <c r="ADB76">
        <v>0</v>
      </c>
      <c r="ADC76">
        <v>0</v>
      </c>
      <c r="ADD76">
        <v>0</v>
      </c>
      <c r="ADE76">
        <v>0</v>
      </c>
      <c r="ADF76">
        <v>0</v>
      </c>
      <c r="ADG76">
        <v>0</v>
      </c>
      <c r="ADH76">
        <v>0</v>
      </c>
      <c r="ADI76">
        <v>0</v>
      </c>
      <c r="ADJ76">
        <v>0</v>
      </c>
      <c r="ADK76">
        <v>0</v>
      </c>
      <c r="ADL76">
        <v>0</v>
      </c>
      <c r="ADM76">
        <v>0</v>
      </c>
      <c r="ADN76">
        <v>0</v>
      </c>
      <c r="ADO76">
        <v>0</v>
      </c>
      <c r="ADP76">
        <v>0</v>
      </c>
      <c r="ADQ76">
        <v>0</v>
      </c>
      <c r="ADR76">
        <v>0</v>
      </c>
      <c r="ADS76">
        <v>0</v>
      </c>
      <c r="ADT76">
        <v>0</v>
      </c>
      <c r="ADU76">
        <v>0</v>
      </c>
      <c r="ADV76">
        <v>0</v>
      </c>
      <c r="ADW76">
        <v>0</v>
      </c>
      <c r="ADX76">
        <v>0</v>
      </c>
      <c r="ADY76">
        <v>0</v>
      </c>
      <c r="ADZ76">
        <v>0</v>
      </c>
      <c r="AEA76">
        <v>0</v>
      </c>
      <c r="AEB76">
        <v>0</v>
      </c>
      <c r="AEC76">
        <v>0</v>
      </c>
      <c r="AED76">
        <v>0</v>
      </c>
      <c r="AEE76">
        <v>0</v>
      </c>
      <c r="AEF76">
        <v>0</v>
      </c>
      <c r="AEG76">
        <v>0</v>
      </c>
      <c r="AEH76">
        <v>0</v>
      </c>
      <c r="AEI76">
        <v>0</v>
      </c>
      <c r="AEJ76">
        <v>0</v>
      </c>
      <c r="AEK76">
        <v>0</v>
      </c>
      <c r="AEL76">
        <v>0</v>
      </c>
      <c r="AEM76">
        <v>0</v>
      </c>
      <c r="AEN76">
        <v>0</v>
      </c>
      <c r="AEO76">
        <v>0</v>
      </c>
      <c r="AEP76">
        <v>0</v>
      </c>
      <c r="AEQ76">
        <v>0</v>
      </c>
      <c r="AER76">
        <v>0</v>
      </c>
      <c r="AES76">
        <v>0</v>
      </c>
      <c r="AET76">
        <v>0</v>
      </c>
      <c r="AEU76">
        <v>0</v>
      </c>
      <c r="AEV76">
        <v>0</v>
      </c>
      <c r="AEW76">
        <v>0</v>
      </c>
      <c r="AEX76">
        <v>0</v>
      </c>
      <c r="AEY76">
        <v>0</v>
      </c>
      <c r="AEZ76">
        <v>0</v>
      </c>
      <c r="AFA76">
        <v>0</v>
      </c>
      <c r="AFB76">
        <v>0</v>
      </c>
      <c r="AFC76">
        <v>0</v>
      </c>
      <c r="AFD76">
        <v>0</v>
      </c>
      <c r="AFE76">
        <v>0</v>
      </c>
      <c r="AFF76">
        <v>0</v>
      </c>
      <c r="AFG76">
        <v>0</v>
      </c>
      <c r="AFH76">
        <v>0</v>
      </c>
      <c r="AFI76">
        <v>0</v>
      </c>
      <c r="AFJ76">
        <v>0</v>
      </c>
      <c r="AFK76">
        <v>0</v>
      </c>
      <c r="AFL76">
        <v>0</v>
      </c>
      <c r="AFM76">
        <v>0</v>
      </c>
      <c r="AFN76">
        <v>0</v>
      </c>
      <c r="AFO76">
        <v>0</v>
      </c>
      <c r="AFP76">
        <v>0</v>
      </c>
      <c r="AFQ76">
        <v>0</v>
      </c>
      <c r="AFR76">
        <v>0</v>
      </c>
      <c r="AFS76">
        <v>0</v>
      </c>
      <c r="AFT76">
        <v>0</v>
      </c>
      <c r="AFU76">
        <v>0</v>
      </c>
      <c r="AFV76">
        <v>0</v>
      </c>
      <c r="AFW76">
        <v>0</v>
      </c>
      <c r="AFX76">
        <v>0</v>
      </c>
      <c r="AFY76">
        <v>0</v>
      </c>
      <c r="AFZ76">
        <v>0</v>
      </c>
      <c r="AGA76">
        <v>0</v>
      </c>
      <c r="AGB76">
        <v>0</v>
      </c>
      <c r="AGC76">
        <v>0</v>
      </c>
      <c r="AGD76">
        <v>0</v>
      </c>
      <c r="AGE76">
        <v>0</v>
      </c>
      <c r="AGF76">
        <v>0</v>
      </c>
      <c r="AGG76">
        <v>0</v>
      </c>
      <c r="AGH76">
        <v>0</v>
      </c>
      <c r="AGI76">
        <v>0</v>
      </c>
      <c r="AGJ76">
        <v>0</v>
      </c>
      <c r="AGK76">
        <v>0</v>
      </c>
      <c r="AGL76">
        <v>0</v>
      </c>
      <c r="AGM76">
        <v>0</v>
      </c>
      <c r="AGN76">
        <v>0</v>
      </c>
      <c r="AGO76">
        <v>0</v>
      </c>
      <c r="AGP76">
        <v>0</v>
      </c>
      <c r="AGQ76">
        <v>0</v>
      </c>
      <c r="AGR76">
        <v>0</v>
      </c>
      <c r="AGS76">
        <v>0</v>
      </c>
      <c r="AGT76">
        <v>0</v>
      </c>
      <c r="AGU76">
        <v>0</v>
      </c>
      <c r="AGV76">
        <v>0</v>
      </c>
      <c r="AGW76">
        <v>0</v>
      </c>
      <c r="AGX76">
        <v>0</v>
      </c>
      <c r="AGY76">
        <v>0</v>
      </c>
      <c r="AGZ76">
        <v>0</v>
      </c>
      <c r="AHA76">
        <v>0</v>
      </c>
      <c r="AHB76">
        <v>0</v>
      </c>
      <c r="AHC76">
        <v>0</v>
      </c>
      <c r="AHD76">
        <v>0</v>
      </c>
      <c r="AHE76">
        <v>0</v>
      </c>
      <c r="AHF76">
        <v>0</v>
      </c>
      <c r="AHG76">
        <v>0</v>
      </c>
      <c r="AHH76">
        <v>0</v>
      </c>
      <c r="AHI76">
        <v>0</v>
      </c>
      <c r="AHJ76">
        <v>0</v>
      </c>
      <c r="AHK76">
        <v>0</v>
      </c>
      <c r="AHL76">
        <v>0</v>
      </c>
      <c r="AHM76">
        <v>0</v>
      </c>
      <c r="AHN76">
        <v>0</v>
      </c>
      <c r="AHO76">
        <v>0</v>
      </c>
      <c r="AHP76">
        <v>0</v>
      </c>
      <c r="AHQ76">
        <v>0</v>
      </c>
    </row>
    <row r="77" spans="1:901">
      <c r="A77" s="1" t="s">
        <v>66</v>
      </c>
      <c r="C77" s="39">
        <f t="shared" si="157"/>
        <v>0.19217788366090927</v>
      </c>
      <c r="D77" s="39">
        <f t="shared" si="157"/>
        <v>0.15160875160875162</v>
      </c>
      <c r="E77" s="39">
        <f t="shared" si="157"/>
        <v>0.14746268656716419</v>
      </c>
      <c r="F77" s="39">
        <f t="shared" si="157"/>
        <v>0.18699499807618314</v>
      </c>
      <c r="G77" s="39">
        <f t="shared" si="222"/>
        <v>0.14024572969733293</v>
      </c>
      <c r="H77" s="39">
        <f t="shared" si="222"/>
        <v>0.12598167539267016</v>
      </c>
      <c r="I77" s="39">
        <f t="shared" si="222"/>
        <v>0.12817053426875338</v>
      </c>
      <c r="J77" s="39">
        <f t="shared" si="222"/>
        <v>0.10186757215619695</v>
      </c>
      <c r="K77" s="39">
        <f t="shared" si="222"/>
        <v>9.662162162162162E-2</v>
      </c>
      <c r="L77" s="39">
        <f t="shared" si="222"/>
        <v>0.12962962962962962</v>
      </c>
      <c r="M77" s="39">
        <f t="shared" si="222"/>
        <v>0.1454319453076445</v>
      </c>
      <c r="N77" s="39">
        <f t="shared" si="222"/>
        <v>9.1501332543677816E-2</v>
      </c>
      <c r="O77" s="39">
        <f t="shared" si="222"/>
        <v>0.14436717663421419</v>
      </c>
      <c r="P77" s="39">
        <f t="shared" si="222"/>
        <v>0.16591090957588692</v>
      </c>
      <c r="Q77" s="39">
        <f t="shared" si="222"/>
        <v>0.14468726450640543</v>
      </c>
      <c r="R77" s="39">
        <f t="shared" si="222"/>
        <v>0.12709337003899976</v>
      </c>
      <c r="S77" s="39">
        <f t="shared" si="222"/>
        <v>0.18462528144097781</v>
      </c>
      <c r="T77" s="39">
        <f t="shared" si="222"/>
        <v>0.16852737905369483</v>
      </c>
      <c r="U77" s="39">
        <f t="shared" si="222"/>
        <v>0.16894977168949771</v>
      </c>
      <c r="V77" s="39">
        <f t="shared" ref="V77:AY77" si="872">IFERROR(V14/V56,0)</f>
        <v>0.19368646334938469</v>
      </c>
      <c r="W77" s="39">
        <f t="shared" si="872"/>
        <v>0.12812089356110382</v>
      </c>
      <c r="X77" s="39">
        <f t="shared" si="872"/>
        <v>0.12071954919809276</v>
      </c>
      <c r="Y77" s="39">
        <f t="shared" si="872"/>
        <v>0.12287685774946921</v>
      </c>
      <c r="Z77" s="39">
        <f t="shared" si="872"/>
        <v>0.13328477785870357</v>
      </c>
      <c r="AA77" s="39">
        <f t="shared" si="872"/>
        <v>0.10819672131147541</v>
      </c>
      <c r="AB77" s="39">
        <f t="shared" si="872"/>
        <v>0.1222429906542056</v>
      </c>
      <c r="AC77" s="39">
        <f t="shared" si="872"/>
        <v>0.15080253826054499</v>
      </c>
      <c r="AD77" s="39">
        <f t="shared" si="872"/>
        <v>9.8310291858678955E-2</v>
      </c>
      <c r="AE77" s="39">
        <f t="shared" si="872"/>
        <v>0.13645504165469693</v>
      </c>
      <c r="AF77" s="39">
        <f t="shared" si="872"/>
        <v>0.13295526149968495</v>
      </c>
      <c r="AG77" s="39">
        <f t="shared" si="872"/>
        <v>9.8009188361408886E-2</v>
      </c>
      <c r="AH77" s="39">
        <f t="shared" si="872"/>
        <v>0.13630289532293988</v>
      </c>
      <c r="AI77" s="39">
        <f t="shared" si="872"/>
        <v>0.12863196125907991</v>
      </c>
      <c r="AJ77" s="39">
        <f t="shared" si="872"/>
        <v>0.12855209742895804</v>
      </c>
      <c r="AK77" s="39">
        <f t="shared" si="872"/>
        <v>0.13547189819724284</v>
      </c>
      <c r="AL77" s="39">
        <f t="shared" si="872"/>
        <v>0.12356265835119859</v>
      </c>
      <c r="AM77" s="39">
        <f t="shared" si="872"/>
        <v>0.11736223195757436</v>
      </c>
      <c r="AN77" s="39">
        <f t="shared" si="872"/>
        <v>0.11387387387387388</v>
      </c>
      <c r="AO77" s="39">
        <f t="shared" si="872"/>
        <v>9.4017094017094016E-2</v>
      </c>
      <c r="AP77" s="39">
        <f t="shared" si="872"/>
        <v>9.2723972941758784E-2</v>
      </c>
      <c r="AQ77" s="39">
        <f t="shared" si="872"/>
        <v>8.2830234242936493E-2</v>
      </c>
      <c r="AR77" s="39">
        <f t="shared" si="872"/>
        <v>7.9146203248961086E-2</v>
      </c>
      <c r="AS77" s="39">
        <f t="shared" si="872"/>
        <v>0.10235750522232169</v>
      </c>
      <c r="AT77" s="39">
        <f t="shared" si="872"/>
        <v>7.8031809145129222E-2</v>
      </c>
      <c r="AU77" s="39">
        <f t="shared" si="872"/>
        <v>7.678624369997035E-2</v>
      </c>
      <c r="AV77" s="39">
        <f t="shared" si="872"/>
        <v>7.885854556612458E-2</v>
      </c>
      <c r="AW77" s="39">
        <f t="shared" si="872"/>
        <v>0.11713429583219831</v>
      </c>
      <c r="AX77" s="39">
        <f t="shared" si="872"/>
        <v>0.14649852428226456</v>
      </c>
      <c r="AY77" s="39">
        <f t="shared" si="872"/>
        <v>0.1319290465631929</v>
      </c>
      <c r="AZ77" s="39">
        <f t="shared" si="91"/>
        <v>0.11790840738209159</v>
      </c>
      <c r="BA77" s="39">
        <f t="shared" ref="BA77:BF77" si="873">IFERROR(BA14/BA56,0)</f>
        <v>0.14962385065477848</v>
      </c>
      <c r="BB77" s="39">
        <f t="shared" si="873"/>
        <v>0.14285714285714285</v>
      </c>
      <c r="BC77" s="39">
        <f t="shared" si="873"/>
        <v>0.15229304874531296</v>
      </c>
      <c r="BD77" s="39">
        <f t="shared" si="873"/>
        <v>0.10379550735863671</v>
      </c>
      <c r="BE77" s="39">
        <f t="shared" si="873"/>
        <v>0.11411873269763149</v>
      </c>
      <c r="BF77" s="39">
        <f t="shared" si="873"/>
        <v>0.14413565708902495</v>
      </c>
      <c r="BG77" s="39">
        <f t="shared" ref="BG77" si="874">IFERROR(BG14/BG56,0)</f>
        <v>0.15489381348107109</v>
      </c>
      <c r="BH77" s="39">
        <f t="shared" si="93"/>
        <v>0.12409848296443671</v>
      </c>
      <c r="BI77" s="39">
        <f t="shared" ref="BI77:BK77" si="875">IFERROR(BI14/BI56,0)</f>
        <v>0.13642836798632868</v>
      </c>
      <c r="BJ77" s="39">
        <f t="shared" si="875"/>
        <v>0.15336851909344923</v>
      </c>
      <c r="BK77" s="39">
        <f t="shared" si="875"/>
        <v>0.11889377100025847</v>
      </c>
      <c r="BL77" s="39">
        <f t="shared" ref="BL77:BM77" si="876">IFERROR(BL14/BL56,0)</f>
        <v>0.17463829787234042</v>
      </c>
      <c r="BM77" s="39">
        <f t="shared" si="876"/>
        <v>0.11694882272815722</v>
      </c>
      <c r="BN77" s="39">
        <f t="shared" ref="BN77:BO77" si="877">IFERROR(BN14/BN56,0)</f>
        <v>0.15396627108057465</v>
      </c>
      <c r="BO77" s="39">
        <f t="shared" si="877"/>
        <v>0.11398040961709706</v>
      </c>
      <c r="BP77" s="39">
        <f t="shared" ref="BP77:BQ77" si="878">IFERROR(BP14/BP56,0)</f>
        <v>0.11923733636881047</v>
      </c>
      <c r="BQ77" s="39">
        <f t="shared" si="878"/>
        <v>0.17791798107255521</v>
      </c>
      <c r="BR77" s="39">
        <f t="shared" ref="BR77:BS77" si="879">IFERROR(BR14/BR56,0)</f>
        <v>8.2945285215366704E-2</v>
      </c>
      <c r="BS77" s="39">
        <f t="shared" si="879"/>
        <v>0.18470104091019124</v>
      </c>
      <c r="BT77" s="39">
        <f t="shared" ref="BT77:BU77" si="880">IFERROR(BT14/BT56,0)</f>
        <v>0.15295169946332737</v>
      </c>
      <c r="BU77" s="39">
        <f t="shared" si="880"/>
        <v>0.13541505642294019</v>
      </c>
      <c r="BV77" s="39">
        <f t="shared" ref="BV77:BW77" si="881">IFERROR(BV14/BV56,0)</f>
        <v>0.17037190941200914</v>
      </c>
      <c r="BW77" s="39">
        <f t="shared" si="881"/>
        <v>0.17925513400626522</v>
      </c>
      <c r="BX77" s="39">
        <f t="shared" ref="BX77:BY77" si="882">IFERROR(BX14/BX56,0)</f>
        <v>0.15169082125603864</v>
      </c>
      <c r="BY77" s="39">
        <f t="shared" si="882"/>
        <v>0.13159829436847523</v>
      </c>
      <c r="BZ77" s="39">
        <f t="shared" ref="BZ77:CA77" si="883">IFERROR(BZ14/BZ56,0)</f>
        <v>0.16849968873210211</v>
      </c>
      <c r="CA77" s="39">
        <f t="shared" si="883"/>
        <v>0.11708253358925144</v>
      </c>
      <c r="CB77" s="39">
        <f t="shared" ref="CB77:CC77" si="884">IFERROR(CB14/CB56,0)</f>
        <v>0.1147328783243116</v>
      </c>
      <c r="CC77" s="39">
        <f t="shared" si="884"/>
        <v>0.12316715542521994</v>
      </c>
      <c r="CD77" s="39">
        <f t="shared" ref="CD77:CE77" si="885">IFERROR(CD14/CD56,0)</f>
        <v>0.17519181585677748</v>
      </c>
      <c r="CE77" s="39">
        <f t="shared" si="885"/>
        <v>0.12396069538926682</v>
      </c>
      <c r="CF77" s="39">
        <f t="shared" ref="CF77:CG77" si="886">IFERROR(CF14/CF56,0)</f>
        <v>0.10496145483297094</v>
      </c>
      <c r="CG77" s="39">
        <f t="shared" si="886"/>
        <v>0.18759018759018758</v>
      </c>
      <c r="CH77" s="39">
        <f t="shared" ref="CH77:CI77" si="887">IFERROR(CH14/CH56,0)</f>
        <v>0.16244444444444445</v>
      </c>
      <c r="CI77" s="39">
        <f t="shared" si="887"/>
        <v>0.19742115351106465</v>
      </c>
      <c r="CJ77" s="39">
        <f t="shared" ref="CJ77:CK77" si="888">IFERROR(CJ14/CJ56,0)</f>
        <v>0.18108948143301162</v>
      </c>
      <c r="CK77" s="39">
        <f t="shared" si="888"/>
        <v>0.17422096317280453</v>
      </c>
      <c r="CL77" s="39">
        <f t="shared" ref="CL77:CM77" si="889">IFERROR(CL14/CL56,0)</f>
        <v>0.16097689075630253</v>
      </c>
      <c r="CM77" s="39">
        <f t="shared" si="889"/>
        <v>0.18942307692307692</v>
      </c>
      <c r="CN77" s="39">
        <f t="shared" ref="CN77:CO77" si="890">IFERROR(CN14/CN56,0)</f>
        <v>0.14260249554367202</v>
      </c>
      <c r="CO77" s="39">
        <f t="shared" si="890"/>
        <v>0.13714285714285715</v>
      </c>
      <c r="CP77" s="39">
        <f t="shared" ref="CP77:CQ77" si="891">IFERROR(CP14/CP56,0)</f>
        <v>0.16274734728993404</v>
      </c>
      <c r="CQ77" s="39">
        <f t="shared" si="891"/>
        <v>0.16681388012618298</v>
      </c>
      <c r="CR77" s="39">
        <f t="shared" ref="CR77:CS77" si="892">IFERROR(CR14/CR56,0)</f>
        <v>0.17750533049040512</v>
      </c>
      <c r="CS77" s="39">
        <f t="shared" si="892"/>
        <v>0.15539823008849557</v>
      </c>
      <c r="CT77" s="39">
        <f t="shared" ref="CT77:CU77" si="893">IFERROR(CT14/CT56,0)</f>
        <v>0.16880405606919177</v>
      </c>
      <c r="CU77" s="39">
        <f t="shared" si="893"/>
        <v>0.25124755912345409</v>
      </c>
      <c r="CV77" s="39">
        <f t="shared" ref="CV77:CW77" si="894">IFERROR(CV14/CV56,0)</f>
        <v>0.20645836447899538</v>
      </c>
      <c r="CW77" s="39">
        <f t="shared" si="894"/>
        <v>0.30522765598650925</v>
      </c>
      <c r="CX77" s="39">
        <f t="shared" ref="CX77:CY77" si="895">IFERROR(CX14/CX56,0)</f>
        <v>0.29344729344729342</v>
      </c>
      <c r="CY77" s="39">
        <f t="shared" si="895"/>
        <v>0.3142156862745098</v>
      </c>
      <c r="CZ77" s="39">
        <f t="shared" ref="CZ77:DA77" si="896">IFERROR(CZ14/CZ56,0)</f>
        <v>0.37213327563825183</v>
      </c>
      <c r="DA77" s="39">
        <f t="shared" si="896"/>
        <v>0.24387527839643652</v>
      </c>
      <c r="DB77" s="39">
        <f t="shared" ref="DB77:DC77" si="897">IFERROR(DB14/DB56,0)</f>
        <v>0.28270042194092826</v>
      </c>
      <c r="DC77" s="39">
        <f t="shared" si="897"/>
        <v>0.22446741854636593</v>
      </c>
      <c r="DD77" s="39">
        <f t="shared" ref="DD77:DE77" si="898">IFERROR(DD14/DD56,0)</f>
        <v>0.31964056482670089</v>
      </c>
      <c r="DE77" s="39">
        <f t="shared" si="898"/>
        <v>0.27374719521316382</v>
      </c>
      <c r="DF77" s="39">
        <f t="shared" ref="DF77:DG77" si="899">IFERROR(DF14/DF56,0)</f>
        <v>0.34875384090133149</v>
      </c>
      <c r="DG77" s="39">
        <f t="shared" si="899"/>
        <v>0.29212792127921278</v>
      </c>
      <c r="DH77" s="39">
        <f t="shared" ref="DH77:DI77" si="900">IFERROR(DH14/DH56,0)</f>
        <v>0.29752530933633298</v>
      </c>
      <c r="DI77" s="39">
        <f t="shared" si="900"/>
        <v>0.3125</v>
      </c>
      <c r="DJ77" s="39">
        <f t="shared" ref="DJ77:DK77" si="901">IFERROR(DJ14/DJ56,0)</f>
        <v>0.1977294228949858</v>
      </c>
      <c r="DK77" s="39">
        <f t="shared" si="901"/>
        <v>0.30473158732455508</v>
      </c>
      <c r="DL77" s="39">
        <f t="shared" ref="DL77:DM77" si="902">IFERROR(DL14/DL56,0)</f>
        <v>0.29576322724508414</v>
      </c>
      <c r="DM77" s="39">
        <f t="shared" si="902"/>
        <v>0.26923955240922587</v>
      </c>
      <c r="DN77" s="39">
        <f t="shared" ref="DN77:DO77" si="903">IFERROR(DN14/DN56,0)</f>
        <v>0.27557182067703567</v>
      </c>
      <c r="DO77" s="39">
        <f t="shared" si="903"/>
        <v>0.19867962132536124</v>
      </c>
      <c r="DP77" s="39">
        <f t="shared" ref="DP77:DQ77" si="904">IFERROR(DP14/DP56,0)</f>
        <v>0.228099173553719</v>
      </c>
      <c r="DQ77" s="39">
        <f t="shared" si="904"/>
        <v>0.24042829331602855</v>
      </c>
      <c r="DR77" s="39">
        <f t="shared" ref="DR77:DS77" si="905">IFERROR(DR14/DR56,0)</f>
        <v>0.27335640138408307</v>
      </c>
      <c r="DS77" s="39">
        <f t="shared" si="905"/>
        <v>0.27736202057998127</v>
      </c>
      <c r="DT77" s="39">
        <f t="shared" ref="DT77:DU77" si="906">IFERROR(DT14/DT56,0)</f>
        <v>0.26525046648485717</v>
      </c>
      <c r="DU77" s="39">
        <f t="shared" si="906"/>
        <v>0.28305173314753529</v>
      </c>
      <c r="DV77" s="39">
        <f t="shared" si="125"/>
        <v>0.21758272972589121</v>
      </c>
      <c r="DW77" s="39">
        <f t="shared" si="125"/>
        <v>0.19558080808080808</v>
      </c>
      <c r="DX77" s="39">
        <f t="shared" ref="DX77:DY77" si="907">IFERROR(DX14/DX56,0)</f>
        <v>0.19556558682952735</v>
      </c>
      <c r="DY77" s="39">
        <f t="shared" si="907"/>
        <v>0.19648009232544719</v>
      </c>
      <c r="DZ77" s="39">
        <f t="shared" ref="DZ77:EA77" si="908">IFERROR(DZ14/DZ56,0)</f>
        <v>0.19168775809244704</v>
      </c>
      <c r="EA77" s="39">
        <f t="shared" si="908"/>
        <v>0.26434782608695651</v>
      </c>
      <c r="EB77" s="39">
        <f t="shared" ref="EB77:EC77" si="909">IFERROR(EB14/EB56,0)</f>
        <v>0.25027370264944165</v>
      </c>
      <c r="EC77" s="39">
        <f t="shared" si="909"/>
        <v>0.22908366533864541</v>
      </c>
      <c r="ED77" s="39">
        <f t="shared" ref="ED77:EE77" si="910">IFERROR(ED14/ED56,0)</f>
        <v>0.13315655983398664</v>
      </c>
      <c r="EE77" s="39">
        <f t="shared" si="910"/>
        <v>0.2504865165415624</v>
      </c>
      <c r="EF77" s="39">
        <f t="shared" ref="EF77:EG77" si="911">IFERROR(EF14/EF56,0)</f>
        <v>0.18898402330302763</v>
      </c>
      <c r="EG77" s="39">
        <f t="shared" si="911"/>
        <v>0.21677215189873417</v>
      </c>
      <c r="EH77" s="39">
        <f t="shared" ref="EH77:EI77" si="912">IFERROR(EH14/EH56,0)</f>
        <v>0.19067087901876975</v>
      </c>
      <c r="EI77" s="39">
        <f t="shared" si="912"/>
        <v>0.15407352669499352</v>
      </c>
      <c r="EJ77" s="39">
        <f t="shared" ref="EJ77:EK77" si="913">IFERROR(EJ14/EJ56,0)</f>
        <v>0.2229707525468288</v>
      </c>
      <c r="EK77" s="39">
        <f t="shared" si="913"/>
        <v>0.20303766707168894</v>
      </c>
      <c r="EL77" s="39">
        <f t="shared" ref="EL77:EM77" si="914">IFERROR(EL14/EL56,0)</f>
        <v>0.18936579115951313</v>
      </c>
      <c r="EM77" s="39">
        <f t="shared" si="914"/>
        <v>0.18187579214195185</v>
      </c>
      <c r="EN77" s="39">
        <f t="shared" ref="EN77:EO77" si="915">IFERROR(EN14/EN56,0)</f>
        <v>0.15780835753061481</v>
      </c>
      <c r="EO77" s="39">
        <f t="shared" si="915"/>
        <v>0.14027237354085603</v>
      </c>
      <c r="EP77" s="39">
        <f t="shared" ref="EP77" si="916">IFERROR(EP14/EP56,0)</f>
        <v>0.19167429094236046</v>
      </c>
      <c r="EQ77" s="39">
        <f t="shared" ref="EQ77:ER77" si="917">IFERROR(EQ14/EQ56,0)</f>
        <v>0.17325171582266741</v>
      </c>
      <c r="ER77" s="39">
        <f t="shared" si="917"/>
        <v>0.18956043956043955</v>
      </c>
      <c r="ES77" s="39">
        <f t="shared" ref="ES77:ET77" si="918">IFERROR(ES14/ES56,0)</f>
        <v>0.17004048582995951</v>
      </c>
      <c r="ET77" s="39">
        <f t="shared" si="918"/>
        <v>0.15909410606273738</v>
      </c>
      <c r="EU77" s="39">
        <f t="shared" ref="EU77:EV77" si="919">IFERROR(EU14/EU56,0)</f>
        <v>0.15067311011391094</v>
      </c>
      <c r="EV77" s="39">
        <f t="shared" si="919"/>
        <v>0.13221353733577249</v>
      </c>
      <c r="EW77" s="39">
        <f t="shared" ref="EW77:EX77" si="920">IFERROR(EW14/EW56,0)</f>
        <v>0.16599063962558502</v>
      </c>
      <c r="EX77" s="39">
        <f t="shared" si="920"/>
        <v>0.17042739580568092</v>
      </c>
      <c r="EY77" s="39">
        <f t="shared" ref="EY77:EZ77" si="921">IFERROR(EY14/EY56,0)</f>
        <v>0.17293981097662078</v>
      </c>
      <c r="EZ77" s="39">
        <f t="shared" si="921"/>
        <v>0.14537053492091701</v>
      </c>
      <c r="FA77" s="39">
        <f t="shared" ref="FA77:FB77" si="922">IFERROR(FA14/FA56,0)</f>
        <v>0.1281542387297987</v>
      </c>
      <c r="FB77" s="39">
        <f t="shared" si="922"/>
        <v>0.15825914935707219</v>
      </c>
      <c r="FC77" s="39">
        <f t="shared" ref="FC77:FD77" si="923">IFERROR(FC14/FC56,0)</f>
        <v>0.11722020653084007</v>
      </c>
      <c r="FD77" s="39">
        <f t="shared" si="923"/>
        <v>0.14379658044717231</v>
      </c>
      <c r="FE77" s="39">
        <f t="shared" ref="FE77:FF77" si="924">IFERROR(FE14/FE56,0)</f>
        <v>0.17336424523441524</v>
      </c>
      <c r="FF77" s="39">
        <f t="shared" si="924"/>
        <v>0.17340771734077173</v>
      </c>
      <c r="FG77" s="39">
        <f t="shared" ref="FG77:FH77" si="925">IFERROR(FG14/FG56,0)</f>
        <v>0.12606697307944845</v>
      </c>
      <c r="FH77" s="39">
        <f t="shared" si="925"/>
        <v>0.12187357889949978</v>
      </c>
      <c r="FI77" s="39">
        <f t="shared" ref="FI77:FJ77" si="926">IFERROR(FI14/FI56,0)</f>
        <v>0.14545454545454545</v>
      </c>
      <c r="FJ77" s="39">
        <f t="shared" si="926"/>
        <v>0.12310177705977383</v>
      </c>
      <c r="FK77" s="39">
        <f t="shared" ref="FK77:FL77" si="927">IFERROR(FK14/FK56,0)</f>
        <v>0.18437783832879201</v>
      </c>
      <c r="FL77" s="39">
        <f t="shared" si="927"/>
        <v>0.1442986881937437</v>
      </c>
      <c r="FM77" s="39">
        <f>IFERROR(FM14/FM56,0)</f>
        <v>0.16263794009458749</v>
      </c>
      <c r="FN77" s="39">
        <v>0.16263794009458749</v>
      </c>
      <c r="FO77" s="39">
        <f t="shared" ref="FO77" si="928">IFERROR(FO14/FO56,0)</f>
        <v>0.16818315233343117</v>
      </c>
      <c r="FP77" s="39">
        <v>0.16818315233343117</v>
      </c>
      <c r="FQ77" s="39">
        <f t="shared" ref="FQ77:GY77" si="929">IFERROR(FQ14/FQ56,0)</f>
        <v>0.15270935960591134</v>
      </c>
      <c r="FR77" s="39">
        <v>0.15270935960591134</v>
      </c>
      <c r="FS77" s="39">
        <f>IFERROR(FS14/FS56,0)</f>
        <v>0.17914561322921452</v>
      </c>
      <c r="FT77" s="39">
        <f t="shared" si="929"/>
        <v>0.14536003080477475</v>
      </c>
      <c r="FU77" s="39">
        <f t="shared" si="929"/>
        <v>0.14755927475592748</v>
      </c>
      <c r="FV77" s="39">
        <f t="shared" si="929"/>
        <v>4.4336307110029741E-2</v>
      </c>
      <c r="FW77" s="39">
        <f t="shared" si="929"/>
        <v>0.11180609851446442</v>
      </c>
      <c r="FX77" s="39">
        <f t="shared" si="929"/>
        <v>0.13811854268624252</v>
      </c>
      <c r="FY77" s="39">
        <f t="shared" si="929"/>
        <v>0.12316496640955461</v>
      </c>
      <c r="FZ77" s="39">
        <f t="shared" si="929"/>
        <v>0.11877474473848719</v>
      </c>
      <c r="GA77" s="39">
        <f t="shared" si="929"/>
        <v>0.15177690029615004</v>
      </c>
      <c r="GB77" s="39">
        <f t="shared" si="929"/>
        <v>0.13465499485066942</v>
      </c>
      <c r="GC77" s="39">
        <f t="shared" si="929"/>
        <v>0.103948772678762</v>
      </c>
      <c r="GD77" s="39">
        <f t="shared" si="929"/>
        <v>0.12996983822319716</v>
      </c>
      <c r="GE77" s="39">
        <f t="shared" si="929"/>
        <v>0.15864166244298022</v>
      </c>
      <c r="GF77" s="39">
        <f t="shared" si="929"/>
        <v>0.11592945938132408</v>
      </c>
      <c r="GG77" s="39">
        <f t="shared" si="929"/>
        <v>0.14623499454347036</v>
      </c>
      <c r="GH77" s="39">
        <f t="shared" si="929"/>
        <v>0.12024729520865533</v>
      </c>
      <c r="GI77" s="39">
        <f t="shared" si="929"/>
        <v>9.6911608093716725E-2</v>
      </c>
      <c r="GJ77" s="39">
        <f t="shared" si="929"/>
        <v>6.8587105624142664E-2</v>
      </c>
      <c r="GK77" s="39">
        <f t="shared" si="929"/>
        <v>0.11289414414414414</v>
      </c>
      <c r="GL77" s="39">
        <f t="shared" si="929"/>
        <v>0.11489607390300231</v>
      </c>
      <c r="GM77" s="39">
        <f t="shared" si="929"/>
        <v>8.7864288821226627E-2</v>
      </c>
      <c r="GN77" s="39">
        <f t="shared" si="929"/>
        <v>0.12193387842161393</v>
      </c>
      <c r="GO77" s="39">
        <f t="shared" si="929"/>
        <v>0.14785624211853721</v>
      </c>
      <c r="GP77" s="39">
        <f t="shared" si="929"/>
        <v>0.12651384083044984</v>
      </c>
      <c r="GQ77" s="39">
        <f t="shared" si="929"/>
        <v>0.13290902283788844</v>
      </c>
      <c r="GR77" s="39">
        <f t="shared" si="929"/>
        <v>0.14722222222222223</v>
      </c>
      <c r="GS77" s="39">
        <f>IFERROR(GS14/GS56,0)</f>
        <v>8.6848635235732011E-2</v>
      </c>
      <c r="GT77" s="39">
        <f t="shared" si="929"/>
        <v>0.14840989399293286</v>
      </c>
      <c r="GU77" s="39">
        <f t="shared" si="929"/>
        <v>0.14924039320822163</v>
      </c>
      <c r="GV77" s="39">
        <f t="shared" si="929"/>
        <v>9.8416696653472469E-2</v>
      </c>
      <c r="GW77" s="39">
        <f t="shared" si="929"/>
        <v>0.14720531267293857</v>
      </c>
      <c r="GX77" s="39">
        <f t="shared" si="929"/>
        <v>0.17718998862343571</v>
      </c>
      <c r="GY77" s="39">
        <f t="shared" si="929"/>
        <v>0.14171048989759202</v>
      </c>
      <c r="GZ77" s="39">
        <f>IFERROR(GZ14/GZ56,0)</f>
        <v>0.19485714285714287</v>
      </c>
      <c r="HA77" s="39">
        <f>IFERROR(HA14/HA56,0)</f>
        <v>0.15143074195998987</v>
      </c>
      <c r="HB77" s="39">
        <f>IFERROR(HB14/HB56,0)</f>
        <v>0.12575696406943884</v>
      </c>
      <c r="HC77" s="39">
        <f t="shared" si="148"/>
        <v>0.14856918855350842</v>
      </c>
      <c r="HD77" s="39">
        <f t="shared" ref="HD77:HF77" si="930">IFERROR(HD14/HD56,0)</f>
        <v>0.13737486095661847</v>
      </c>
      <c r="HE77" s="39">
        <f t="shared" si="930"/>
        <v>0.14817036592681462</v>
      </c>
      <c r="HF77" s="39">
        <f t="shared" si="930"/>
        <v>0.14936030943171674</v>
      </c>
      <c r="HG77" s="39">
        <f>IFERROR(HG14/HG56,0)</f>
        <v>0.15204236006051436</v>
      </c>
      <c r="HH77" s="39">
        <f t="shared" ref="HH77:JS77" si="931">IFERROR(HH14/HH56,0)</f>
        <v>0.18494749124854143</v>
      </c>
      <c r="HI77" s="39">
        <f t="shared" si="931"/>
        <v>0.1458551941238195</v>
      </c>
      <c r="HJ77" s="39">
        <f t="shared" si="931"/>
        <v>0.15989159891598917</v>
      </c>
      <c r="HK77" s="39">
        <f t="shared" si="931"/>
        <v>0.16320927394752899</v>
      </c>
      <c r="HL77" s="39">
        <f t="shared" si="931"/>
        <v>0.19490131578947367</v>
      </c>
      <c r="HM77" s="39">
        <f t="shared" si="931"/>
        <v>0.16032798325191905</v>
      </c>
      <c r="HN77" s="39">
        <f t="shared" si="931"/>
        <v>0.18200202224469161</v>
      </c>
      <c r="HO77" s="39">
        <f t="shared" si="931"/>
        <v>9.4660194174757281E-2</v>
      </c>
      <c r="HP77" s="39">
        <f t="shared" si="931"/>
        <v>0.13972715998346424</v>
      </c>
      <c r="HQ77" s="39">
        <f t="shared" si="931"/>
        <v>0.14368861404146963</v>
      </c>
      <c r="HR77" s="39">
        <f t="shared" si="931"/>
        <v>0.15924736117485086</v>
      </c>
      <c r="HS77" s="39">
        <f t="shared" si="931"/>
        <v>0.16216216216216217</v>
      </c>
      <c r="HT77" s="39">
        <f t="shared" si="931"/>
        <v>0.13778705636743216</v>
      </c>
      <c r="HU77" s="39">
        <f t="shared" si="931"/>
        <v>0.15760111576011157</v>
      </c>
      <c r="HV77" s="39">
        <f t="shared" si="931"/>
        <v>0.24604680581910182</v>
      </c>
      <c r="HW77" s="39">
        <f t="shared" si="931"/>
        <v>0.13177670424047236</v>
      </c>
      <c r="HX77" s="39">
        <f t="shared" si="931"/>
        <v>0.10277136258660508</v>
      </c>
      <c r="HY77" s="39">
        <f t="shared" si="931"/>
        <v>0.14225326226796545</v>
      </c>
      <c r="HZ77" s="39">
        <f t="shared" si="931"/>
        <v>0.11613603473227208</v>
      </c>
      <c r="IA77" s="39">
        <f t="shared" si="931"/>
        <v>0.14073634204275534</v>
      </c>
      <c r="IB77" s="39">
        <f t="shared" si="931"/>
        <v>8.5968682836966528E-2</v>
      </c>
      <c r="IC77" s="39">
        <f t="shared" si="931"/>
        <v>0.14271172638436483</v>
      </c>
      <c r="ID77" s="39">
        <f t="shared" si="931"/>
        <v>0.16404387219837863</v>
      </c>
      <c r="IE77" s="39">
        <f t="shared" si="931"/>
        <v>0.17061021170610211</v>
      </c>
      <c r="IF77" s="39">
        <f t="shared" si="931"/>
        <v>0.16165470920470157</v>
      </c>
      <c r="IG77" s="39">
        <f t="shared" si="931"/>
        <v>0.17423504190216332</v>
      </c>
      <c r="IH77" s="39">
        <f t="shared" si="931"/>
        <v>0.1832366473294659</v>
      </c>
      <c r="II77" s="39">
        <f t="shared" si="931"/>
        <v>0.14538583929992044</v>
      </c>
      <c r="IJ77" s="39">
        <f t="shared" si="931"/>
        <v>0.16800000000000001</v>
      </c>
      <c r="IK77" s="39">
        <f t="shared" si="931"/>
        <v>0.22698838248436104</v>
      </c>
      <c r="IL77" s="39">
        <f t="shared" si="931"/>
        <v>0.23832555036691128</v>
      </c>
      <c r="IM77" s="39">
        <f t="shared" si="931"/>
        <v>0.16174974567650049</v>
      </c>
      <c r="IN77" s="39">
        <f t="shared" si="931"/>
        <v>0.19793621013133209</v>
      </c>
      <c r="IO77" s="39">
        <f t="shared" si="931"/>
        <v>0.20088512603425052</v>
      </c>
      <c r="IP77" s="39">
        <f t="shared" si="931"/>
        <v>0.16444270015698587</v>
      </c>
      <c r="IQ77" s="39">
        <f t="shared" si="931"/>
        <v>0.20386198163975941</v>
      </c>
      <c r="IR77" s="39">
        <f t="shared" si="931"/>
        <v>0.26033464566929132</v>
      </c>
      <c r="IS77" s="39">
        <f t="shared" si="931"/>
        <v>0.26300104306362687</v>
      </c>
      <c r="IT77" s="39">
        <f t="shared" si="931"/>
        <v>0.27101793818889131</v>
      </c>
      <c r="IU77" s="39">
        <f t="shared" si="931"/>
        <v>0.21791938039077627</v>
      </c>
      <c r="IV77" s="39">
        <f t="shared" si="931"/>
        <v>0.23327153210854543</v>
      </c>
      <c r="IW77" s="39">
        <f t="shared" si="931"/>
        <v>0.20802659700783663</v>
      </c>
      <c r="IX77" s="39">
        <f t="shared" si="931"/>
        <v>0.22777572851346367</v>
      </c>
      <c r="IY77" s="39">
        <f t="shared" si="931"/>
        <v>0.26732194650338381</v>
      </c>
      <c r="IZ77" s="39">
        <f t="shared" si="931"/>
        <v>0.26220845481049565</v>
      </c>
      <c r="JA77" s="39">
        <f t="shared" si="931"/>
        <v>0.2707505749529584</v>
      </c>
      <c r="JB77" s="39">
        <f t="shared" si="931"/>
        <v>0.2304055282778687</v>
      </c>
      <c r="JC77" s="39">
        <f t="shared" si="931"/>
        <v>0.1999141385231826</v>
      </c>
      <c r="JD77" s="39">
        <f t="shared" si="931"/>
        <v>0.18757763975155278</v>
      </c>
      <c r="JE77" s="39">
        <f t="shared" si="931"/>
        <v>0.21854592947322596</v>
      </c>
      <c r="JF77" s="39">
        <f t="shared" si="931"/>
        <v>0.23564064801178203</v>
      </c>
      <c r="JG77" s="39">
        <f t="shared" si="931"/>
        <v>0.20345934379457917</v>
      </c>
      <c r="JH77" s="39">
        <f t="shared" si="931"/>
        <v>0.22154631083202511</v>
      </c>
      <c r="JI77" s="39">
        <f t="shared" si="931"/>
        <v>0.19362992922143579</v>
      </c>
      <c r="JJ77" s="39">
        <f t="shared" si="931"/>
        <v>0.16912384161752317</v>
      </c>
      <c r="JK77" s="39">
        <f t="shared" si="931"/>
        <v>0.19723348437872645</v>
      </c>
      <c r="JL77" s="39">
        <f t="shared" si="931"/>
        <v>0.16951038575667657</v>
      </c>
      <c r="JM77" s="39">
        <f t="shared" si="931"/>
        <v>0.24089542265285666</v>
      </c>
      <c r="JN77" s="39">
        <f t="shared" si="931"/>
        <v>0.18517820101829152</v>
      </c>
      <c r="JO77" s="39">
        <f t="shared" si="931"/>
        <v>0.20155809713243825</v>
      </c>
      <c r="JP77" s="39">
        <f t="shared" si="931"/>
        <v>0.21082486409832191</v>
      </c>
      <c r="JQ77" s="39">
        <f t="shared" si="931"/>
        <v>0.23142857142857143</v>
      </c>
      <c r="JR77" s="39">
        <f t="shared" si="931"/>
        <v>0.17449664429530201</v>
      </c>
      <c r="JS77" s="39">
        <f t="shared" si="931"/>
        <v>0.16521937842778794</v>
      </c>
      <c r="JT77" s="39">
        <f t="shared" ref="JT77:KF77" si="932">IFERROR(JT14/JT56,0)</f>
        <v>0.19103061664510565</v>
      </c>
      <c r="JU77" s="39">
        <f t="shared" si="932"/>
        <v>0.19173913043478261</v>
      </c>
      <c r="JV77" s="39">
        <f t="shared" si="932"/>
        <v>0.19726315789473683</v>
      </c>
      <c r="JW77" s="39">
        <f t="shared" si="932"/>
        <v>0.20581563208909054</v>
      </c>
      <c r="JX77" s="39">
        <f t="shared" si="932"/>
        <v>0.1420534458509142</v>
      </c>
      <c r="JY77" s="39">
        <f t="shared" si="932"/>
        <v>0.13646322378716744</v>
      </c>
      <c r="JZ77" s="39">
        <f t="shared" si="932"/>
        <v>0.14739884393063585</v>
      </c>
      <c r="KA77" s="39">
        <f t="shared" si="932"/>
        <v>0.16767755820778713</v>
      </c>
      <c r="KB77" s="39">
        <f t="shared" si="932"/>
        <v>0.1600790513833992</v>
      </c>
      <c r="KC77" s="39">
        <f t="shared" si="932"/>
        <v>0.18340260088483712</v>
      </c>
      <c r="KD77" s="39">
        <f t="shared" si="932"/>
        <v>0.17078792958927075</v>
      </c>
      <c r="KE77" s="39">
        <f t="shared" si="932"/>
        <v>0.18071519795657726</v>
      </c>
      <c r="KF77" s="39">
        <f t="shared" si="932"/>
        <v>0.17629452259802456</v>
      </c>
      <c r="KG77" s="39">
        <f>IFERROR(KG14/KG56,0)</f>
        <v>0.13593898951382269</v>
      </c>
      <c r="KH77" s="39">
        <f t="shared" si="475"/>
        <v>0.13709677419354838</v>
      </c>
      <c r="KI77" s="39">
        <f t="shared" si="475"/>
        <v>0.156554042101539</v>
      </c>
      <c r="KJ77" s="39">
        <f t="shared" si="541"/>
        <v>0.14963797264682221</v>
      </c>
      <c r="KK77" s="39">
        <f t="shared" si="541"/>
        <v>0.15026954177897575</v>
      </c>
      <c r="KL77" s="39">
        <f t="shared" si="541"/>
        <v>0.16613756613756614</v>
      </c>
      <c r="KM77" s="39">
        <f t="shared" si="541"/>
        <v>0.14057664114676657</v>
      </c>
      <c r="KN77" s="39">
        <f t="shared" si="541"/>
        <v>0.12087663804789878</v>
      </c>
      <c r="KO77" s="39">
        <f t="shared" si="541"/>
        <v>0.12811215856901137</v>
      </c>
      <c r="KP77" s="39">
        <f t="shared" si="541"/>
        <v>0.13824289405684753</v>
      </c>
      <c r="KQ77" s="39">
        <f t="shared" si="541"/>
        <v>0.11397135146356653</v>
      </c>
      <c r="KR77" s="39">
        <f t="shared" si="541"/>
        <v>9.8717112415742547E-2</v>
      </c>
      <c r="KS77" s="39">
        <f t="shared" si="541"/>
        <v>0.10497915133676723</v>
      </c>
      <c r="KT77" s="39">
        <f t="shared" si="541"/>
        <v>0.10787557908669755</v>
      </c>
      <c r="KU77" s="39">
        <f t="shared" si="541"/>
        <v>9.7250718096019692E-2</v>
      </c>
      <c r="KV77" s="39">
        <f t="shared" si="541"/>
        <v>0.1172106824925816</v>
      </c>
      <c r="KW77" s="39">
        <f t="shared" si="541"/>
        <v>0.11467717717717718</v>
      </c>
      <c r="KX77" s="39">
        <f t="shared" si="541"/>
        <v>0.11132758140829391</v>
      </c>
      <c r="KY77" s="39">
        <f t="shared" si="541"/>
        <v>0.1010740842743046</v>
      </c>
      <c r="KZ77" s="39">
        <f t="shared" ref="KZ77:NK77" si="933">IFERROR(KZ14/KZ56,0)</f>
        <v>0.11559301625526791</v>
      </c>
      <c r="LA77" s="39">
        <f t="shared" si="933"/>
        <v>9.2670157068062822E-2</v>
      </c>
      <c r="LB77" s="39">
        <f t="shared" si="933"/>
        <v>9.8384728340675479E-2</v>
      </c>
      <c r="LC77" s="39">
        <f t="shared" si="933"/>
        <v>8.8714205502526663E-2</v>
      </c>
      <c r="LD77" s="39">
        <f t="shared" si="933"/>
        <v>0.10232688533781889</v>
      </c>
      <c r="LE77" s="39">
        <f t="shared" si="933"/>
        <v>0.10736295815763866</v>
      </c>
      <c r="LF77" s="39">
        <f t="shared" si="933"/>
        <v>0.10241120041483018</v>
      </c>
      <c r="LG77" s="39">
        <f t="shared" si="933"/>
        <v>0.13289280469897211</v>
      </c>
      <c r="LH77" s="39">
        <f t="shared" si="933"/>
        <v>0.13241239892183287</v>
      </c>
      <c r="LI77" s="39">
        <f t="shared" si="933"/>
        <v>6.8616829180209463E-2</v>
      </c>
      <c r="LJ77" s="39">
        <f t="shared" si="933"/>
        <v>5.8091286307053944E-2</v>
      </c>
      <c r="LK77" s="39">
        <f t="shared" si="933"/>
        <v>9.6051856216853276E-2</v>
      </c>
      <c r="LL77" s="39">
        <f t="shared" si="933"/>
        <v>8.2081822889694456E-2</v>
      </c>
      <c r="LM77" s="39">
        <f t="shared" si="933"/>
        <v>0.1046814044213264</v>
      </c>
      <c r="LN77" s="39">
        <f t="shared" si="933"/>
        <v>6.9243156199677941E-2</v>
      </c>
      <c r="LO77" s="39">
        <f t="shared" si="933"/>
        <v>3.5901684617508978E-2</v>
      </c>
      <c r="LP77" s="39">
        <f t="shared" si="933"/>
        <v>4.6568086515118075E-2</v>
      </c>
      <c r="LQ77" s="39">
        <f t="shared" si="933"/>
        <v>8.1455805892547667E-2</v>
      </c>
      <c r="LR77" s="39">
        <f t="shared" si="933"/>
        <v>8.263473053892216E-2</v>
      </c>
      <c r="LS77" s="39">
        <f t="shared" si="933"/>
        <v>6.8406051304538473E-2</v>
      </c>
      <c r="LT77" s="39">
        <f t="shared" si="933"/>
        <v>6.0589007690864755E-2</v>
      </c>
      <c r="LU77" s="39">
        <f t="shared" si="933"/>
        <v>4.363636363636364E-2</v>
      </c>
      <c r="LV77" s="39">
        <f t="shared" si="933"/>
        <v>2.7843368752459661E-2</v>
      </c>
      <c r="LW77" s="39">
        <f t="shared" si="933"/>
        <v>1.4650962367135881E-2</v>
      </c>
      <c r="LX77" s="39">
        <f t="shared" si="933"/>
        <v>5.3587115666178624E-2</v>
      </c>
      <c r="LY77" s="39">
        <f t="shared" si="933"/>
        <v>8.3356183164244591E-2</v>
      </c>
      <c r="LZ77" s="39">
        <f t="shared" si="933"/>
        <v>8.5727418984141573E-2</v>
      </c>
      <c r="MA77" s="39">
        <f t="shared" si="933"/>
        <v>6.8094873756694721E-2</v>
      </c>
      <c r="MB77" s="39">
        <f t="shared" si="933"/>
        <v>5.7827102803738317E-2</v>
      </c>
      <c r="MC77" s="39">
        <f t="shared" si="933"/>
        <v>5.2573630608312688E-2</v>
      </c>
      <c r="MD77" s="39">
        <f t="shared" si="933"/>
        <v>8.8212025316455694E-2</v>
      </c>
      <c r="ME77" s="39">
        <f t="shared" si="933"/>
        <v>9.5281033964532608E-2</v>
      </c>
      <c r="MF77" s="39">
        <f t="shared" si="933"/>
        <v>0.10130624092888244</v>
      </c>
      <c r="MG77" s="39">
        <f t="shared" si="933"/>
        <v>0.109349725008088</v>
      </c>
      <c r="MH77" s="39">
        <f t="shared" si="933"/>
        <v>0.10829153142519918</v>
      </c>
      <c r="MI77" s="39">
        <f t="shared" si="933"/>
        <v>0.10004185851820846</v>
      </c>
      <c r="MJ77" s="39">
        <f t="shared" si="933"/>
        <v>7.6810889645114247E-2</v>
      </c>
      <c r="MK77" s="39">
        <f t="shared" si="933"/>
        <v>6.4757160647571602E-2</v>
      </c>
      <c r="ML77" s="39">
        <f t="shared" si="933"/>
        <v>9.0797168359495223E-2</v>
      </c>
      <c r="MM77" s="39">
        <f t="shared" si="933"/>
        <v>8.239219712525668E-2</v>
      </c>
      <c r="MN77" s="39">
        <f t="shared" si="933"/>
        <v>0.10198511166253102</v>
      </c>
      <c r="MO77" s="39">
        <f t="shared" si="933"/>
        <v>7.3269620619750939E-2</v>
      </c>
      <c r="MP77" s="39">
        <f t="shared" si="933"/>
        <v>7.5777718691837276E-2</v>
      </c>
      <c r="MQ77" s="39">
        <f t="shared" si="933"/>
        <v>9.7075295581829493E-2</v>
      </c>
      <c r="MR77" s="39">
        <f t="shared" si="933"/>
        <v>9.2295345104333862E-2</v>
      </c>
      <c r="MS77" s="39">
        <f t="shared" si="933"/>
        <v>5.1585169263836647E-2</v>
      </c>
      <c r="MT77" s="39">
        <f t="shared" si="933"/>
        <v>6.0606060606060608E-2</v>
      </c>
      <c r="MU77" s="39">
        <f t="shared" si="933"/>
        <v>8.5145888594164457E-2</v>
      </c>
      <c r="MV77" s="39">
        <f t="shared" si="933"/>
        <v>8.6919831223628688E-2</v>
      </c>
      <c r="MW77" s="39">
        <f t="shared" si="933"/>
        <v>5.7171020206998518E-2</v>
      </c>
      <c r="MX77" s="39">
        <f t="shared" si="933"/>
        <v>6.7878443623970469E-2</v>
      </c>
      <c r="MY77" s="39">
        <f t="shared" si="933"/>
        <v>9.202453987730061E-2</v>
      </c>
      <c r="MZ77" s="39">
        <f t="shared" si="933"/>
        <v>6.6368557307601786E-2</v>
      </c>
      <c r="NA77" s="39">
        <f t="shared" si="933"/>
        <v>6.8261086198305926E-2</v>
      </c>
      <c r="NB77" s="39">
        <f t="shared" si="933"/>
        <v>7.6320939334637961E-2</v>
      </c>
      <c r="NC77" s="39">
        <f t="shared" si="933"/>
        <v>5.6496100437511888E-2</v>
      </c>
      <c r="ND77" s="39">
        <f t="shared" si="933"/>
        <v>8.1547619047619049E-2</v>
      </c>
      <c r="NE77" s="39">
        <f t="shared" si="933"/>
        <v>9.8958333333333329E-2</v>
      </c>
      <c r="NF77" s="39">
        <f t="shared" si="933"/>
        <v>8.4337349397590355E-2</v>
      </c>
      <c r="NG77" s="39">
        <f t="shared" si="933"/>
        <v>7.806420233463035E-2</v>
      </c>
      <c r="NH77" s="39">
        <f t="shared" si="933"/>
        <v>7.1046600458365167E-2</v>
      </c>
      <c r="NI77" s="39">
        <f t="shared" si="933"/>
        <v>9.9785981808453716E-2</v>
      </c>
      <c r="NJ77" s="39">
        <f t="shared" si="933"/>
        <v>6.6870994706046252E-2</v>
      </c>
      <c r="NK77" s="39">
        <f t="shared" si="933"/>
        <v>6.9737268893934473E-2</v>
      </c>
      <c r="NL77" s="39">
        <f t="shared" ref="NL77:NN77" si="934">IFERROR(NL14/NL56,0)</f>
        <v>0.10861865407319952</v>
      </c>
      <c r="NM77" s="39">
        <f t="shared" si="934"/>
        <v>0.12567567567567567</v>
      </c>
      <c r="NN77" s="39">
        <f t="shared" si="934"/>
        <v>0.13726059199071386</v>
      </c>
      <c r="NO77" s="39">
        <f>IFERROR(NO14/NO56,0)</f>
        <v>0.14189837008628955</v>
      </c>
      <c r="NP77" s="39">
        <v>0.18893850910340099</v>
      </c>
      <c r="NQ77" s="39">
        <v>0.13303769401330401</v>
      </c>
      <c r="NR77" s="39">
        <v>0.116629350702219</v>
      </c>
      <c r="NS77" s="39">
        <v>0.11690169630083801</v>
      </c>
      <c r="NT77" s="39">
        <v>0.122488205486633</v>
      </c>
      <c r="NU77" s="39">
        <v>0.149439102564103</v>
      </c>
      <c r="NV77" s="39">
        <v>0.18355085974725499</v>
      </c>
      <c r="NW77" s="39">
        <v>0.14389089897022</v>
      </c>
      <c r="NX77" s="39">
        <v>0.15732298739088299</v>
      </c>
      <c r="NY77" s="39">
        <v>0.112576756879691</v>
      </c>
      <c r="NZ77" s="39">
        <v>0.145483796828315</v>
      </c>
      <c r="OA77" s="39">
        <v>0.14730878186968799</v>
      </c>
      <c r="OB77" s="39">
        <v>0.12589521296645301</v>
      </c>
      <c r="OC77" s="39">
        <v>0.125375125041681</v>
      </c>
      <c r="OD77" s="39">
        <v>0.13689776733254999</v>
      </c>
      <c r="OE77" s="39">
        <v>0.16945851188157399</v>
      </c>
      <c r="OF77" s="39">
        <v>0.14827245804541</v>
      </c>
      <c r="OG77" s="39">
        <v>0.17716115261472801</v>
      </c>
      <c r="OH77" s="39">
        <v>0.11258041458184399</v>
      </c>
      <c r="OI77" s="39">
        <v>0.189157336476134</v>
      </c>
      <c r="OJ77" s="39">
        <v>0.182134808440893</v>
      </c>
      <c r="OK77" s="39">
        <v>0.16286711850482599</v>
      </c>
      <c r="OL77" s="39">
        <v>0.162551846731187</v>
      </c>
      <c r="OM77" s="39">
        <v>0.132712668857247</v>
      </c>
      <c r="ON77" s="39">
        <v>0.110318592486923</v>
      </c>
      <c r="OO77" s="39">
        <v>0.14383865248227001</v>
      </c>
      <c r="OP77" s="39">
        <v>0.17798742138364801</v>
      </c>
      <c r="OQ77" s="39">
        <v>0.191153512575889</v>
      </c>
      <c r="OR77" s="39">
        <v>0.117891630901288</v>
      </c>
      <c r="OS77" s="39">
        <f t="shared" ref="OS77" si="935">IFERROR(OS14/OS56,0)</f>
        <v>0.13990783410138249</v>
      </c>
      <c r="OT77" s="39">
        <f t="shared" si="156"/>
        <v>0.11894953656024716</v>
      </c>
      <c r="OU77" s="39">
        <v>0.14719796215429401</v>
      </c>
      <c r="OV77" s="39">
        <v>0.13942307692307701</v>
      </c>
      <c r="OW77" s="39">
        <v>0.15243798118049601</v>
      </c>
      <c r="OX77" s="39">
        <v>0.149646262688404</v>
      </c>
      <c r="OY77" s="39">
        <v>0.127748206433696</v>
      </c>
      <c r="OZ77" s="39">
        <v>0.11126187245590199</v>
      </c>
      <c r="PA77" s="39">
        <v>0.11212614190964799</v>
      </c>
      <c r="PB77" s="39">
        <v>0.12704298860046701</v>
      </c>
      <c r="PC77" s="39">
        <v>0.14051386267963401</v>
      </c>
      <c r="PD77" s="39">
        <v>0.14834775209190201</v>
      </c>
      <c r="PE77" s="39">
        <v>0.111531944582877</v>
      </c>
      <c r="PF77" s="39">
        <v>0.10423218618025</v>
      </c>
      <c r="PG77" s="39">
        <v>6.0588406641421497E-2</v>
      </c>
      <c r="PH77" s="39">
        <v>0</v>
      </c>
      <c r="PI77" s="39">
        <v>0.145418076971292</v>
      </c>
      <c r="PJ77" s="39">
        <v>0.103512396694215</v>
      </c>
      <c r="PK77" s="39">
        <v>0.11600053828556001</v>
      </c>
      <c r="PL77" s="39">
        <v>8.7729639453777403E-2</v>
      </c>
      <c r="PM77" s="39">
        <v>9.1819270922471302E-2</v>
      </c>
      <c r="PN77" s="39">
        <v>9.2499566949592896E-2</v>
      </c>
      <c r="PO77" s="39">
        <v>8.5711288292068796E-2</v>
      </c>
      <c r="PP77" s="39">
        <v>7.4997348042855599E-2</v>
      </c>
      <c r="PQ77" s="39">
        <v>8.1834010446895006E-2</v>
      </c>
      <c r="PR77" s="39">
        <v>6.6789825209606399E-2</v>
      </c>
      <c r="PS77" s="39">
        <v>8.7181254307374195E-2</v>
      </c>
      <c r="PT77" s="39">
        <v>8.29117023012894E-2</v>
      </c>
      <c r="PU77" s="39">
        <v>8.1045319219318596E-2</v>
      </c>
      <c r="PV77" s="39">
        <v>5.9133252328878103E-2</v>
      </c>
      <c r="PW77" s="39">
        <v>7.4825006034274694E-2</v>
      </c>
      <c r="PX77" s="39">
        <v>2.8936884042776299E-2</v>
      </c>
      <c r="PY77" s="39">
        <v>3.8448275862068997E-2</v>
      </c>
      <c r="PZ77" s="39">
        <v>4.0897097625329802E-2</v>
      </c>
      <c r="QA77" s="39">
        <v>5.5005709935287403E-2</v>
      </c>
      <c r="QB77" s="39">
        <v>8.2450832072617206E-2</v>
      </c>
      <c r="QC77" s="39">
        <v>8.0367734282325007E-2</v>
      </c>
      <c r="QD77" s="39">
        <v>7.1715610510046393E-2</v>
      </c>
      <c r="QE77" s="39">
        <v>9.4988780852655205E-2</v>
      </c>
      <c r="QF77" s="39">
        <v>8.3212735166425494E-2</v>
      </c>
      <c r="QG77" s="39">
        <v>8.9895470383275305E-2</v>
      </c>
      <c r="QH77" s="39">
        <v>8.4989718985606602E-2</v>
      </c>
      <c r="QI77" s="39">
        <v>2.0060858785078298E-2</v>
      </c>
      <c r="QJ77" s="39">
        <v>3.3227552734739603E-2</v>
      </c>
      <c r="QK77" s="39">
        <v>3.5705610881710002E-2</v>
      </c>
      <c r="QL77" s="39">
        <v>0.104548540393754</v>
      </c>
      <c r="QM77" s="39">
        <v>7.4074074074074098E-2</v>
      </c>
      <c r="QN77" s="39">
        <v>2.1148762316750801E-2</v>
      </c>
      <c r="QO77" s="39">
        <v>5.9377945334590003E-2</v>
      </c>
      <c r="QP77" s="39">
        <v>4.4995864350703102E-2</v>
      </c>
      <c r="QQ77" s="39">
        <v>0</v>
      </c>
      <c r="QR77" s="39">
        <v>6.1016949152542403E-2</v>
      </c>
      <c r="QS77" s="39">
        <v>3.3648027112079398E-2</v>
      </c>
      <c r="QT77" s="39">
        <v>4.2928393302458102E-2</v>
      </c>
      <c r="QU77" s="39">
        <v>7.6504713560551094E-2</v>
      </c>
      <c r="QV77" s="39">
        <v>0.14036061026352301</v>
      </c>
      <c r="QW77" s="39">
        <v>0.23069274113357599</v>
      </c>
      <c r="QX77" s="39">
        <v>7.66794842795748E-2</v>
      </c>
      <c r="QY77" s="39">
        <v>0.17010676156583601</v>
      </c>
      <c r="QZ77" s="39">
        <v>0.172232448067315</v>
      </c>
      <c r="RA77" s="39">
        <v>0.293303283966516</v>
      </c>
      <c r="RB77" s="39">
        <v>0.36238198983296999</v>
      </c>
      <c r="RC77" s="39">
        <v>0.30278724684178898</v>
      </c>
      <c r="RD77" s="39">
        <v>0.31907803387947797</v>
      </c>
      <c r="RE77" s="39">
        <v>0.37588126159554702</v>
      </c>
      <c r="RF77" s="39">
        <v>0.44231067059005702</v>
      </c>
      <c r="RG77" s="39">
        <v>0.46476573294812201</v>
      </c>
      <c r="RH77" s="39">
        <v>0.432731508444962</v>
      </c>
      <c r="RI77" s="39">
        <v>0.38776852257781702</v>
      </c>
      <c r="RJ77" s="39">
        <v>0.35574630424415798</v>
      </c>
      <c r="RK77" s="39">
        <v>0.38139763779527602</v>
      </c>
      <c r="RL77" s="39">
        <v>0.34232294617563702</v>
      </c>
      <c r="RM77" s="39">
        <v>0.36766279152699499</v>
      </c>
      <c r="RN77" s="39">
        <v>0.35431025341957401</v>
      </c>
      <c r="RO77" s="39">
        <v>0.387105167299787</v>
      </c>
      <c r="RP77" s="39">
        <v>0.38461041478227198</v>
      </c>
      <c r="RQ77" s="39">
        <v>0.398998887652948</v>
      </c>
      <c r="RR77" s="39">
        <v>0.39980670103092802</v>
      </c>
      <c r="RS77" s="39">
        <v>0.38523956723338498</v>
      </c>
      <c r="RT77" s="39">
        <v>0.35932799818377897</v>
      </c>
      <c r="RU77" s="39">
        <v>0.405559619604974</v>
      </c>
      <c r="RV77" s="39">
        <v>0.398629068212216</v>
      </c>
      <c r="RW77" s="39">
        <v>0.38555275002744499</v>
      </c>
      <c r="RX77" s="39">
        <v>0.38426233468204601</v>
      </c>
      <c r="RY77" s="39">
        <v>0.38733718275815798</v>
      </c>
      <c r="RZ77" s="39">
        <v>0.27516384622909101</v>
      </c>
      <c r="SA77" s="39">
        <v>0.27152100010966101</v>
      </c>
      <c r="SB77" s="39">
        <v>0.29248197734294501</v>
      </c>
      <c r="SC77" s="39">
        <v>0.28561091585693599</v>
      </c>
      <c r="SD77" s="39">
        <v>0.22009317703636899</v>
      </c>
      <c r="SE77" s="39">
        <v>0.28282070517629398</v>
      </c>
      <c r="SF77" s="39">
        <v>0.26877062706270599</v>
      </c>
      <c r="SG77" s="39">
        <v>0.26061899679829198</v>
      </c>
      <c r="SH77" s="39">
        <v>0.26611643988400602</v>
      </c>
      <c r="SI77" s="39">
        <v>0.18780380026513499</v>
      </c>
      <c r="SJ77" s="39">
        <v>9.3335112415771596E-2</v>
      </c>
      <c r="SK77" s="39">
        <v>0.16437691934701801</v>
      </c>
      <c r="SL77" s="39">
        <v>0.177323240457401</v>
      </c>
      <c r="SM77" s="39">
        <v>0.17837480731116501</v>
      </c>
      <c r="SN77" s="39">
        <v>0.135679818336645</v>
      </c>
      <c r="SO77" s="39">
        <v>2.7855599135515899E-2</v>
      </c>
      <c r="SP77" s="39">
        <v>-3.2479249368459001E-2</v>
      </c>
      <c r="SQ77" s="39">
        <v>0.21101194978066901</v>
      </c>
      <c r="SR77" s="39">
        <v>0.16852693950668299</v>
      </c>
      <c r="SS77" s="39">
        <v>0.11549978611150701</v>
      </c>
      <c r="ST77" s="39">
        <v>0.13073182028717001</v>
      </c>
      <c r="SU77" s="39">
        <v>5.7027027027027E-2</v>
      </c>
      <c r="SV77" s="39">
        <v>4.3177601619160101E-2</v>
      </c>
      <c r="SW77" s="39">
        <v>0.14074855034264599</v>
      </c>
      <c r="SX77" s="39">
        <v>0.103145951521403</v>
      </c>
      <c r="SY77" s="39">
        <v>7.5862068965517199E-2</v>
      </c>
      <c r="SZ77" s="39">
        <v>8.4787350054525604E-2</v>
      </c>
      <c r="TA77" s="39">
        <v>7.0982052833232501E-2</v>
      </c>
      <c r="TB77" s="39">
        <v>6.50684931506849E-2</v>
      </c>
      <c r="TC77" s="39">
        <v>0.107213438735178</v>
      </c>
      <c r="TD77" s="39">
        <v>6.5106382978723398E-2</v>
      </c>
      <c r="TE77" s="39">
        <v>9.03942953020134E-2</v>
      </c>
      <c r="TF77" s="39">
        <v>0</v>
      </c>
      <c r="TG77" s="39">
        <v>7.0871406284822802E-2</v>
      </c>
      <c r="TH77" s="39">
        <v>6.1343314618423801E-2</v>
      </c>
      <c r="TI77" s="39">
        <v>5.8558558558558599E-2</v>
      </c>
      <c r="TJ77" s="39">
        <v>3.16736652669466E-2</v>
      </c>
      <c r="TK77" s="39">
        <v>7.6658053402239495E-2</v>
      </c>
      <c r="TL77" s="39">
        <v>5.1622418879055998E-2</v>
      </c>
      <c r="TM77" s="39">
        <v>5.4673721340387997E-2</v>
      </c>
      <c r="TN77" s="39">
        <v>3.0684500393391E-2</v>
      </c>
      <c r="TO77" s="39">
        <v>6.5807327001356899E-2</v>
      </c>
      <c r="TP77" s="39">
        <v>1.41874462596733E-2</v>
      </c>
      <c r="TQ77" s="39">
        <v>1.07978404319136E-2</v>
      </c>
      <c r="TR77" s="39">
        <v>3.8579301898346602E-2</v>
      </c>
      <c r="TS77" s="39">
        <v>3.8075313807531402E-2</v>
      </c>
      <c r="TT77" s="39">
        <v>3.5904255319148898E-2</v>
      </c>
      <c r="TU77" s="39">
        <v>4.0515653775322298E-2</v>
      </c>
      <c r="TV77" s="39">
        <v>2.8341887971434901E-2</v>
      </c>
      <c r="TW77" s="39">
        <v>3.5294117647058802E-2</v>
      </c>
      <c r="TX77" s="39">
        <v>1.6257843696520301E-2</v>
      </c>
      <c r="TY77" s="39">
        <v>2.0538566864445499E-2</v>
      </c>
      <c r="TZ77" s="39">
        <v>2.4076380240763799E-2</v>
      </c>
      <c r="UA77" s="39">
        <v>4.8538011695906401E-2</v>
      </c>
      <c r="UB77" s="39">
        <v>4.8593350383631703E-2</v>
      </c>
      <c r="UC77" s="39">
        <v>2.23201174743025E-2</v>
      </c>
      <c r="UD77" s="39">
        <v>0</v>
      </c>
      <c r="UE77" s="39">
        <v>1.7718715393134001E-3</v>
      </c>
      <c r="UF77" s="39">
        <v>3.8053649407361202E-2</v>
      </c>
      <c r="UG77" s="39">
        <v>0</v>
      </c>
      <c r="UH77" s="45">
        <v>1.3876319758672701E-2</v>
      </c>
      <c r="UI77" s="45">
        <v>0</v>
      </c>
      <c r="UJ77" s="45">
        <v>1.97745699031046E-2</v>
      </c>
      <c r="UK77" s="45">
        <v>0</v>
      </c>
      <c r="UL77" s="45">
        <v>0</v>
      </c>
      <c r="UM77" s="45">
        <v>6.4977257959714096E-3</v>
      </c>
      <c r="UN77" s="45">
        <v>1.0109071561585499E-2</v>
      </c>
      <c r="UO77" s="45">
        <v>0</v>
      </c>
      <c r="UP77" s="45">
        <v>0</v>
      </c>
      <c r="UQ77" s="45">
        <v>0</v>
      </c>
      <c r="UR77" s="45">
        <v>0</v>
      </c>
      <c r="US77" s="45">
        <v>2.7857739808710199E-3</v>
      </c>
      <c r="UT77" s="45">
        <v>0</v>
      </c>
      <c r="UU77" s="45">
        <v>1.40246493837654E-2</v>
      </c>
      <c r="UV77" s="45">
        <v>0</v>
      </c>
      <c r="UW77" s="45">
        <v>7.1704357418643097E-3</v>
      </c>
      <c r="UX77" s="45">
        <v>0</v>
      </c>
      <c r="UY77" s="45">
        <v>0</v>
      </c>
      <c r="UZ77" s="45">
        <v>0</v>
      </c>
      <c r="VA77" s="45">
        <v>1.1576354679803001E-2</v>
      </c>
      <c r="VB77" s="45">
        <v>1.4613778705636699E-2</v>
      </c>
      <c r="VC77" s="45">
        <v>0</v>
      </c>
      <c r="VD77" s="45">
        <v>0</v>
      </c>
      <c r="VE77" s="45">
        <v>0</v>
      </c>
      <c r="VF77" s="45">
        <v>0</v>
      </c>
      <c r="VG77" s="45">
        <v>3.2390412437918398E-3</v>
      </c>
      <c r="VH77" s="45">
        <v>0</v>
      </c>
      <c r="VI77" s="45">
        <v>0</v>
      </c>
      <c r="VJ77" s="45">
        <v>0</v>
      </c>
      <c r="VK77" s="45">
        <v>0</v>
      </c>
      <c r="VL77" s="45">
        <v>1.31729667812142E-2</v>
      </c>
      <c r="VM77" s="45">
        <v>0</v>
      </c>
      <c r="VN77" s="45">
        <v>0</v>
      </c>
      <c r="VO77" s="45">
        <v>0</v>
      </c>
      <c r="VP77" s="45">
        <v>7.63358778625954E-3</v>
      </c>
      <c r="VQ77" s="45">
        <v>0</v>
      </c>
      <c r="VR77" s="45">
        <v>5.1850106057035102E-3</v>
      </c>
      <c r="VS77" s="45">
        <v>0</v>
      </c>
      <c r="VT77" s="45">
        <v>1.1418376449598601E-2</v>
      </c>
      <c r="VU77" s="45">
        <v>0</v>
      </c>
      <c r="VV77" s="45">
        <v>0</v>
      </c>
      <c r="VW77" s="45">
        <v>0</v>
      </c>
      <c r="VX77" s="35">
        <v>0</v>
      </c>
      <c r="VY77" s="35">
        <v>0</v>
      </c>
      <c r="VZ77" s="35">
        <v>0</v>
      </c>
      <c r="WA77" s="35">
        <v>0</v>
      </c>
      <c r="WB77" s="35">
        <v>0</v>
      </c>
      <c r="WC77" s="35">
        <v>5.3113553113553098E-3</v>
      </c>
      <c r="WD77" s="35">
        <v>0</v>
      </c>
      <c r="WE77" s="35">
        <v>0</v>
      </c>
      <c r="WF77" s="35">
        <v>0</v>
      </c>
      <c r="WG77" s="35">
        <v>7.55214576840086E-3</v>
      </c>
      <c r="WH77" s="35">
        <v>0</v>
      </c>
      <c r="WI77" s="35">
        <v>0</v>
      </c>
      <c r="WJ77" s="35">
        <v>1.8086544962812701E-2</v>
      </c>
      <c r="WK77" s="35">
        <v>0</v>
      </c>
      <c r="WL77" s="35">
        <v>0</v>
      </c>
      <c r="WM77" s="35">
        <v>0</v>
      </c>
      <c r="WN77" s="35">
        <v>0</v>
      </c>
      <c r="WO77" s="35">
        <v>0</v>
      </c>
      <c r="WP77" s="35">
        <v>0</v>
      </c>
      <c r="WQ77" s="35">
        <v>1.09653064893043E-2</v>
      </c>
      <c r="WR77" s="35">
        <v>0</v>
      </c>
      <c r="WS77" s="35">
        <v>0</v>
      </c>
      <c r="WT77" s="35">
        <v>0</v>
      </c>
      <c r="WU77" s="35">
        <v>0</v>
      </c>
      <c r="WV77" s="45">
        <v>0</v>
      </c>
      <c r="WW77" s="45">
        <v>0</v>
      </c>
      <c r="WX77" s="45">
        <v>1.12495419567607E-2</v>
      </c>
      <c r="WY77" s="45">
        <v>0</v>
      </c>
      <c r="WZ77" s="45">
        <v>0.108991228070175</v>
      </c>
      <c r="XA77" s="45">
        <v>4.3416631667366701E-2</v>
      </c>
      <c r="XB77" s="45">
        <v>0</v>
      </c>
      <c r="XC77" s="45">
        <v>0</v>
      </c>
      <c r="XD77" s="45">
        <v>8.6675020885547197E-2</v>
      </c>
      <c r="XE77" s="45">
        <v>0</v>
      </c>
      <c r="XF77" s="45">
        <v>4.9238360866766799E-2</v>
      </c>
      <c r="XG77" s="45">
        <v>0</v>
      </c>
      <c r="XH77" s="45">
        <v>0</v>
      </c>
      <c r="XI77" s="45">
        <v>0</v>
      </c>
      <c r="XJ77" s="45">
        <v>0</v>
      </c>
      <c r="XK77" s="45">
        <v>0</v>
      </c>
      <c r="XL77" s="45">
        <v>0.183983572895277</v>
      </c>
      <c r="XM77" s="45">
        <v>2.6857896695193301E-2</v>
      </c>
      <c r="XN77" s="45">
        <v>0</v>
      </c>
      <c r="XO77" s="45">
        <v>0</v>
      </c>
      <c r="XP77" s="45">
        <v>0</v>
      </c>
      <c r="XQ77" s="45">
        <v>0</v>
      </c>
      <c r="XR77" s="45">
        <v>3.0815482901164998E-2</v>
      </c>
      <c r="XS77" s="45">
        <v>0</v>
      </c>
      <c r="XT77" s="45">
        <v>0</v>
      </c>
      <c r="XU77" s="45">
        <v>0</v>
      </c>
      <c r="XV77" s="45">
        <v>0</v>
      </c>
      <c r="XW77" s="45">
        <v>0</v>
      </c>
      <c r="XX77" s="45">
        <v>0</v>
      </c>
      <c r="XY77">
        <v>0</v>
      </c>
      <c r="XZ77">
        <v>0</v>
      </c>
      <c r="YA77">
        <v>0</v>
      </c>
      <c r="YB77">
        <v>0</v>
      </c>
      <c r="YC77">
        <v>8.7648024894113594E-2</v>
      </c>
      <c r="YD77">
        <v>0</v>
      </c>
      <c r="YE77">
        <v>3.2599776202909402E-2</v>
      </c>
      <c r="YF77" s="1">
        <v>0</v>
      </c>
      <c r="YG77" s="1">
        <v>0</v>
      </c>
      <c r="YH77" s="1">
        <v>0</v>
      </c>
      <c r="YI77" s="1">
        <v>0</v>
      </c>
      <c r="YJ77">
        <v>0.11411665257819099</v>
      </c>
      <c r="YK77">
        <v>0</v>
      </c>
      <c r="YL77">
        <v>0</v>
      </c>
      <c r="YM77">
        <v>0.119607665062211</v>
      </c>
      <c r="YN77">
        <v>0</v>
      </c>
      <c r="YO77">
        <v>3.7531871494135602E-2</v>
      </c>
      <c r="YP77">
        <v>0</v>
      </c>
      <c r="YQ77">
        <v>0</v>
      </c>
      <c r="YR77">
        <v>0</v>
      </c>
      <c r="YS77">
        <v>4.9565304286999103E-2</v>
      </c>
      <c r="YT77">
        <v>0</v>
      </c>
      <c r="YU77">
        <v>0</v>
      </c>
      <c r="YV77">
        <v>0</v>
      </c>
      <c r="YW77">
        <v>4.2906686023066402E-2</v>
      </c>
      <c r="YX77">
        <v>0</v>
      </c>
      <c r="YY77">
        <v>0</v>
      </c>
      <c r="YZ77">
        <v>0</v>
      </c>
      <c r="ZA77">
        <v>0</v>
      </c>
      <c r="ZB77">
        <v>0</v>
      </c>
      <c r="ZC77">
        <v>0</v>
      </c>
      <c r="ZD77">
        <v>0</v>
      </c>
      <c r="ZE77">
        <v>0</v>
      </c>
      <c r="ZF77">
        <v>0</v>
      </c>
      <c r="ZG77">
        <v>0</v>
      </c>
      <c r="ZH77">
        <v>3.3684362377380303E-2</v>
      </c>
      <c r="ZI77">
        <v>0</v>
      </c>
      <c r="ZJ77">
        <v>5.5784469096672E-2</v>
      </c>
      <c r="ZK77">
        <v>9.7595473833097607E-2</v>
      </c>
      <c r="ZL77">
        <v>0</v>
      </c>
      <c r="ZM77">
        <v>0</v>
      </c>
      <c r="ZN77">
        <v>7.7570982203505001E-2</v>
      </c>
      <c r="ZO77">
        <v>7.7570982203505001E-2</v>
      </c>
      <c r="ZP77">
        <v>0</v>
      </c>
      <c r="ZQ77">
        <v>8.7020033388981594E-2</v>
      </c>
      <c r="ZR77">
        <v>0</v>
      </c>
      <c r="ZS77">
        <v>0</v>
      </c>
      <c r="ZT77">
        <v>0</v>
      </c>
      <c r="ZU77">
        <v>4.9680869415214803E-2</v>
      </c>
      <c r="ZV77">
        <v>0</v>
      </c>
      <c r="ZW77">
        <v>0</v>
      </c>
      <c r="ZX77">
        <v>6.0928090683669903E-2</v>
      </c>
      <c r="ZY77">
        <v>0</v>
      </c>
      <c r="ZZ77">
        <v>0</v>
      </c>
      <c r="AAA77">
        <v>0</v>
      </c>
      <c r="AAB77">
        <v>0</v>
      </c>
      <c r="AAC77">
        <v>6.5242900727528794E-2</v>
      </c>
      <c r="AAD77">
        <v>0</v>
      </c>
      <c r="AAE77">
        <v>0</v>
      </c>
      <c r="AAF77">
        <v>0</v>
      </c>
      <c r="AAG77">
        <v>5.14566780174045E-2</v>
      </c>
      <c r="AAH77">
        <v>0</v>
      </c>
      <c r="AAI77">
        <v>0</v>
      </c>
      <c r="AAJ77">
        <v>0</v>
      </c>
      <c r="AAK77">
        <v>3.9488966318234599E-2</v>
      </c>
      <c r="AAL77">
        <v>0</v>
      </c>
      <c r="AAM77">
        <v>0</v>
      </c>
      <c r="AAN77">
        <v>0</v>
      </c>
      <c r="AAO77">
        <v>0</v>
      </c>
      <c r="AAP77">
        <v>0</v>
      </c>
      <c r="AAQ77">
        <v>4.5844466319786198E-2</v>
      </c>
      <c r="AAR77">
        <v>0</v>
      </c>
      <c r="AAS77">
        <v>0</v>
      </c>
      <c r="AAT77">
        <v>0</v>
      </c>
      <c r="AAU77">
        <v>0</v>
      </c>
      <c r="AAV77">
        <v>0</v>
      </c>
      <c r="AAW77">
        <v>0</v>
      </c>
      <c r="AAX77">
        <v>4.1711956521739098E-2</v>
      </c>
      <c r="AAY77">
        <v>0</v>
      </c>
      <c r="AAZ77">
        <v>0</v>
      </c>
      <c r="ABA77">
        <v>0</v>
      </c>
      <c r="ABB77">
        <v>0</v>
      </c>
      <c r="ABC77">
        <v>0</v>
      </c>
      <c r="ABD77">
        <v>0</v>
      </c>
      <c r="ABE77">
        <v>7.2957491709375905E-2</v>
      </c>
      <c r="ABF77">
        <v>9.4284030642310002E-2</v>
      </c>
      <c r="ABG77">
        <v>0</v>
      </c>
      <c r="ABH77">
        <v>0</v>
      </c>
      <c r="ABI77">
        <v>6.2009848623016603E-2</v>
      </c>
      <c r="ABJ77">
        <v>0</v>
      </c>
      <c r="ABK77">
        <v>0</v>
      </c>
      <c r="ABL77">
        <v>0</v>
      </c>
      <c r="ABM77">
        <v>0</v>
      </c>
      <c r="ABN77">
        <v>0</v>
      </c>
      <c r="ABO77">
        <v>0</v>
      </c>
      <c r="ABP77">
        <v>0</v>
      </c>
      <c r="ABQ77">
        <v>1.05560635026182E-2</v>
      </c>
      <c r="ABR77">
        <v>0</v>
      </c>
      <c r="ABS77">
        <v>0</v>
      </c>
      <c r="ABT77">
        <v>0</v>
      </c>
      <c r="ABU77">
        <v>0</v>
      </c>
      <c r="ABV77">
        <v>0</v>
      </c>
      <c r="ABW77">
        <v>0</v>
      </c>
      <c r="ABX77">
        <v>0</v>
      </c>
      <c r="ABY77">
        <v>0</v>
      </c>
      <c r="ABZ77">
        <v>0</v>
      </c>
      <c r="ACA77">
        <v>0</v>
      </c>
      <c r="ACB77">
        <v>1.11129632716564E-3</v>
      </c>
      <c r="ACC77">
        <v>0</v>
      </c>
      <c r="ACD77">
        <v>0</v>
      </c>
      <c r="ACE77">
        <v>0</v>
      </c>
      <c r="ACF77">
        <v>0</v>
      </c>
      <c r="ACG77">
        <v>0</v>
      </c>
      <c r="ACH77">
        <v>0</v>
      </c>
      <c r="ACI77">
        <v>0</v>
      </c>
      <c r="ACJ77">
        <v>0</v>
      </c>
      <c r="ACK77">
        <v>0</v>
      </c>
      <c r="ACL77">
        <v>0</v>
      </c>
      <c r="ACM77">
        <v>0</v>
      </c>
      <c r="ACN77">
        <v>0</v>
      </c>
      <c r="ACO77">
        <v>0</v>
      </c>
      <c r="ACP77">
        <v>0</v>
      </c>
      <c r="ACQ77">
        <v>0</v>
      </c>
      <c r="ACR77">
        <v>0</v>
      </c>
      <c r="ACS77">
        <v>0</v>
      </c>
      <c r="ACT77">
        <v>0</v>
      </c>
      <c r="ACU77">
        <v>0</v>
      </c>
      <c r="ACV77">
        <v>0</v>
      </c>
      <c r="ACW77">
        <v>0</v>
      </c>
      <c r="ACX77">
        <v>0</v>
      </c>
      <c r="ACY77">
        <v>0</v>
      </c>
      <c r="ACZ77">
        <v>0</v>
      </c>
      <c r="ADA77">
        <v>0</v>
      </c>
      <c r="ADB77">
        <v>0</v>
      </c>
      <c r="ADC77">
        <v>0</v>
      </c>
      <c r="ADD77">
        <v>0</v>
      </c>
      <c r="ADE77">
        <v>0</v>
      </c>
      <c r="ADF77">
        <v>0</v>
      </c>
      <c r="ADG77">
        <v>0</v>
      </c>
      <c r="ADH77">
        <v>0</v>
      </c>
      <c r="ADI77">
        <v>0</v>
      </c>
      <c r="ADJ77">
        <v>0</v>
      </c>
      <c r="ADK77">
        <v>0</v>
      </c>
      <c r="ADL77">
        <v>1.3299287158208301E-3</v>
      </c>
      <c r="ADM77">
        <v>0</v>
      </c>
      <c r="ADN77">
        <v>0</v>
      </c>
      <c r="ADO77">
        <v>0</v>
      </c>
      <c r="ADP77">
        <v>0</v>
      </c>
      <c r="ADQ77">
        <v>0</v>
      </c>
      <c r="ADR77">
        <v>1.6939582156973498E-2</v>
      </c>
      <c r="ADS77">
        <v>0</v>
      </c>
      <c r="ADT77">
        <v>0</v>
      </c>
      <c r="ADU77">
        <v>0</v>
      </c>
      <c r="ADV77">
        <v>0</v>
      </c>
      <c r="ADW77">
        <v>0.106389879987026</v>
      </c>
      <c r="ADX77">
        <v>0</v>
      </c>
      <c r="ADY77">
        <v>8.0248332950103501E-2</v>
      </c>
      <c r="ADZ77">
        <v>0</v>
      </c>
      <c r="AEA77">
        <v>0</v>
      </c>
      <c r="AEB77">
        <v>0</v>
      </c>
      <c r="AEC77">
        <v>0</v>
      </c>
      <c r="AED77">
        <v>0</v>
      </c>
      <c r="AEE77">
        <v>0</v>
      </c>
      <c r="AEF77">
        <v>0</v>
      </c>
      <c r="AEG77">
        <v>0</v>
      </c>
      <c r="AEH77">
        <v>0</v>
      </c>
      <c r="AEI77">
        <v>0</v>
      </c>
      <c r="AEJ77">
        <v>0</v>
      </c>
      <c r="AEK77">
        <v>0</v>
      </c>
      <c r="AEL77">
        <v>0</v>
      </c>
      <c r="AEM77">
        <v>0</v>
      </c>
      <c r="AEN77">
        <v>0</v>
      </c>
      <c r="AEO77">
        <v>0</v>
      </c>
      <c r="AEP77">
        <v>0</v>
      </c>
      <c r="AEQ77">
        <v>0</v>
      </c>
      <c r="AER77">
        <v>0</v>
      </c>
      <c r="AES77">
        <v>0</v>
      </c>
      <c r="AET77">
        <v>0</v>
      </c>
      <c r="AEU77">
        <v>0</v>
      </c>
      <c r="AEV77">
        <v>0</v>
      </c>
      <c r="AEW77">
        <v>0</v>
      </c>
      <c r="AEX77">
        <v>0</v>
      </c>
      <c r="AEY77">
        <v>0</v>
      </c>
      <c r="AEZ77">
        <v>0</v>
      </c>
      <c r="AFA77">
        <v>0</v>
      </c>
      <c r="AFB77">
        <v>0</v>
      </c>
      <c r="AFC77">
        <v>0</v>
      </c>
      <c r="AFD77">
        <v>0</v>
      </c>
      <c r="AFE77">
        <v>0</v>
      </c>
      <c r="AFF77">
        <v>0</v>
      </c>
      <c r="AFG77">
        <v>0</v>
      </c>
      <c r="AFH77">
        <v>0</v>
      </c>
      <c r="AFI77">
        <v>0</v>
      </c>
      <c r="AFJ77">
        <v>0</v>
      </c>
      <c r="AFK77">
        <v>0</v>
      </c>
      <c r="AFL77">
        <v>0</v>
      </c>
      <c r="AFM77">
        <v>0</v>
      </c>
      <c r="AFN77">
        <v>0</v>
      </c>
      <c r="AFO77">
        <v>0</v>
      </c>
      <c r="AFP77">
        <v>0</v>
      </c>
      <c r="AFQ77">
        <v>0</v>
      </c>
      <c r="AFR77">
        <v>0</v>
      </c>
      <c r="AFS77">
        <v>0</v>
      </c>
      <c r="AFT77">
        <v>0</v>
      </c>
      <c r="AFU77">
        <v>0</v>
      </c>
      <c r="AFV77">
        <v>0</v>
      </c>
      <c r="AFW77">
        <v>0</v>
      </c>
      <c r="AFX77">
        <v>0</v>
      </c>
      <c r="AFY77">
        <v>0</v>
      </c>
      <c r="AFZ77">
        <v>0</v>
      </c>
      <c r="AGA77">
        <v>0</v>
      </c>
      <c r="AGB77">
        <v>0</v>
      </c>
      <c r="AGC77">
        <v>0</v>
      </c>
      <c r="AGD77">
        <v>0</v>
      </c>
      <c r="AGE77">
        <v>0</v>
      </c>
      <c r="AGF77">
        <v>0</v>
      </c>
      <c r="AGG77">
        <v>0</v>
      </c>
      <c r="AGH77">
        <v>0</v>
      </c>
      <c r="AGI77">
        <v>0</v>
      </c>
      <c r="AGJ77">
        <v>0</v>
      </c>
      <c r="AGK77">
        <v>0</v>
      </c>
      <c r="AGL77">
        <v>0</v>
      </c>
      <c r="AGM77">
        <v>0</v>
      </c>
      <c r="AGN77">
        <v>0</v>
      </c>
      <c r="AGO77">
        <v>0</v>
      </c>
      <c r="AGP77">
        <v>0</v>
      </c>
      <c r="AGQ77">
        <v>0</v>
      </c>
      <c r="AGR77">
        <v>0</v>
      </c>
      <c r="AGS77">
        <v>0</v>
      </c>
      <c r="AGT77">
        <v>0</v>
      </c>
      <c r="AGU77">
        <v>0</v>
      </c>
      <c r="AGV77">
        <v>0</v>
      </c>
      <c r="AGW77">
        <v>0</v>
      </c>
      <c r="AGX77">
        <v>0</v>
      </c>
      <c r="AGY77">
        <v>0</v>
      </c>
      <c r="AGZ77">
        <v>0</v>
      </c>
      <c r="AHA77">
        <v>0</v>
      </c>
      <c r="AHB77">
        <v>0</v>
      </c>
      <c r="AHC77">
        <v>0</v>
      </c>
      <c r="AHD77">
        <v>0</v>
      </c>
      <c r="AHE77">
        <v>0</v>
      </c>
      <c r="AHF77">
        <v>0</v>
      </c>
      <c r="AHG77">
        <v>0</v>
      </c>
      <c r="AHH77">
        <v>0</v>
      </c>
      <c r="AHI77">
        <v>0</v>
      </c>
      <c r="AHJ77">
        <v>0</v>
      </c>
      <c r="AHK77">
        <v>0</v>
      </c>
      <c r="AHL77">
        <v>0</v>
      </c>
      <c r="AHM77">
        <v>0</v>
      </c>
      <c r="AHN77">
        <v>0</v>
      </c>
      <c r="AHO77">
        <v>0</v>
      </c>
      <c r="AHP77">
        <v>0</v>
      </c>
      <c r="AHQ77">
        <v>0</v>
      </c>
    </row>
    <row r="78" spans="1:901">
      <c r="A78" s="1" t="s">
        <v>96</v>
      </c>
      <c r="C78" s="39">
        <f t="shared" si="157"/>
        <v>0</v>
      </c>
      <c r="D78" s="39">
        <f t="shared" si="157"/>
        <v>0.26795247115550197</v>
      </c>
      <c r="E78" s="39">
        <f t="shared" si="157"/>
        <v>0</v>
      </c>
      <c r="F78" s="39">
        <f t="shared" si="157"/>
        <v>0</v>
      </c>
      <c r="G78" s="39">
        <f t="shared" si="222"/>
        <v>0.13915281076801267</v>
      </c>
      <c r="H78" s="39">
        <f t="shared" si="222"/>
        <v>0</v>
      </c>
      <c r="I78" s="39">
        <f t="shared" si="222"/>
        <v>0.25888133030990174</v>
      </c>
      <c r="J78" s="39">
        <f t="shared" si="222"/>
        <v>0.41828503137137735</v>
      </c>
      <c r="K78" s="39">
        <f t="shared" si="222"/>
        <v>0.45968834688346882</v>
      </c>
      <c r="L78" s="39">
        <f t="shared" si="222"/>
        <v>0</v>
      </c>
      <c r="M78" s="39">
        <f t="shared" si="222"/>
        <v>0.19927536231884058</v>
      </c>
      <c r="N78" s="39">
        <f t="shared" si="222"/>
        <v>0</v>
      </c>
      <c r="O78" s="39">
        <f t="shared" si="222"/>
        <v>0.24790907141325327</v>
      </c>
      <c r="P78" s="39">
        <f t="shared" si="222"/>
        <v>0</v>
      </c>
      <c r="Q78" s="39">
        <f t="shared" si="222"/>
        <v>0.18380462724935734</v>
      </c>
      <c r="R78" s="39">
        <f t="shared" si="222"/>
        <v>0.37334437086092714</v>
      </c>
      <c r="S78" s="39">
        <f t="shared" si="222"/>
        <v>0</v>
      </c>
      <c r="T78" s="39">
        <f t="shared" si="222"/>
        <v>0.38723150357995229</v>
      </c>
      <c r="U78" s="39">
        <f t="shared" si="222"/>
        <v>0.5508428493746601</v>
      </c>
      <c r="V78" s="39">
        <f t="shared" ref="V78:AY78" si="936">IFERROR(V15/V57,0)</f>
        <v>0</v>
      </c>
      <c r="W78" s="39">
        <f t="shared" si="936"/>
        <v>0.21572123176661265</v>
      </c>
      <c r="X78" s="39">
        <f t="shared" si="936"/>
        <v>0.41148807524353376</v>
      </c>
      <c r="Y78" s="39">
        <f t="shared" si="936"/>
        <v>0.42166108913903255</v>
      </c>
      <c r="Z78" s="39">
        <f t="shared" si="936"/>
        <v>0</v>
      </c>
      <c r="AA78" s="39">
        <f t="shared" si="936"/>
        <v>0</v>
      </c>
      <c r="AB78" s="39">
        <f t="shared" si="936"/>
        <v>0.14499999999999999</v>
      </c>
      <c r="AC78" s="39">
        <f t="shared" si="936"/>
        <v>0.47040878584502743</v>
      </c>
      <c r="AD78" s="39">
        <f t="shared" si="936"/>
        <v>0.38463694981777402</v>
      </c>
      <c r="AE78" s="39">
        <f t="shared" si="936"/>
        <v>0</v>
      </c>
      <c r="AF78" s="39">
        <f t="shared" si="936"/>
        <v>0</v>
      </c>
      <c r="AG78" s="39">
        <f t="shared" si="936"/>
        <v>0</v>
      </c>
      <c r="AH78" s="39">
        <f t="shared" si="936"/>
        <v>0</v>
      </c>
      <c r="AI78" s="39">
        <f t="shared" si="936"/>
        <v>0</v>
      </c>
      <c r="AJ78" s="39">
        <f t="shared" si="936"/>
        <v>0</v>
      </c>
      <c r="AK78" s="39">
        <f t="shared" si="936"/>
        <v>0</v>
      </c>
      <c r="AL78" s="39">
        <f t="shared" si="936"/>
        <v>0</v>
      </c>
      <c r="AM78" s="39">
        <f t="shared" si="936"/>
        <v>5.0542672914413875E-2</v>
      </c>
      <c r="AN78" s="39">
        <f t="shared" si="936"/>
        <v>0</v>
      </c>
      <c r="AO78" s="39">
        <f t="shared" si="936"/>
        <v>0</v>
      </c>
      <c r="AP78" s="39">
        <f t="shared" si="936"/>
        <v>0.14849267872523686</v>
      </c>
      <c r="AQ78" s="39">
        <f t="shared" si="936"/>
        <v>0.41336467427803897</v>
      </c>
      <c r="AR78" s="39">
        <f t="shared" si="936"/>
        <v>0.34864586904353789</v>
      </c>
      <c r="AS78" s="39">
        <f t="shared" si="936"/>
        <v>0</v>
      </c>
      <c r="AT78" s="39">
        <f t="shared" si="936"/>
        <v>0</v>
      </c>
      <c r="AU78" s="39">
        <f t="shared" si="936"/>
        <v>0</v>
      </c>
      <c r="AV78" s="39">
        <f t="shared" si="936"/>
        <v>0</v>
      </c>
      <c r="AW78" s="39">
        <f t="shared" si="936"/>
        <v>8.6291370862913705E-2</v>
      </c>
      <c r="AX78" s="39">
        <f t="shared" si="936"/>
        <v>0</v>
      </c>
      <c r="AY78" s="39">
        <f t="shared" si="936"/>
        <v>0.13050147492625369</v>
      </c>
      <c r="AZ78" s="39">
        <f t="shared" si="91"/>
        <v>0</v>
      </c>
      <c r="BA78" s="39">
        <f t="shared" ref="BA78:BF78" si="937">IFERROR(BA15/BA57,0)</f>
        <v>0</v>
      </c>
      <c r="BB78" s="39">
        <f t="shared" si="937"/>
        <v>0</v>
      </c>
      <c r="BC78" s="39">
        <f t="shared" si="937"/>
        <v>4.8848848848848846E-2</v>
      </c>
      <c r="BD78" s="39">
        <f t="shared" si="937"/>
        <v>0</v>
      </c>
      <c r="BE78" s="39">
        <f t="shared" si="937"/>
        <v>0</v>
      </c>
      <c r="BF78" s="39">
        <f t="shared" si="937"/>
        <v>0.23119447186574532</v>
      </c>
      <c r="BG78" s="39">
        <f t="shared" ref="BG78" si="938">IFERROR(BG15/BG57,0)</f>
        <v>0</v>
      </c>
      <c r="BH78" s="39">
        <f t="shared" si="93"/>
        <v>0</v>
      </c>
      <c r="BI78" s="39">
        <f t="shared" ref="BI78:BK78" si="939">IFERROR(BI15/BI57,0)</f>
        <v>0</v>
      </c>
      <c r="BJ78" s="39">
        <f t="shared" si="939"/>
        <v>4.670249854735619E-2</v>
      </c>
      <c r="BK78" s="39">
        <f t="shared" si="939"/>
        <v>0</v>
      </c>
      <c r="BL78" s="39">
        <f t="shared" ref="BL78:BM78" si="940">IFERROR(BL15/BL57,0)</f>
        <v>0</v>
      </c>
      <c r="BM78" s="39">
        <f t="shared" si="940"/>
        <v>0.14388574126534467</v>
      </c>
      <c r="BN78" s="39">
        <f t="shared" ref="BN78:BO78" si="941">IFERROR(BN15/BN57,0)</f>
        <v>0</v>
      </c>
      <c r="BO78" s="39">
        <f t="shared" si="941"/>
        <v>0</v>
      </c>
      <c r="BP78" s="39">
        <f t="shared" ref="BP78:BQ78" si="942">IFERROR(BP15/BP57,0)</f>
        <v>0</v>
      </c>
      <c r="BQ78" s="39">
        <f t="shared" si="942"/>
        <v>5.1993942453306408E-2</v>
      </c>
      <c r="BR78" s="39">
        <f t="shared" ref="BR78:BS78" si="943">IFERROR(BR15/BR57,0)</f>
        <v>0</v>
      </c>
      <c r="BS78" s="39">
        <f t="shared" si="943"/>
        <v>0.23050259965337955</v>
      </c>
      <c r="BT78" s="39">
        <f t="shared" ref="BT78:BU78" si="944">IFERROR(BT15/BT57,0)</f>
        <v>0</v>
      </c>
      <c r="BU78" s="39">
        <f t="shared" si="944"/>
        <v>0</v>
      </c>
      <c r="BV78" s="39">
        <f t="shared" ref="BV78:BW78" si="945">IFERROR(BV15/BV57,0)</f>
        <v>0</v>
      </c>
      <c r="BW78" s="39">
        <f t="shared" si="945"/>
        <v>0</v>
      </c>
      <c r="BX78" s="39">
        <f t="shared" ref="BX78:BY78" si="946">IFERROR(BX15/BX57,0)</f>
        <v>3.4068642942923964E-2</v>
      </c>
      <c r="BY78" s="39">
        <f t="shared" si="946"/>
        <v>0.36252545824847249</v>
      </c>
      <c r="BZ78" s="39">
        <f t="shared" ref="BZ78:CA78" si="947">IFERROR(BZ15/BZ57,0)</f>
        <v>0</v>
      </c>
      <c r="CA78" s="39">
        <f t="shared" si="947"/>
        <v>0</v>
      </c>
      <c r="CB78" s="39">
        <f t="shared" ref="CB78:CC78" si="948">IFERROR(CB15/CB57,0)</f>
        <v>0.20862800565770862</v>
      </c>
      <c r="CC78" s="39">
        <f t="shared" si="948"/>
        <v>0</v>
      </c>
      <c r="CD78" s="39">
        <f t="shared" ref="CD78:CE78" si="949">IFERROR(CD15/CD57,0)</f>
        <v>0</v>
      </c>
      <c r="CE78" s="39">
        <f t="shared" si="949"/>
        <v>0</v>
      </c>
      <c r="CF78" s="39">
        <f t="shared" ref="CF78:CG78" si="950">IFERROR(CF15/CF57,0)</f>
        <v>6.6679883690192968E-2</v>
      </c>
      <c r="CG78" s="39">
        <f t="shared" si="950"/>
        <v>0</v>
      </c>
      <c r="CH78" s="39">
        <f t="shared" ref="CH78:CI78" si="951">IFERROR(CH15/CH57,0)</f>
        <v>0.1496282527881041</v>
      </c>
      <c r="CI78" s="39">
        <f t="shared" si="951"/>
        <v>0</v>
      </c>
      <c r="CJ78" s="39">
        <f t="shared" ref="CJ78:CK78" si="952">IFERROR(CJ15/CJ57,0)</f>
        <v>0</v>
      </c>
      <c r="CK78" s="39">
        <f t="shared" si="952"/>
        <v>0</v>
      </c>
      <c r="CL78" s="39">
        <f t="shared" ref="CL78:CM78" si="953">IFERROR(CL15/CL57,0)</f>
        <v>6.0683099369956889E-2</v>
      </c>
      <c r="CM78" s="39">
        <f t="shared" si="953"/>
        <v>0</v>
      </c>
      <c r="CN78" s="39">
        <f t="shared" ref="CN78:CO78" si="954">IFERROR(CN15/CN57,0)</f>
        <v>0.19241549876339653</v>
      </c>
      <c r="CO78" s="39">
        <f t="shared" si="954"/>
        <v>0</v>
      </c>
      <c r="CP78" s="39">
        <f t="shared" ref="CP78:CQ78" si="955">IFERROR(CP15/CP57,0)</f>
        <v>0.14528883527677255</v>
      </c>
      <c r="CQ78" s="39">
        <f t="shared" si="955"/>
        <v>0</v>
      </c>
      <c r="CR78" s="39">
        <f t="shared" ref="CR78:CS78" si="956">IFERROR(CR15/CR57,0)</f>
        <v>0</v>
      </c>
      <c r="CS78" s="39">
        <f t="shared" si="956"/>
        <v>6.0070002837952892E-2</v>
      </c>
      <c r="CT78" s="39">
        <f t="shared" ref="CT78:CU78" si="957">IFERROR(CT15/CT57,0)</f>
        <v>0</v>
      </c>
      <c r="CU78" s="39">
        <f t="shared" si="957"/>
        <v>0</v>
      </c>
      <c r="CV78" s="39">
        <f t="shared" ref="CV78:CW78" si="958">IFERROR(CV15/CV57,0)</f>
        <v>0</v>
      </c>
      <c r="CW78" s="39">
        <f t="shared" si="958"/>
        <v>0</v>
      </c>
      <c r="CX78" s="39">
        <f t="shared" ref="CX78:CY78" si="959">IFERROR(CX15/CX57,0)</f>
        <v>0</v>
      </c>
      <c r="CY78" s="39">
        <f t="shared" si="959"/>
        <v>0</v>
      </c>
      <c r="CZ78" s="39">
        <f t="shared" ref="CZ78:DA78" si="960">IFERROR(CZ15/CZ57,0)</f>
        <v>6.7440174039158807E-2</v>
      </c>
      <c r="DA78" s="39">
        <f t="shared" si="960"/>
        <v>0</v>
      </c>
      <c r="DB78" s="39">
        <f t="shared" ref="DB78:DC78" si="961">IFERROR(DB15/DB57,0)</f>
        <v>0</v>
      </c>
      <c r="DC78" s="39">
        <f t="shared" si="961"/>
        <v>0.10393524498406957</v>
      </c>
      <c r="DD78" s="39">
        <f t="shared" ref="DD78:DE78" si="962">IFERROR(DD15/DD57,0)</f>
        <v>0</v>
      </c>
      <c r="DE78" s="39">
        <f t="shared" si="962"/>
        <v>0</v>
      </c>
      <c r="DF78" s="39">
        <f t="shared" ref="DF78:DG78" si="963">IFERROR(DF15/DF57,0)</f>
        <v>0</v>
      </c>
      <c r="DG78" s="39">
        <f t="shared" si="963"/>
        <v>6.2565445026178015E-2</v>
      </c>
      <c r="DH78" s="39">
        <f t="shared" ref="DH78:DI78" si="964">IFERROR(DH15/DH57,0)</f>
        <v>0</v>
      </c>
      <c r="DI78" s="39">
        <f t="shared" si="964"/>
        <v>0.19975151849806735</v>
      </c>
      <c r="DJ78" s="39">
        <f t="shared" ref="DJ78:DK78" si="965">IFERROR(DJ15/DJ57,0)</f>
        <v>0</v>
      </c>
      <c r="DK78" s="39">
        <f t="shared" si="965"/>
        <v>0.14748289345063539</v>
      </c>
      <c r="DL78" s="39">
        <f t="shared" ref="DL78:DM78" si="966">IFERROR(DL15/DL57,0)</f>
        <v>0</v>
      </c>
      <c r="DM78" s="39">
        <f t="shared" si="966"/>
        <v>0</v>
      </c>
      <c r="DN78" s="39">
        <f t="shared" ref="DN78:DO78" si="967">IFERROR(DN15/DN57,0)</f>
        <v>0</v>
      </c>
      <c r="DO78" s="39">
        <f t="shared" si="967"/>
        <v>7.6780001487984528E-2</v>
      </c>
      <c r="DP78" s="39">
        <f t="shared" ref="DP78:DQ78" si="968">IFERROR(DP15/DP57,0)</f>
        <v>0</v>
      </c>
      <c r="DQ78" s="39">
        <f t="shared" si="968"/>
        <v>0</v>
      </c>
      <c r="DR78" s="39">
        <f t="shared" ref="DR78:DS78" si="969">IFERROR(DR15/DR57,0)</f>
        <v>8.4149599287622445E-2</v>
      </c>
      <c r="DS78" s="39">
        <f t="shared" si="969"/>
        <v>0</v>
      </c>
      <c r="DT78" s="39">
        <f t="shared" ref="DT78:DU78" si="970">IFERROR(DT15/DT57,0)</f>
        <v>0</v>
      </c>
      <c r="DU78" s="39">
        <f t="shared" si="970"/>
        <v>4.0088348978464937E-2</v>
      </c>
      <c r="DV78" s="39">
        <f t="shared" si="125"/>
        <v>0</v>
      </c>
      <c r="DW78" s="39">
        <f t="shared" si="125"/>
        <v>0</v>
      </c>
      <c r="DX78" s="39">
        <f t="shared" ref="DX78:DY78" si="971">IFERROR(DX15/DX57,0)</f>
        <v>0.13866231647634583</v>
      </c>
      <c r="DY78" s="39">
        <f t="shared" si="971"/>
        <v>0.14364736387208296</v>
      </c>
      <c r="DZ78" s="39">
        <f t="shared" ref="DZ78:EA78" si="972">IFERROR(DZ15/DZ57,0)</f>
        <v>0</v>
      </c>
      <c r="EA78" s="39">
        <f t="shared" si="972"/>
        <v>0</v>
      </c>
      <c r="EB78" s="39">
        <f t="shared" ref="EB78:EC78" si="973">IFERROR(EB15/EB57,0)</f>
        <v>7.3241180111409121E-2</v>
      </c>
      <c r="EC78" s="39">
        <f t="shared" si="973"/>
        <v>0</v>
      </c>
      <c r="ED78" s="39">
        <f t="shared" ref="ED78:EE78" si="974">IFERROR(ED15/ED57,0)</f>
        <v>0</v>
      </c>
      <c r="EE78" s="39">
        <f t="shared" si="974"/>
        <v>9.676326046432808E-2</v>
      </c>
      <c r="EF78" s="39">
        <f t="shared" ref="EF78:EG78" si="975">IFERROR(EF15/EF57,0)</f>
        <v>0</v>
      </c>
      <c r="EG78" s="39">
        <f t="shared" si="975"/>
        <v>0</v>
      </c>
      <c r="EH78" s="39">
        <f t="shared" ref="EH78:EI78" si="976">IFERROR(EH15/EH57,0)</f>
        <v>0</v>
      </c>
      <c r="EI78" s="39">
        <f t="shared" si="976"/>
        <v>2.6618771299622365E-2</v>
      </c>
      <c r="EJ78" s="39">
        <f t="shared" ref="EJ78:EK78" si="977">IFERROR(EJ15/EJ57,0)</f>
        <v>0</v>
      </c>
      <c r="EK78" s="39">
        <f t="shared" si="977"/>
        <v>8.7985335777370444E-2</v>
      </c>
      <c r="EL78" s="39">
        <f t="shared" ref="EL78:EM78" si="978">IFERROR(EL15/EL57,0)</f>
        <v>0</v>
      </c>
      <c r="EM78" s="39">
        <f t="shared" si="978"/>
        <v>7.0291568163908594E-2</v>
      </c>
      <c r="EN78" s="39">
        <f t="shared" ref="EN78:EO78" si="979">IFERROR(EN15/EN57,0)</f>
        <v>0</v>
      </c>
      <c r="EO78" s="39">
        <f t="shared" si="979"/>
        <v>0</v>
      </c>
      <c r="EP78" s="39">
        <f t="shared" ref="EP78" si="980">IFERROR(EP15/EP57,0)</f>
        <v>2.1687493545388827E-2</v>
      </c>
      <c r="EQ78" s="39">
        <f t="shared" ref="EQ78:ER78" si="981">IFERROR(EQ15/EQ57,0)</f>
        <v>0</v>
      </c>
      <c r="ER78" s="39">
        <f t="shared" si="981"/>
        <v>0</v>
      </c>
      <c r="ES78" s="39">
        <f t="shared" ref="ES78:ET78" si="982">IFERROR(ES15/ES57,0)</f>
        <v>0</v>
      </c>
      <c r="ET78" s="39">
        <f t="shared" si="982"/>
        <v>3.6082042695688571E-2</v>
      </c>
      <c r="EU78" s="39">
        <f t="shared" ref="EU78:EV78" si="983">IFERROR(EU15/EU57,0)</f>
        <v>0</v>
      </c>
      <c r="EV78" s="39">
        <f t="shared" si="983"/>
        <v>0</v>
      </c>
      <c r="EW78" s="39">
        <f t="shared" ref="EW78:EX78" si="984">IFERROR(EW15/EW57,0)</f>
        <v>1.8791946308724831E-2</v>
      </c>
      <c r="EX78" s="39">
        <f t="shared" si="984"/>
        <v>0</v>
      </c>
      <c r="EY78" s="39">
        <f t="shared" ref="EY78:EZ78" si="985">IFERROR(EY15/EY57,0)</f>
        <v>6.1187085859297899E-2</v>
      </c>
      <c r="EZ78" s="39">
        <f t="shared" si="985"/>
        <v>0</v>
      </c>
      <c r="FA78" s="39">
        <f t="shared" ref="FA78:FB78" si="986">IFERROR(FA15/FA57,0)</f>
        <v>0</v>
      </c>
      <c r="FB78" s="39">
        <f t="shared" si="986"/>
        <v>0</v>
      </c>
      <c r="FC78" s="39">
        <f t="shared" ref="FC78:FD78" si="987">IFERROR(FC15/FC57,0)</f>
        <v>0</v>
      </c>
      <c r="FD78" s="39">
        <f t="shared" si="987"/>
        <v>1.2141022647676861E-2</v>
      </c>
      <c r="FE78" s="39">
        <f t="shared" ref="FE78:FF78" si="988">IFERROR(FE15/FE57,0)</f>
        <v>0</v>
      </c>
      <c r="FF78" s="39">
        <f t="shared" si="988"/>
        <v>5.9163701067615655E-2</v>
      </c>
      <c r="FG78" s="39">
        <f t="shared" ref="FG78:FH78" si="989">IFERROR(FG15/FG57,0)</f>
        <v>0</v>
      </c>
      <c r="FH78" s="39">
        <f t="shared" si="989"/>
        <v>0</v>
      </c>
      <c r="FI78" s="39">
        <f t="shared" ref="FI78:FJ78" si="990">IFERROR(FI15/FI57,0)</f>
        <v>0</v>
      </c>
      <c r="FJ78" s="39">
        <f t="shared" si="990"/>
        <v>0</v>
      </c>
      <c r="FK78" s="39">
        <f t="shared" ref="FK78:FL78" si="991">IFERROR(FK15/FK57,0)</f>
        <v>8.8547815820543101E-3</v>
      </c>
      <c r="FL78" s="39">
        <f t="shared" si="991"/>
        <v>0</v>
      </c>
      <c r="FM78" s="39">
        <f t="shared" ref="FM78" si="992">IFERROR(FM15/FM57,0)</f>
        <v>0</v>
      </c>
      <c r="FN78" s="39">
        <v>3.9332422408744877E-2</v>
      </c>
      <c r="FO78" s="39">
        <f t="shared" ref="FO78" si="993">IFERROR(FO15/FO57,0)</f>
        <v>0</v>
      </c>
      <c r="FP78" s="39">
        <v>0</v>
      </c>
      <c r="FQ78" s="39">
        <f t="shared" ref="FQ78:HA78" si="994">IFERROR(FQ15/FQ57,0)</f>
        <v>0</v>
      </c>
      <c r="FR78" s="39">
        <v>0</v>
      </c>
      <c r="FS78" s="39">
        <f t="shared" si="994"/>
        <v>2.1218343600273786E-2</v>
      </c>
      <c r="FT78" s="39">
        <f t="shared" si="994"/>
        <v>0</v>
      </c>
      <c r="FU78" s="39">
        <f t="shared" si="994"/>
        <v>0</v>
      </c>
      <c r="FV78" s="39">
        <f t="shared" si="994"/>
        <v>3.3339244546905476E-2</v>
      </c>
      <c r="FW78" s="39">
        <f t="shared" si="994"/>
        <v>0</v>
      </c>
      <c r="FX78" s="39">
        <f t="shared" si="994"/>
        <v>0</v>
      </c>
      <c r="FY78" s="39">
        <f t="shared" si="994"/>
        <v>0</v>
      </c>
      <c r="FZ78" s="39">
        <f t="shared" si="994"/>
        <v>2.9763137904840826E-2</v>
      </c>
      <c r="GA78" s="39">
        <f t="shared" si="994"/>
        <v>0</v>
      </c>
      <c r="GB78" s="39">
        <f t="shared" si="994"/>
        <v>0</v>
      </c>
      <c r="GC78" s="39">
        <f t="shared" si="994"/>
        <v>3.2498962799059603E-2</v>
      </c>
      <c r="GD78" s="39">
        <f t="shared" si="994"/>
        <v>0</v>
      </c>
      <c r="GE78" s="39">
        <f t="shared" si="994"/>
        <v>0</v>
      </c>
      <c r="GF78" s="39">
        <f t="shared" si="994"/>
        <v>0</v>
      </c>
      <c r="GG78" s="39">
        <f t="shared" si="994"/>
        <v>8.6192374642034927E-2</v>
      </c>
      <c r="GH78" s="39">
        <f t="shared" si="994"/>
        <v>0</v>
      </c>
      <c r="GI78" s="39">
        <f t="shared" si="994"/>
        <v>0</v>
      </c>
      <c r="GJ78" s="39">
        <f t="shared" si="994"/>
        <v>0.10725513160327929</v>
      </c>
      <c r="GK78" s="39">
        <f t="shared" si="994"/>
        <v>0</v>
      </c>
      <c r="GL78" s="39">
        <f t="shared" si="994"/>
        <v>0</v>
      </c>
      <c r="GM78" s="39">
        <f t="shared" si="994"/>
        <v>0</v>
      </c>
      <c r="GN78" s="39">
        <f t="shared" si="994"/>
        <v>8.1333333333333327E-2</v>
      </c>
      <c r="GO78" s="39">
        <f t="shared" si="994"/>
        <v>0</v>
      </c>
      <c r="GP78" s="39">
        <f t="shared" si="994"/>
        <v>0</v>
      </c>
      <c r="GQ78" s="39">
        <f t="shared" si="994"/>
        <v>0</v>
      </c>
      <c r="GR78" s="39">
        <f t="shared" si="994"/>
        <v>0</v>
      </c>
      <c r="GS78" s="39">
        <f t="shared" si="994"/>
        <v>0</v>
      </c>
      <c r="GT78" s="39">
        <f t="shared" si="994"/>
        <v>0</v>
      </c>
      <c r="GU78" s="39">
        <f t="shared" si="994"/>
        <v>5.5462570969118177E-2</v>
      </c>
      <c r="GV78" s="39">
        <f t="shared" si="994"/>
        <v>0</v>
      </c>
      <c r="GW78" s="39">
        <f t="shared" si="994"/>
        <v>0</v>
      </c>
      <c r="GX78" s="39">
        <f t="shared" si="994"/>
        <v>0</v>
      </c>
      <c r="GY78" s="39">
        <f t="shared" si="994"/>
        <v>0</v>
      </c>
      <c r="GZ78" s="39">
        <f t="shared" si="994"/>
        <v>0</v>
      </c>
      <c r="HA78" s="39">
        <f t="shared" si="994"/>
        <v>0</v>
      </c>
      <c r="HB78" s="39">
        <f t="shared" si="148"/>
        <v>0</v>
      </c>
      <c r="HC78" s="39">
        <f t="shared" si="148"/>
        <v>0</v>
      </c>
      <c r="HD78" s="39">
        <f t="shared" ref="HD78:JO78" si="995">IFERROR(HD15/HD57,0)</f>
        <v>0.10704736440030557</v>
      </c>
      <c r="HE78" s="39">
        <f t="shared" si="995"/>
        <v>0.17250495703899538</v>
      </c>
      <c r="HF78" s="39">
        <f t="shared" si="995"/>
        <v>0</v>
      </c>
      <c r="HG78" s="39">
        <f t="shared" si="995"/>
        <v>0</v>
      </c>
      <c r="HH78" s="39">
        <f t="shared" si="995"/>
        <v>2.9046767463285102E-2</v>
      </c>
      <c r="HI78" s="39">
        <f t="shared" si="995"/>
        <v>0.23075352256483561</v>
      </c>
      <c r="HJ78" s="39">
        <f t="shared" si="995"/>
        <v>0</v>
      </c>
      <c r="HK78" s="39">
        <f t="shared" si="995"/>
        <v>0.13884762723790164</v>
      </c>
      <c r="HL78" s="39">
        <f t="shared" si="995"/>
        <v>0</v>
      </c>
      <c r="HM78" s="39">
        <f t="shared" si="995"/>
        <v>0</v>
      </c>
      <c r="HN78" s="39">
        <f t="shared" si="995"/>
        <v>0</v>
      </c>
      <c r="HO78" s="39">
        <f t="shared" si="995"/>
        <v>5.7433400171870527E-2</v>
      </c>
      <c r="HP78" s="39">
        <f t="shared" si="995"/>
        <v>0</v>
      </c>
      <c r="HQ78" s="39">
        <f t="shared" si="995"/>
        <v>0.18464572902442725</v>
      </c>
      <c r="HR78" s="39">
        <f t="shared" si="995"/>
        <v>0.337745931503522</v>
      </c>
      <c r="HS78" s="39">
        <f t="shared" si="995"/>
        <v>0</v>
      </c>
      <c r="HT78" s="39">
        <f t="shared" si="995"/>
        <v>0</v>
      </c>
      <c r="HU78" s="39">
        <f t="shared" si="995"/>
        <v>0</v>
      </c>
      <c r="HV78" s="39">
        <f t="shared" si="995"/>
        <v>6.1170651277823576E-2</v>
      </c>
      <c r="HW78" s="39">
        <f t="shared" si="995"/>
        <v>0.21795086077218787</v>
      </c>
      <c r="HX78" s="39">
        <f t="shared" si="995"/>
        <v>0</v>
      </c>
      <c r="HY78" s="39">
        <f t="shared" si="995"/>
        <v>0.17921423068842357</v>
      </c>
      <c r="HZ78" s="39">
        <f t="shared" si="995"/>
        <v>0.29389359872220172</v>
      </c>
      <c r="IA78" s="39">
        <f t="shared" si="995"/>
        <v>0</v>
      </c>
      <c r="IB78" s="39">
        <f t="shared" si="995"/>
        <v>0</v>
      </c>
      <c r="IC78" s="39">
        <f t="shared" si="995"/>
        <v>0</v>
      </c>
      <c r="ID78" s="39">
        <f t="shared" si="995"/>
        <v>7.2383542132012563E-2</v>
      </c>
      <c r="IE78" s="39">
        <f t="shared" si="995"/>
        <v>0.33939458765643382</v>
      </c>
      <c r="IF78" s="39">
        <f t="shared" si="995"/>
        <v>0.31682652210175144</v>
      </c>
      <c r="IG78" s="39">
        <f t="shared" si="995"/>
        <v>0</v>
      </c>
      <c r="IH78" s="39">
        <f t="shared" si="995"/>
        <v>0</v>
      </c>
      <c r="II78" s="39">
        <f t="shared" si="995"/>
        <v>0</v>
      </c>
      <c r="IJ78" s="39">
        <f t="shared" si="995"/>
        <v>0</v>
      </c>
      <c r="IK78" s="39">
        <f t="shared" si="995"/>
        <v>0</v>
      </c>
      <c r="IL78" s="39">
        <f t="shared" si="995"/>
        <v>7.0575065099413498E-2</v>
      </c>
      <c r="IM78" s="39">
        <f t="shared" si="995"/>
        <v>0</v>
      </c>
      <c r="IN78" s="39">
        <f t="shared" si="995"/>
        <v>0.13493636553306906</v>
      </c>
      <c r="IO78" s="39">
        <f t="shared" si="995"/>
        <v>0</v>
      </c>
      <c r="IP78" s="39">
        <f t="shared" si="995"/>
        <v>0</v>
      </c>
      <c r="IQ78" s="39">
        <f t="shared" si="995"/>
        <v>4.7000082528678717E-2</v>
      </c>
      <c r="IR78" s="39">
        <f t="shared" si="995"/>
        <v>0</v>
      </c>
      <c r="IS78" s="39">
        <f t="shared" si="995"/>
        <v>0.16433744123999491</v>
      </c>
      <c r="IT78" s="39">
        <f t="shared" si="995"/>
        <v>0</v>
      </c>
      <c r="IU78" s="39">
        <f t="shared" si="995"/>
        <v>0</v>
      </c>
      <c r="IV78" s="39">
        <f t="shared" si="995"/>
        <v>0</v>
      </c>
      <c r="IW78" s="39">
        <f t="shared" si="995"/>
        <v>0</v>
      </c>
      <c r="IX78" s="39">
        <f t="shared" si="995"/>
        <v>0</v>
      </c>
      <c r="IY78" s="39">
        <f t="shared" si="995"/>
        <v>0</v>
      </c>
      <c r="IZ78" s="39">
        <f t="shared" si="995"/>
        <v>4.0341660288080158E-2</v>
      </c>
      <c r="JA78" s="39">
        <f t="shared" si="995"/>
        <v>0</v>
      </c>
      <c r="JB78" s="39">
        <f t="shared" si="995"/>
        <v>0.13355998057309373</v>
      </c>
      <c r="JC78" s="39">
        <f t="shared" si="995"/>
        <v>0</v>
      </c>
      <c r="JD78" s="39">
        <f t="shared" si="995"/>
        <v>0</v>
      </c>
      <c r="JE78" s="39">
        <f t="shared" si="995"/>
        <v>3.8054621504141718E-2</v>
      </c>
      <c r="JF78" s="39">
        <f t="shared" si="995"/>
        <v>0</v>
      </c>
      <c r="JG78" s="39">
        <f t="shared" si="995"/>
        <v>0.12228124126362874</v>
      </c>
      <c r="JH78" s="39">
        <f t="shared" si="995"/>
        <v>0</v>
      </c>
      <c r="JI78" s="39">
        <f t="shared" si="995"/>
        <v>0</v>
      </c>
      <c r="JJ78" s="39">
        <f t="shared" si="995"/>
        <v>0</v>
      </c>
      <c r="JK78" s="39">
        <f t="shared" si="995"/>
        <v>0</v>
      </c>
      <c r="JL78" s="39">
        <f t="shared" si="995"/>
        <v>3.7348514253676628E-2</v>
      </c>
      <c r="JM78" s="39">
        <f t="shared" si="995"/>
        <v>0</v>
      </c>
      <c r="JN78" s="39">
        <f t="shared" si="995"/>
        <v>0.10842099077393196</v>
      </c>
      <c r="JO78" s="39">
        <f t="shared" si="995"/>
        <v>0</v>
      </c>
      <c r="JP78" s="39">
        <f t="shared" ref="JP78:KG78" si="996">IFERROR(JP15/JP57,0)</f>
        <v>8.5592315901814306E-2</v>
      </c>
      <c r="JQ78" s="39">
        <f t="shared" si="996"/>
        <v>0</v>
      </c>
      <c r="JR78" s="39">
        <f t="shared" si="996"/>
        <v>0</v>
      </c>
      <c r="JS78" s="39">
        <f t="shared" si="996"/>
        <v>3.3539536253840006E-2</v>
      </c>
      <c r="JT78" s="39">
        <f t="shared" si="996"/>
        <v>0</v>
      </c>
      <c r="JU78" s="39">
        <f t="shared" si="996"/>
        <v>0</v>
      </c>
      <c r="JV78" s="39">
        <f t="shared" si="996"/>
        <v>0</v>
      </c>
      <c r="JW78" s="39">
        <f t="shared" si="996"/>
        <v>0</v>
      </c>
      <c r="JX78" s="39">
        <f t="shared" si="996"/>
        <v>0</v>
      </c>
      <c r="JY78" s="39">
        <f t="shared" si="996"/>
        <v>0</v>
      </c>
      <c r="JZ78" s="39">
        <f t="shared" si="996"/>
        <v>1.3863604537179667E-2</v>
      </c>
      <c r="KA78" s="39">
        <f t="shared" si="996"/>
        <v>0</v>
      </c>
      <c r="KB78" s="39">
        <f t="shared" si="996"/>
        <v>0</v>
      </c>
      <c r="KC78" s="39">
        <f t="shared" si="996"/>
        <v>7.6493339063171462E-2</v>
      </c>
      <c r="KD78" s="39">
        <f t="shared" si="996"/>
        <v>8.2381446867428182E-2</v>
      </c>
      <c r="KE78" s="39">
        <f t="shared" si="996"/>
        <v>0</v>
      </c>
      <c r="KF78" s="39">
        <f t="shared" si="996"/>
        <v>0</v>
      </c>
      <c r="KG78" s="39">
        <f t="shared" si="996"/>
        <v>0</v>
      </c>
      <c r="KH78" s="39">
        <f t="shared" si="475"/>
        <v>0</v>
      </c>
      <c r="KI78" s="39">
        <f t="shared" si="475"/>
        <v>0</v>
      </c>
      <c r="KJ78" s="39">
        <f t="shared" si="541"/>
        <v>3.5739855647361596E-2</v>
      </c>
      <c r="KK78" s="39">
        <f t="shared" si="541"/>
        <v>0</v>
      </c>
      <c r="KL78" s="39">
        <f t="shared" si="541"/>
        <v>0</v>
      </c>
      <c r="KM78" s="39">
        <f t="shared" si="541"/>
        <v>0</v>
      </c>
      <c r="KN78" s="39">
        <f t="shared" si="541"/>
        <v>2.528424646503688E-2</v>
      </c>
      <c r="KO78" s="39">
        <f t="shared" si="541"/>
        <v>0</v>
      </c>
      <c r="KP78" s="39">
        <f t="shared" si="541"/>
        <v>0</v>
      </c>
      <c r="KQ78" s="39">
        <f t="shared" si="541"/>
        <v>5.8587360594795537E-2</v>
      </c>
      <c r="KR78" s="39">
        <f t="shared" si="541"/>
        <v>0</v>
      </c>
      <c r="KS78" s="39">
        <f t="shared" si="541"/>
        <v>0</v>
      </c>
      <c r="KT78" s="39">
        <f t="shared" si="541"/>
        <v>0</v>
      </c>
      <c r="KU78" s="39">
        <f t="shared" si="541"/>
        <v>0</v>
      </c>
      <c r="KV78" s="39">
        <f t="shared" si="541"/>
        <v>2.8354239524218373E-2</v>
      </c>
      <c r="KW78" s="39">
        <f t="shared" si="541"/>
        <v>0</v>
      </c>
      <c r="KX78" s="39">
        <f t="shared" si="541"/>
        <v>9.3280877937674714E-2</v>
      </c>
      <c r="KY78" s="39">
        <f t="shared" si="541"/>
        <v>0</v>
      </c>
      <c r="KZ78" s="39">
        <f t="shared" ref="KZ78:NK78" si="997">IFERROR(KZ15/KZ57,0)</f>
        <v>0</v>
      </c>
      <c r="LA78" s="39">
        <f t="shared" si="997"/>
        <v>0</v>
      </c>
      <c r="LB78" s="39">
        <f t="shared" si="997"/>
        <v>0</v>
      </c>
      <c r="LC78" s="39">
        <f t="shared" si="997"/>
        <v>0</v>
      </c>
      <c r="LD78" s="39">
        <f t="shared" si="997"/>
        <v>3.0625026094943844E-2</v>
      </c>
      <c r="LE78" s="39">
        <f t="shared" si="997"/>
        <v>0</v>
      </c>
      <c r="LF78" s="39">
        <f t="shared" si="997"/>
        <v>0</v>
      </c>
      <c r="LG78" s="39">
        <f t="shared" si="997"/>
        <v>0</v>
      </c>
      <c r="LH78" s="39">
        <f t="shared" si="997"/>
        <v>0</v>
      </c>
      <c r="LI78" s="39">
        <f t="shared" si="997"/>
        <v>0</v>
      </c>
      <c r="LJ78" s="39">
        <f t="shared" si="997"/>
        <v>1.5094279220155585E-2</v>
      </c>
      <c r="LK78" s="39">
        <f t="shared" si="997"/>
        <v>0</v>
      </c>
      <c r="LL78" s="39">
        <f t="shared" si="997"/>
        <v>8.2748312876488969E-2</v>
      </c>
      <c r="LM78" s="39">
        <f t="shared" si="997"/>
        <v>0</v>
      </c>
      <c r="LN78" s="39">
        <f t="shared" si="997"/>
        <v>0</v>
      </c>
      <c r="LO78" s="39">
        <f t="shared" si="997"/>
        <v>0</v>
      </c>
      <c r="LP78" s="39">
        <f t="shared" si="997"/>
        <v>0</v>
      </c>
      <c r="LQ78" s="39">
        <f t="shared" si="997"/>
        <v>3.948472641826116E-2</v>
      </c>
      <c r="LR78" s="39">
        <f t="shared" si="997"/>
        <v>0</v>
      </c>
      <c r="LS78" s="39">
        <f t="shared" si="997"/>
        <v>0</v>
      </c>
      <c r="LT78" s="39">
        <f t="shared" si="997"/>
        <v>0</v>
      </c>
      <c r="LU78" s="39">
        <f t="shared" si="997"/>
        <v>0</v>
      </c>
      <c r="LV78" s="39">
        <f t="shared" si="997"/>
        <v>0</v>
      </c>
      <c r="LW78" s="39">
        <f t="shared" si="997"/>
        <v>0</v>
      </c>
      <c r="LX78" s="39">
        <f t="shared" si="997"/>
        <v>0</v>
      </c>
      <c r="LY78" s="39">
        <f t="shared" si="997"/>
        <v>3.1975643154735889E-2</v>
      </c>
      <c r="LZ78" s="39">
        <f t="shared" si="997"/>
        <v>0.10242432300669237</v>
      </c>
      <c r="MA78" s="39">
        <f t="shared" si="997"/>
        <v>0.18447210531028924</v>
      </c>
      <c r="MB78" s="39">
        <f t="shared" si="997"/>
        <v>0</v>
      </c>
      <c r="MC78" s="39">
        <f t="shared" si="997"/>
        <v>0</v>
      </c>
      <c r="MD78" s="39">
        <f t="shared" si="997"/>
        <v>0</v>
      </c>
      <c r="ME78" s="39">
        <f t="shared" si="997"/>
        <v>5.9522220739356736E-2</v>
      </c>
      <c r="MF78" s="39">
        <f t="shared" si="997"/>
        <v>0</v>
      </c>
      <c r="MG78" s="39">
        <f t="shared" si="997"/>
        <v>0</v>
      </c>
      <c r="MH78" s="39">
        <f t="shared" si="997"/>
        <v>0</v>
      </c>
      <c r="MI78" s="39">
        <f t="shared" si="997"/>
        <v>0</v>
      </c>
      <c r="MJ78" s="39">
        <f t="shared" si="997"/>
        <v>0</v>
      </c>
      <c r="MK78" s="39">
        <f t="shared" si="997"/>
        <v>0</v>
      </c>
      <c r="ML78" s="39">
        <f t="shared" si="997"/>
        <v>0</v>
      </c>
      <c r="MM78" s="39">
        <f t="shared" si="997"/>
        <v>0</v>
      </c>
      <c r="MN78" s="39">
        <f t="shared" si="997"/>
        <v>0</v>
      </c>
      <c r="MO78" s="39">
        <f t="shared" si="997"/>
        <v>2.6376113791350554E-2</v>
      </c>
      <c r="MP78" s="39">
        <f t="shared" si="997"/>
        <v>0</v>
      </c>
      <c r="MQ78" s="39">
        <f t="shared" si="997"/>
        <v>0</v>
      </c>
      <c r="MR78" s="39">
        <f t="shared" si="997"/>
        <v>0</v>
      </c>
      <c r="MS78" s="39">
        <f t="shared" si="997"/>
        <v>0</v>
      </c>
      <c r="MT78" s="39">
        <f t="shared" si="997"/>
        <v>0</v>
      </c>
      <c r="MU78" s="39">
        <f t="shared" si="997"/>
        <v>6.4553226576400641E-2</v>
      </c>
      <c r="MV78" s="39">
        <f t="shared" si="997"/>
        <v>0</v>
      </c>
      <c r="MW78" s="39">
        <f t="shared" si="997"/>
        <v>0</v>
      </c>
      <c r="MX78" s="39">
        <f t="shared" si="997"/>
        <v>0</v>
      </c>
      <c r="MY78" s="39">
        <f t="shared" si="997"/>
        <v>0</v>
      </c>
      <c r="MZ78" s="39">
        <f t="shared" si="997"/>
        <v>0</v>
      </c>
      <c r="NA78" s="39">
        <f t="shared" si="997"/>
        <v>4.6921275569942834E-2</v>
      </c>
      <c r="NB78" s="39">
        <f t="shared" si="997"/>
        <v>0</v>
      </c>
      <c r="NC78" s="39">
        <f t="shared" si="997"/>
        <v>0</v>
      </c>
      <c r="ND78" s="39">
        <f t="shared" si="997"/>
        <v>0</v>
      </c>
      <c r="NE78" s="39">
        <f t="shared" si="997"/>
        <v>0</v>
      </c>
      <c r="NF78" s="39">
        <f t="shared" si="997"/>
        <v>2.9134994707976522E-2</v>
      </c>
      <c r="NG78" s="39">
        <f t="shared" si="997"/>
        <v>0</v>
      </c>
      <c r="NH78" s="39">
        <f t="shared" si="997"/>
        <v>0</v>
      </c>
      <c r="NI78" s="39">
        <f t="shared" si="997"/>
        <v>0.13657278657025837</v>
      </c>
      <c r="NJ78" s="39">
        <f t="shared" si="997"/>
        <v>0.28418589100635239</v>
      </c>
      <c r="NK78" s="39">
        <f t="shared" si="997"/>
        <v>0</v>
      </c>
      <c r="NL78" s="39">
        <f t="shared" ref="NL78:NN78" si="998">IFERROR(NL15/NL57,0)</f>
        <v>0</v>
      </c>
      <c r="NM78" s="39">
        <f t="shared" si="998"/>
        <v>1.2059910523244505E-2</v>
      </c>
      <c r="NN78" s="39">
        <f t="shared" si="998"/>
        <v>0</v>
      </c>
      <c r="NO78" s="39">
        <f t="shared" ref="NO78" si="999">IFERROR(NO15/NO57,0)</f>
        <v>0</v>
      </c>
      <c r="NP78" s="39">
        <v>0</v>
      </c>
      <c r="NQ78" s="39">
        <v>0</v>
      </c>
      <c r="NR78" s="39">
        <v>0</v>
      </c>
      <c r="NS78" s="39">
        <v>0</v>
      </c>
      <c r="NT78" s="39">
        <v>0</v>
      </c>
      <c r="NU78" s="39">
        <v>0</v>
      </c>
      <c r="NV78" s="39">
        <v>0</v>
      </c>
      <c r="NW78" s="39">
        <v>0</v>
      </c>
      <c r="NX78" s="39">
        <v>0</v>
      </c>
      <c r="NY78" s="39">
        <v>0</v>
      </c>
      <c r="NZ78" s="39">
        <v>0</v>
      </c>
      <c r="OA78" s="39">
        <v>0.65621370499419296</v>
      </c>
      <c r="OB78" s="39">
        <v>0</v>
      </c>
      <c r="OC78" s="39">
        <v>1.52015175532053E-2</v>
      </c>
      <c r="OD78" s="39">
        <v>0</v>
      </c>
      <c r="OE78" s="39">
        <v>0</v>
      </c>
      <c r="OF78" s="39">
        <v>0</v>
      </c>
      <c r="OG78" s="39">
        <v>0</v>
      </c>
      <c r="OH78" s="39">
        <v>0</v>
      </c>
      <c r="OI78" s="39">
        <v>0</v>
      </c>
      <c r="OJ78" s="39">
        <v>0</v>
      </c>
      <c r="OK78" s="39">
        <v>0</v>
      </c>
      <c r="OL78" s="39">
        <v>1.16215657145006E-2</v>
      </c>
      <c r="OM78" s="39">
        <v>0</v>
      </c>
      <c r="ON78" s="39">
        <v>0</v>
      </c>
      <c r="OO78" s="39">
        <v>0</v>
      </c>
      <c r="OP78" s="39">
        <v>0</v>
      </c>
      <c r="OQ78" s="39">
        <v>3.7016434892541097E-2</v>
      </c>
      <c r="OR78" s="39">
        <v>0</v>
      </c>
      <c r="OS78" s="39">
        <f t="shared" ref="OS78" si="1000">IFERROR(OS15/OS57,0)</f>
        <v>0</v>
      </c>
      <c r="OT78" s="39">
        <f t="shared" si="156"/>
        <v>0</v>
      </c>
      <c r="OU78" s="39">
        <v>0</v>
      </c>
      <c r="OV78" s="39">
        <v>0</v>
      </c>
      <c r="OW78" s="39">
        <v>0</v>
      </c>
      <c r="OX78" s="39">
        <v>1.2058570198105099E-2</v>
      </c>
      <c r="OY78" s="39">
        <v>0</v>
      </c>
      <c r="OZ78" s="39">
        <v>0</v>
      </c>
      <c r="PA78" s="39">
        <v>0</v>
      </c>
      <c r="PB78" s="39">
        <v>0</v>
      </c>
      <c r="PC78" s="39">
        <v>0</v>
      </c>
      <c r="PD78" s="39">
        <v>0</v>
      </c>
      <c r="PE78" s="39">
        <v>0</v>
      </c>
      <c r="PF78" s="39">
        <v>0</v>
      </c>
      <c r="PG78" s="39">
        <v>0</v>
      </c>
      <c r="PH78" s="39">
        <v>0</v>
      </c>
      <c r="PI78" s="39">
        <v>0</v>
      </c>
      <c r="PJ78" s="39">
        <v>0</v>
      </c>
      <c r="PK78" s="39">
        <v>0</v>
      </c>
      <c r="PL78" s="39">
        <v>1.9644979952046101E-3</v>
      </c>
      <c r="PM78" s="39">
        <v>0</v>
      </c>
      <c r="PN78" s="39">
        <v>0</v>
      </c>
      <c r="PO78" s="39">
        <v>0</v>
      </c>
      <c r="PP78" s="39">
        <v>0</v>
      </c>
      <c r="PQ78" s="39">
        <v>0</v>
      </c>
      <c r="PR78" s="39">
        <v>4.1332541332541302E-3</v>
      </c>
      <c r="PS78" s="39">
        <v>0</v>
      </c>
      <c r="PT78" s="39">
        <v>0</v>
      </c>
      <c r="PU78" s="39">
        <v>0</v>
      </c>
      <c r="PV78" s="39">
        <v>0</v>
      </c>
      <c r="PW78" s="39">
        <v>0</v>
      </c>
      <c r="PX78" s="39">
        <v>0</v>
      </c>
      <c r="PY78" s="39">
        <v>0</v>
      </c>
      <c r="PZ78" s="39">
        <v>0</v>
      </c>
      <c r="QA78" s="39">
        <v>0</v>
      </c>
      <c r="QB78" s="39">
        <v>0</v>
      </c>
      <c r="QC78" s="39">
        <v>0</v>
      </c>
      <c r="QD78" s="39">
        <v>0</v>
      </c>
      <c r="QE78" s="39">
        <v>0</v>
      </c>
      <c r="QF78" s="39">
        <v>0</v>
      </c>
      <c r="QG78" s="39">
        <v>0</v>
      </c>
      <c r="QH78" s="39">
        <v>0</v>
      </c>
      <c r="QI78" s="39">
        <v>7.1779403343791097E-4</v>
      </c>
      <c r="QJ78" s="39">
        <v>0</v>
      </c>
      <c r="QK78" s="39">
        <v>0</v>
      </c>
      <c r="QL78" s="39">
        <v>0</v>
      </c>
      <c r="QM78" s="39">
        <v>1.88705619233995E-3</v>
      </c>
      <c r="QN78" s="39">
        <v>0</v>
      </c>
      <c r="QO78" s="39">
        <v>0</v>
      </c>
      <c r="QP78" s="39">
        <v>0</v>
      </c>
      <c r="QQ78" s="39">
        <v>0</v>
      </c>
      <c r="QR78" s="39">
        <v>0</v>
      </c>
      <c r="QS78" s="39">
        <v>0</v>
      </c>
      <c r="QT78" s="39">
        <v>3.5520974289580498E-3</v>
      </c>
      <c r="QU78" s="39">
        <v>0</v>
      </c>
      <c r="QV78" s="39">
        <v>0</v>
      </c>
      <c r="QW78" s="39">
        <v>0</v>
      </c>
      <c r="QX78" s="39">
        <v>0</v>
      </c>
      <c r="QY78" s="39">
        <v>0</v>
      </c>
      <c r="QZ78" s="39">
        <v>0</v>
      </c>
      <c r="RA78" s="39">
        <v>7.8062709758765798E-3</v>
      </c>
      <c r="RB78" s="39">
        <v>0</v>
      </c>
      <c r="RC78" s="39">
        <v>0</v>
      </c>
      <c r="RD78" s="39">
        <v>0</v>
      </c>
      <c r="RE78" s="39">
        <v>0</v>
      </c>
      <c r="RF78" s="39">
        <v>0</v>
      </c>
      <c r="RG78" s="39">
        <v>0</v>
      </c>
      <c r="RH78" s="39">
        <v>0</v>
      </c>
      <c r="RI78" s="39">
        <v>5.0721312129616697E-2</v>
      </c>
      <c r="RJ78" s="39">
        <v>0</v>
      </c>
      <c r="RK78" s="39">
        <v>0</v>
      </c>
      <c r="RL78" s="39">
        <v>0</v>
      </c>
      <c r="RM78" s="39">
        <v>0</v>
      </c>
      <c r="RN78" s="39">
        <v>0</v>
      </c>
      <c r="RO78" s="39">
        <v>0</v>
      </c>
      <c r="RP78" s="39">
        <v>4.6247005589566098E-2</v>
      </c>
      <c r="RQ78" s="39">
        <v>0</v>
      </c>
      <c r="RR78" s="39">
        <v>0</v>
      </c>
      <c r="RS78" s="39">
        <v>0</v>
      </c>
      <c r="RT78" s="39">
        <v>0</v>
      </c>
      <c r="RU78" s="39">
        <v>0</v>
      </c>
      <c r="RV78" s="39">
        <v>0</v>
      </c>
      <c r="RW78" s="39">
        <v>0</v>
      </c>
      <c r="RX78" s="39">
        <v>0</v>
      </c>
      <c r="RY78" s="39">
        <v>0</v>
      </c>
      <c r="RZ78" s="39">
        <v>0</v>
      </c>
      <c r="SA78" s="39">
        <v>0</v>
      </c>
      <c r="SB78" s="39">
        <v>1.9475969283449E-2</v>
      </c>
      <c r="SC78" s="39">
        <v>0</v>
      </c>
      <c r="SD78" s="39">
        <v>0</v>
      </c>
      <c r="SE78" s="39">
        <v>0</v>
      </c>
      <c r="SF78" s="39">
        <v>0</v>
      </c>
      <c r="SG78" s="39">
        <v>0</v>
      </c>
      <c r="SH78" s="39">
        <v>0</v>
      </c>
      <c r="SI78" s="39">
        <v>3.66199990035374E-2</v>
      </c>
      <c r="SJ78" s="39">
        <v>8.2282895720193303E-2</v>
      </c>
      <c r="SK78" s="39">
        <v>0</v>
      </c>
      <c r="SL78" s="39">
        <v>0</v>
      </c>
      <c r="SM78" s="39">
        <v>0</v>
      </c>
      <c r="SN78" s="39">
        <v>0</v>
      </c>
      <c r="SO78" s="39">
        <v>0</v>
      </c>
      <c r="SP78" s="39">
        <v>0</v>
      </c>
      <c r="SQ78" s="39">
        <v>0</v>
      </c>
      <c r="SR78" s="39">
        <v>0</v>
      </c>
      <c r="SS78" s="39">
        <v>0</v>
      </c>
      <c r="ST78" s="39">
        <v>0</v>
      </c>
      <c r="SU78" s="39">
        <v>0</v>
      </c>
      <c r="SV78" s="39">
        <v>0</v>
      </c>
      <c r="SW78" s="39">
        <v>9.4593858885017399E-3</v>
      </c>
      <c r="SX78" s="39">
        <v>0</v>
      </c>
      <c r="SY78" s="39">
        <v>0</v>
      </c>
      <c r="SZ78" s="39">
        <v>0</v>
      </c>
      <c r="TA78" s="39">
        <v>0</v>
      </c>
      <c r="TB78" s="39">
        <v>0</v>
      </c>
      <c r="TC78" s="39">
        <v>0</v>
      </c>
      <c r="TD78" s="39">
        <v>1.9489431786988701E-2</v>
      </c>
      <c r="TE78" s="39">
        <v>0</v>
      </c>
      <c r="TF78" s="39">
        <v>0</v>
      </c>
      <c r="TG78" s="39">
        <v>0</v>
      </c>
      <c r="TH78" s="39">
        <v>0</v>
      </c>
      <c r="TI78" s="39">
        <v>0</v>
      </c>
      <c r="TJ78" s="39">
        <v>0</v>
      </c>
      <c r="TK78" s="39">
        <v>1.64273182143089E-2</v>
      </c>
      <c r="TL78" s="39">
        <v>0</v>
      </c>
      <c r="TM78" s="39">
        <v>0</v>
      </c>
      <c r="TN78" s="39">
        <v>0</v>
      </c>
      <c r="TO78" s="39">
        <v>0</v>
      </c>
      <c r="TP78" s="39">
        <v>0</v>
      </c>
      <c r="TQ78" s="39">
        <v>0</v>
      </c>
      <c r="TR78" s="39">
        <v>9.2486070695450093E-3</v>
      </c>
      <c r="TS78" s="39">
        <v>0</v>
      </c>
      <c r="TT78" s="39">
        <v>0</v>
      </c>
      <c r="TU78" s="39">
        <v>0</v>
      </c>
      <c r="TV78" s="39">
        <v>0</v>
      </c>
      <c r="TW78" s="39">
        <v>0</v>
      </c>
      <c r="TX78" s="39">
        <v>0</v>
      </c>
      <c r="TY78" s="39">
        <v>8.5436308549276408E-3</v>
      </c>
      <c r="TZ78" s="39">
        <v>0</v>
      </c>
      <c r="UA78" s="39">
        <v>0</v>
      </c>
      <c r="UB78" s="39">
        <v>0</v>
      </c>
      <c r="UC78" s="39">
        <v>0</v>
      </c>
      <c r="UD78" s="39">
        <v>0</v>
      </c>
      <c r="UE78" s="39">
        <v>0</v>
      </c>
      <c r="UF78" s="39">
        <v>7.1616782649820999E-3</v>
      </c>
      <c r="UG78" s="39">
        <v>0</v>
      </c>
      <c r="UH78" s="45">
        <v>0</v>
      </c>
      <c r="UI78" s="45">
        <v>0</v>
      </c>
      <c r="UJ78" s="45">
        <v>0</v>
      </c>
      <c r="UK78" s="45">
        <v>0</v>
      </c>
      <c r="UL78" s="45">
        <v>0</v>
      </c>
      <c r="UM78" s="45">
        <v>0</v>
      </c>
      <c r="UN78" s="45">
        <v>0</v>
      </c>
      <c r="UO78" s="45">
        <v>5.3289667406401899E-3</v>
      </c>
      <c r="UP78" s="45">
        <v>0</v>
      </c>
      <c r="UQ78" s="45">
        <v>0</v>
      </c>
      <c r="UR78" s="45">
        <v>0</v>
      </c>
      <c r="US78" s="45">
        <v>0</v>
      </c>
      <c r="UT78" s="45">
        <v>0</v>
      </c>
      <c r="UU78" s="45">
        <v>8.2033963258365105E-3</v>
      </c>
      <c r="UV78" s="45">
        <v>0</v>
      </c>
      <c r="UW78" s="45">
        <v>0</v>
      </c>
      <c r="UX78" s="45">
        <v>0</v>
      </c>
      <c r="UY78" s="45">
        <v>0</v>
      </c>
      <c r="UZ78" s="45">
        <v>0</v>
      </c>
      <c r="VA78" s="45">
        <v>0</v>
      </c>
      <c r="VB78" s="45">
        <v>1.0791771274403301E-2</v>
      </c>
      <c r="VC78" s="45">
        <v>0</v>
      </c>
      <c r="VD78" s="45">
        <v>0</v>
      </c>
      <c r="VE78" s="45">
        <v>0</v>
      </c>
      <c r="VF78" s="45">
        <v>0</v>
      </c>
      <c r="VG78" s="45">
        <v>0</v>
      </c>
      <c r="VH78" s="45">
        <v>1.01623129269269E-2</v>
      </c>
      <c r="VI78" s="45">
        <v>0</v>
      </c>
      <c r="VJ78" s="45">
        <v>0</v>
      </c>
      <c r="VK78" s="45">
        <v>0</v>
      </c>
      <c r="VL78" s="45">
        <v>0</v>
      </c>
      <c r="VM78" s="45">
        <v>0</v>
      </c>
      <c r="VN78" s="45">
        <v>0</v>
      </c>
      <c r="VO78" s="45">
        <v>0</v>
      </c>
      <c r="VP78" s="45">
        <v>1.4110502500595401E-2</v>
      </c>
      <c r="VQ78" s="45">
        <v>0</v>
      </c>
      <c r="VR78" s="45">
        <v>0</v>
      </c>
      <c r="VS78" s="45">
        <v>0</v>
      </c>
      <c r="VT78" s="45">
        <v>0</v>
      </c>
      <c r="VU78" s="45">
        <v>0</v>
      </c>
      <c r="VV78" s="45">
        <v>0</v>
      </c>
      <c r="VW78" s="45">
        <v>0</v>
      </c>
      <c r="VX78" s="35">
        <v>0</v>
      </c>
      <c r="VY78" s="35">
        <v>0</v>
      </c>
      <c r="VZ78" s="35">
        <v>0</v>
      </c>
      <c r="WA78" s="35">
        <v>0</v>
      </c>
      <c r="WB78" s="35">
        <v>0</v>
      </c>
      <c r="WC78" s="35">
        <v>0</v>
      </c>
      <c r="WD78" s="35">
        <v>1.53171286476338E-2</v>
      </c>
      <c r="WE78" s="35">
        <v>0</v>
      </c>
      <c r="WF78" s="35">
        <v>0</v>
      </c>
      <c r="WG78" s="35">
        <v>0</v>
      </c>
      <c r="WH78" s="35">
        <v>0</v>
      </c>
      <c r="WI78" s="35">
        <v>0</v>
      </c>
      <c r="WJ78" s="35">
        <v>0</v>
      </c>
      <c r="WK78" s="35">
        <v>2.3655563825828101E-2</v>
      </c>
      <c r="WL78" s="35">
        <v>0</v>
      </c>
      <c r="WM78" s="35">
        <v>0</v>
      </c>
      <c r="WN78" s="35">
        <v>0</v>
      </c>
      <c r="WO78" s="35">
        <v>0</v>
      </c>
      <c r="WP78" s="35">
        <v>0</v>
      </c>
      <c r="WQ78" s="35">
        <v>0</v>
      </c>
      <c r="WR78" s="35">
        <v>0</v>
      </c>
      <c r="WS78" s="35">
        <v>0</v>
      </c>
      <c r="WT78" s="35">
        <v>0</v>
      </c>
      <c r="WU78" s="35">
        <v>0</v>
      </c>
      <c r="WV78" s="45">
        <v>0</v>
      </c>
      <c r="WW78" s="45">
        <v>0</v>
      </c>
      <c r="WX78" s="45">
        <v>0</v>
      </c>
      <c r="WY78" s="45">
        <v>0</v>
      </c>
      <c r="WZ78" s="45">
        <v>0</v>
      </c>
      <c r="XA78" s="45">
        <v>0</v>
      </c>
      <c r="XB78" s="45">
        <v>0</v>
      </c>
      <c r="XC78" s="45">
        <v>0</v>
      </c>
      <c r="XD78" s="45">
        <v>0</v>
      </c>
      <c r="XE78" s="45">
        <v>0</v>
      </c>
      <c r="XF78" s="45">
        <v>0</v>
      </c>
      <c r="XG78" s="45">
        <v>0</v>
      </c>
      <c r="XH78" s="45">
        <v>0</v>
      </c>
      <c r="XI78" s="45">
        <v>0</v>
      </c>
      <c r="XJ78" s="45">
        <v>0</v>
      </c>
      <c r="XK78" s="45">
        <v>0</v>
      </c>
      <c r="XL78" s="45">
        <v>0</v>
      </c>
      <c r="XM78" s="45">
        <v>0</v>
      </c>
      <c r="XN78" s="45">
        <v>0</v>
      </c>
      <c r="XO78" s="45">
        <v>0</v>
      </c>
      <c r="XP78" s="45">
        <v>0</v>
      </c>
      <c r="XQ78" s="45">
        <v>0</v>
      </c>
      <c r="XR78" s="45">
        <v>0</v>
      </c>
      <c r="XS78" s="45">
        <v>0</v>
      </c>
      <c r="XT78" s="45">
        <v>0</v>
      </c>
      <c r="XU78" s="45">
        <v>0</v>
      </c>
      <c r="XV78" s="45">
        <v>0</v>
      </c>
      <c r="XW78" s="45">
        <v>0</v>
      </c>
      <c r="XX78" s="45">
        <v>0</v>
      </c>
      <c r="XY78">
        <v>0</v>
      </c>
      <c r="XZ78">
        <v>0</v>
      </c>
      <c r="YA78">
        <v>0</v>
      </c>
      <c r="YB78">
        <v>0</v>
      </c>
      <c r="YC78">
        <v>0</v>
      </c>
      <c r="YD78">
        <v>0</v>
      </c>
      <c r="YE78">
        <v>0</v>
      </c>
      <c r="YF78" s="1">
        <v>0</v>
      </c>
      <c r="YG78" s="1">
        <v>0</v>
      </c>
      <c r="YH78" s="1">
        <v>0</v>
      </c>
      <c r="YI78" s="1">
        <v>0</v>
      </c>
      <c r="YJ78">
        <v>0</v>
      </c>
      <c r="YK78">
        <v>0</v>
      </c>
      <c r="YL78">
        <v>0</v>
      </c>
      <c r="YM78">
        <v>0</v>
      </c>
      <c r="YN78">
        <v>0</v>
      </c>
      <c r="YO78">
        <v>0</v>
      </c>
      <c r="YP78">
        <v>0</v>
      </c>
      <c r="YQ78">
        <v>0</v>
      </c>
      <c r="YR78">
        <v>0</v>
      </c>
      <c r="YS78">
        <v>0</v>
      </c>
      <c r="YT78">
        <v>0</v>
      </c>
      <c r="YU78">
        <v>0</v>
      </c>
      <c r="YV78">
        <v>0</v>
      </c>
      <c r="YW78">
        <v>0</v>
      </c>
      <c r="YX78">
        <v>0</v>
      </c>
      <c r="YY78">
        <v>0</v>
      </c>
      <c r="YZ78">
        <v>0</v>
      </c>
      <c r="ZA78">
        <v>0</v>
      </c>
      <c r="ZB78">
        <v>0</v>
      </c>
      <c r="ZC78">
        <v>0</v>
      </c>
      <c r="ZD78">
        <v>0</v>
      </c>
      <c r="ZE78">
        <v>0</v>
      </c>
      <c r="ZF78">
        <v>0</v>
      </c>
      <c r="ZG78">
        <v>0</v>
      </c>
      <c r="ZH78">
        <v>0</v>
      </c>
      <c r="ZI78">
        <v>0</v>
      </c>
      <c r="ZJ78">
        <v>0</v>
      </c>
      <c r="ZK78">
        <v>0</v>
      </c>
      <c r="ZL78">
        <v>0</v>
      </c>
      <c r="ZM78">
        <v>0</v>
      </c>
      <c r="ZN78">
        <v>0</v>
      </c>
      <c r="ZO78">
        <v>0</v>
      </c>
      <c r="ZP78">
        <v>0</v>
      </c>
      <c r="ZQ78">
        <v>0</v>
      </c>
      <c r="ZR78">
        <v>0</v>
      </c>
      <c r="ZS78">
        <v>0</v>
      </c>
      <c r="ZT78">
        <v>0</v>
      </c>
      <c r="ZU78">
        <v>0</v>
      </c>
      <c r="ZV78">
        <v>0</v>
      </c>
      <c r="ZW78">
        <v>0</v>
      </c>
      <c r="ZX78">
        <v>0</v>
      </c>
      <c r="ZY78">
        <v>0</v>
      </c>
      <c r="ZZ78">
        <v>0</v>
      </c>
      <c r="AAA78">
        <v>0</v>
      </c>
      <c r="AAB78">
        <v>0</v>
      </c>
      <c r="AAC78">
        <v>0</v>
      </c>
      <c r="AAD78">
        <v>0</v>
      </c>
      <c r="AAE78">
        <v>0</v>
      </c>
      <c r="AAF78">
        <v>0</v>
      </c>
      <c r="AAG78">
        <v>0</v>
      </c>
      <c r="AAH78">
        <v>0</v>
      </c>
      <c r="AAI78">
        <v>0</v>
      </c>
      <c r="AAJ78">
        <v>0</v>
      </c>
      <c r="AAK78">
        <v>0</v>
      </c>
      <c r="AAL78">
        <v>0</v>
      </c>
      <c r="AAM78">
        <v>0</v>
      </c>
      <c r="AAN78">
        <v>0</v>
      </c>
      <c r="AAO78">
        <v>0</v>
      </c>
      <c r="AAP78">
        <v>0</v>
      </c>
      <c r="AAQ78">
        <v>0</v>
      </c>
      <c r="AAR78">
        <v>0</v>
      </c>
      <c r="AAS78">
        <v>0</v>
      </c>
      <c r="AAT78">
        <v>0</v>
      </c>
      <c r="AAU78">
        <v>0</v>
      </c>
      <c r="AAV78">
        <v>0</v>
      </c>
      <c r="AAW78">
        <v>0</v>
      </c>
      <c r="AAX78">
        <v>0</v>
      </c>
      <c r="AAY78">
        <v>0</v>
      </c>
      <c r="AAZ78">
        <v>0</v>
      </c>
      <c r="ABA78">
        <v>0</v>
      </c>
      <c r="ABB78">
        <v>0</v>
      </c>
      <c r="ABC78">
        <v>0</v>
      </c>
      <c r="ABD78">
        <v>0</v>
      </c>
      <c r="ABE78">
        <v>0</v>
      </c>
      <c r="ABF78">
        <v>0</v>
      </c>
      <c r="ABG78">
        <v>0</v>
      </c>
      <c r="ABH78">
        <v>0</v>
      </c>
      <c r="ABI78">
        <v>0</v>
      </c>
      <c r="ABJ78">
        <v>0</v>
      </c>
      <c r="ABK78">
        <v>0</v>
      </c>
      <c r="ABL78">
        <v>0</v>
      </c>
      <c r="ABM78">
        <v>0</v>
      </c>
      <c r="ABN78">
        <v>0</v>
      </c>
      <c r="ABO78">
        <v>0</v>
      </c>
      <c r="ABP78">
        <v>0</v>
      </c>
      <c r="ABQ78">
        <v>0</v>
      </c>
      <c r="ABR78">
        <v>0</v>
      </c>
      <c r="ABS78">
        <v>0</v>
      </c>
      <c r="ABT78">
        <v>0</v>
      </c>
      <c r="ABU78">
        <v>0</v>
      </c>
      <c r="ABV78">
        <v>0</v>
      </c>
      <c r="ABW78">
        <v>0</v>
      </c>
      <c r="ABX78">
        <v>0</v>
      </c>
      <c r="ABY78">
        <v>0</v>
      </c>
      <c r="ABZ78">
        <v>0</v>
      </c>
      <c r="ACA78">
        <v>0</v>
      </c>
      <c r="ACB78">
        <v>0</v>
      </c>
      <c r="ACC78">
        <v>0</v>
      </c>
      <c r="ACD78">
        <v>0</v>
      </c>
      <c r="ACE78">
        <v>0</v>
      </c>
      <c r="ACF78">
        <v>0</v>
      </c>
      <c r="ACG78">
        <v>0</v>
      </c>
      <c r="ACH78">
        <v>0</v>
      </c>
      <c r="ACI78">
        <v>0</v>
      </c>
      <c r="ACJ78">
        <v>0</v>
      </c>
      <c r="ACK78">
        <v>0</v>
      </c>
      <c r="ACL78">
        <v>0</v>
      </c>
      <c r="ACM78">
        <v>0</v>
      </c>
      <c r="ACN78">
        <v>0</v>
      </c>
      <c r="ACO78">
        <v>0</v>
      </c>
      <c r="ACP78">
        <v>0</v>
      </c>
      <c r="ACQ78">
        <v>0</v>
      </c>
      <c r="ACR78">
        <v>0</v>
      </c>
      <c r="ACS78">
        <v>0</v>
      </c>
      <c r="ACT78">
        <v>0</v>
      </c>
      <c r="ACU78">
        <v>0</v>
      </c>
      <c r="ACV78">
        <v>0</v>
      </c>
      <c r="ACW78">
        <v>0</v>
      </c>
      <c r="ACX78">
        <v>0</v>
      </c>
      <c r="ACY78">
        <v>0</v>
      </c>
      <c r="ACZ78">
        <v>0</v>
      </c>
      <c r="ADA78">
        <v>0</v>
      </c>
      <c r="ADB78">
        <v>0</v>
      </c>
      <c r="ADC78">
        <v>0</v>
      </c>
      <c r="ADD78">
        <v>0</v>
      </c>
      <c r="ADE78">
        <v>0</v>
      </c>
      <c r="ADF78">
        <v>0</v>
      </c>
      <c r="ADG78">
        <v>0</v>
      </c>
      <c r="ADH78">
        <v>0</v>
      </c>
      <c r="ADI78">
        <v>0</v>
      </c>
      <c r="ADJ78">
        <v>0</v>
      </c>
      <c r="ADK78">
        <v>0</v>
      </c>
      <c r="ADL78">
        <v>0</v>
      </c>
      <c r="ADM78">
        <v>0</v>
      </c>
      <c r="ADN78">
        <v>0</v>
      </c>
      <c r="ADO78">
        <v>0</v>
      </c>
      <c r="ADP78">
        <v>0</v>
      </c>
      <c r="ADQ78">
        <v>0</v>
      </c>
      <c r="ADR78">
        <v>0</v>
      </c>
      <c r="ADS78">
        <v>0</v>
      </c>
      <c r="ADT78">
        <v>0</v>
      </c>
      <c r="ADU78">
        <v>0</v>
      </c>
      <c r="ADV78">
        <v>0</v>
      </c>
      <c r="ADW78">
        <v>0</v>
      </c>
      <c r="ADX78">
        <v>0</v>
      </c>
      <c r="ADY78">
        <v>0</v>
      </c>
      <c r="ADZ78">
        <v>0</v>
      </c>
      <c r="AEA78">
        <v>0</v>
      </c>
      <c r="AEB78">
        <v>0</v>
      </c>
      <c r="AEC78">
        <v>0</v>
      </c>
      <c r="AED78">
        <v>0</v>
      </c>
      <c r="AEE78">
        <v>0</v>
      </c>
      <c r="AEF78">
        <v>0</v>
      </c>
      <c r="AEG78">
        <v>0</v>
      </c>
      <c r="AEH78">
        <v>0</v>
      </c>
      <c r="AEI78">
        <v>0</v>
      </c>
      <c r="AEJ78">
        <v>0</v>
      </c>
      <c r="AEK78">
        <v>0</v>
      </c>
      <c r="AEL78">
        <v>0</v>
      </c>
      <c r="AEM78">
        <v>0</v>
      </c>
      <c r="AEN78">
        <v>0</v>
      </c>
      <c r="AEO78">
        <v>0</v>
      </c>
      <c r="AEP78">
        <v>0</v>
      </c>
      <c r="AEQ78">
        <v>0</v>
      </c>
      <c r="AER78">
        <v>0</v>
      </c>
      <c r="AES78">
        <v>0</v>
      </c>
      <c r="AET78">
        <v>0</v>
      </c>
      <c r="AEU78">
        <v>0</v>
      </c>
      <c r="AEV78">
        <v>0</v>
      </c>
      <c r="AEW78">
        <v>0</v>
      </c>
      <c r="AEX78">
        <v>0</v>
      </c>
      <c r="AEY78">
        <v>0</v>
      </c>
      <c r="AEZ78">
        <v>0</v>
      </c>
      <c r="AFA78">
        <v>0</v>
      </c>
      <c r="AFB78">
        <v>0</v>
      </c>
      <c r="AFC78">
        <v>0</v>
      </c>
      <c r="AFD78">
        <v>0</v>
      </c>
      <c r="AFE78">
        <v>0</v>
      </c>
      <c r="AFF78">
        <v>0</v>
      </c>
      <c r="AFG78">
        <v>0</v>
      </c>
      <c r="AFH78">
        <v>0</v>
      </c>
      <c r="AFI78">
        <v>0</v>
      </c>
      <c r="AFJ78">
        <v>0</v>
      </c>
      <c r="AFK78">
        <v>0</v>
      </c>
      <c r="AFL78">
        <v>0</v>
      </c>
      <c r="AFM78">
        <v>0</v>
      </c>
      <c r="AFN78">
        <v>0</v>
      </c>
      <c r="AFO78">
        <v>0</v>
      </c>
      <c r="AFP78">
        <v>0</v>
      </c>
      <c r="AFQ78">
        <v>0</v>
      </c>
      <c r="AFR78">
        <v>0</v>
      </c>
      <c r="AFS78">
        <v>0</v>
      </c>
      <c r="AFT78">
        <v>0</v>
      </c>
      <c r="AFU78">
        <v>0</v>
      </c>
      <c r="AFV78">
        <v>0</v>
      </c>
      <c r="AFW78">
        <v>0</v>
      </c>
      <c r="AFX78">
        <v>0</v>
      </c>
      <c r="AFY78">
        <v>0</v>
      </c>
      <c r="AFZ78">
        <v>0</v>
      </c>
      <c r="AGA78">
        <v>0</v>
      </c>
      <c r="AGB78">
        <v>0</v>
      </c>
      <c r="AGC78">
        <v>0</v>
      </c>
      <c r="AGD78">
        <v>0</v>
      </c>
      <c r="AGE78">
        <v>0</v>
      </c>
      <c r="AGF78">
        <v>0</v>
      </c>
      <c r="AGG78">
        <v>0</v>
      </c>
      <c r="AGH78">
        <v>0</v>
      </c>
      <c r="AGI78">
        <v>0</v>
      </c>
      <c r="AGJ78">
        <v>0</v>
      </c>
      <c r="AGK78">
        <v>0</v>
      </c>
      <c r="AGL78">
        <v>0</v>
      </c>
      <c r="AGM78">
        <v>0</v>
      </c>
      <c r="AGN78">
        <v>0</v>
      </c>
      <c r="AGO78">
        <v>0</v>
      </c>
      <c r="AGP78">
        <v>0</v>
      </c>
      <c r="AGQ78">
        <v>0</v>
      </c>
      <c r="AGR78">
        <v>0</v>
      </c>
      <c r="AGS78">
        <v>0</v>
      </c>
      <c r="AGT78">
        <v>0</v>
      </c>
      <c r="AGU78">
        <v>0</v>
      </c>
      <c r="AGV78">
        <v>0</v>
      </c>
      <c r="AGW78">
        <v>0</v>
      </c>
      <c r="AGX78">
        <v>0</v>
      </c>
      <c r="AGY78">
        <v>0</v>
      </c>
      <c r="AGZ78">
        <v>0</v>
      </c>
      <c r="AHA78">
        <v>0</v>
      </c>
      <c r="AHB78">
        <v>0</v>
      </c>
      <c r="AHC78">
        <v>0</v>
      </c>
      <c r="AHD78">
        <v>0</v>
      </c>
      <c r="AHE78">
        <v>0</v>
      </c>
      <c r="AHF78">
        <v>0</v>
      </c>
      <c r="AHG78">
        <v>0</v>
      </c>
      <c r="AHH78">
        <v>0</v>
      </c>
      <c r="AHI78">
        <v>0</v>
      </c>
      <c r="AHJ78">
        <v>0</v>
      </c>
      <c r="AHK78">
        <v>0</v>
      </c>
      <c r="AHL78">
        <v>0</v>
      </c>
      <c r="AHM78">
        <v>0</v>
      </c>
      <c r="AHN78">
        <v>0</v>
      </c>
      <c r="AHO78">
        <v>0</v>
      </c>
      <c r="AHP78">
        <v>0</v>
      </c>
      <c r="AHQ78">
        <v>0</v>
      </c>
    </row>
    <row r="79" spans="1:901">
      <c r="A79" s="1" t="s">
        <v>159</v>
      </c>
      <c r="C79" s="39">
        <f t="shared" si="157"/>
        <v>6.6334991708126038E-3</v>
      </c>
      <c r="D79" s="39">
        <f t="shared" si="157"/>
        <v>7.3452256033578172E-3</v>
      </c>
      <c r="E79" s="39">
        <f t="shared" si="157"/>
        <v>1.0316875460574797E-2</v>
      </c>
      <c r="F79" s="39">
        <f t="shared" si="157"/>
        <v>9.6654275092936809E-3</v>
      </c>
      <c r="G79" s="39">
        <f t="shared" si="222"/>
        <v>2.8926815157651145E-3</v>
      </c>
      <c r="H79" s="39">
        <f t="shared" si="222"/>
        <v>3.721424774056353E-3</v>
      </c>
      <c r="I79" s="39">
        <f t="shared" si="222"/>
        <v>3.9037085230969422E-3</v>
      </c>
      <c r="J79" s="39">
        <f t="shared" si="222"/>
        <v>4.3203722166832836E-3</v>
      </c>
      <c r="K79" s="39">
        <f t="shared" si="222"/>
        <v>5.4017555705604325E-3</v>
      </c>
      <c r="L79" s="39">
        <f t="shared" si="222"/>
        <v>2.6917900403768506E-3</v>
      </c>
      <c r="M79" s="39">
        <f t="shared" si="222"/>
        <v>7.0397747272087292E-4</v>
      </c>
      <c r="N79" s="39">
        <f t="shared" si="222"/>
        <v>1.4906027219701879E-2</v>
      </c>
      <c r="O79" s="39">
        <f t="shared" si="222"/>
        <v>5.5248618784530384E-3</v>
      </c>
      <c r="P79" s="39">
        <f t="shared" si="222"/>
        <v>5.6369785794813977E-3</v>
      </c>
      <c r="Q79" s="39">
        <f t="shared" si="222"/>
        <v>1.1180124223602485E-2</v>
      </c>
      <c r="R79" s="39">
        <f t="shared" si="222"/>
        <v>8.1672655994772941E-3</v>
      </c>
      <c r="S79" s="39">
        <f t="shared" si="222"/>
        <v>1.4659018483110261E-2</v>
      </c>
      <c r="T79" s="39">
        <f t="shared" si="222"/>
        <v>5.076142131979695E-3</v>
      </c>
      <c r="U79" s="39">
        <f t="shared" si="222"/>
        <v>8.3809523809523813E-3</v>
      </c>
      <c r="V79" s="39">
        <f t="shared" ref="V79:AY79" si="1001">IFERROR(V16/V58,0)</f>
        <v>1.0287335934728628E-2</v>
      </c>
      <c r="W79" s="39">
        <f t="shared" si="1001"/>
        <v>7.7011936850211781E-3</v>
      </c>
      <c r="X79" s="39">
        <f t="shared" si="1001"/>
        <v>8.3472454090150246E-3</v>
      </c>
      <c r="Y79" s="39">
        <f t="shared" si="1001"/>
        <v>6.2500000000000003E-3</v>
      </c>
      <c r="Z79" s="39">
        <f t="shared" si="1001"/>
        <v>1.6300940438871474E-2</v>
      </c>
      <c r="AA79" s="39">
        <f t="shared" si="1001"/>
        <v>8.1196581196581203E-3</v>
      </c>
      <c r="AB79" s="39">
        <f t="shared" si="1001"/>
        <v>1.3237727523441808E-2</v>
      </c>
      <c r="AC79" s="39">
        <f t="shared" si="1001"/>
        <v>2.0078740157480315E-2</v>
      </c>
      <c r="AD79" s="39">
        <f t="shared" si="1001"/>
        <v>1.0265486725663717E-2</v>
      </c>
      <c r="AE79" s="39">
        <f t="shared" si="1001"/>
        <v>1.1171293161814489E-2</v>
      </c>
      <c r="AF79" s="39">
        <f t="shared" si="1001"/>
        <v>1.9607843137254902E-2</v>
      </c>
      <c r="AG79" s="39">
        <f t="shared" si="1001"/>
        <v>1.4360938247965534E-2</v>
      </c>
      <c r="AH79" s="39">
        <f t="shared" si="1001"/>
        <v>1.0922787193973634E-2</v>
      </c>
      <c r="AI79" s="39">
        <f t="shared" si="1001"/>
        <v>2.3516237402015677E-2</v>
      </c>
      <c r="AJ79" s="39">
        <f t="shared" si="1001"/>
        <v>1.1389521640091117E-2</v>
      </c>
      <c r="AK79" s="39">
        <f t="shared" si="1001"/>
        <v>1.5637860082304528E-2</v>
      </c>
      <c r="AL79" s="39">
        <f t="shared" si="1001"/>
        <v>1.8991486574983629E-2</v>
      </c>
      <c r="AM79" s="39">
        <f t="shared" si="1001"/>
        <v>1.3256006628003313E-2</v>
      </c>
      <c r="AN79" s="39">
        <f t="shared" si="1001"/>
        <v>1.4039566049776643E-2</v>
      </c>
      <c r="AO79" s="39">
        <f t="shared" si="1001"/>
        <v>8.4643288996372433E-3</v>
      </c>
      <c r="AP79" s="39">
        <f t="shared" si="1001"/>
        <v>1.8047579983593111E-2</v>
      </c>
      <c r="AQ79" s="39">
        <f t="shared" si="1001"/>
        <v>1.7520215633423181E-2</v>
      </c>
      <c r="AR79" s="39">
        <f t="shared" si="1001"/>
        <v>1.6333938294010888E-2</v>
      </c>
      <c r="AS79" s="39">
        <f t="shared" si="1001"/>
        <v>1.4094955489614243E-2</v>
      </c>
      <c r="AT79" s="39">
        <f t="shared" si="1001"/>
        <v>1.366742596810934E-2</v>
      </c>
      <c r="AU79" s="39">
        <f t="shared" si="1001"/>
        <v>7.4827895839568994E-3</v>
      </c>
      <c r="AV79" s="39">
        <f t="shared" si="1001"/>
        <v>1.3179571663920923E-2</v>
      </c>
      <c r="AW79" s="39">
        <f t="shared" si="1001"/>
        <v>1.169811320754717E-2</v>
      </c>
      <c r="AX79" s="39">
        <f t="shared" si="1001"/>
        <v>1.590392729633236E-2</v>
      </c>
      <c r="AY79" s="39">
        <f t="shared" si="1001"/>
        <v>1.9565881993274227E-2</v>
      </c>
      <c r="AZ79" s="39">
        <f t="shared" si="91"/>
        <v>2.0046007229707525E-2</v>
      </c>
      <c r="BA79" s="39">
        <f t="shared" ref="BA79:BF79" si="1002">IFERROR(BA16/BA58,0)</f>
        <v>2.4190800681431004E-2</v>
      </c>
      <c r="BB79" s="39">
        <f t="shared" si="1002"/>
        <v>1.7274017983909134E-2</v>
      </c>
      <c r="BC79" s="39">
        <f t="shared" si="1002"/>
        <v>1.5364061456245824E-2</v>
      </c>
      <c r="BD79" s="39">
        <f t="shared" si="1002"/>
        <v>1.8264840182648401E-2</v>
      </c>
      <c r="BE79" s="39">
        <f t="shared" si="1002"/>
        <v>1.8428933425478002E-2</v>
      </c>
      <c r="BF79" s="39">
        <f t="shared" si="1002"/>
        <v>2.4986849026827986E-2</v>
      </c>
      <c r="BG79" s="39">
        <f t="shared" ref="BG79" si="1003">IFERROR(BG16/BG58,0)</f>
        <v>2.7646874018221804E-2</v>
      </c>
      <c r="BH79" s="39">
        <f t="shared" si="93"/>
        <v>1.6072980017376195E-2</v>
      </c>
      <c r="BI79" s="39">
        <f t="shared" ref="BI79:BK79" si="1004">IFERROR(BI16/BI58,0)</f>
        <v>1.8887451487710219E-2</v>
      </c>
      <c r="BJ79" s="39">
        <f t="shared" si="1004"/>
        <v>2.6362664766654793E-2</v>
      </c>
      <c r="BK79" s="39">
        <f t="shared" si="1004"/>
        <v>2.5193798449612403E-2</v>
      </c>
      <c r="BL79" s="39">
        <f t="shared" ref="BL79:BM79" si="1005">IFERROR(BL16/BL58,0)</f>
        <v>8.3729781160799238E-2</v>
      </c>
      <c r="BM79" s="39">
        <f t="shared" si="1005"/>
        <v>1.0721376571806751E-2</v>
      </c>
      <c r="BN79" s="39">
        <f t="shared" ref="BN79:BO79" si="1006">IFERROR(BN16/BN58,0)</f>
        <v>2.1101498206372651E-2</v>
      </c>
      <c r="BO79" s="39">
        <f t="shared" si="1006"/>
        <v>2.2154316271963331E-2</v>
      </c>
      <c r="BP79" s="39">
        <f t="shared" ref="BP79:BQ79" si="1007">IFERROR(BP16/BP58,0)</f>
        <v>2.8511087645195353E-2</v>
      </c>
      <c r="BQ79" s="39">
        <f t="shared" si="1007"/>
        <v>3.0032848427968089E-2</v>
      </c>
      <c r="BR79" s="39">
        <f t="shared" ref="BR79:BS79" si="1008">IFERROR(BR16/BR58,0)</f>
        <v>2.1387167699380372E-2</v>
      </c>
      <c r="BS79" s="39">
        <f t="shared" si="1008"/>
        <v>2.0475446815894499E-2</v>
      </c>
      <c r="BT79" s="39">
        <f t="shared" ref="BT79:BU79" si="1009">IFERROR(BT16/BT58,0)</f>
        <v>3.3681462140992165E-2</v>
      </c>
      <c r="BU79" s="39">
        <f t="shared" si="1009"/>
        <v>4.2966042966042964E-2</v>
      </c>
      <c r="BV79" s="39">
        <f t="shared" ref="BV79:BW79" si="1010">IFERROR(BV16/BV58,0)</f>
        <v>5.3169734151329244E-2</v>
      </c>
      <c r="BW79" s="39">
        <f t="shared" si="1010"/>
        <v>3.4941196522924836E-2</v>
      </c>
      <c r="BX79" s="39">
        <f t="shared" ref="BX79:BY79" si="1011">IFERROR(BX16/BX58,0)</f>
        <v>3.8128718226068142E-2</v>
      </c>
      <c r="BY79" s="39">
        <f t="shared" si="1011"/>
        <v>4.6119856393261528E-2</v>
      </c>
      <c r="BZ79" s="39">
        <f t="shared" ref="BZ79:CA79" si="1012">IFERROR(BZ16/BZ58,0)</f>
        <v>3.8162141636605279E-2</v>
      </c>
      <c r="CA79" s="39">
        <f t="shared" si="1012"/>
        <v>4.1078764065011611E-2</v>
      </c>
      <c r="CB79" s="39">
        <f t="shared" ref="CB79:CC79" si="1013">IFERROR(CB16/CB58,0)</f>
        <v>3.693295865114412E-2</v>
      </c>
      <c r="CC79" s="39">
        <f t="shared" si="1013"/>
        <v>4.7167909695625884E-2</v>
      </c>
      <c r="CD79" s="39">
        <f t="shared" ref="CD79:CE79" si="1014">IFERROR(CD16/CD58,0)</f>
        <v>4.5911437109481118E-2</v>
      </c>
      <c r="CE79" s="39">
        <f t="shared" si="1014"/>
        <v>4.9064853048336167E-2</v>
      </c>
      <c r="CF79" s="39">
        <f t="shared" ref="CF79:CG79" si="1015">IFERROR(CF16/CF58,0)</f>
        <v>5.3539665599430811E-2</v>
      </c>
      <c r="CG79" s="39">
        <f t="shared" si="1015"/>
        <v>4.6906973083582562E-2</v>
      </c>
      <c r="CH79" s="39">
        <f t="shared" ref="CH79:CI79" si="1016">IFERROR(CH16/CH58,0)</f>
        <v>5.9984338292873925E-2</v>
      </c>
      <c r="CI79" s="39">
        <f t="shared" si="1016"/>
        <v>5.9884201819685692E-2</v>
      </c>
      <c r="CJ79" s="39">
        <f t="shared" ref="CJ79:CK79" si="1017">IFERROR(CJ16/CJ58,0)</f>
        <v>4.9632628579997E-2</v>
      </c>
      <c r="CK79" s="39">
        <f t="shared" si="1017"/>
        <v>7.9303094022228904E-2</v>
      </c>
      <c r="CL79" s="39">
        <f t="shared" ref="CL79:CM79" si="1018">IFERROR(CL16/CL58,0)</f>
        <v>6.5846153846153846E-2</v>
      </c>
      <c r="CM79" s="39">
        <f t="shared" si="1018"/>
        <v>6.2071166427317699E-2</v>
      </c>
      <c r="CN79" s="39">
        <f t="shared" ref="CN79:CO79" si="1019">IFERROR(CN16/CN58,0)</f>
        <v>6.4102564102564097E-2</v>
      </c>
      <c r="CO79" s="39">
        <f t="shared" si="1019"/>
        <v>6.2449683726279473E-2</v>
      </c>
      <c r="CP79" s="39">
        <f t="shared" ref="CP79:CQ79" si="1020">IFERROR(CP16/CP58,0)</f>
        <v>7.1617667549115235E-2</v>
      </c>
      <c r="CQ79" s="39">
        <f t="shared" si="1020"/>
        <v>7.3584676930537038E-2</v>
      </c>
      <c r="CR79" s="39">
        <f t="shared" ref="CR79:CS79" si="1021">IFERROR(CR16/CR58,0)</f>
        <v>7.4927514115672209E-2</v>
      </c>
      <c r="CS79" s="39">
        <f t="shared" si="1021"/>
        <v>7.2100840336134453E-2</v>
      </c>
      <c r="CT79" s="39">
        <f t="shared" ref="CT79:CU79" si="1022">IFERROR(CT16/CT58,0)</f>
        <v>7.106048277732574E-2</v>
      </c>
      <c r="CU79" s="39">
        <f t="shared" si="1022"/>
        <v>6.5093646713183989E-2</v>
      </c>
      <c r="CV79" s="39">
        <f t="shared" ref="CV79:CW79" si="1023">IFERROR(CV16/CV58,0)</f>
        <v>5.5971826764573657E-2</v>
      </c>
      <c r="CW79" s="39">
        <f t="shared" si="1023"/>
        <v>6.2912308930008043E-2</v>
      </c>
      <c r="CX79" s="39">
        <f t="shared" ref="CX79:CY79" si="1024">IFERROR(CX16/CX58,0)</f>
        <v>0.11034894124664479</v>
      </c>
      <c r="CY79" s="39">
        <f t="shared" si="1024"/>
        <v>7.294050343249428E-2</v>
      </c>
      <c r="CZ79" s="39">
        <f t="shared" ref="CZ79:DA79" si="1025">IFERROR(CZ16/CZ58,0)</f>
        <v>0.10658307210031348</v>
      </c>
      <c r="DA79" s="39">
        <f t="shared" si="1025"/>
        <v>9.1915370603895194E-2</v>
      </c>
      <c r="DB79" s="39">
        <f t="shared" ref="DB79:DC79" si="1026">IFERROR(DB16/DB58,0)</f>
        <v>6.9905533063427797E-2</v>
      </c>
      <c r="DC79" s="39">
        <f t="shared" si="1026"/>
        <v>9.4261690514825192E-2</v>
      </c>
      <c r="DD79" s="39">
        <f t="shared" ref="DD79:DE79" si="1027">IFERROR(DD16/DD58,0)</f>
        <v>0.13663793103448277</v>
      </c>
      <c r="DE79" s="39">
        <f t="shared" si="1027"/>
        <v>0.13138686131386862</v>
      </c>
      <c r="DF79" s="39">
        <f t="shared" ref="DF79:DG79" si="1028">IFERROR(DF16/DF58,0)</f>
        <v>0.10055045871559633</v>
      </c>
      <c r="DG79" s="39">
        <f t="shared" si="1028"/>
        <v>0.11969035331480746</v>
      </c>
      <c r="DH79" s="39">
        <f t="shared" ref="DH79:DI79" si="1029">IFERROR(DH16/DH58,0)</f>
        <v>8.5964244960060859E-2</v>
      </c>
      <c r="DI79" s="39">
        <f t="shared" si="1029"/>
        <v>0.14447505356596266</v>
      </c>
      <c r="DJ79" s="39">
        <f t="shared" ref="DJ79:DK79" si="1030">IFERROR(DJ16/DJ58,0)</f>
        <v>0.12584977615652462</v>
      </c>
      <c r="DK79" s="39">
        <f t="shared" si="1030"/>
        <v>7.3735273735273735E-2</v>
      </c>
      <c r="DL79" s="39">
        <f t="shared" ref="DL79:DM79" si="1031">IFERROR(DL16/DL58,0)</f>
        <v>0.1002209595959596</v>
      </c>
      <c r="DM79" s="39">
        <f t="shared" si="1031"/>
        <v>0.14255469301340862</v>
      </c>
      <c r="DN79" s="39">
        <f t="shared" ref="DN79:DO79" si="1032">IFERROR(DN16/DN58,0)</f>
        <v>0.14494222582606933</v>
      </c>
      <c r="DO79" s="39">
        <f t="shared" si="1032"/>
        <v>0.12075134168157424</v>
      </c>
      <c r="DP79" s="39">
        <f t="shared" ref="DP79:DQ79" si="1033">IFERROR(DP16/DP58,0)</f>
        <v>8.5172647257955314E-2</v>
      </c>
      <c r="DQ79" s="39">
        <f t="shared" si="1033"/>
        <v>0.19816753926701572</v>
      </c>
      <c r="DR79" s="39">
        <f t="shared" ref="DR79:DS79" si="1034">IFERROR(DR16/DR58,0)</f>
        <v>0.10884895359417653</v>
      </c>
      <c r="DS79" s="39">
        <f t="shared" si="1034"/>
        <v>8.4789492201243113E-2</v>
      </c>
      <c r="DT79" s="39">
        <f t="shared" ref="DT79:DU79" si="1035">IFERROR(DT16/DT58,0)</f>
        <v>0.11349447734912758</v>
      </c>
      <c r="DU79" s="39">
        <f t="shared" si="1035"/>
        <v>0.10850111856823266</v>
      </c>
      <c r="DV79" s="39">
        <f t="shared" si="125"/>
        <v>9.1150719199499686E-2</v>
      </c>
      <c r="DW79" s="39">
        <f t="shared" si="125"/>
        <v>0.10806677711227221</v>
      </c>
      <c r="DX79" s="39">
        <f t="shared" ref="DX79:DY79" si="1036">IFERROR(DX16/DX58,0)</f>
        <v>9.5225102319236019E-2</v>
      </c>
      <c r="DY79" s="39">
        <f t="shared" si="1036"/>
        <v>0.1235707542221756</v>
      </c>
      <c r="DZ79" s="39">
        <f t="shared" ref="DZ79:EA79" si="1037">IFERROR(DZ16/DZ58,0)</f>
        <v>0.12238943488943489</v>
      </c>
      <c r="EA79" s="39">
        <f t="shared" si="1037"/>
        <v>0.10547988596769084</v>
      </c>
      <c r="EB79" s="39">
        <f t="shared" ref="EB79:EC79" si="1038">IFERROR(EB16/EB58,0)</f>
        <v>9.1336467427803894E-2</v>
      </c>
      <c r="EC79" s="39">
        <f t="shared" si="1038"/>
        <v>8.7438423645320201E-2</v>
      </c>
      <c r="ED79" s="39">
        <f t="shared" ref="ED79:EE79" si="1039">IFERROR(ED16/ED58,0)</f>
        <v>8.4950183534347148E-2</v>
      </c>
      <c r="EE79" s="39">
        <f t="shared" si="1039"/>
        <v>7.6680384087791501E-2</v>
      </c>
      <c r="EF79" s="39">
        <f t="shared" ref="EF79:EG79" si="1040">IFERROR(EF16/EF58,0)</f>
        <v>7.581483230987246E-2</v>
      </c>
      <c r="EG79" s="39">
        <f t="shared" si="1040"/>
        <v>0.10728978114201086</v>
      </c>
      <c r="EH79" s="39">
        <f t="shared" ref="EH79:EI79" si="1041">IFERROR(EH16/EH58,0)</f>
        <v>0.1050546963410034</v>
      </c>
      <c r="EI79" s="39">
        <f t="shared" si="1041"/>
        <v>9.5191603612399311E-2</v>
      </c>
      <c r="EJ79" s="39">
        <f t="shared" ref="EJ79:EK79" si="1042">IFERROR(EJ16/EJ58,0)</f>
        <v>7.5872747747747743E-2</v>
      </c>
      <c r="EK79" s="39">
        <f t="shared" si="1042"/>
        <v>6.9996168092987615E-2</v>
      </c>
      <c r="EL79" s="39">
        <f t="shared" ref="EL79:EM79" si="1043">IFERROR(EL16/EL58,0)</f>
        <v>8.6439683005576751E-2</v>
      </c>
      <c r="EM79" s="39">
        <f t="shared" si="1043"/>
        <v>8.6153314917127077E-2</v>
      </c>
      <c r="EN79" s="39">
        <f t="shared" ref="EN79:EO79" si="1044">IFERROR(EN16/EN58,0)</f>
        <v>0.10918060918060918</v>
      </c>
      <c r="EO79" s="39">
        <f t="shared" si="1044"/>
        <v>0.103205791106515</v>
      </c>
      <c r="EP79" s="39">
        <f t="shared" ref="EP79" si="1045">IFERROR(EP16/EP58,0)</f>
        <v>6.019176136363636E-2</v>
      </c>
      <c r="EQ79" s="39">
        <f t="shared" ref="EQ79:ER79" si="1046">IFERROR(EQ16/EQ58,0)</f>
        <v>7.66417796739296E-2</v>
      </c>
      <c r="ER79" s="39">
        <f t="shared" si="1046"/>
        <v>9.014856483484783E-2</v>
      </c>
      <c r="ES79" s="39">
        <f t="shared" ref="ES79:ET79" si="1047">IFERROR(ES16/ES58,0)</f>
        <v>7.7701599738818156E-2</v>
      </c>
      <c r="ET79" s="39">
        <f t="shared" si="1047"/>
        <v>9.8676293622142003E-2</v>
      </c>
      <c r="EU79" s="39">
        <f t="shared" ref="EU79:EV79" si="1048">IFERROR(EU16/EU58,0)</f>
        <v>0.10956763326966487</v>
      </c>
      <c r="EV79" s="39">
        <f t="shared" si="1048"/>
        <v>8.0156750979693617E-2</v>
      </c>
      <c r="EW79" s="39">
        <f t="shared" ref="EW79:EX79" si="1049">IFERROR(EW16/EW58,0)</f>
        <v>0.13256907701352147</v>
      </c>
      <c r="EX79" s="39">
        <f t="shared" si="1049"/>
        <v>7.2854291417165665E-2</v>
      </c>
      <c r="EY79" s="39">
        <f t="shared" ref="EY79:EZ79" si="1050">IFERROR(EY16/EY58,0)</f>
        <v>8.0072944297082227E-2</v>
      </c>
      <c r="EZ79" s="39">
        <f t="shared" si="1050"/>
        <v>8.2901554404145081E-2</v>
      </c>
      <c r="FA79" s="39">
        <f t="shared" ref="FA79:FB79" si="1051">IFERROR(FA16/FA58,0)</f>
        <v>9.4539404023597035E-2</v>
      </c>
      <c r="FB79" s="39">
        <f t="shared" si="1051"/>
        <v>0.12360434030507941</v>
      </c>
      <c r="FC79" s="39">
        <f t="shared" ref="FC79:FD79" si="1052">IFERROR(FC16/FC58,0)</f>
        <v>0.1229260935143288</v>
      </c>
      <c r="FD79" s="39">
        <f t="shared" si="1052"/>
        <v>0.10170536264639408</v>
      </c>
      <c r="FE79" s="39">
        <f t="shared" ref="FE79:FF79" si="1053">IFERROR(FE16/FE58,0)</f>
        <v>0</v>
      </c>
      <c r="FF79" s="39">
        <f t="shared" si="1053"/>
        <v>6.1064046086072521E-2</v>
      </c>
      <c r="FG79" s="39">
        <f t="shared" ref="FG79:FH79" si="1054">IFERROR(FG16/FG58,0)</f>
        <v>0.11671879442706852</v>
      </c>
      <c r="FH79" s="39">
        <f t="shared" si="1054"/>
        <v>0.10251755022996853</v>
      </c>
      <c r="FI79" s="39">
        <f t="shared" ref="FI79:FJ79" si="1055">IFERROR(FI16/FI58,0)</f>
        <v>0.12628985060834746</v>
      </c>
      <c r="FJ79" s="39">
        <f t="shared" si="1055"/>
        <v>0.11407942238267148</v>
      </c>
      <c r="FK79" s="39">
        <f t="shared" ref="FK79:FL79" si="1056">IFERROR(FK16/FK58,0)</f>
        <v>0.1086162833150785</v>
      </c>
      <c r="FL79" s="39">
        <f t="shared" si="1056"/>
        <v>8.8882101405009156E-2</v>
      </c>
      <c r="FM79" s="39">
        <f t="shared" ref="FM79" si="1057">IFERROR(FM16/FM58,0)</f>
        <v>0.12686147794324248</v>
      </c>
      <c r="FN79" s="39">
        <v>0.12998059991046113</v>
      </c>
      <c r="FO79" s="39">
        <f t="shared" ref="FO79" si="1058">IFERROR(FO16/FO58,0)</f>
        <v>0.13670464017782719</v>
      </c>
      <c r="FP79" s="39">
        <v>0.11601201974672677</v>
      </c>
      <c r="FQ79" s="39">
        <f t="shared" ref="FQ79:HA79" si="1059">IFERROR(FQ16/FQ58,0)</f>
        <v>0.15306311308532297</v>
      </c>
      <c r="FR79" s="39">
        <v>0.1319773665698119</v>
      </c>
      <c r="FS79" s="39">
        <f t="shared" si="1059"/>
        <v>0.11897568695151776</v>
      </c>
      <c r="FT79" s="39">
        <f t="shared" si="1059"/>
        <v>0.13673381911701671</v>
      </c>
      <c r="FU79" s="39">
        <f t="shared" si="1059"/>
        <v>7.7737847550595804E-2</v>
      </c>
      <c r="FV79" s="39">
        <f t="shared" si="1059"/>
        <v>0.10893473549008589</v>
      </c>
      <c r="FW79" s="39">
        <f t="shared" si="1059"/>
        <v>6.4873805439843182E-2</v>
      </c>
      <c r="FX79" s="39">
        <f t="shared" si="1059"/>
        <v>0.15381577648336459</v>
      </c>
      <c r="FY79" s="39">
        <f t="shared" si="1059"/>
        <v>0.11416593545871112</v>
      </c>
      <c r="FZ79" s="39">
        <f t="shared" si="1059"/>
        <v>9.2323335027961362E-2</v>
      </c>
      <c r="GA79" s="39">
        <f t="shared" si="1059"/>
        <v>0.10460315032879645</v>
      </c>
      <c r="GB79" s="39">
        <f t="shared" si="1059"/>
        <v>0.14639678939103123</v>
      </c>
      <c r="GC79" s="39">
        <f t="shared" si="1059"/>
        <v>0.10565257965604587</v>
      </c>
      <c r="GD79" s="39">
        <f t="shared" si="1059"/>
        <v>0.12675939035562589</v>
      </c>
      <c r="GE79" s="39">
        <f t="shared" si="1059"/>
        <v>9.8969830757910229E-2</v>
      </c>
      <c r="GF79" s="39">
        <f t="shared" si="1059"/>
        <v>0.18010968432316746</v>
      </c>
      <c r="GG79" s="39">
        <f t="shared" si="1059"/>
        <v>0.16013336937911146</v>
      </c>
      <c r="GH79" s="39">
        <f t="shared" si="1059"/>
        <v>0.17981669655309823</v>
      </c>
      <c r="GI79" s="39">
        <f t="shared" si="1059"/>
        <v>0.14120271081753452</v>
      </c>
      <c r="GJ79" s="39">
        <f t="shared" si="1059"/>
        <v>9.4852668888536218E-2</v>
      </c>
      <c r="GK79" s="39">
        <f t="shared" si="1059"/>
        <v>0.16307833256985799</v>
      </c>
      <c r="GL79" s="39">
        <f t="shared" si="1059"/>
        <v>0.13479898397127091</v>
      </c>
      <c r="GM79" s="39">
        <f t="shared" si="1059"/>
        <v>0.14422885901595922</v>
      </c>
      <c r="GN79" s="39">
        <f t="shared" si="1059"/>
        <v>0.16105015673981191</v>
      </c>
      <c r="GO79" s="39">
        <f t="shared" si="1059"/>
        <v>0.15906047182445657</v>
      </c>
      <c r="GP79" s="39">
        <f t="shared" si="1059"/>
        <v>0.1747219279661017</v>
      </c>
      <c r="GQ79" s="39">
        <f t="shared" si="1059"/>
        <v>0.2338776639911431</v>
      </c>
      <c r="GR79" s="39">
        <f t="shared" si="1059"/>
        <v>0.14690899943399785</v>
      </c>
      <c r="GS79" s="39">
        <f t="shared" si="1059"/>
        <v>0.2735340053954281</v>
      </c>
      <c r="GT79" s="39">
        <f t="shared" si="1059"/>
        <v>0.20170454545454544</v>
      </c>
      <c r="GU79" s="39">
        <f t="shared" si="1059"/>
        <v>0.22250089573629522</v>
      </c>
      <c r="GV79" s="39">
        <f t="shared" si="1059"/>
        <v>0.29294512877939527</v>
      </c>
      <c r="GW79" s="39">
        <f t="shared" si="1059"/>
        <v>0.20154868471634907</v>
      </c>
      <c r="GX79" s="39">
        <f t="shared" si="1059"/>
        <v>0.46089155864685427</v>
      </c>
      <c r="GY79" s="39">
        <f t="shared" si="1059"/>
        <v>0.22378624959270121</v>
      </c>
      <c r="GZ79" s="39">
        <f t="shared" si="1059"/>
        <v>0.25111624326404924</v>
      </c>
      <c r="HA79" s="39">
        <f t="shared" si="1059"/>
        <v>0.17658550198841833</v>
      </c>
      <c r="HB79" s="39">
        <f t="shared" si="148"/>
        <v>7.873438917184121E-2</v>
      </c>
      <c r="HC79" s="39">
        <f t="shared" si="148"/>
        <v>0.18725352112676055</v>
      </c>
      <c r="HD79" s="39">
        <f t="shared" ref="HD79:JO79" si="1060">IFERROR(HD16/HD58,0)</f>
        <v>0.23413857180780462</v>
      </c>
      <c r="HE79" s="39">
        <f t="shared" si="1060"/>
        <v>0.22747480735032602</v>
      </c>
      <c r="HF79" s="39">
        <f t="shared" si="1060"/>
        <v>0.21597497711321331</v>
      </c>
      <c r="HG79" s="39">
        <f t="shared" si="1060"/>
        <v>0.24004096262160779</v>
      </c>
      <c r="HH79" s="39">
        <f t="shared" si="1060"/>
        <v>0.20305153907566753</v>
      </c>
      <c r="HI79" s="39">
        <f t="shared" si="1060"/>
        <v>0.14269718835531225</v>
      </c>
      <c r="HJ79" s="39">
        <f t="shared" si="1060"/>
        <v>0.18553779893460273</v>
      </c>
      <c r="HK79" s="39">
        <f t="shared" si="1060"/>
        <v>0.18652908493026421</v>
      </c>
      <c r="HL79" s="39">
        <f t="shared" si="1060"/>
        <v>0.25530425040263288</v>
      </c>
      <c r="HM79" s="39">
        <f t="shared" si="1060"/>
        <v>0.21278706034943159</v>
      </c>
      <c r="HN79" s="39">
        <f t="shared" si="1060"/>
        <v>0.18250431282346177</v>
      </c>
      <c r="HO79" s="39">
        <f t="shared" si="1060"/>
        <v>0.22732680516152651</v>
      </c>
      <c r="HP79" s="39">
        <f t="shared" si="1060"/>
        <v>0.19118875278396436</v>
      </c>
      <c r="HQ79" s="39">
        <f t="shared" si="1060"/>
        <v>0.19319754795333202</v>
      </c>
      <c r="HR79" s="39">
        <f t="shared" si="1060"/>
        <v>0.18868056039590159</v>
      </c>
      <c r="HS79" s="39">
        <f t="shared" si="1060"/>
        <v>0.21027162035591632</v>
      </c>
      <c r="HT79" s="39">
        <f t="shared" si="1060"/>
        <v>0.20391382996217727</v>
      </c>
      <c r="HU79" s="39">
        <f t="shared" si="1060"/>
        <v>0.24227592535943715</v>
      </c>
      <c r="HV79" s="39">
        <f t="shared" si="1060"/>
        <v>0.20056671183934952</v>
      </c>
      <c r="HW79" s="39">
        <f t="shared" si="1060"/>
        <v>0.20339714984885562</v>
      </c>
      <c r="HX79" s="39">
        <f t="shared" si="1060"/>
        <v>0.20527055516514406</v>
      </c>
      <c r="HY79" s="39">
        <f t="shared" si="1060"/>
        <v>0.22416922210401152</v>
      </c>
      <c r="HZ79" s="39">
        <f t="shared" si="1060"/>
        <v>0.20955710955710954</v>
      </c>
      <c r="IA79" s="39">
        <f t="shared" si="1060"/>
        <v>0.23201328787481423</v>
      </c>
      <c r="IB79" s="39">
        <f t="shared" si="1060"/>
        <v>0.15549132947976879</v>
      </c>
      <c r="IC79" s="39">
        <f t="shared" si="1060"/>
        <v>0.21374120406567632</v>
      </c>
      <c r="ID79" s="39">
        <f t="shared" si="1060"/>
        <v>0.19637203166226913</v>
      </c>
      <c r="IE79" s="39">
        <f t="shared" si="1060"/>
        <v>0.15230312035661217</v>
      </c>
      <c r="IF79" s="39">
        <f t="shared" si="1060"/>
        <v>0.23531962338949455</v>
      </c>
      <c r="IG79" s="39">
        <f t="shared" si="1060"/>
        <v>0.22068643162393162</v>
      </c>
      <c r="IH79" s="39">
        <f t="shared" si="1060"/>
        <v>0.22359716709471555</v>
      </c>
      <c r="II79" s="39">
        <f t="shared" si="1060"/>
        <v>0.21026704692766399</v>
      </c>
      <c r="IJ79" s="39">
        <f t="shared" si="1060"/>
        <v>0.2147470398277718</v>
      </c>
      <c r="IK79" s="39">
        <f t="shared" si="1060"/>
        <v>0.21970283782832195</v>
      </c>
      <c r="IL79" s="39">
        <f t="shared" si="1060"/>
        <v>0.23748221906116643</v>
      </c>
      <c r="IM79" s="39">
        <f t="shared" si="1060"/>
        <v>0.21547299524414937</v>
      </c>
      <c r="IN79" s="39">
        <f t="shared" si="1060"/>
        <v>0.26118809631985462</v>
      </c>
      <c r="IO79" s="39">
        <f t="shared" si="1060"/>
        <v>0.21125388222398148</v>
      </c>
      <c r="IP79" s="39">
        <f t="shared" si="1060"/>
        <v>0.23442361690824923</v>
      </c>
      <c r="IQ79" s="39">
        <f t="shared" si="1060"/>
        <v>0.23799368762262219</v>
      </c>
      <c r="IR79" s="39">
        <f t="shared" si="1060"/>
        <v>0.20704937692267583</v>
      </c>
      <c r="IS79" s="39">
        <f t="shared" si="1060"/>
        <v>0.2141520029951329</v>
      </c>
      <c r="IT79" s="39">
        <f t="shared" si="1060"/>
        <v>0.19114434140894304</v>
      </c>
      <c r="IU79" s="39">
        <f t="shared" si="1060"/>
        <v>0.17132670294614374</v>
      </c>
      <c r="IV79" s="39">
        <f t="shared" si="1060"/>
        <v>0.10037714764631932</v>
      </c>
      <c r="IW79" s="39">
        <f t="shared" si="1060"/>
        <v>0.20247908652378335</v>
      </c>
      <c r="IX79" s="39">
        <f t="shared" si="1060"/>
        <v>0.17851856237787908</v>
      </c>
      <c r="IY79" s="39">
        <f t="shared" si="1060"/>
        <v>0.16143601087607723</v>
      </c>
      <c r="IZ79" s="39">
        <f t="shared" si="1060"/>
        <v>0.14966391559601805</v>
      </c>
      <c r="JA79" s="39">
        <f t="shared" si="1060"/>
        <v>0.15513164965072543</v>
      </c>
      <c r="JB79" s="39">
        <f t="shared" si="1060"/>
        <v>0.19067875841436052</v>
      </c>
      <c r="JC79" s="39">
        <f t="shared" si="1060"/>
        <v>0.13035675608775024</v>
      </c>
      <c r="JD79" s="39">
        <f t="shared" si="1060"/>
        <v>0.23632439099599137</v>
      </c>
      <c r="JE79" s="39">
        <f t="shared" si="1060"/>
        <v>0.13851746872881879</v>
      </c>
      <c r="JF79" s="39">
        <f t="shared" si="1060"/>
        <v>0.17801069337180683</v>
      </c>
      <c r="JG79" s="39">
        <f t="shared" si="1060"/>
        <v>0.15217584369449377</v>
      </c>
      <c r="JH79" s="39">
        <f t="shared" si="1060"/>
        <v>0.1511055486024197</v>
      </c>
      <c r="JI79" s="39">
        <f t="shared" si="1060"/>
        <v>0.1614741463870335</v>
      </c>
      <c r="JJ79" s="39">
        <f t="shared" si="1060"/>
        <v>0.14650181532724954</v>
      </c>
      <c r="JK79" s="39">
        <f t="shared" si="1060"/>
        <v>0.14613733905579399</v>
      </c>
      <c r="JL79" s="39">
        <f t="shared" si="1060"/>
        <v>0.14826965135726231</v>
      </c>
      <c r="JM79" s="39">
        <f t="shared" si="1060"/>
        <v>0.14220346738522549</v>
      </c>
      <c r="JN79" s="39">
        <f t="shared" si="1060"/>
        <v>0.14321694898513507</v>
      </c>
      <c r="JO79" s="39">
        <f t="shared" si="1060"/>
        <v>0.11350779804388052</v>
      </c>
      <c r="JP79" s="39">
        <f t="shared" ref="JP79:KG79" si="1061">IFERROR(JP16/JP58,0)</f>
        <v>0.13945368658862189</v>
      </c>
      <c r="JQ79" s="39">
        <f t="shared" si="1061"/>
        <v>0.11536241920590951</v>
      </c>
      <c r="JR79" s="39">
        <f t="shared" si="1061"/>
        <v>0.12687585266030013</v>
      </c>
      <c r="JS79" s="39">
        <f t="shared" si="1061"/>
        <v>0.12712645604625827</v>
      </c>
      <c r="JT79" s="39">
        <f t="shared" si="1061"/>
        <v>0.11878642440863901</v>
      </c>
      <c r="JU79" s="39">
        <f t="shared" si="1061"/>
        <v>0.1055805154882951</v>
      </c>
      <c r="JV79" s="39">
        <f t="shared" si="1061"/>
        <v>0.10306176626747685</v>
      </c>
      <c r="JW79" s="39">
        <f t="shared" si="1061"/>
        <v>0.10532607251959092</v>
      </c>
      <c r="JX79" s="39">
        <f t="shared" si="1061"/>
        <v>9.1487839771101573E-2</v>
      </c>
      <c r="JY79" s="39">
        <f t="shared" si="1061"/>
        <v>0.10073021906571972</v>
      </c>
      <c r="JZ79" s="39">
        <f t="shared" si="1061"/>
        <v>9.6388863364881006E-2</v>
      </c>
      <c r="KA79" s="39">
        <f t="shared" si="1061"/>
        <v>9.5797936893203886E-2</v>
      </c>
      <c r="KB79" s="39">
        <f t="shared" si="1061"/>
        <v>9.6731594585671835E-2</v>
      </c>
      <c r="KC79" s="39">
        <f t="shared" si="1061"/>
        <v>0.10028883183568678</v>
      </c>
      <c r="KD79" s="39">
        <f t="shared" si="1061"/>
        <v>7.6807370499200903E-2</v>
      </c>
      <c r="KE79" s="39">
        <f t="shared" si="1061"/>
        <v>8.0837051200339918E-2</v>
      </c>
      <c r="KF79" s="39">
        <f t="shared" si="1061"/>
        <v>6.9850039463299138E-2</v>
      </c>
      <c r="KG79" s="39">
        <f t="shared" si="1061"/>
        <v>7.1819765994523277E-2</v>
      </c>
      <c r="KH79" s="39">
        <f t="shared" si="475"/>
        <v>6.5863959025968186E-2</v>
      </c>
      <c r="KI79" s="39">
        <f t="shared" si="475"/>
        <v>6.8410462776659964E-2</v>
      </c>
      <c r="KJ79" s="39">
        <f t="shared" si="541"/>
        <v>6.3129550214421057E-2</v>
      </c>
      <c r="KK79" s="39">
        <f t="shared" si="541"/>
        <v>6.5766550522648085E-2</v>
      </c>
      <c r="KL79" s="39">
        <f t="shared" si="541"/>
        <v>4.6298558514537014E-2</v>
      </c>
      <c r="KM79" s="39">
        <f t="shared" si="541"/>
        <v>4.982444407289751E-2</v>
      </c>
      <c r="KN79" s="39">
        <f t="shared" si="541"/>
        <v>4.5953891381711277E-2</v>
      </c>
      <c r="KO79" s="39">
        <f t="shared" si="541"/>
        <v>4.5661605206073749E-2</v>
      </c>
      <c r="KP79" s="39">
        <f t="shared" si="541"/>
        <v>4.30414551607445E-2</v>
      </c>
      <c r="KQ79" s="39">
        <f t="shared" si="541"/>
        <v>4.6444321940463065E-2</v>
      </c>
      <c r="KR79" s="39">
        <f t="shared" si="541"/>
        <v>4.9187675070028011E-2</v>
      </c>
      <c r="KS79" s="39">
        <f t="shared" si="541"/>
        <v>3.3119518261552558E-2</v>
      </c>
      <c r="KT79" s="39">
        <f t="shared" si="541"/>
        <v>2.8692665184885835E-2</v>
      </c>
      <c r="KU79" s="39">
        <f t="shared" si="541"/>
        <v>3.342949261836077E-2</v>
      </c>
      <c r="KV79" s="39">
        <f t="shared" si="541"/>
        <v>3.3358937781191707E-2</v>
      </c>
      <c r="KW79" s="39">
        <f t="shared" si="541"/>
        <v>2.9215976331360947E-2</v>
      </c>
      <c r="KX79" s="39">
        <f t="shared" si="541"/>
        <v>3.3490672061137337E-2</v>
      </c>
      <c r="KY79" s="39">
        <f t="shared" si="541"/>
        <v>2.7903732124171608E-2</v>
      </c>
      <c r="KZ79" s="39">
        <f t="shared" ref="KZ79:NK79" si="1062">IFERROR(KZ16/KZ58,0)</f>
        <v>1.9550342130987292E-2</v>
      </c>
      <c r="LA79" s="39">
        <f t="shared" si="1062"/>
        <v>2.1645021645021644E-2</v>
      </c>
      <c r="LB79" s="39">
        <f t="shared" si="1062"/>
        <v>1.9901144640998958E-2</v>
      </c>
      <c r="LC79" s="39">
        <f t="shared" si="1062"/>
        <v>2.1613236814891416E-2</v>
      </c>
      <c r="LD79" s="39">
        <f t="shared" si="1062"/>
        <v>2.0353687020353686E-2</v>
      </c>
      <c r="LE79" s="39">
        <f t="shared" si="1062"/>
        <v>2.3376911145579438E-2</v>
      </c>
      <c r="LF79" s="39">
        <f t="shared" si="1062"/>
        <v>2.1822216742695105E-2</v>
      </c>
      <c r="LG79" s="39">
        <f t="shared" si="1062"/>
        <v>2.0950294399561822E-2</v>
      </c>
      <c r="LH79" s="39">
        <f t="shared" si="1062"/>
        <v>1.6672010259698621E-2</v>
      </c>
      <c r="LI79" s="39">
        <f t="shared" si="1062"/>
        <v>1.834631817039457E-2</v>
      </c>
      <c r="LJ79" s="39">
        <f t="shared" si="1062"/>
        <v>2.7884421095170742E-2</v>
      </c>
      <c r="LK79" s="39">
        <f t="shared" si="1062"/>
        <v>1.0413589364844903E-2</v>
      </c>
      <c r="LL79" s="39">
        <f t="shared" si="1062"/>
        <v>1.2082551594746718E-2</v>
      </c>
      <c r="LM79" s="39">
        <f t="shared" si="1062"/>
        <v>1.0161126433444622E-2</v>
      </c>
      <c r="LN79" s="39">
        <f t="shared" si="1062"/>
        <v>5.673387448721306E-3</v>
      </c>
      <c r="LO79" s="39">
        <f t="shared" si="1062"/>
        <v>1.4442575922445345E-2</v>
      </c>
      <c r="LP79" s="39">
        <f t="shared" si="1062"/>
        <v>1.3101569593981061E-2</v>
      </c>
      <c r="LQ79" s="39">
        <f t="shared" si="1062"/>
        <v>1.1500050438817714E-2</v>
      </c>
      <c r="LR79" s="39">
        <f t="shared" si="1062"/>
        <v>1.3883814395323347E-2</v>
      </c>
      <c r="LS79" s="39">
        <f t="shared" si="1062"/>
        <v>1.1743536319727247E-2</v>
      </c>
      <c r="LT79" s="39">
        <f t="shared" si="1062"/>
        <v>1.0166177908113392E-2</v>
      </c>
      <c r="LU79" s="39">
        <f t="shared" si="1062"/>
        <v>1.2688614540466393E-2</v>
      </c>
      <c r="LV79" s="39">
        <f t="shared" si="1062"/>
        <v>1.2015620306398318E-2</v>
      </c>
      <c r="LW79" s="39">
        <f t="shared" si="1062"/>
        <v>1.4136904761904762E-2</v>
      </c>
      <c r="LX79" s="39">
        <f t="shared" si="1062"/>
        <v>1.2723620013393284E-2</v>
      </c>
      <c r="LY79" s="39">
        <f t="shared" si="1062"/>
        <v>1.3283992788689629E-2</v>
      </c>
      <c r="LZ79" s="39">
        <f t="shared" si="1062"/>
        <v>1.088841780689921E-2</v>
      </c>
      <c r="MA79" s="39">
        <f t="shared" si="1062"/>
        <v>1.4204545454545454E-2</v>
      </c>
      <c r="MB79" s="39">
        <f t="shared" si="1062"/>
        <v>1.4561382739434119E-2</v>
      </c>
      <c r="MC79" s="39">
        <f t="shared" si="1062"/>
        <v>9.9313567985979262E-3</v>
      </c>
      <c r="MD79" s="39">
        <f t="shared" si="1062"/>
        <v>1.3417643429981493E-2</v>
      </c>
      <c r="ME79" s="39">
        <f t="shared" si="1062"/>
        <v>1.1604992336325816E-2</v>
      </c>
      <c r="MF79" s="39">
        <f t="shared" si="1062"/>
        <v>1.4577259475218658E-2</v>
      </c>
      <c r="MG79" s="39">
        <f t="shared" si="1062"/>
        <v>1.2222222222222223E-2</v>
      </c>
      <c r="MH79" s="39">
        <f t="shared" si="1062"/>
        <v>1.1087484811664642E-2</v>
      </c>
      <c r="MI79" s="39">
        <f t="shared" si="1062"/>
        <v>1.4339741569492593E-2</v>
      </c>
      <c r="MJ79" s="39">
        <f t="shared" si="1062"/>
        <v>1.7102369899828978E-2</v>
      </c>
      <c r="MK79" s="39">
        <f t="shared" si="1062"/>
        <v>8.8368269625976169E-3</v>
      </c>
      <c r="ML79" s="39">
        <f t="shared" si="1062"/>
        <v>9.3413173652694605E-3</v>
      </c>
      <c r="MM79" s="39">
        <f t="shared" si="1062"/>
        <v>1.3377926421404682E-2</v>
      </c>
      <c r="MN79" s="39">
        <f t="shared" si="1062"/>
        <v>1.8456042865647945E-2</v>
      </c>
      <c r="MO79" s="39">
        <f t="shared" si="1062"/>
        <v>1.5857185598883015E-2</v>
      </c>
      <c r="MP79" s="39">
        <f t="shared" si="1062"/>
        <v>1.9313923320841742E-2</v>
      </c>
      <c r="MQ79" s="39">
        <f t="shared" si="1062"/>
        <v>1.6287160025300444E-2</v>
      </c>
      <c r="MR79" s="39">
        <f t="shared" si="1062"/>
        <v>1.6120365394948953E-2</v>
      </c>
      <c r="MS79" s="39">
        <f t="shared" si="1062"/>
        <v>1.4137697298344146E-2</v>
      </c>
      <c r="MT79" s="39">
        <f t="shared" si="1062"/>
        <v>1.5107495642068565E-2</v>
      </c>
      <c r="MU79" s="39">
        <f t="shared" si="1062"/>
        <v>1.8114450391107453E-2</v>
      </c>
      <c r="MV79" s="39">
        <f t="shared" si="1062"/>
        <v>1.8138424821002388E-2</v>
      </c>
      <c r="MW79" s="39">
        <f t="shared" si="1062"/>
        <v>1.8346409173204587E-2</v>
      </c>
      <c r="MX79" s="39">
        <f t="shared" si="1062"/>
        <v>2.7106084243369733E-2</v>
      </c>
      <c r="MY79" s="39">
        <f t="shared" si="1062"/>
        <v>2.4844720496894408E-2</v>
      </c>
      <c r="MZ79" s="39">
        <f t="shared" si="1062"/>
        <v>1.6611295681063124E-2</v>
      </c>
      <c r="NA79" s="39">
        <f t="shared" si="1062"/>
        <v>1.2364760432766615E-2</v>
      </c>
      <c r="NB79" s="39">
        <f t="shared" si="1062"/>
        <v>1.8719727713051446E-2</v>
      </c>
      <c r="NC79" s="39">
        <f t="shared" si="1062"/>
        <v>1.7325017325017324E-2</v>
      </c>
      <c r="ND79" s="39">
        <f t="shared" si="1062"/>
        <v>1.3115565454095521E-2</v>
      </c>
      <c r="NE79" s="39">
        <f t="shared" si="1062"/>
        <v>1.3083772487733963E-2</v>
      </c>
      <c r="NF79" s="39">
        <f t="shared" si="1062"/>
        <v>0</v>
      </c>
      <c r="NG79" s="39">
        <f t="shared" si="1062"/>
        <v>1.1047666335650446E-2</v>
      </c>
      <c r="NH79" s="39">
        <f t="shared" si="1062"/>
        <v>1.7345847689200427E-2</v>
      </c>
      <c r="NI79" s="39">
        <f t="shared" si="1062"/>
        <v>1.7073847862298722E-2</v>
      </c>
      <c r="NJ79" s="39">
        <f t="shared" si="1062"/>
        <v>1.57338148052618E-2</v>
      </c>
      <c r="NK79" s="39">
        <f t="shared" si="1062"/>
        <v>1.7305893358278764E-2</v>
      </c>
      <c r="NL79" s="39">
        <f t="shared" ref="NL79:NN79" si="1063">IFERROR(NL16/NL58,0)</f>
        <v>1.5470051566838556E-2</v>
      </c>
      <c r="NM79" s="39">
        <f t="shared" si="1063"/>
        <v>1.1014948859166011E-2</v>
      </c>
      <c r="NN79" s="39">
        <f t="shared" si="1063"/>
        <v>1.6139200605220023E-2</v>
      </c>
      <c r="NO79" s="39">
        <f t="shared" ref="NO79" si="1064">IFERROR(NO16/NO58,0)</f>
        <v>1.5407931295781763E-2</v>
      </c>
      <c r="NP79" s="39">
        <v>1.3014119091467199E-2</v>
      </c>
      <c r="NQ79" s="39">
        <v>1.07993765308395E-2</v>
      </c>
      <c r="NR79" s="39">
        <v>1.44272806761877E-2</v>
      </c>
      <c r="NS79" s="39">
        <v>1.17217524980784E-2</v>
      </c>
      <c r="NT79" s="39">
        <v>1.21733484823892E-2</v>
      </c>
      <c r="NU79" s="39">
        <v>1.26101860920666E-2</v>
      </c>
      <c r="NV79" s="39">
        <v>1.5784793241440599E-2</v>
      </c>
      <c r="NW79" s="39">
        <v>2.07806047688824E-2</v>
      </c>
      <c r="NX79" s="39">
        <v>1.9600452318130401E-2</v>
      </c>
      <c r="NY79" s="39">
        <v>1.7712398679075401E-2</v>
      </c>
      <c r="NZ79" s="39">
        <v>2.4292452830188702E-2</v>
      </c>
      <c r="OA79" s="39">
        <v>1.6386465205362799E-2</v>
      </c>
      <c r="OB79" s="39">
        <v>1.71543895055499E-2</v>
      </c>
      <c r="OC79" s="39">
        <v>1.4629240193837399E-2</v>
      </c>
      <c r="OD79" s="39">
        <v>1.7924341453753202E-2</v>
      </c>
      <c r="OE79" s="39">
        <v>2.1871345029239798E-2</v>
      </c>
      <c r="OF79" s="39">
        <v>1.9798136645962701E-2</v>
      </c>
      <c r="OG79" s="39">
        <v>2.3609077598828701E-2</v>
      </c>
      <c r="OH79" s="39">
        <v>1.8254674977738201E-2</v>
      </c>
      <c r="OI79" s="39">
        <v>1.9753852518357599E-2</v>
      </c>
      <c r="OJ79" s="39">
        <v>1.6223167474527601E-2</v>
      </c>
      <c r="OK79" s="39">
        <v>1.7543859649122799E-2</v>
      </c>
      <c r="OL79" s="39">
        <v>2.0425714900021499E-2</v>
      </c>
      <c r="OM79" s="39">
        <v>1.7149907464528099E-2</v>
      </c>
      <c r="ON79" s="39">
        <v>2.1076868579525301E-2</v>
      </c>
      <c r="OO79" s="39">
        <v>2.60076045627376E-2</v>
      </c>
      <c r="OP79" s="39">
        <v>2.6248273139925001E-2</v>
      </c>
      <c r="OQ79" s="39">
        <v>2.7061855670103101E-2</v>
      </c>
      <c r="OR79" s="39">
        <v>2.4415438069302301E-2</v>
      </c>
      <c r="OS79" s="39">
        <f t="shared" ref="OS79" si="1065">IFERROR(OS16/OS58,0)</f>
        <v>2.9686174724342665E-2</v>
      </c>
      <c r="OT79" s="39">
        <f t="shared" si="156"/>
        <v>2.6148969889064975E-2</v>
      </c>
      <c r="OU79" s="39">
        <v>2.6292852992446301E-2</v>
      </c>
      <c r="OV79" s="39">
        <v>2.1956087824351302E-2</v>
      </c>
      <c r="OW79" s="39">
        <v>2.05349620893008E-2</v>
      </c>
      <c r="OX79" s="39">
        <v>2.1573182874211699E-2</v>
      </c>
      <c r="OY79" s="39">
        <v>1.88498402555911E-2</v>
      </c>
      <c r="OZ79" s="39">
        <v>2.2969406705111901E-2</v>
      </c>
      <c r="PA79" s="39">
        <v>1.9234768143065101E-2</v>
      </c>
      <c r="PB79" s="39">
        <v>2.40125035521455E-2</v>
      </c>
      <c r="PC79" s="39">
        <v>2.0425776754890702E-2</v>
      </c>
      <c r="PD79" s="39">
        <v>1.8702075930428299E-2</v>
      </c>
      <c r="PE79" s="39">
        <v>1.9863502088214299E-2</v>
      </c>
      <c r="PF79" s="39">
        <v>1.5776939869021601E-2</v>
      </c>
      <c r="PG79" s="39">
        <v>2.15658217497956E-2</v>
      </c>
      <c r="PH79" s="39">
        <v>2.3012976480129801E-2</v>
      </c>
      <c r="PI79" s="39">
        <v>2.31429033824243E-2</v>
      </c>
      <c r="PJ79" s="39">
        <v>1.82977543665096E-2</v>
      </c>
      <c r="PK79" s="39">
        <v>2.26735439501397E-2</v>
      </c>
      <c r="PL79" s="39">
        <v>2.28228765774635E-2</v>
      </c>
      <c r="PM79" s="39">
        <v>1.7285657842749901E-2</v>
      </c>
      <c r="PN79" s="39">
        <v>2.28080568720379E-2</v>
      </c>
      <c r="PO79" s="39">
        <v>1.8999883436297899E-2</v>
      </c>
      <c r="PP79" s="39">
        <v>2.1702557200538399E-2</v>
      </c>
      <c r="PQ79" s="39">
        <v>1.90756625272052E-2</v>
      </c>
      <c r="PR79" s="39">
        <v>2.1717958706661499E-2</v>
      </c>
      <c r="PS79" s="39">
        <v>2.1658896658896701E-2</v>
      </c>
      <c r="PT79" s="39">
        <v>2.2342208154906E-2</v>
      </c>
      <c r="PU79" s="39">
        <v>2.1533507748037799E-2</v>
      </c>
      <c r="PV79" s="39">
        <v>3.0647709320695101E-2</v>
      </c>
      <c r="PW79" s="39">
        <v>2.4223962866260499E-2</v>
      </c>
      <c r="PX79" s="39">
        <v>1.9463505926388E-2</v>
      </c>
      <c r="PY79" s="39">
        <v>1.8159345883247802E-2</v>
      </c>
      <c r="PZ79" s="39">
        <v>2.7757861313121E-2</v>
      </c>
      <c r="QA79" s="39">
        <v>3.09557202965338E-2</v>
      </c>
      <c r="QB79" s="39">
        <v>2.7517262702257E-2</v>
      </c>
      <c r="QC79" s="39">
        <v>3.8161674189577298E-2</v>
      </c>
      <c r="QD79" s="39">
        <v>1.6007388025242399E-2</v>
      </c>
      <c r="QE79" s="39">
        <v>2.7130010669105298E-2</v>
      </c>
      <c r="QF79" s="39">
        <v>2.6668166985484399E-2</v>
      </c>
      <c r="QG79" s="39">
        <v>3.3370411568409301E-2</v>
      </c>
      <c r="QH79" s="39">
        <v>3.0231737442653801E-2</v>
      </c>
      <c r="QI79" s="39">
        <v>2.54648342764753E-2</v>
      </c>
      <c r="QJ79" s="39">
        <v>3.3586909717238399E-2</v>
      </c>
      <c r="QK79" s="39">
        <v>1.24542848670555E-2</v>
      </c>
      <c r="QL79" s="39">
        <v>2.9403528423410801E-2</v>
      </c>
      <c r="QM79" s="39">
        <v>2.3838011965025298E-2</v>
      </c>
      <c r="QN79" s="39">
        <v>3.1550480769230803E-2</v>
      </c>
      <c r="QO79" s="39">
        <v>3.1436962906559299E-2</v>
      </c>
      <c r="QP79" s="39">
        <v>3.1395463999207701E-2</v>
      </c>
      <c r="QQ79" s="39">
        <v>3.6234096692112E-2</v>
      </c>
      <c r="QR79" s="39">
        <v>2.88245219347582E-2</v>
      </c>
      <c r="QS79" s="39">
        <v>3.75181874870089E-2</v>
      </c>
      <c r="QT79" s="39">
        <v>3.9033107599699003E-2</v>
      </c>
      <c r="QU79" s="39">
        <v>3.9048789048789001E-2</v>
      </c>
      <c r="QV79" s="39">
        <v>4.7265790589232699E-2</v>
      </c>
      <c r="QW79" s="39">
        <v>5.3665380568221697E-2</v>
      </c>
      <c r="QX79" s="39">
        <v>6.7239447142323494E-2</v>
      </c>
      <c r="QY79" s="39">
        <v>8.0456490727532096E-2</v>
      </c>
      <c r="QZ79" s="39">
        <v>6.0988005692213902E-2</v>
      </c>
      <c r="RA79" s="39">
        <v>6.9977772668046306E-2</v>
      </c>
      <c r="RB79" s="39">
        <v>7.46929524010332E-2</v>
      </c>
      <c r="RC79" s="39">
        <v>9.6969260672377794E-2</v>
      </c>
      <c r="RD79" s="39">
        <v>8.0906148867313898E-2</v>
      </c>
      <c r="RE79" s="39">
        <v>9.1603821015585701E-2</v>
      </c>
      <c r="RF79" s="39">
        <v>0.12655711635303499</v>
      </c>
      <c r="RG79" s="39">
        <v>0.126908045129415</v>
      </c>
      <c r="RH79" s="39">
        <v>0.16261595066590701</v>
      </c>
      <c r="RI79" s="39">
        <v>0.22624203821656</v>
      </c>
      <c r="RJ79" s="39">
        <v>0.22258051513563601</v>
      </c>
      <c r="RK79" s="39">
        <v>0.25575061800812798</v>
      </c>
      <c r="RL79" s="39">
        <v>0.23179024691806999</v>
      </c>
      <c r="RM79" s="39">
        <v>0.24734515102681701</v>
      </c>
      <c r="RN79" s="39">
        <v>0.27381772500709201</v>
      </c>
      <c r="RO79" s="39">
        <v>0.29884674632582497</v>
      </c>
      <c r="RP79" s="39">
        <v>0.29565976402600502</v>
      </c>
      <c r="RQ79" s="39">
        <v>0.29309679907443098</v>
      </c>
      <c r="RR79" s="39">
        <v>0.19351169998009701</v>
      </c>
      <c r="RS79" s="39">
        <v>0.26423109600679701</v>
      </c>
      <c r="RT79" s="39">
        <v>0.474329473009167</v>
      </c>
      <c r="RU79" s="39">
        <v>0.32436496647023</v>
      </c>
      <c r="RV79" s="39">
        <v>0.28458984793317599</v>
      </c>
      <c r="RW79" s="39">
        <v>0.36557126361451803</v>
      </c>
      <c r="RX79" s="39">
        <v>0.36836436810928802</v>
      </c>
      <c r="RY79" s="39">
        <v>0.39634258974201098</v>
      </c>
      <c r="RZ79" s="39">
        <v>0.36867792077553102</v>
      </c>
      <c r="SA79" s="39">
        <v>0.35389005588363498</v>
      </c>
      <c r="SB79" s="39">
        <v>0.43226611584473701</v>
      </c>
      <c r="SC79" s="39">
        <v>0.350433761659383</v>
      </c>
      <c r="SD79" s="39">
        <v>0.49321553874117602</v>
      </c>
      <c r="SE79" s="39">
        <v>0.39951553625125302</v>
      </c>
      <c r="SF79" s="39">
        <v>0.40613438357799297</v>
      </c>
      <c r="SG79" s="39">
        <v>0.357788554801164</v>
      </c>
      <c r="SH79" s="39">
        <v>0.39436619718309901</v>
      </c>
      <c r="SI79" s="39">
        <v>0.35322678535302399</v>
      </c>
      <c r="SJ79" s="39">
        <v>0.25555605141021098</v>
      </c>
      <c r="SK79" s="39">
        <v>0.37766316912680098</v>
      </c>
      <c r="SL79" s="39">
        <v>0.36471230881281902</v>
      </c>
      <c r="SM79" s="39">
        <v>0.39179584120983002</v>
      </c>
      <c r="SN79" s="39">
        <v>0.37240416974472601</v>
      </c>
      <c r="SO79" s="39">
        <v>0.38542786667509998</v>
      </c>
      <c r="SP79" s="39">
        <v>0.39260761775974801</v>
      </c>
      <c r="SQ79" s="39">
        <v>0.34894003884458002</v>
      </c>
      <c r="SR79" s="39">
        <v>0.39423732113306698</v>
      </c>
      <c r="SS79" s="39">
        <v>0.386034082446226</v>
      </c>
      <c r="ST79" s="39">
        <v>0.38088073026381802</v>
      </c>
      <c r="SU79" s="39">
        <v>0.37542115437724399</v>
      </c>
      <c r="SV79" s="39">
        <v>0.37080852397367597</v>
      </c>
      <c r="SW79" s="39">
        <v>0.37774960853031098</v>
      </c>
      <c r="SX79" s="39">
        <v>0.33355134074558501</v>
      </c>
      <c r="SY79" s="39">
        <v>0.38871326542559398</v>
      </c>
      <c r="SZ79" s="39">
        <v>0.34554678692221003</v>
      </c>
      <c r="TA79" s="39">
        <v>0.351498237367803</v>
      </c>
      <c r="TB79" s="39">
        <v>0.30807866440294301</v>
      </c>
      <c r="TC79" s="39">
        <v>0.33830089213300901</v>
      </c>
      <c r="TD79" s="39">
        <v>0.31962080361802098</v>
      </c>
      <c r="TE79" s="39">
        <v>0.29874533740250903</v>
      </c>
      <c r="TF79" s="39">
        <v>0.28537034414388901</v>
      </c>
      <c r="TG79" s="39">
        <v>0.30187577549083999</v>
      </c>
      <c r="TH79" s="39">
        <v>0.29659388646288198</v>
      </c>
      <c r="TI79" s="39">
        <v>0.28884173980133099</v>
      </c>
      <c r="TJ79" s="39">
        <v>0.27503168567807401</v>
      </c>
      <c r="TK79" s="39">
        <v>0.287418974661167</v>
      </c>
      <c r="TL79" s="39">
        <v>0.25393081761006298</v>
      </c>
      <c r="TM79" s="39">
        <v>0.245914707054603</v>
      </c>
      <c r="TN79" s="39">
        <v>0.218025579536371</v>
      </c>
      <c r="TO79" s="39">
        <v>0.21964912280701801</v>
      </c>
      <c r="TP79" s="39">
        <v>0.19044328166650201</v>
      </c>
      <c r="TQ79" s="39">
        <v>0.20013286829430299</v>
      </c>
      <c r="TR79" s="39">
        <v>0.208229770781552</v>
      </c>
      <c r="TS79" s="39">
        <v>0.19070425601393301</v>
      </c>
      <c r="TT79" s="39">
        <v>0.194780394653087</v>
      </c>
      <c r="TU79" s="39">
        <v>0.170149931849159</v>
      </c>
      <c r="TV79" s="39">
        <v>0.16395246478873199</v>
      </c>
      <c r="TW79" s="39">
        <v>0.157300454250487</v>
      </c>
      <c r="TX79" s="39">
        <v>0.15241971958389899</v>
      </c>
      <c r="TY79" s="39">
        <v>0.16756971058543699</v>
      </c>
      <c r="TZ79" s="39">
        <v>0.14672160515944099</v>
      </c>
      <c r="UA79" s="39">
        <v>0.15276253201609999</v>
      </c>
      <c r="UB79" s="39">
        <v>0.16188882974678701</v>
      </c>
      <c r="UC79" s="39">
        <v>6.5077462600434996E-2</v>
      </c>
      <c r="UD79" s="39">
        <v>0</v>
      </c>
      <c r="UE79" s="39">
        <v>0.11963674651224</v>
      </c>
      <c r="UF79" s="39">
        <v>0.13217412451361901</v>
      </c>
      <c r="UG79" s="39">
        <v>0.11928934010152301</v>
      </c>
      <c r="UH79" s="45">
        <v>0.116637323943662</v>
      </c>
      <c r="UI79" s="45">
        <v>0.11075012634466801</v>
      </c>
      <c r="UJ79" s="45">
        <v>0.107556100981767</v>
      </c>
      <c r="UK79" s="45">
        <v>9.9246742671009802E-2</v>
      </c>
      <c r="UL79" s="45">
        <v>0.100358917725014</v>
      </c>
      <c r="UM79" s="45">
        <v>0.107514638906962</v>
      </c>
      <c r="UN79" s="45">
        <v>0.100995268396149</v>
      </c>
      <c r="UO79" s="45">
        <v>0.10098284833301201</v>
      </c>
      <c r="UP79" s="45">
        <v>0.105379342395724</v>
      </c>
      <c r="UQ79" s="45">
        <v>3.4924907905922398E-2</v>
      </c>
      <c r="UR79" s="45">
        <v>9.2678180491364601E-2</v>
      </c>
      <c r="US79" s="45">
        <v>0</v>
      </c>
      <c r="UT79" s="45">
        <v>0.10384233189797901</v>
      </c>
      <c r="UU79" s="45">
        <v>9.5628415300546402E-2</v>
      </c>
      <c r="UV79" s="45">
        <v>9.7029937285528306E-2</v>
      </c>
      <c r="UW79" s="45">
        <v>8.9003810560696797E-2</v>
      </c>
      <c r="UX79" s="45">
        <v>8.9878542510121506E-2</v>
      </c>
      <c r="UY79" s="45">
        <v>9.0777866880513203E-2</v>
      </c>
      <c r="UZ79" s="45">
        <v>9.6364685516445503E-2</v>
      </c>
      <c r="VA79" s="45">
        <v>9.5645204381512194E-2</v>
      </c>
      <c r="VB79" s="45">
        <v>7.4845360824742302E-2</v>
      </c>
      <c r="VC79" s="45">
        <v>3.5644667223614597E-2</v>
      </c>
      <c r="VD79" s="45">
        <v>0</v>
      </c>
      <c r="VE79" s="45">
        <v>3.15295169946333E-2</v>
      </c>
      <c r="VF79" s="45">
        <v>8.8320463320463297E-2</v>
      </c>
      <c r="VG79" s="45">
        <v>0</v>
      </c>
      <c r="VH79" s="45">
        <v>0</v>
      </c>
      <c r="VI79" s="45">
        <v>0</v>
      </c>
      <c r="VJ79" s="45">
        <v>0</v>
      </c>
      <c r="VK79" s="45">
        <v>0</v>
      </c>
      <c r="VL79" s="45">
        <v>0</v>
      </c>
      <c r="VM79" s="45">
        <v>0</v>
      </c>
      <c r="VN79" s="45">
        <v>0</v>
      </c>
      <c r="VO79" s="45">
        <v>0</v>
      </c>
      <c r="VP79" s="45">
        <v>0</v>
      </c>
      <c r="VQ79" s="45">
        <v>0</v>
      </c>
      <c r="VR79" s="45">
        <v>0</v>
      </c>
      <c r="VS79" s="45">
        <v>0</v>
      </c>
      <c r="VT79" s="45">
        <v>0</v>
      </c>
      <c r="VU79" s="45">
        <v>0</v>
      </c>
      <c r="VV79" s="45">
        <v>0</v>
      </c>
      <c r="VW79" s="45">
        <v>0</v>
      </c>
      <c r="VX79" s="35">
        <v>0</v>
      </c>
      <c r="VY79" s="35">
        <v>0</v>
      </c>
      <c r="VZ79" s="35">
        <v>0</v>
      </c>
      <c r="WA79" s="35">
        <v>0</v>
      </c>
      <c r="WB79" s="35">
        <v>0</v>
      </c>
      <c r="WC79" s="35">
        <v>0</v>
      </c>
      <c r="WD79" s="35">
        <v>0</v>
      </c>
      <c r="WE79" s="35">
        <v>0.119192688499619</v>
      </c>
      <c r="WF79" s="35">
        <v>0</v>
      </c>
      <c r="WG79" s="35">
        <v>0</v>
      </c>
      <c r="WH79" s="35">
        <v>0</v>
      </c>
      <c r="WI79" s="35">
        <v>0</v>
      </c>
      <c r="WJ79" s="35">
        <v>0</v>
      </c>
      <c r="WK79" s="35">
        <v>0</v>
      </c>
      <c r="WL79" s="35">
        <v>0</v>
      </c>
      <c r="WM79" s="35">
        <v>0</v>
      </c>
      <c r="WN79" s="35">
        <v>0</v>
      </c>
      <c r="WO79" s="35">
        <v>0</v>
      </c>
      <c r="WP79" s="35">
        <v>0</v>
      </c>
      <c r="WQ79" s="35">
        <v>0</v>
      </c>
      <c r="WR79" s="35">
        <v>0</v>
      </c>
      <c r="WS79" s="35">
        <v>0</v>
      </c>
      <c r="WT79" s="35">
        <v>0</v>
      </c>
      <c r="WU79" s="35">
        <v>0</v>
      </c>
      <c r="WV79" s="45">
        <v>0</v>
      </c>
      <c r="WW79" s="45">
        <v>0</v>
      </c>
      <c r="WX79" s="45">
        <v>0</v>
      </c>
      <c r="WY79" s="45">
        <v>0</v>
      </c>
      <c r="WZ79" s="45">
        <v>0</v>
      </c>
      <c r="XA79" s="45">
        <v>0</v>
      </c>
      <c r="XB79" s="45">
        <v>0</v>
      </c>
      <c r="XC79" s="45">
        <v>0</v>
      </c>
      <c r="XD79" s="45">
        <v>0</v>
      </c>
      <c r="XE79" s="45">
        <v>0</v>
      </c>
      <c r="XF79" s="45">
        <v>0</v>
      </c>
      <c r="XG79" s="45">
        <v>0</v>
      </c>
      <c r="XH79" s="45">
        <v>0</v>
      </c>
      <c r="XI79" s="45">
        <v>0</v>
      </c>
      <c r="XJ79" s="45">
        <v>0</v>
      </c>
      <c r="XK79" s="45">
        <v>0</v>
      </c>
      <c r="XL79" s="45">
        <v>0</v>
      </c>
      <c r="XM79" s="45">
        <v>0</v>
      </c>
      <c r="XN79" s="45">
        <v>0</v>
      </c>
      <c r="XO79" s="45">
        <v>0</v>
      </c>
      <c r="XP79" s="45">
        <v>0</v>
      </c>
      <c r="XQ79" s="45">
        <v>0</v>
      </c>
      <c r="XR79" s="45">
        <v>0</v>
      </c>
      <c r="XS79" s="45">
        <v>0</v>
      </c>
      <c r="XT79" s="45">
        <v>0</v>
      </c>
      <c r="XU79" s="45">
        <v>0</v>
      </c>
      <c r="XV79" s="45">
        <v>0</v>
      </c>
      <c r="XW79" s="45">
        <v>0</v>
      </c>
      <c r="XX79" s="45">
        <v>0</v>
      </c>
      <c r="XY79">
        <v>0</v>
      </c>
      <c r="XZ79">
        <v>0</v>
      </c>
      <c r="YA79">
        <v>0</v>
      </c>
      <c r="YB79">
        <v>0</v>
      </c>
      <c r="YC79">
        <v>0</v>
      </c>
      <c r="YD79">
        <v>0</v>
      </c>
      <c r="YE79">
        <v>0</v>
      </c>
      <c r="YF79" s="1">
        <v>0</v>
      </c>
      <c r="YG79" s="1">
        <v>0</v>
      </c>
      <c r="YH79" s="1">
        <v>0</v>
      </c>
      <c r="YI79" s="1">
        <v>0</v>
      </c>
      <c r="YJ79">
        <v>0</v>
      </c>
      <c r="YK79">
        <v>0</v>
      </c>
      <c r="YL79">
        <v>0</v>
      </c>
      <c r="YM79">
        <v>0</v>
      </c>
      <c r="YN79">
        <v>0</v>
      </c>
      <c r="YO79">
        <v>0</v>
      </c>
      <c r="YP79">
        <v>0</v>
      </c>
      <c r="YQ79">
        <v>0</v>
      </c>
      <c r="YR79">
        <v>0</v>
      </c>
      <c r="YS79">
        <v>0</v>
      </c>
      <c r="YT79">
        <v>0</v>
      </c>
      <c r="YU79">
        <v>0</v>
      </c>
      <c r="YV79">
        <v>0</v>
      </c>
      <c r="YW79">
        <v>0</v>
      </c>
      <c r="YX79">
        <v>0</v>
      </c>
      <c r="YY79">
        <v>0</v>
      </c>
      <c r="YZ79">
        <v>0</v>
      </c>
      <c r="ZA79">
        <v>0</v>
      </c>
      <c r="ZB79">
        <v>0</v>
      </c>
      <c r="ZC79">
        <v>0</v>
      </c>
      <c r="ZD79">
        <v>0</v>
      </c>
      <c r="ZE79">
        <v>0</v>
      </c>
      <c r="ZF79">
        <v>0</v>
      </c>
      <c r="ZG79">
        <v>0</v>
      </c>
      <c r="ZH79">
        <v>0</v>
      </c>
      <c r="ZI79">
        <v>0</v>
      </c>
      <c r="ZJ79">
        <v>0</v>
      </c>
      <c r="ZK79">
        <v>0</v>
      </c>
      <c r="ZL79">
        <v>0</v>
      </c>
      <c r="ZM79">
        <v>0</v>
      </c>
      <c r="ZN79">
        <v>0</v>
      </c>
      <c r="ZO79">
        <v>0</v>
      </c>
      <c r="ZP79">
        <v>0</v>
      </c>
      <c r="ZQ79">
        <v>0</v>
      </c>
      <c r="ZR79">
        <v>0</v>
      </c>
      <c r="ZS79">
        <v>0</v>
      </c>
      <c r="ZT79">
        <v>0</v>
      </c>
      <c r="ZU79">
        <v>0</v>
      </c>
      <c r="ZV79">
        <v>0</v>
      </c>
      <c r="ZW79">
        <v>0</v>
      </c>
      <c r="ZX79">
        <v>0</v>
      </c>
      <c r="ZY79">
        <v>0</v>
      </c>
      <c r="ZZ79">
        <v>0</v>
      </c>
      <c r="AAA79">
        <v>0</v>
      </c>
      <c r="AAB79">
        <v>0</v>
      </c>
      <c r="AAC79">
        <v>0</v>
      </c>
      <c r="AAD79">
        <v>0</v>
      </c>
      <c r="AAE79">
        <v>0</v>
      </c>
      <c r="AAF79">
        <v>0</v>
      </c>
      <c r="AAG79">
        <v>0</v>
      </c>
      <c r="AAH79">
        <v>0</v>
      </c>
      <c r="AAI79">
        <v>0</v>
      </c>
      <c r="AAJ79">
        <v>0</v>
      </c>
      <c r="AAK79">
        <v>0</v>
      </c>
      <c r="AAL79">
        <v>0</v>
      </c>
      <c r="AAM79">
        <v>0</v>
      </c>
      <c r="AAN79">
        <v>0</v>
      </c>
      <c r="AAO79">
        <v>0</v>
      </c>
      <c r="AAP79">
        <v>0</v>
      </c>
      <c r="AAQ79">
        <v>0</v>
      </c>
      <c r="AAR79">
        <v>0</v>
      </c>
      <c r="AAS79">
        <v>0</v>
      </c>
      <c r="AAT79">
        <v>0</v>
      </c>
      <c r="AAU79">
        <v>0</v>
      </c>
      <c r="AAV79">
        <v>0</v>
      </c>
      <c r="AAW79">
        <v>0</v>
      </c>
      <c r="AAX79">
        <v>0</v>
      </c>
      <c r="AAY79">
        <v>0</v>
      </c>
      <c r="AAZ79">
        <v>0</v>
      </c>
      <c r="ABA79">
        <v>0</v>
      </c>
      <c r="ABB79">
        <v>0</v>
      </c>
      <c r="ABC79">
        <v>0</v>
      </c>
      <c r="ABD79">
        <v>0</v>
      </c>
      <c r="ABE79">
        <v>0</v>
      </c>
      <c r="ABF79">
        <v>0</v>
      </c>
      <c r="ABG79">
        <v>0</v>
      </c>
      <c r="ABH79">
        <v>0</v>
      </c>
      <c r="ABI79">
        <v>0</v>
      </c>
      <c r="ABJ79">
        <v>0</v>
      </c>
      <c r="ABK79">
        <v>0</v>
      </c>
      <c r="ABL79">
        <v>0</v>
      </c>
      <c r="ABM79">
        <v>0</v>
      </c>
      <c r="ABN79">
        <v>0</v>
      </c>
      <c r="ABO79">
        <v>0</v>
      </c>
      <c r="ABP79">
        <v>0</v>
      </c>
      <c r="ABQ79">
        <v>0</v>
      </c>
      <c r="ABR79">
        <v>0</v>
      </c>
      <c r="ABS79">
        <v>0</v>
      </c>
      <c r="ABT79">
        <v>0</v>
      </c>
      <c r="ABU79">
        <v>0</v>
      </c>
      <c r="ABV79">
        <v>0</v>
      </c>
      <c r="ABW79">
        <v>0</v>
      </c>
      <c r="ABX79">
        <v>0</v>
      </c>
      <c r="ABY79">
        <v>0</v>
      </c>
      <c r="ABZ79">
        <v>0</v>
      </c>
      <c r="ACA79">
        <v>0</v>
      </c>
      <c r="ACB79">
        <v>0</v>
      </c>
      <c r="ACC79">
        <v>0</v>
      </c>
      <c r="ACD79">
        <v>0</v>
      </c>
      <c r="ACE79">
        <v>0</v>
      </c>
      <c r="ACF79">
        <v>0</v>
      </c>
      <c r="ACG79">
        <v>0</v>
      </c>
      <c r="ACH79">
        <v>0</v>
      </c>
      <c r="ACI79">
        <v>0</v>
      </c>
      <c r="ACJ79">
        <v>0</v>
      </c>
      <c r="ACK79">
        <v>0</v>
      </c>
      <c r="ACL79">
        <v>0</v>
      </c>
      <c r="ACM79">
        <v>0</v>
      </c>
      <c r="ACN79">
        <v>0</v>
      </c>
      <c r="ACO79">
        <v>0</v>
      </c>
      <c r="ACP79">
        <v>0</v>
      </c>
      <c r="ACQ79">
        <v>0</v>
      </c>
      <c r="ACR79">
        <v>0</v>
      </c>
      <c r="ACS79">
        <v>0</v>
      </c>
      <c r="ACT79">
        <v>0</v>
      </c>
      <c r="ACU79">
        <v>0</v>
      </c>
      <c r="ACV79">
        <v>0</v>
      </c>
      <c r="ACW79">
        <v>0</v>
      </c>
      <c r="ACX79">
        <v>0</v>
      </c>
      <c r="ACY79">
        <v>0</v>
      </c>
      <c r="ACZ79">
        <v>0</v>
      </c>
      <c r="ADA79">
        <v>0</v>
      </c>
      <c r="ADB79">
        <v>0</v>
      </c>
      <c r="ADC79">
        <v>0</v>
      </c>
      <c r="ADD79">
        <v>0</v>
      </c>
      <c r="ADE79">
        <v>0</v>
      </c>
      <c r="ADF79">
        <v>0</v>
      </c>
      <c r="ADG79">
        <v>0</v>
      </c>
      <c r="ADH79">
        <v>0</v>
      </c>
      <c r="ADI79">
        <v>0</v>
      </c>
      <c r="ADJ79">
        <v>0</v>
      </c>
      <c r="ADK79">
        <v>0</v>
      </c>
      <c r="ADL79">
        <v>0</v>
      </c>
      <c r="ADM79">
        <v>0</v>
      </c>
      <c r="ADN79">
        <v>0</v>
      </c>
      <c r="ADO79">
        <v>0</v>
      </c>
      <c r="ADP79">
        <v>0</v>
      </c>
      <c r="ADQ79">
        <v>0</v>
      </c>
      <c r="ADR79">
        <v>0</v>
      </c>
      <c r="ADS79">
        <v>0</v>
      </c>
      <c r="ADT79">
        <v>0</v>
      </c>
      <c r="ADU79">
        <v>0</v>
      </c>
      <c r="ADV79">
        <v>0</v>
      </c>
      <c r="ADW79">
        <v>0</v>
      </c>
      <c r="ADX79">
        <v>0</v>
      </c>
      <c r="ADY79">
        <v>0</v>
      </c>
      <c r="ADZ79">
        <v>0</v>
      </c>
      <c r="AEA79">
        <v>0</v>
      </c>
      <c r="AEB79">
        <v>0</v>
      </c>
      <c r="AEC79">
        <v>0</v>
      </c>
      <c r="AED79">
        <v>0</v>
      </c>
      <c r="AEE79">
        <v>0</v>
      </c>
      <c r="AEF79">
        <v>0</v>
      </c>
      <c r="AEG79">
        <v>0</v>
      </c>
      <c r="AEH79">
        <v>0</v>
      </c>
      <c r="AEI79">
        <v>0</v>
      </c>
      <c r="AEJ79">
        <v>0</v>
      </c>
      <c r="AEK79">
        <v>0</v>
      </c>
      <c r="AEL79">
        <v>0</v>
      </c>
      <c r="AEM79">
        <v>0</v>
      </c>
      <c r="AEN79">
        <v>0</v>
      </c>
      <c r="AEO79">
        <v>0</v>
      </c>
      <c r="AEP79">
        <v>0</v>
      </c>
      <c r="AEQ79">
        <v>0</v>
      </c>
      <c r="AER79">
        <v>0</v>
      </c>
      <c r="AES79">
        <v>0</v>
      </c>
      <c r="AET79">
        <v>0</v>
      </c>
      <c r="AEU79">
        <v>0</v>
      </c>
      <c r="AEV79">
        <v>0</v>
      </c>
      <c r="AEW79">
        <v>0</v>
      </c>
      <c r="AEX79">
        <v>0</v>
      </c>
      <c r="AEY79">
        <v>0</v>
      </c>
      <c r="AEZ79">
        <v>0</v>
      </c>
      <c r="AFA79">
        <v>0</v>
      </c>
      <c r="AFB79">
        <v>0</v>
      </c>
      <c r="AFC79">
        <v>0</v>
      </c>
      <c r="AFD79">
        <v>0</v>
      </c>
      <c r="AFE79">
        <v>0</v>
      </c>
      <c r="AFF79">
        <v>0</v>
      </c>
      <c r="AFG79">
        <v>0</v>
      </c>
      <c r="AFH79">
        <v>0</v>
      </c>
      <c r="AFI79">
        <v>0</v>
      </c>
      <c r="AFJ79">
        <v>0</v>
      </c>
      <c r="AFK79">
        <v>0</v>
      </c>
      <c r="AFL79">
        <v>0</v>
      </c>
      <c r="AFM79">
        <v>0</v>
      </c>
      <c r="AFN79">
        <v>0</v>
      </c>
      <c r="AFO79">
        <v>0</v>
      </c>
      <c r="AFP79">
        <v>0</v>
      </c>
      <c r="AFQ79">
        <v>0</v>
      </c>
      <c r="AFR79">
        <v>0</v>
      </c>
      <c r="AFS79">
        <v>0</v>
      </c>
      <c r="AFT79">
        <v>0</v>
      </c>
      <c r="AFU79">
        <v>0</v>
      </c>
      <c r="AFV79">
        <v>0</v>
      </c>
      <c r="AFW79">
        <v>0</v>
      </c>
      <c r="AFX79">
        <v>0</v>
      </c>
      <c r="AFY79">
        <v>0</v>
      </c>
      <c r="AFZ79">
        <v>0</v>
      </c>
      <c r="AGA79">
        <v>0</v>
      </c>
      <c r="AGB79">
        <v>0</v>
      </c>
      <c r="AGC79">
        <v>0</v>
      </c>
      <c r="AGD79">
        <v>0</v>
      </c>
      <c r="AGE79">
        <v>0</v>
      </c>
      <c r="AGF79">
        <v>0</v>
      </c>
      <c r="AGG79">
        <v>0</v>
      </c>
      <c r="AGH79">
        <v>0</v>
      </c>
      <c r="AGI79">
        <v>0</v>
      </c>
      <c r="AGJ79">
        <v>0</v>
      </c>
      <c r="AGK79">
        <v>0</v>
      </c>
      <c r="AGL79">
        <v>0</v>
      </c>
      <c r="AGM79">
        <v>0</v>
      </c>
      <c r="AGN79">
        <v>0</v>
      </c>
      <c r="AGO79">
        <v>0</v>
      </c>
      <c r="AGP79">
        <v>0</v>
      </c>
      <c r="AGQ79">
        <v>0</v>
      </c>
      <c r="AGR79">
        <v>0</v>
      </c>
      <c r="AGS79">
        <v>0</v>
      </c>
      <c r="AGT79">
        <v>0</v>
      </c>
      <c r="AGU79">
        <v>0</v>
      </c>
      <c r="AGV79">
        <v>0</v>
      </c>
      <c r="AGW79">
        <v>0</v>
      </c>
      <c r="AGX79">
        <v>0</v>
      </c>
      <c r="AGY79">
        <v>0</v>
      </c>
      <c r="AGZ79">
        <v>0</v>
      </c>
      <c r="AHA79">
        <v>0</v>
      </c>
      <c r="AHB79">
        <v>0</v>
      </c>
      <c r="AHC79">
        <v>0</v>
      </c>
      <c r="AHD79">
        <v>0</v>
      </c>
      <c r="AHE79">
        <v>0</v>
      </c>
      <c r="AHF79">
        <v>0</v>
      </c>
      <c r="AHG79">
        <v>0</v>
      </c>
      <c r="AHH79">
        <v>0</v>
      </c>
      <c r="AHI79">
        <v>0</v>
      </c>
      <c r="AHJ79">
        <v>0</v>
      </c>
      <c r="AHK79">
        <v>0</v>
      </c>
      <c r="AHL79">
        <v>0</v>
      </c>
      <c r="AHM79">
        <v>0</v>
      </c>
      <c r="AHN79">
        <v>0</v>
      </c>
      <c r="AHO79">
        <v>0</v>
      </c>
      <c r="AHP79">
        <v>0</v>
      </c>
      <c r="AHQ79">
        <v>0</v>
      </c>
    </row>
    <row r="80" spans="1:901">
      <c r="A80" s="1" t="s">
        <v>95</v>
      </c>
      <c r="C80" s="39">
        <f t="shared" si="157"/>
        <v>0</v>
      </c>
      <c r="D80" s="39">
        <f t="shared" si="157"/>
        <v>2.6906100731604089E-2</v>
      </c>
      <c r="E80" s="39">
        <f t="shared" si="157"/>
        <v>0</v>
      </c>
      <c r="F80" s="39">
        <f t="shared" si="157"/>
        <v>0</v>
      </c>
      <c r="G80" s="39">
        <f t="shared" si="222"/>
        <v>6.5284114475321439E-2</v>
      </c>
      <c r="H80" s="39">
        <f t="shared" si="222"/>
        <v>0</v>
      </c>
      <c r="I80" s="39">
        <f t="shared" si="222"/>
        <v>9.3557263497485527E-2</v>
      </c>
      <c r="J80" s="39">
        <f t="shared" si="222"/>
        <v>0</v>
      </c>
      <c r="K80" s="39">
        <f t="shared" si="222"/>
        <v>0.11506303915063039</v>
      </c>
      <c r="L80" s="39">
        <f t="shared" si="222"/>
        <v>8.6820809248554912E-2</v>
      </c>
      <c r="M80" s="39">
        <f t="shared" si="222"/>
        <v>0.30304127443881246</v>
      </c>
      <c r="N80" s="39">
        <f t="shared" si="222"/>
        <v>0</v>
      </c>
      <c r="O80" s="39">
        <f t="shared" si="222"/>
        <v>8.5607940446650127E-2</v>
      </c>
      <c r="P80" s="39">
        <f t="shared" si="222"/>
        <v>0</v>
      </c>
      <c r="Q80" s="39">
        <f t="shared" si="222"/>
        <v>8.5136153266602094E-2</v>
      </c>
      <c r="R80" s="39">
        <f t="shared" si="222"/>
        <v>0</v>
      </c>
      <c r="S80" s="39">
        <f t="shared" si="222"/>
        <v>9.9394550958627648E-2</v>
      </c>
      <c r="T80" s="39">
        <f t="shared" si="222"/>
        <v>0</v>
      </c>
      <c r="U80" s="39">
        <f t="shared" si="222"/>
        <v>0.15156249999999999</v>
      </c>
      <c r="V80" s="39">
        <f t="shared" ref="V80:AY80" si="1066">IFERROR(V17/V59,0)</f>
        <v>0</v>
      </c>
      <c r="W80" s="39">
        <f t="shared" si="1066"/>
        <v>6.5397703105061669E-2</v>
      </c>
      <c r="X80" s="39">
        <f t="shared" si="1066"/>
        <v>0</v>
      </c>
      <c r="Y80" s="39">
        <f t="shared" si="1066"/>
        <v>8.1970763400108282E-2</v>
      </c>
      <c r="Z80" s="39">
        <f t="shared" si="1066"/>
        <v>0</v>
      </c>
      <c r="AA80" s="39">
        <f t="shared" si="1066"/>
        <v>8.1265590127346729E-2</v>
      </c>
      <c r="AB80" s="39">
        <f t="shared" si="1066"/>
        <v>0</v>
      </c>
      <c r="AC80" s="39">
        <f t="shared" si="1066"/>
        <v>0</v>
      </c>
      <c r="AD80" s="39">
        <f t="shared" si="1066"/>
        <v>0</v>
      </c>
      <c r="AE80" s="39">
        <f t="shared" si="1066"/>
        <v>1.7029049555123445E-2</v>
      </c>
      <c r="AF80" s="39">
        <f t="shared" si="1066"/>
        <v>0</v>
      </c>
      <c r="AG80" s="39">
        <f t="shared" si="1066"/>
        <v>0</v>
      </c>
      <c r="AH80" s="39">
        <f t="shared" si="1066"/>
        <v>5.3164556962025315E-2</v>
      </c>
      <c r="AI80" s="39">
        <f t="shared" si="1066"/>
        <v>0</v>
      </c>
      <c r="AJ80" s="39">
        <f t="shared" si="1066"/>
        <v>0</v>
      </c>
      <c r="AK80" s="39">
        <f t="shared" si="1066"/>
        <v>0</v>
      </c>
      <c r="AL80" s="39">
        <f t="shared" si="1066"/>
        <v>0</v>
      </c>
      <c r="AM80" s="39">
        <f t="shared" si="1066"/>
        <v>0</v>
      </c>
      <c r="AN80" s="39">
        <f t="shared" si="1066"/>
        <v>0</v>
      </c>
      <c r="AO80" s="39">
        <f t="shared" si="1066"/>
        <v>8.6296415655100801E-3</v>
      </c>
      <c r="AP80" s="39">
        <f t="shared" si="1066"/>
        <v>0</v>
      </c>
      <c r="AQ80" s="39">
        <f t="shared" si="1066"/>
        <v>1.9294689906769354E-2</v>
      </c>
      <c r="AR80" s="39">
        <f t="shared" si="1066"/>
        <v>0</v>
      </c>
      <c r="AS80" s="39">
        <f t="shared" si="1066"/>
        <v>1.3116006621673245E-2</v>
      </c>
      <c r="AT80" s="39">
        <f t="shared" si="1066"/>
        <v>0</v>
      </c>
      <c r="AU80" s="39">
        <f t="shared" si="1066"/>
        <v>0</v>
      </c>
      <c r="AV80" s="39">
        <f t="shared" si="1066"/>
        <v>0</v>
      </c>
      <c r="AW80" s="39">
        <f t="shared" si="1066"/>
        <v>0</v>
      </c>
      <c r="AX80" s="39">
        <f t="shared" si="1066"/>
        <v>9.1324200913242004E-3</v>
      </c>
      <c r="AY80" s="39">
        <f t="shared" si="1066"/>
        <v>0</v>
      </c>
      <c r="AZ80" s="39">
        <f t="shared" si="91"/>
        <v>2.1072271305493058E-2</v>
      </c>
      <c r="BA80" s="39">
        <f t="shared" ref="BA80:BF80" si="1067">IFERROR(BA17/BA59,0)</f>
        <v>0</v>
      </c>
      <c r="BB80" s="39">
        <f t="shared" si="1067"/>
        <v>0</v>
      </c>
      <c r="BC80" s="39">
        <f t="shared" si="1067"/>
        <v>1.2976875792760269E-2</v>
      </c>
      <c r="BD80" s="39">
        <f t="shared" si="1067"/>
        <v>3.1532971130286566E-2</v>
      </c>
      <c r="BE80" s="39">
        <f t="shared" si="1067"/>
        <v>3.4432151727252204E-2</v>
      </c>
      <c r="BF80" s="39">
        <f t="shared" si="1067"/>
        <v>4.4388800364215796E-2</v>
      </c>
      <c r="BG80" s="39">
        <f t="shared" ref="BG80" si="1068">IFERROR(BG17/BG59,0)</f>
        <v>4.0069222577209795E-2</v>
      </c>
      <c r="BH80" s="39">
        <f t="shared" si="93"/>
        <v>0.11354719593814909</v>
      </c>
      <c r="BI80" s="39">
        <f t="shared" ref="BI80:BK80" si="1069">IFERROR(BI17/BI59,0)</f>
        <v>9.4732082297083423E-2</v>
      </c>
      <c r="BJ80" s="39">
        <f t="shared" si="1069"/>
        <v>0</v>
      </c>
      <c r="BK80" s="39">
        <f t="shared" si="1069"/>
        <v>4.0861910392852453E-2</v>
      </c>
      <c r="BL80" s="39">
        <f t="shared" ref="BL80:BM80" si="1070">IFERROR(BL17/BL59,0)</f>
        <v>0</v>
      </c>
      <c r="BM80" s="39">
        <f t="shared" si="1070"/>
        <v>3.4607778510217534E-2</v>
      </c>
      <c r="BN80" s="39">
        <f t="shared" ref="BN80:BO80" si="1071">IFERROR(BN17/BN59,0)</f>
        <v>0</v>
      </c>
      <c r="BO80" s="39">
        <f t="shared" si="1071"/>
        <v>4.6269647996457823E-2</v>
      </c>
      <c r="BP80" s="39">
        <f t="shared" ref="BP80:BQ80" si="1072">IFERROR(BP17/BP59,0)</f>
        <v>0</v>
      </c>
      <c r="BQ80" s="39">
        <f t="shared" si="1072"/>
        <v>5.974781765276431E-2</v>
      </c>
      <c r="BR80" s="39">
        <f t="shared" ref="BR80:BS80" si="1073">IFERROR(BR17/BR59,0)</f>
        <v>0</v>
      </c>
      <c r="BS80" s="39">
        <f t="shared" si="1073"/>
        <v>4.2493672572265884E-2</v>
      </c>
      <c r="BT80" s="39">
        <f t="shared" ref="BT80:BU80" si="1074">IFERROR(BT17/BT59,0)</f>
        <v>0</v>
      </c>
      <c r="BU80" s="39">
        <f t="shared" si="1074"/>
        <v>3.6412915390054208E-2</v>
      </c>
      <c r="BV80" s="39">
        <f t="shared" ref="BV80:BW80" si="1075">IFERROR(BV17/BV59,0)</f>
        <v>0</v>
      </c>
      <c r="BW80" s="39">
        <f t="shared" si="1075"/>
        <v>0</v>
      </c>
      <c r="BX80" s="39">
        <f t="shared" ref="BX80:BY80" si="1076">IFERROR(BX17/BX59,0)</f>
        <v>0</v>
      </c>
      <c r="BY80" s="39">
        <f t="shared" si="1076"/>
        <v>0</v>
      </c>
      <c r="BZ80" s="39">
        <f t="shared" ref="BZ80:CA80" si="1077">IFERROR(BZ17/BZ59,0)</f>
        <v>0</v>
      </c>
      <c r="CA80" s="39">
        <f t="shared" si="1077"/>
        <v>2.4189087251697258E-2</v>
      </c>
      <c r="CB80" s="39">
        <f t="shared" ref="CB80:CC80" si="1078">IFERROR(CB17/CB59,0)</f>
        <v>0</v>
      </c>
      <c r="CC80" s="39">
        <f t="shared" si="1078"/>
        <v>0</v>
      </c>
      <c r="CD80" s="39">
        <f t="shared" ref="CD80:CE80" si="1079">IFERROR(CD17/CD59,0)</f>
        <v>3.1309073724007562E-2</v>
      </c>
      <c r="CE80" s="39">
        <f t="shared" si="1079"/>
        <v>0</v>
      </c>
      <c r="CF80" s="39">
        <f t="shared" ref="CF80:CG80" si="1080">IFERROR(CF17/CF59,0)</f>
        <v>8.6752213988794499E-2</v>
      </c>
      <c r="CG80" s="39">
        <f t="shared" si="1080"/>
        <v>0</v>
      </c>
      <c r="CH80" s="39">
        <f t="shared" ref="CH80:CI80" si="1081">IFERROR(CH17/CH59,0)</f>
        <v>7.0302233902759526E-2</v>
      </c>
      <c r="CI80" s="39">
        <f t="shared" si="1081"/>
        <v>0</v>
      </c>
      <c r="CJ80" s="39">
        <f t="shared" ref="CJ80:CK80" si="1082">IFERROR(CJ17/CJ59,0)</f>
        <v>4.6126198083067095E-2</v>
      </c>
      <c r="CK80" s="39">
        <f t="shared" si="1082"/>
        <v>0</v>
      </c>
      <c r="CL80" s="39">
        <f t="shared" ref="CL80:CM80" si="1083">IFERROR(CL17/CL59,0)</f>
        <v>0</v>
      </c>
      <c r="CM80" s="39">
        <f t="shared" si="1083"/>
        <v>0</v>
      </c>
      <c r="CN80" s="39">
        <f t="shared" ref="CN80:CO80" si="1084">IFERROR(CN17/CN59,0)</f>
        <v>1.2108516834414756E-2</v>
      </c>
      <c r="CO80" s="39">
        <f t="shared" si="1084"/>
        <v>0</v>
      </c>
      <c r="CP80" s="39">
        <f t="shared" ref="CP80:CQ80" si="1085">IFERROR(CP17/CP59,0)</f>
        <v>2.3786076812362701E-2</v>
      </c>
      <c r="CQ80" s="39">
        <f t="shared" si="1085"/>
        <v>0</v>
      </c>
      <c r="CR80" s="39">
        <f t="shared" ref="CR80:CS80" si="1086">IFERROR(CR17/CR59,0)</f>
        <v>0</v>
      </c>
      <c r="CS80" s="39">
        <f t="shared" si="1086"/>
        <v>3.7787938918126131E-2</v>
      </c>
      <c r="CT80" s="39">
        <f t="shared" ref="CT80:CU80" si="1087">IFERROR(CT17/CT59,0)</f>
        <v>0</v>
      </c>
      <c r="CU80" s="39">
        <f t="shared" si="1087"/>
        <v>2.9376498800959234E-2</v>
      </c>
      <c r="CV80" s="39">
        <f t="shared" ref="CV80:CW80" si="1088">IFERROR(CV17/CV59,0)</f>
        <v>0</v>
      </c>
      <c r="CW80" s="39">
        <f t="shared" si="1088"/>
        <v>8.5727969348659006E-2</v>
      </c>
      <c r="CX80" s="39">
        <f t="shared" ref="CX80:CY80" si="1089">IFERROR(CX17/CX59,0)</f>
        <v>0</v>
      </c>
      <c r="CY80" s="39">
        <f t="shared" si="1089"/>
        <v>0.28228924980665121</v>
      </c>
      <c r="CZ80" s="39">
        <f t="shared" ref="CZ80:DA80" si="1090">IFERROR(CZ17/CZ59,0)</f>
        <v>0</v>
      </c>
      <c r="DA80" s="39">
        <f t="shared" si="1090"/>
        <v>8.7959343236903825E-2</v>
      </c>
      <c r="DB80" s="39">
        <f t="shared" ref="DB80:DC80" si="1091">IFERROR(DB17/DB59,0)</f>
        <v>0</v>
      </c>
      <c r="DC80" s="39">
        <f t="shared" si="1091"/>
        <v>5.5148914689550729E-2</v>
      </c>
      <c r="DD80" s="39">
        <f t="shared" ref="DD80:DE80" si="1092">IFERROR(DD17/DD59,0)</f>
        <v>0</v>
      </c>
      <c r="DE80" s="39">
        <f t="shared" si="1092"/>
        <v>5.9103059103059102E-2</v>
      </c>
      <c r="DF80" s="39">
        <f t="shared" ref="DF80:DG80" si="1093">IFERROR(DF17/DF59,0)</f>
        <v>0</v>
      </c>
      <c r="DG80" s="39">
        <f t="shared" si="1093"/>
        <v>8.4567606306736737E-2</v>
      </c>
      <c r="DH80" s="39">
        <f t="shared" ref="DH80:DI80" si="1094">IFERROR(DH17/DH59,0)</f>
        <v>0</v>
      </c>
      <c r="DI80" s="39">
        <f t="shared" si="1094"/>
        <v>2.4426571343461424E-2</v>
      </c>
      <c r="DJ80" s="39">
        <f t="shared" ref="DJ80:DK80" si="1095">IFERROR(DJ17/DJ59,0)</f>
        <v>0</v>
      </c>
      <c r="DK80" s="39">
        <f t="shared" si="1095"/>
        <v>3.1472359058565956E-2</v>
      </c>
      <c r="DL80" s="39">
        <f t="shared" ref="DL80:DM80" si="1096">IFERROR(DL17/DL59,0)</f>
        <v>0</v>
      </c>
      <c r="DM80" s="39">
        <f t="shared" si="1096"/>
        <v>0</v>
      </c>
      <c r="DN80" s="39">
        <f t="shared" ref="DN80:DO80" si="1097">IFERROR(DN17/DN59,0)</f>
        <v>3.8006928877114328E-2</v>
      </c>
      <c r="DO80" s="39">
        <f t="shared" si="1097"/>
        <v>0</v>
      </c>
      <c r="DP80" s="39">
        <f t="shared" ref="DP80:DQ80" si="1098">IFERROR(DP17/DP59,0)</f>
        <v>3.9800995024875621E-2</v>
      </c>
      <c r="DQ80" s="39">
        <f t="shared" si="1098"/>
        <v>0</v>
      </c>
      <c r="DR80" s="39">
        <f t="shared" ref="DR80:DS80" si="1099">IFERROR(DR17/DR59,0)</f>
        <v>0</v>
      </c>
      <c r="DS80" s="39">
        <f t="shared" si="1099"/>
        <v>1.5539210608101109E-2</v>
      </c>
      <c r="DT80" s="39">
        <f t="shared" ref="DT80:DU80" si="1100">IFERROR(DT17/DT59,0)</f>
        <v>0</v>
      </c>
      <c r="DU80" s="39">
        <f t="shared" si="1100"/>
        <v>0</v>
      </c>
      <c r="DV80" s="39">
        <f t="shared" si="125"/>
        <v>3.0648025866387357E-2</v>
      </c>
      <c r="DW80" s="39">
        <f t="shared" si="125"/>
        <v>0</v>
      </c>
      <c r="DX80" s="39">
        <f t="shared" ref="DX80:DY80" si="1101">IFERROR(DX17/DX59,0)</f>
        <v>3.1525292259959002E-2</v>
      </c>
      <c r="DY80" s="39">
        <f t="shared" si="1101"/>
        <v>0</v>
      </c>
      <c r="DZ80" s="39">
        <f t="shared" ref="DZ80:EA80" si="1102">IFERROR(DZ17/DZ59,0)</f>
        <v>1.7429025136527363E-2</v>
      </c>
      <c r="EA80" s="39">
        <f t="shared" si="1102"/>
        <v>0</v>
      </c>
      <c r="EB80" s="39">
        <f t="shared" ref="EB80:EC80" si="1103">IFERROR(EB17/EB59,0)</f>
        <v>2.8685315680831377E-2</v>
      </c>
      <c r="EC80" s="39">
        <f t="shared" si="1103"/>
        <v>2.9905865314989139E-2</v>
      </c>
      <c r="ED80" s="39">
        <f t="shared" ref="ED80:EE80" si="1104">IFERROR(ED17/ED59,0)</f>
        <v>0</v>
      </c>
      <c r="EE80" s="39">
        <f t="shared" si="1104"/>
        <v>1.453738183901461E-2</v>
      </c>
      <c r="EF80" s="39">
        <f t="shared" ref="EF80:EG80" si="1105">IFERROR(EF17/EF59,0)</f>
        <v>0</v>
      </c>
      <c r="EG80" s="39">
        <f t="shared" si="1105"/>
        <v>0</v>
      </c>
      <c r="EH80" s="39">
        <f t="shared" ref="EH80:EI80" si="1106">IFERROR(EH17/EH59,0)</f>
        <v>0</v>
      </c>
      <c r="EI80" s="39">
        <f t="shared" si="1106"/>
        <v>9.758710639090739E-3</v>
      </c>
      <c r="EJ80" s="39">
        <f t="shared" ref="EJ80:EK80" si="1107">IFERROR(EJ17/EJ59,0)</f>
        <v>0</v>
      </c>
      <c r="EK80" s="39">
        <f t="shared" si="1107"/>
        <v>2.1690553243951301E-2</v>
      </c>
      <c r="EL80" s="39">
        <f t="shared" ref="EL80:EM80" si="1108">IFERROR(EL17/EL59,0)</f>
        <v>0</v>
      </c>
      <c r="EM80" s="39">
        <f t="shared" si="1108"/>
        <v>1.8675512962280379E-2</v>
      </c>
      <c r="EN80" s="39">
        <f t="shared" ref="EN80:EO80" si="1109">IFERROR(EN17/EN59,0)</f>
        <v>0</v>
      </c>
      <c r="EO80" s="39">
        <f t="shared" si="1109"/>
        <v>2.1182266009852218E-2</v>
      </c>
      <c r="EP80" s="39">
        <f t="shared" ref="EP80" si="1110">IFERROR(EP17/EP59,0)</f>
        <v>0</v>
      </c>
      <c r="EQ80" s="39">
        <f t="shared" ref="EQ80:ER80" si="1111">IFERROR(EQ17/EQ59,0)</f>
        <v>3.2877432930036823E-2</v>
      </c>
      <c r="ER80" s="39">
        <f t="shared" si="1111"/>
        <v>0</v>
      </c>
      <c r="ES80" s="39">
        <f t="shared" ref="ES80:ET80" si="1112">IFERROR(ES17/ES59,0)</f>
        <v>1.8471872376154493E-2</v>
      </c>
      <c r="ET80" s="39">
        <f t="shared" si="1112"/>
        <v>0</v>
      </c>
      <c r="EU80" s="39">
        <f t="shared" ref="EU80:EV80" si="1113">IFERROR(EU17/EU59,0)</f>
        <v>2.8551203397829166E-2</v>
      </c>
      <c r="EV80" s="39">
        <f t="shared" si="1113"/>
        <v>0</v>
      </c>
      <c r="EW80" s="39">
        <f t="shared" ref="EW80:EX80" si="1114">IFERROR(EW17/EW59,0)</f>
        <v>0</v>
      </c>
      <c r="EX80" s="39">
        <f t="shared" si="1114"/>
        <v>0</v>
      </c>
      <c r="EY80" s="39">
        <f t="shared" ref="EY80:EZ80" si="1115">IFERROR(EY17/EY59,0)</f>
        <v>0</v>
      </c>
      <c r="EZ80" s="39">
        <f t="shared" si="1115"/>
        <v>0</v>
      </c>
      <c r="FA80" s="39">
        <f t="shared" ref="FA80:FB80" si="1116">IFERROR(FA17/FA59,0)</f>
        <v>6.676290147961025E-3</v>
      </c>
      <c r="FB80" s="39">
        <f t="shared" si="1116"/>
        <v>0</v>
      </c>
      <c r="FC80" s="39">
        <f t="shared" ref="FC80:FD80" si="1117">IFERROR(FC17/FC59,0)</f>
        <v>3.5152706380405199E-2</v>
      </c>
      <c r="FD80" s="39">
        <f t="shared" si="1117"/>
        <v>0</v>
      </c>
      <c r="FE80" s="39">
        <f t="shared" ref="FE80:FF80" si="1118">IFERROR(FE17/FE59,0)</f>
        <v>0</v>
      </c>
      <c r="FF80" s="39">
        <f t="shared" si="1118"/>
        <v>0</v>
      </c>
      <c r="FG80" s="39">
        <f t="shared" ref="FG80:FH80" si="1119">IFERROR(FG17/FG59,0)</f>
        <v>0</v>
      </c>
      <c r="FH80" s="39">
        <f t="shared" si="1119"/>
        <v>0</v>
      </c>
      <c r="FI80" s="39">
        <f t="shared" ref="FI80:FJ80" si="1120">IFERROR(FI17/FI59,0)</f>
        <v>0</v>
      </c>
      <c r="FJ80" s="39">
        <f t="shared" si="1120"/>
        <v>0</v>
      </c>
      <c r="FK80" s="39">
        <f t="shared" ref="FK80:FL80" si="1121">IFERROR(FK17/FK59,0)</f>
        <v>7.9787234042553185E-3</v>
      </c>
      <c r="FL80" s="39">
        <f t="shared" si="1121"/>
        <v>0</v>
      </c>
      <c r="FM80" s="39">
        <f t="shared" ref="FM80" si="1122">IFERROR(FM17/FM59,0)</f>
        <v>2.0309390265967071E-2</v>
      </c>
      <c r="FN80" s="39">
        <v>0</v>
      </c>
      <c r="FO80" s="39">
        <f t="shared" ref="FO80" si="1123">IFERROR(FO17/FO59,0)</f>
        <v>1.8762437221643134E-2</v>
      </c>
      <c r="FP80" s="39">
        <v>0</v>
      </c>
      <c r="FQ80" s="39">
        <f t="shared" ref="FQ80:HA80" si="1124">IFERROR(FQ17/FQ59,0)</f>
        <v>0</v>
      </c>
      <c r="FR80" s="39">
        <v>2.0630264029525884E-2</v>
      </c>
      <c r="FS80" s="39">
        <f t="shared" si="1124"/>
        <v>0</v>
      </c>
      <c r="FT80" s="39">
        <f t="shared" si="1124"/>
        <v>0</v>
      </c>
      <c r="FU80" s="39">
        <f t="shared" si="1124"/>
        <v>1.8845746973318183E-2</v>
      </c>
      <c r="FV80" s="39">
        <f t="shared" si="1124"/>
        <v>0</v>
      </c>
      <c r="FW80" s="39">
        <f t="shared" si="1124"/>
        <v>3.2099166396016024E-2</v>
      </c>
      <c r="FX80" s="39">
        <f t="shared" si="1124"/>
        <v>0</v>
      </c>
      <c r="FY80" s="39">
        <f t="shared" si="1124"/>
        <v>0</v>
      </c>
      <c r="FZ80" s="39">
        <f t="shared" si="1124"/>
        <v>0</v>
      </c>
      <c r="GA80" s="39">
        <f t="shared" si="1124"/>
        <v>0</v>
      </c>
      <c r="GB80" s="39">
        <f t="shared" si="1124"/>
        <v>1.6475195822454308E-2</v>
      </c>
      <c r="GC80" s="39">
        <f t="shared" si="1124"/>
        <v>0</v>
      </c>
      <c r="GD80" s="39">
        <f t="shared" si="1124"/>
        <v>0</v>
      </c>
      <c r="GE80" s="39">
        <f t="shared" si="1124"/>
        <v>0</v>
      </c>
      <c r="GF80" s="39">
        <f t="shared" si="1124"/>
        <v>0</v>
      </c>
      <c r="GG80" s="39">
        <f t="shared" si="1124"/>
        <v>0</v>
      </c>
      <c r="GH80" s="39">
        <f t="shared" si="1124"/>
        <v>1.3831045297958764E-2</v>
      </c>
      <c r="GI80" s="39">
        <f t="shared" si="1124"/>
        <v>0</v>
      </c>
      <c r="GJ80" s="39">
        <f t="shared" si="1124"/>
        <v>0</v>
      </c>
      <c r="GK80" s="39">
        <f t="shared" si="1124"/>
        <v>0</v>
      </c>
      <c r="GL80" s="39">
        <f t="shared" si="1124"/>
        <v>1.8104832822309826E-2</v>
      </c>
      <c r="GM80" s="39">
        <f t="shared" si="1124"/>
        <v>0</v>
      </c>
      <c r="GN80" s="39">
        <f t="shared" si="1124"/>
        <v>5.6656957624729873E-2</v>
      </c>
      <c r="GO80" s="39">
        <f t="shared" si="1124"/>
        <v>0</v>
      </c>
      <c r="GP80" s="39">
        <f t="shared" si="1124"/>
        <v>6.9689896632210736E-3</v>
      </c>
      <c r="GQ80" s="39">
        <f t="shared" si="1124"/>
        <v>0</v>
      </c>
      <c r="GR80" s="39">
        <f t="shared" si="1124"/>
        <v>0</v>
      </c>
      <c r="GS80" s="39">
        <f t="shared" si="1124"/>
        <v>0</v>
      </c>
      <c r="GT80" s="39">
        <f t="shared" si="1124"/>
        <v>0</v>
      </c>
      <c r="GU80" s="39">
        <f t="shared" si="1124"/>
        <v>0</v>
      </c>
      <c r="GV80" s="39">
        <f t="shared" si="1124"/>
        <v>0</v>
      </c>
      <c r="GW80" s="39">
        <f t="shared" si="1124"/>
        <v>0</v>
      </c>
      <c r="GX80" s="39">
        <f t="shared" si="1124"/>
        <v>0</v>
      </c>
      <c r="GY80" s="39">
        <f t="shared" si="1124"/>
        <v>0</v>
      </c>
      <c r="GZ80" s="39">
        <f t="shared" si="1124"/>
        <v>0</v>
      </c>
      <c r="HA80" s="39">
        <f t="shared" si="1124"/>
        <v>0</v>
      </c>
      <c r="HB80" s="39">
        <f t="shared" si="148"/>
        <v>0</v>
      </c>
      <c r="HC80" s="39">
        <f t="shared" si="148"/>
        <v>0</v>
      </c>
      <c r="HD80" s="39">
        <f t="shared" ref="HD80:IR80" si="1125">IFERROR(HD17/HD59,0)</f>
        <v>0</v>
      </c>
      <c r="HE80" s="39">
        <f t="shared" si="1125"/>
        <v>0</v>
      </c>
      <c r="HF80" s="39">
        <f t="shared" si="1125"/>
        <v>0</v>
      </c>
      <c r="HG80" s="39">
        <f t="shared" si="1125"/>
        <v>0</v>
      </c>
      <c r="HH80" s="39">
        <f t="shared" si="1125"/>
        <v>0</v>
      </c>
      <c r="HI80" s="39">
        <f t="shared" si="1125"/>
        <v>0</v>
      </c>
      <c r="HJ80" s="39">
        <f t="shared" si="1125"/>
        <v>0</v>
      </c>
      <c r="HK80" s="39">
        <f t="shared" si="1125"/>
        <v>0</v>
      </c>
      <c r="HL80" s="39">
        <f t="shared" si="1125"/>
        <v>0</v>
      </c>
      <c r="HM80" s="39">
        <f t="shared" si="1125"/>
        <v>0</v>
      </c>
      <c r="HN80" s="39">
        <f t="shared" si="1125"/>
        <v>0</v>
      </c>
      <c r="HO80" s="39">
        <f t="shared" si="1125"/>
        <v>0</v>
      </c>
      <c r="HP80" s="39">
        <f t="shared" si="1125"/>
        <v>0</v>
      </c>
      <c r="HQ80" s="39">
        <f t="shared" si="1125"/>
        <v>0</v>
      </c>
      <c r="HR80" s="39">
        <f t="shared" si="1125"/>
        <v>0</v>
      </c>
      <c r="HS80" s="39">
        <f t="shared" si="1125"/>
        <v>0</v>
      </c>
      <c r="HT80" s="39">
        <f t="shared" si="1125"/>
        <v>0</v>
      </c>
      <c r="HU80" s="39">
        <f t="shared" si="1125"/>
        <v>0</v>
      </c>
      <c r="HV80" s="39">
        <f t="shared" si="1125"/>
        <v>0</v>
      </c>
      <c r="HW80" s="39">
        <f t="shared" si="1125"/>
        <v>0</v>
      </c>
      <c r="HX80" s="39">
        <f t="shared" si="1125"/>
        <v>0</v>
      </c>
      <c r="HY80" s="39">
        <f t="shared" si="1125"/>
        <v>0</v>
      </c>
      <c r="HZ80" s="39">
        <f t="shared" si="1125"/>
        <v>0</v>
      </c>
      <c r="IA80" s="39">
        <f t="shared" si="1125"/>
        <v>0</v>
      </c>
      <c r="IB80" s="39">
        <f t="shared" si="1125"/>
        <v>0</v>
      </c>
      <c r="IC80" s="39">
        <f t="shared" si="1125"/>
        <v>0</v>
      </c>
      <c r="ID80" s="39">
        <f t="shared" si="1125"/>
        <v>0</v>
      </c>
      <c r="IE80" s="39">
        <f t="shared" si="1125"/>
        <v>0</v>
      </c>
      <c r="IF80" s="39">
        <f t="shared" si="1125"/>
        <v>0</v>
      </c>
      <c r="IG80" s="39">
        <f t="shared" si="1125"/>
        <v>0</v>
      </c>
      <c r="IH80" s="39">
        <f t="shared" si="1125"/>
        <v>0</v>
      </c>
      <c r="II80" s="39">
        <f t="shared" si="1125"/>
        <v>0</v>
      </c>
      <c r="IJ80" s="39">
        <f t="shared" si="1125"/>
        <v>0</v>
      </c>
      <c r="IK80" s="39">
        <f t="shared" si="1125"/>
        <v>0</v>
      </c>
      <c r="IL80" s="39">
        <f t="shared" si="1125"/>
        <v>0</v>
      </c>
      <c r="IM80" s="39">
        <f t="shared" si="1125"/>
        <v>0</v>
      </c>
      <c r="IN80" s="39">
        <f t="shared" si="1125"/>
        <v>0</v>
      </c>
      <c r="IO80" s="39">
        <f t="shared" si="1125"/>
        <v>0</v>
      </c>
      <c r="IP80" s="39">
        <f t="shared" si="1125"/>
        <v>0</v>
      </c>
      <c r="IQ80" s="39">
        <f t="shared" si="1125"/>
        <v>0</v>
      </c>
      <c r="IR80" s="39">
        <f t="shared" si="1125"/>
        <v>0</v>
      </c>
      <c r="IS80" s="39">
        <f>IFERROR(IS17/IS59,0)</f>
        <v>0</v>
      </c>
      <c r="IT80" s="39">
        <f t="shared" ref="IT80:KG80" si="1126">IFERROR(IT17/IT59,0)</f>
        <v>0</v>
      </c>
      <c r="IU80" s="39">
        <f t="shared" si="1126"/>
        <v>0</v>
      </c>
      <c r="IV80" s="39">
        <f t="shared" si="1126"/>
        <v>0</v>
      </c>
      <c r="IW80" s="39">
        <f t="shared" si="1126"/>
        <v>0</v>
      </c>
      <c r="IX80" s="39">
        <f t="shared" si="1126"/>
        <v>0</v>
      </c>
      <c r="IY80" s="39">
        <f t="shared" si="1126"/>
        <v>0</v>
      </c>
      <c r="IZ80" s="39">
        <f t="shared" si="1126"/>
        <v>0</v>
      </c>
      <c r="JA80" s="39">
        <f t="shared" si="1126"/>
        <v>0</v>
      </c>
      <c r="JB80" s="39">
        <f t="shared" si="1126"/>
        <v>0</v>
      </c>
      <c r="JC80" s="39">
        <f t="shared" si="1126"/>
        <v>0</v>
      </c>
      <c r="JD80" s="39">
        <f t="shared" si="1126"/>
        <v>0</v>
      </c>
      <c r="JE80" s="39">
        <f t="shared" si="1126"/>
        <v>0</v>
      </c>
      <c r="JF80" s="39">
        <f t="shared" si="1126"/>
        <v>0</v>
      </c>
      <c r="JG80" s="39">
        <f t="shared" si="1126"/>
        <v>0</v>
      </c>
      <c r="JH80" s="39">
        <f t="shared" si="1126"/>
        <v>0</v>
      </c>
      <c r="JI80" s="39">
        <f t="shared" si="1126"/>
        <v>0</v>
      </c>
      <c r="JJ80" s="39">
        <f t="shared" si="1126"/>
        <v>0</v>
      </c>
      <c r="JK80" s="39">
        <f t="shared" si="1126"/>
        <v>0</v>
      </c>
      <c r="JL80" s="39">
        <f t="shared" si="1126"/>
        <v>0</v>
      </c>
      <c r="JM80" s="39">
        <f t="shared" si="1126"/>
        <v>0</v>
      </c>
      <c r="JN80" s="39">
        <f t="shared" si="1126"/>
        <v>0</v>
      </c>
      <c r="JO80" s="39">
        <f t="shared" si="1126"/>
        <v>0</v>
      </c>
      <c r="JP80" s="39">
        <f t="shared" si="1126"/>
        <v>0</v>
      </c>
      <c r="JQ80" s="39">
        <f t="shared" si="1126"/>
        <v>0</v>
      </c>
      <c r="JR80" s="39">
        <f t="shared" si="1126"/>
        <v>0</v>
      </c>
      <c r="JS80" s="39">
        <f t="shared" si="1126"/>
        <v>0</v>
      </c>
      <c r="JT80" s="39">
        <f t="shared" si="1126"/>
        <v>0</v>
      </c>
      <c r="JU80" s="39">
        <f t="shared" si="1126"/>
        <v>0</v>
      </c>
      <c r="JV80" s="39">
        <f t="shared" si="1126"/>
        <v>0</v>
      </c>
      <c r="JW80" s="39">
        <f t="shared" si="1126"/>
        <v>0</v>
      </c>
      <c r="JX80" s="39">
        <f t="shared" si="1126"/>
        <v>0</v>
      </c>
      <c r="JY80" s="39">
        <f t="shared" si="1126"/>
        <v>0</v>
      </c>
      <c r="JZ80" s="39">
        <f t="shared" si="1126"/>
        <v>0</v>
      </c>
      <c r="KA80" s="39">
        <f t="shared" si="1126"/>
        <v>0</v>
      </c>
      <c r="KB80" s="39">
        <f t="shared" si="1126"/>
        <v>0</v>
      </c>
      <c r="KC80" s="39">
        <f t="shared" si="1126"/>
        <v>0</v>
      </c>
      <c r="KD80" s="39">
        <f t="shared" si="1126"/>
        <v>0</v>
      </c>
      <c r="KE80" s="39">
        <f t="shared" si="1126"/>
        <v>0</v>
      </c>
      <c r="KF80" s="39">
        <f t="shared" si="1126"/>
        <v>0</v>
      </c>
      <c r="KG80" s="39">
        <f t="shared" si="1126"/>
        <v>0</v>
      </c>
      <c r="KH80" s="39">
        <f t="shared" si="475"/>
        <v>0</v>
      </c>
      <c r="KI80" s="39">
        <f t="shared" si="475"/>
        <v>0</v>
      </c>
      <c r="KJ80" s="39">
        <f t="shared" si="541"/>
        <v>0</v>
      </c>
      <c r="KK80" s="39">
        <f t="shared" si="541"/>
        <v>0</v>
      </c>
      <c r="KL80" s="39">
        <f t="shared" si="541"/>
        <v>0</v>
      </c>
      <c r="KM80" s="39">
        <f t="shared" si="541"/>
        <v>0</v>
      </c>
      <c r="KN80" s="39">
        <f t="shared" si="541"/>
        <v>0</v>
      </c>
      <c r="KO80" s="39">
        <f t="shared" si="541"/>
        <v>0</v>
      </c>
      <c r="KP80" s="39">
        <f t="shared" si="541"/>
        <v>0</v>
      </c>
      <c r="KQ80" s="39">
        <f t="shared" si="541"/>
        <v>0</v>
      </c>
      <c r="KR80" s="39">
        <f t="shared" si="541"/>
        <v>0</v>
      </c>
      <c r="KS80" s="39">
        <f t="shared" si="541"/>
        <v>0</v>
      </c>
      <c r="KT80" s="39">
        <f t="shared" si="541"/>
        <v>0</v>
      </c>
      <c r="KU80" s="39">
        <f t="shared" si="541"/>
        <v>0</v>
      </c>
      <c r="KV80" s="39">
        <f t="shared" si="541"/>
        <v>0</v>
      </c>
      <c r="KW80" s="39">
        <f t="shared" si="541"/>
        <v>0</v>
      </c>
      <c r="KX80" s="39">
        <f t="shared" si="541"/>
        <v>0</v>
      </c>
      <c r="KY80" s="39">
        <f t="shared" si="541"/>
        <v>0</v>
      </c>
      <c r="KZ80" s="39">
        <f t="shared" ref="KZ80:NK80" si="1127">IFERROR(KZ17/KZ59,0)</f>
        <v>0</v>
      </c>
      <c r="LA80" s="39">
        <f t="shared" si="1127"/>
        <v>0</v>
      </c>
      <c r="LB80" s="39">
        <f t="shared" si="1127"/>
        <v>0</v>
      </c>
      <c r="LC80" s="39">
        <f t="shared" si="1127"/>
        <v>0</v>
      </c>
      <c r="LD80" s="39">
        <f t="shared" si="1127"/>
        <v>0</v>
      </c>
      <c r="LE80" s="39">
        <f t="shared" si="1127"/>
        <v>0</v>
      </c>
      <c r="LF80" s="39">
        <f t="shared" si="1127"/>
        <v>0</v>
      </c>
      <c r="LG80" s="39">
        <f t="shared" si="1127"/>
        <v>0</v>
      </c>
      <c r="LH80" s="39">
        <f t="shared" si="1127"/>
        <v>0</v>
      </c>
      <c r="LI80" s="39">
        <f t="shared" si="1127"/>
        <v>0</v>
      </c>
      <c r="LJ80" s="39">
        <f t="shared" si="1127"/>
        <v>0</v>
      </c>
      <c r="LK80" s="39">
        <f t="shared" si="1127"/>
        <v>0</v>
      </c>
      <c r="LL80" s="39">
        <f t="shared" si="1127"/>
        <v>0</v>
      </c>
      <c r="LM80" s="39">
        <f t="shared" si="1127"/>
        <v>0</v>
      </c>
      <c r="LN80" s="39">
        <f t="shared" si="1127"/>
        <v>0</v>
      </c>
      <c r="LO80" s="39">
        <f t="shared" si="1127"/>
        <v>0</v>
      </c>
      <c r="LP80" s="39">
        <f t="shared" si="1127"/>
        <v>0</v>
      </c>
      <c r="LQ80" s="39">
        <f t="shared" si="1127"/>
        <v>0</v>
      </c>
      <c r="LR80" s="39">
        <f t="shared" si="1127"/>
        <v>0</v>
      </c>
      <c r="LS80" s="39">
        <f t="shared" si="1127"/>
        <v>0</v>
      </c>
      <c r="LT80" s="39">
        <f t="shared" si="1127"/>
        <v>0</v>
      </c>
      <c r="LU80" s="39">
        <f t="shared" si="1127"/>
        <v>0</v>
      </c>
      <c r="LV80" s="39">
        <f t="shared" si="1127"/>
        <v>0</v>
      </c>
      <c r="LW80" s="39">
        <f t="shared" si="1127"/>
        <v>0</v>
      </c>
      <c r="LX80" s="39">
        <f t="shared" si="1127"/>
        <v>0</v>
      </c>
      <c r="LY80" s="39">
        <f t="shared" si="1127"/>
        <v>0</v>
      </c>
      <c r="LZ80" s="39">
        <f t="shared" si="1127"/>
        <v>0</v>
      </c>
      <c r="MA80" s="39">
        <f t="shared" si="1127"/>
        <v>0</v>
      </c>
      <c r="MB80" s="39">
        <f t="shared" si="1127"/>
        <v>0</v>
      </c>
      <c r="MC80" s="39">
        <f t="shared" si="1127"/>
        <v>0</v>
      </c>
      <c r="MD80" s="39">
        <f t="shared" si="1127"/>
        <v>0</v>
      </c>
      <c r="ME80" s="39">
        <f t="shared" si="1127"/>
        <v>0</v>
      </c>
      <c r="MF80" s="39">
        <f t="shared" si="1127"/>
        <v>0</v>
      </c>
      <c r="MG80" s="39">
        <f t="shared" si="1127"/>
        <v>0</v>
      </c>
      <c r="MH80" s="39">
        <f t="shared" si="1127"/>
        <v>0</v>
      </c>
      <c r="MI80" s="39">
        <f t="shared" si="1127"/>
        <v>0</v>
      </c>
      <c r="MJ80" s="39">
        <f t="shared" si="1127"/>
        <v>0</v>
      </c>
      <c r="MK80" s="39">
        <f t="shared" si="1127"/>
        <v>0</v>
      </c>
      <c r="ML80" s="39">
        <f t="shared" si="1127"/>
        <v>0</v>
      </c>
      <c r="MM80" s="39">
        <f t="shared" si="1127"/>
        <v>0</v>
      </c>
      <c r="MN80" s="39">
        <f t="shared" si="1127"/>
        <v>0</v>
      </c>
      <c r="MO80" s="39">
        <f t="shared" si="1127"/>
        <v>0</v>
      </c>
      <c r="MP80" s="39">
        <f t="shared" si="1127"/>
        <v>0</v>
      </c>
      <c r="MQ80" s="39">
        <f t="shared" si="1127"/>
        <v>0</v>
      </c>
      <c r="MR80" s="39">
        <f t="shared" si="1127"/>
        <v>0</v>
      </c>
      <c r="MS80" s="39">
        <f t="shared" si="1127"/>
        <v>0</v>
      </c>
      <c r="MT80" s="39">
        <f t="shared" si="1127"/>
        <v>0</v>
      </c>
      <c r="MU80" s="39">
        <f t="shared" si="1127"/>
        <v>0</v>
      </c>
      <c r="MV80" s="39">
        <f t="shared" si="1127"/>
        <v>0</v>
      </c>
      <c r="MW80" s="39">
        <f t="shared" si="1127"/>
        <v>0</v>
      </c>
      <c r="MX80" s="39">
        <f t="shared" si="1127"/>
        <v>0</v>
      </c>
      <c r="MY80" s="39">
        <f t="shared" si="1127"/>
        <v>0</v>
      </c>
      <c r="MZ80" s="39">
        <f t="shared" si="1127"/>
        <v>0</v>
      </c>
      <c r="NA80" s="39">
        <f t="shared" si="1127"/>
        <v>0</v>
      </c>
      <c r="NB80" s="39">
        <f t="shared" si="1127"/>
        <v>0</v>
      </c>
      <c r="NC80" s="39">
        <f t="shared" si="1127"/>
        <v>0</v>
      </c>
      <c r="ND80" s="39">
        <f t="shared" si="1127"/>
        <v>0</v>
      </c>
      <c r="NE80" s="39">
        <f t="shared" si="1127"/>
        <v>0</v>
      </c>
      <c r="NF80" s="39">
        <f t="shared" si="1127"/>
        <v>0</v>
      </c>
      <c r="NG80" s="39">
        <f t="shared" si="1127"/>
        <v>0</v>
      </c>
      <c r="NH80" s="39">
        <f t="shared" si="1127"/>
        <v>0</v>
      </c>
      <c r="NI80" s="39">
        <f t="shared" si="1127"/>
        <v>0</v>
      </c>
      <c r="NJ80" s="39">
        <f t="shared" si="1127"/>
        <v>0</v>
      </c>
      <c r="NK80" s="39">
        <f t="shared" si="1127"/>
        <v>0</v>
      </c>
      <c r="NL80" s="39">
        <f t="shared" ref="NL80:NN80" si="1128">IFERROR(NL17/NL59,0)</f>
        <v>0</v>
      </c>
      <c r="NM80" s="39">
        <f t="shared" si="1128"/>
        <v>0</v>
      </c>
      <c r="NN80" s="39">
        <f t="shared" si="1128"/>
        <v>0</v>
      </c>
      <c r="NO80" s="39">
        <f t="shared" ref="NO80" si="1129">IFERROR(NO17/NO59,0)</f>
        <v>0</v>
      </c>
      <c r="NP80" s="39">
        <v>0</v>
      </c>
      <c r="NQ80" s="39">
        <v>0</v>
      </c>
      <c r="NR80" s="39">
        <v>0</v>
      </c>
      <c r="NS80" s="39">
        <v>0</v>
      </c>
      <c r="NT80" s="39">
        <v>0</v>
      </c>
      <c r="NU80" s="39">
        <v>0</v>
      </c>
      <c r="NV80" s="39">
        <v>0</v>
      </c>
      <c r="NW80" s="39">
        <v>0</v>
      </c>
      <c r="NX80" s="39">
        <v>0</v>
      </c>
      <c r="NY80" s="39">
        <v>0</v>
      </c>
      <c r="NZ80" s="39">
        <v>0</v>
      </c>
      <c r="OA80" s="39">
        <v>0</v>
      </c>
      <c r="OB80" s="39">
        <v>0</v>
      </c>
      <c r="OC80" s="39">
        <v>0</v>
      </c>
      <c r="OD80" s="39">
        <v>0</v>
      </c>
      <c r="OE80" s="39">
        <v>0</v>
      </c>
      <c r="OF80" s="39">
        <v>0</v>
      </c>
      <c r="OG80" s="39">
        <v>0</v>
      </c>
      <c r="OH80" s="39">
        <v>0</v>
      </c>
      <c r="OI80" s="39">
        <v>0</v>
      </c>
      <c r="OJ80" s="39">
        <v>0</v>
      </c>
      <c r="OK80" s="39">
        <v>0</v>
      </c>
      <c r="OL80" s="39">
        <v>0</v>
      </c>
      <c r="OM80" s="39">
        <v>0</v>
      </c>
      <c r="ON80" s="39">
        <v>0</v>
      </c>
      <c r="OO80" s="39">
        <v>0</v>
      </c>
      <c r="OP80" s="39">
        <v>0</v>
      </c>
      <c r="OQ80" s="39">
        <v>0</v>
      </c>
      <c r="OR80" s="39">
        <v>0</v>
      </c>
      <c r="OS80" s="39">
        <f t="shared" ref="OS80" si="1130">IFERROR(OS17/OS59,0)</f>
        <v>0</v>
      </c>
      <c r="OT80" s="39">
        <f t="shared" si="156"/>
        <v>0</v>
      </c>
      <c r="OU80" s="39">
        <v>0</v>
      </c>
      <c r="OV80" s="39">
        <v>0</v>
      </c>
      <c r="OW80" s="39">
        <v>0</v>
      </c>
      <c r="OX80" s="39">
        <v>0</v>
      </c>
      <c r="OY80" s="39">
        <v>0</v>
      </c>
      <c r="OZ80" s="39">
        <v>0</v>
      </c>
      <c r="PA80" s="39">
        <v>0</v>
      </c>
      <c r="PB80" s="39">
        <v>0</v>
      </c>
      <c r="PC80" s="39">
        <v>0</v>
      </c>
      <c r="PD80" s="39">
        <v>0</v>
      </c>
      <c r="PE80" s="39">
        <v>0</v>
      </c>
      <c r="PF80" s="39">
        <v>0</v>
      </c>
      <c r="PG80" s="39">
        <v>0</v>
      </c>
      <c r="PH80" s="39">
        <v>0</v>
      </c>
      <c r="PI80" s="39">
        <v>0</v>
      </c>
      <c r="PJ80" s="39">
        <v>0</v>
      </c>
      <c r="PK80" s="39">
        <v>0</v>
      </c>
      <c r="PL80" s="39">
        <v>0</v>
      </c>
      <c r="PM80" s="39">
        <v>0</v>
      </c>
      <c r="PN80" s="39">
        <v>0</v>
      </c>
      <c r="PO80" s="39">
        <v>0</v>
      </c>
      <c r="PP80" s="39">
        <v>0</v>
      </c>
      <c r="PQ80" s="39">
        <v>0</v>
      </c>
      <c r="PR80" s="39">
        <v>0</v>
      </c>
      <c r="PS80" s="39">
        <v>0</v>
      </c>
      <c r="PT80" s="39">
        <v>0</v>
      </c>
      <c r="PU80" s="39">
        <v>0</v>
      </c>
      <c r="PV80" s="39">
        <v>0</v>
      </c>
      <c r="PW80" s="39">
        <v>0</v>
      </c>
      <c r="PX80" s="39">
        <v>0</v>
      </c>
      <c r="PY80" s="39">
        <v>0</v>
      </c>
      <c r="PZ80" s="39">
        <v>0</v>
      </c>
      <c r="QA80" s="39">
        <v>0</v>
      </c>
      <c r="QB80" s="39">
        <v>0</v>
      </c>
      <c r="QC80" s="39">
        <v>0</v>
      </c>
      <c r="QD80" s="39">
        <v>0</v>
      </c>
      <c r="QE80" s="39">
        <v>0</v>
      </c>
      <c r="QF80" s="39">
        <v>0</v>
      </c>
      <c r="QG80" s="39">
        <v>0</v>
      </c>
      <c r="QH80" s="39">
        <v>0</v>
      </c>
      <c r="QI80" s="39">
        <v>0</v>
      </c>
      <c r="QJ80" s="39">
        <v>0</v>
      </c>
      <c r="QK80" s="39">
        <v>0</v>
      </c>
      <c r="QL80" s="39">
        <v>0</v>
      </c>
      <c r="QM80" s="39">
        <v>0</v>
      </c>
      <c r="QN80" s="39">
        <v>0</v>
      </c>
      <c r="QO80" s="39">
        <v>0</v>
      </c>
      <c r="QP80" s="39">
        <v>0</v>
      </c>
      <c r="QQ80" s="39">
        <v>0</v>
      </c>
      <c r="QR80" s="39">
        <v>0</v>
      </c>
      <c r="QS80" s="39">
        <v>0</v>
      </c>
      <c r="QT80" s="39">
        <v>0</v>
      </c>
      <c r="QU80" s="39">
        <v>0</v>
      </c>
      <c r="QV80" s="39">
        <v>0</v>
      </c>
      <c r="QW80" s="39">
        <v>0</v>
      </c>
      <c r="QX80" s="39">
        <v>0</v>
      </c>
      <c r="QY80" s="39">
        <v>0</v>
      </c>
      <c r="QZ80" s="39">
        <v>0</v>
      </c>
      <c r="RA80" s="39">
        <v>0</v>
      </c>
      <c r="RB80" s="39">
        <v>0</v>
      </c>
      <c r="RC80" s="39">
        <v>0</v>
      </c>
      <c r="RD80" s="39">
        <v>0</v>
      </c>
      <c r="RE80" s="39">
        <v>0</v>
      </c>
      <c r="RF80" s="39">
        <v>0</v>
      </c>
      <c r="RG80" s="39">
        <v>0</v>
      </c>
      <c r="RH80" s="39">
        <v>0</v>
      </c>
      <c r="RI80" s="39">
        <v>0</v>
      </c>
      <c r="RJ80" s="39">
        <v>0</v>
      </c>
      <c r="RK80" s="39">
        <v>0</v>
      </c>
      <c r="RL80" s="39">
        <v>0</v>
      </c>
      <c r="RM80" s="39">
        <v>0</v>
      </c>
      <c r="RN80" s="39">
        <v>0</v>
      </c>
      <c r="RO80" s="39">
        <v>0</v>
      </c>
      <c r="RP80" s="39">
        <v>0</v>
      </c>
      <c r="RQ80" s="39">
        <v>0</v>
      </c>
      <c r="RR80" s="39">
        <v>0</v>
      </c>
      <c r="RS80" s="39">
        <v>0</v>
      </c>
      <c r="RT80" s="39">
        <v>0</v>
      </c>
      <c r="RU80" s="39">
        <v>0</v>
      </c>
      <c r="RV80" s="39">
        <v>0</v>
      </c>
      <c r="RW80" s="39">
        <v>0</v>
      </c>
      <c r="RX80" s="39">
        <v>0</v>
      </c>
      <c r="RY80" s="39">
        <v>0</v>
      </c>
      <c r="RZ80" s="39">
        <v>0</v>
      </c>
      <c r="SA80" s="39">
        <v>0</v>
      </c>
      <c r="SB80" s="39">
        <v>0</v>
      </c>
      <c r="SC80" s="39">
        <v>0</v>
      </c>
      <c r="SD80" s="39">
        <v>0</v>
      </c>
      <c r="SE80" s="39">
        <v>0</v>
      </c>
      <c r="SF80" s="39">
        <v>0</v>
      </c>
      <c r="SG80" s="39">
        <v>0</v>
      </c>
      <c r="SH80" s="39">
        <v>0</v>
      </c>
      <c r="SI80" s="39">
        <v>0</v>
      </c>
      <c r="SJ80" s="39">
        <v>0</v>
      </c>
      <c r="SK80" s="39">
        <v>0</v>
      </c>
      <c r="SL80" s="39">
        <v>0</v>
      </c>
      <c r="SM80" s="39">
        <v>0</v>
      </c>
      <c r="SN80" s="39">
        <v>0</v>
      </c>
      <c r="SO80" s="39">
        <v>0</v>
      </c>
      <c r="SP80" s="39">
        <v>0</v>
      </c>
      <c r="SQ80" s="39">
        <v>0</v>
      </c>
      <c r="SR80" s="39">
        <v>0</v>
      </c>
      <c r="SS80" s="39">
        <v>0</v>
      </c>
      <c r="ST80" s="39">
        <v>0</v>
      </c>
      <c r="SU80" s="39">
        <v>0</v>
      </c>
      <c r="SV80" s="39">
        <v>0</v>
      </c>
      <c r="SW80" s="39">
        <v>0</v>
      </c>
      <c r="SX80" s="39">
        <v>0</v>
      </c>
      <c r="SY80" s="39">
        <v>0</v>
      </c>
      <c r="SZ80" s="39">
        <v>0</v>
      </c>
      <c r="TA80" s="39">
        <v>0</v>
      </c>
      <c r="TB80" s="39">
        <v>0</v>
      </c>
      <c r="TC80" s="39">
        <v>0</v>
      </c>
      <c r="TD80" s="39">
        <v>0</v>
      </c>
      <c r="TE80" s="39">
        <v>0</v>
      </c>
      <c r="TF80" s="39">
        <v>0</v>
      </c>
      <c r="TG80" s="39">
        <v>0</v>
      </c>
      <c r="TH80" s="39">
        <v>0</v>
      </c>
      <c r="TI80" s="39">
        <v>0</v>
      </c>
      <c r="TJ80" s="39">
        <v>0</v>
      </c>
      <c r="TK80" s="39">
        <v>0</v>
      </c>
      <c r="TL80" s="39">
        <v>0</v>
      </c>
      <c r="TM80" s="39">
        <v>0</v>
      </c>
      <c r="TN80" s="39">
        <v>0</v>
      </c>
      <c r="TO80" s="39">
        <v>0</v>
      </c>
      <c r="TP80" s="39">
        <v>0</v>
      </c>
      <c r="TQ80" s="39">
        <v>0</v>
      </c>
      <c r="TR80" s="39">
        <v>0</v>
      </c>
      <c r="TS80" s="39">
        <v>0</v>
      </c>
      <c r="TT80" s="39">
        <v>0</v>
      </c>
      <c r="TU80" s="39">
        <v>0</v>
      </c>
      <c r="TV80" s="39">
        <v>0</v>
      </c>
      <c r="TW80" s="39">
        <v>0</v>
      </c>
      <c r="TX80" s="39">
        <v>0</v>
      </c>
      <c r="TY80" s="39">
        <v>0</v>
      </c>
      <c r="TZ80" s="39">
        <v>0</v>
      </c>
      <c r="UA80" s="39">
        <v>0</v>
      </c>
      <c r="UB80" s="39">
        <v>0</v>
      </c>
      <c r="UC80" s="39">
        <v>0</v>
      </c>
      <c r="UD80" s="39">
        <v>0</v>
      </c>
      <c r="UE80" s="39">
        <v>0</v>
      </c>
      <c r="UF80" s="39">
        <v>0</v>
      </c>
      <c r="UG80" s="39">
        <v>0</v>
      </c>
      <c r="UH80" s="45">
        <v>0</v>
      </c>
      <c r="UI80" s="45">
        <v>0</v>
      </c>
      <c r="UJ80" s="45">
        <v>0</v>
      </c>
      <c r="UK80" s="45">
        <v>0</v>
      </c>
      <c r="UL80" s="45">
        <v>0</v>
      </c>
      <c r="UM80" s="45">
        <v>0</v>
      </c>
      <c r="UN80" s="45">
        <v>0</v>
      </c>
      <c r="UO80" s="45">
        <v>0</v>
      </c>
      <c r="UP80" s="45">
        <v>0</v>
      </c>
      <c r="UQ80" s="45">
        <v>0</v>
      </c>
      <c r="UR80" s="45">
        <v>0</v>
      </c>
      <c r="US80" s="45">
        <v>0</v>
      </c>
      <c r="UT80" s="45">
        <v>0</v>
      </c>
      <c r="UU80" s="45">
        <v>0</v>
      </c>
      <c r="UV80" s="45">
        <v>0</v>
      </c>
      <c r="UW80" s="45">
        <v>0</v>
      </c>
      <c r="UX80" s="45">
        <v>0</v>
      </c>
      <c r="UY80" s="45">
        <v>0</v>
      </c>
      <c r="UZ80" s="45">
        <v>0</v>
      </c>
      <c r="VA80" s="45">
        <v>0</v>
      </c>
      <c r="VB80" s="45">
        <v>0</v>
      </c>
      <c r="VC80" s="45">
        <v>0</v>
      </c>
      <c r="VD80" s="45">
        <v>0</v>
      </c>
      <c r="VE80" s="45">
        <v>0</v>
      </c>
      <c r="VF80" s="45">
        <v>0</v>
      </c>
      <c r="VG80" s="45">
        <v>0</v>
      </c>
      <c r="VH80" s="45">
        <v>0</v>
      </c>
      <c r="VI80" s="45">
        <v>0</v>
      </c>
      <c r="VJ80" s="45">
        <v>0</v>
      </c>
      <c r="VK80" s="45">
        <v>0</v>
      </c>
      <c r="VL80" s="45">
        <v>0</v>
      </c>
      <c r="VM80" s="45">
        <v>0</v>
      </c>
      <c r="VN80" s="45">
        <v>0</v>
      </c>
      <c r="VO80" s="45">
        <v>0</v>
      </c>
      <c r="VP80" s="45">
        <v>0</v>
      </c>
      <c r="VQ80" s="45">
        <v>0</v>
      </c>
      <c r="VR80" s="45">
        <v>0</v>
      </c>
      <c r="VS80" s="45">
        <v>0</v>
      </c>
      <c r="VT80" s="45">
        <v>0</v>
      </c>
      <c r="VU80" s="45">
        <v>0</v>
      </c>
      <c r="VV80" s="45">
        <v>0</v>
      </c>
      <c r="VW80" s="45">
        <v>0</v>
      </c>
      <c r="VX80" s="35">
        <v>0</v>
      </c>
      <c r="VY80" s="35">
        <v>0</v>
      </c>
      <c r="VZ80" s="35">
        <v>0</v>
      </c>
      <c r="WA80" s="35">
        <v>0</v>
      </c>
      <c r="WB80" s="35">
        <v>0</v>
      </c>
      <c r="WC80" s="35">
        <v>0</v>
      </c>
      <c r="WD80" s="35">
        <v>0</v>
      </c>
      <c r="WE80" s="35">
        <v>0</v>
      </c>
      <c r="WF80" s="35">
        <v>0</v>
      </c>
      <c r="WG80" s="35">
        <v>0</v>
      </c>
      <c r="WH80" s="35">
        <v>0</v>
      </c>
      <c r="WI80" s="35">
        <v>0</v>
      </c>
      <c r="WJ80" s="35">
        <v>0</v>
      </c>
      <c r="WK80" s="35">
        <v>0</v>
      </c>
      <c r="WL80" s="35">
        <v>0</v>
      </c>
      <c r="WM80" s="35">
        <v>0</v>
      </c>
      <c r="WN80" s="35">
        <v>0</v>
      </c>
      <c r="WO80" s="35">
        <v>0</v>
      </c>
      <c r="WP80" s="35">
        <v>0</v>
      </c>
      <c r="WQ80" s="35">
        <v>0</v>
      </c>
      <c r="WR80" s="35">
        <v>0</v>
      </c>
      <c r="WS80" s="35">
        <v>0</v>
      </c>
      <c r="WT80" s="35">
        <v>0</v>
      </c>
      <c r="WU80" s="35">
        <v>0</v>
      </c>
      <c r="WV80" s="45">
        <v>0</v>
      </c>
      <c r="WW80" s="45">
        <v>0</v>
      </c>
      <c r="WX80" s="45">
        <v>0</v>
      </c>
      <c r="WY80" s="45">
        <v>0</v>
      </c>
      <c r="WZ80" s="45">
        <v>0</v>
      </c>
      <c r="XA80" s="45">
        <v>0</v>
      </c>
      <c r="XB80" s="45">
        <v>0</v>
      </c>
      <c r="XC80" s="45">
        <v>0</v>
      </c>
      <c r="XD80" s="45">
        <v>0</v>
      </c>
      <c r="XE80" s="45">
        <v>0</v>
      </c>
      <c r="XF80" s="45">
        <v>0</v>
      </c>
      <c r="XG80" s="45">
        <v>0</v>
      </c>
      <c r="XH80" s="45">
        <v>0</v>
      </c>
      <c r="XI80" s="45">
        <v>0</v>
      </c>
      <c r="XJ80" s="45">
        <v>0</v>
      </c>
      <c r="XK80" s="45">
        <v>0</v>
      </c>
      <c r="XL80" s="45">
        <v>0</v>
      </c>
      <c r="XM80" s="45">
        <v>0</v>
      </c>
      <c r="XN80" s="45">
        <v>0</v>
      </c>
      <c r="XO80" s="45">
        <v>0</v>
      </c>
      <c r="XP80" s="45">
        <v>0</v>
      </c>
      <c r="XQ80" s="45">
        <v>0</v>
      </c>
      <c r="XR80" s="45">
        <v>0</v>
      </c>
      <c r="XS80" s="45">
        <v>0</v>
      </c>
      <c r="XT80" s="45">
        <v>0</v>
      </c>
      <c r="XU80" s="45">
        <v>0</v>
      </c>
      <c r="XV80" s="45">
        <v>0</v>
      </c>
      <c r="XW80" s="45">
        <v>0</v>
      </c>
      <c r="XX80" s="45">
        <v>0</v>
      </c>
      <c r="XY80">
        <v>0</v>
      </c>
      <c r="XZ80">
        <v>0</v>
      </c>
      <c r="YA80">
        <v>0</v>
      </c>
      <c r="YB80">
        <v>0</v>
      </c>
      <c r="YC80">
        <v>0</v>
      </c>
      <c r="YD80">
        <v>0</v>
      </c>
      <c r="YE80">
        <v>0</v>
      </c>
      <c r="YF80" s="1">
        <v>0</v>
      </c>
      <c r="YG80" s="1">
        <v>0</v>
      </c>
      <c r="YH80" s="1">
        <v>0</v>
      </c>
      <c r="YI80" s="1">
        <v>0</v>
      </c>
      <c r="YJ80">
        <v>0</v>
      </c>
      <c r="YK80">
        <v>0</v>
      </c>
      <c r="YL80">
        <v>0</v>
      </c>
      <c r="YM80">
        <v>0</v>
      </c>
      <c r="YN80">
        <v>0</v>
      </c>
      <c r="YO80">
        <v>0</v>
      </c>
      <c r="YP80">
        <v>0</v>
      </c>
      <c r="YQ80">
        <v>0</v>
      </c>
      <c r="YR80">
        <v>0</v>
      </c>
      <c r="YS80">
        <v>0</v>
      </c>
      <c r="YT80">
        <v>0</v>
      </c>
      <c r="YU80">
        <v>0</v>
      </c>
      <c r="YV80">
        <v>0</v>
      </c>
      <c r="YW80">
        <v>0</v>
      </c>
      <c r="YX80">
        <v>0</v>
      </c>
      <c r="YY80">
        <v>0</v>
      </c>
      <c r="YZ80">
        <v>0</v>
      </c>
      <c r="ZA80">
        <v>0</v>
      </c>
      <c r="ZB80">
        <v>0</v>
      </c>
      <c r="ZC80">
        <v>0</v>
      </c>
      <c r="ZD80">
        <v>0</v>
      </c>
      <c r="ZE80">
        <v>0</v>
      </c>
      <c r="ZF80">
        <v>0</v>
      </c>
      <c r="ZG80">
        <v>0</v>
      </c>
      <c r="ZH80">
        <v>0</v>
      </c>
      <c r="ZI80">
        <v>0</v>
      </c>
      <c r="ZJ80">
        <v>0</v>
      </c>
      <c r="ZK80">
        <v>0</v>
      </c>
      <c r="ZL80">
        <v>0</v>
      </c>
      <c r="ZM80">
        <v>0</v>
      </c>
      <c r="ZN80">
        <v>0</v>
      </c>
      <c r="ZO80">
        <v>0</v>
      </c>
      <c r="ZP80">
        <v>0</v>
      </c>
      <c r="ZQ80">
        <v>0</v>
      </c>
      <c r="ZR80">
        <v>0</v>
      </c>
      <c r="ZS80">
        <v>0</v>
      </c>
      <c r="ZT80">
        <v>0</v>
      </c>
      <c r="ZU80">
        <v>0</v>
      </c>
      <c r="ZV80">
        <v>0</v>
      </c>
      <c r="ZW80">
        <v>0</v>
      </c>
      <c r="ZX80">
        <v>0</v>
      </c>
      <c r="ZY80">
        <v>0</v>
      </c>
      <c r="ZZ80">
        <v>0</v>
      </c>
      <c r="AAA80">
        <v>0</v>
      </c>
      <c r="AAB80">
        <v>0</v>
      </c>
      <c r="AAC80">
        <v>0</v>
      </c>
      <c r="AAD80">
        <v>0</v>
      </c>
      <c r="AAE80">
        <v>0</v>
      </c>
      <c r="AAF80">
        <v>0</v>
      </c>
      <c r="AAG80">
        <v>0</v>
      </c>
      <c r="AAH80">
        <v>0</v>
      </c>
      <c r="AAI80">
        <v>0</v>
      </c>
      <c r="AAJ80">
        <v>0</v>
      </c>
      <c r="AAK80">
        <v>0</v>
      </c>
      <c r="AAL80">
        <v>0</v>
      </c>
      <c r="AAM80">
        <v>0</v>
      </c>
      <c r="AAN80">
        <v>0</v>
      </c>
      <c r="AAO80">
        <v>0</v>
      </c>
      <c r="AAP80">
        <v>0</v>
      </c>
      <c r="AAQ80">
        <v>0</v>
      </c>
      <c r="AAR80">
        <v>0</v>
      </c>
      <c r="AAS80">
        <v>0</v>
      </c>
      <c r="AAT80">
        <v>0</v>
      </c>
      <c r="AAU80">
        <v>0</v>
      </c>
      <c r="AAV80">
        <v>0</v>
      </c>
      <c r="AAW80">
        <v>0</v>
      </c>
      <c r="AAX80">
        <v>0</v>
      </c>
      <c r="AAY80">
        <v>0</v>
      </c>
      <c r="AAZ80">
        <v>0</v>
      </c>
      <c r="ABA80">
        <v>0</v>
      </c>
      <c r="ABB80">
        <v>0</v>
      </c>
      <c r="ABC80">
        <v>0</v>
      </c>
      <c r="ABD80">
        <v>0</v>
      </c>
      <c r="ABE80">
        <v>0</v>
      </c>
      <c r="ABF80">
        <v>0</v>
      </c>
      <c r="ABG80">
        <v>0</v>
      </c>
      <c r="ABH80">
        <v>0</v>
      </c>
      <c r="ABI80">
        <v>0</v>
      </c>
      <c r="ABJ80">
        <v>0</v>
      </c>
      <c r="ABK80">
        <v>0</v>
      </c>
      <c r="ABL80">
        <v>0</v>
      </c>
      <c r="ABM80">
        <v>0</v>
      </c>
      <c r="ABN80">
        <v>0</v>
      </c>
      <c r="ABO80">
        <v>0</v>
      </c>
      <c r="ABP80">
        <v>0</v>
      </c>
      <c r="ABQ80">
        <v>0</v>
      </c>
      <c r="ABR80">
        <v>0</v>
      </c>
      <c r="ABS80">
        <v>0</v>
      </c>
      <c r="ABT80">
        <v>0</v>
      </c>
      <c r="ABU80">
        <v>0</v>
      </c>
      <c r="ABV80">
        <v>0</v>
      </c>
      <c r="ABW80">
        <v>0</v>
      </c>
      <c r="ABX80">
        <v>0</v>
      </c>
      <c r="ABY80">
        <v>0</v>
      </c>
      <c r="ABZ80">
        <v>0</v>
      </c>
      <c r="ACA80">
        <v>0</v>
      </c>
      <c r="ACB80">
        <v>0</v>
      </c>
      <c r="ACC80">
        <v>0</v>
      </c>
      <c r="ACD80">
        <v>0</v>
      </c>
      <c r="ACE80">
        <v>0</v>
      </c>
      <c r="ACF80">
        <v>0</v>
      </c>
      <c r="ACG80">
        <v>0</v>
      </c>
      <c r="ACH80">
        <v>0</v>
      </c>
      <c r="ACI80">
        <v>0</v>
      </c>
      <c r="ACJ80">
        <v>0</v>
      </c>
      <c r="ACK80">
        <v>0</v>
      </c>
      <c r="ACL80">
        <v>0</v>
      </c>
      <c r="ACM80">
        <v>0</v>
      </c>
      <c r="ACN80">
        <v>0</v>
      </c>
      <c r="ACO80">
        <v>0</v>
      </c>
      <c r="ACP80">
        <v>0</v>
      </c>
      <c r="ACQ80">
        <v>0</v>
      </c>
      <c r="ACR80">
        <v>0</v>
      </c>
      <c r="ACS80">
        <v>0</v>
      </c>
      <c r="ACT80">
        <v>0</v>
      </c>
      <c r="ACU80">
        <v>0</v>
      </c>
      <c r="ACV80">
        <v>0</v>
      </c>
      <c r="ACW80">
        <v>0</v>
      </c>
      <c r="ACX80">
        <v>0</v>
      </c>
      <c r="ACY80">
        <v>0</v>
      </c>
      <c r="ACZ80">
        <v>0</v>
      </c>
      <c r="ADA80">
        <v>0</v>
      </c>
      <c r="ADB80">
        <v>0</v>
      </c>
      <c r="ADC80">
        <v>0</v>
      </c>
      <c r="ADD80">
        <v>0</v>
      </c>
      <c r="ADE80">
        <v>0</v>
      </c>
      <c r="ADF80">
        <v>0</v>
      </c>
      <c r="ADG80">
        <v>0</v>
      </c>
      <c r="ADH80">
        <v>0</v>
      </c>
      <c r="ADI80">
        <v>0</v>
      </c>
      <c r="ADJ80">
        <v>0</v>
      </c>
      <c r="ADK80">
        <v>0</v>
      </c>
      <c r="ADL80">
        <v>0</v>
      </c>
      <c r="ADM80">
        <v>0</v>
      </c>
      <c r="ADN80">
        <v>0</v>
      </c>
      <c r="ADO80">
        <v>0</v>
      </c>
      <c r="ADP80">
        <v>0</v>
      </c>
      <c r="ADQ80">
        <v>0</v>
      </c>
      <c r="ADR80">
        <v>0</v>
      </c>
      <c r="ADS80">
        <v>0</v>
      </c>
      <c r="ADT80">
        <v>0</v>
      </c>
      <c r="ADU80">
        <v>0</v>
      </c>
      <c r="ADV80">
        <v>0</v>
      </c>
      <c r="ADW80">
        <v>0</v>
      </c>
      <c r="ADX80">
        <v>0</v>
      </c>
      <c r="ADY80">
        <v>0</v>
      </c>
      <c r="ADZ80">
        <v>0</v>
      </c>
      <c r="AEA80">
        <v>0</v>
      </c>
      <c r="AEB80">
        <v>0</v>
      </c>
      <c r="AEC80">
        <v>0</v>
      </c>
      <c r="AED80">
        <v>0</v>
      </c>
      <c r="AEE80">
        <v>0</v>
      </c>
      <c r="AEF80">
        <v>0</v>
      </c>
      <c r="AEG80">
        <v>0</v>
      </c>
      <c r="AEH80">
        <v>0</v>
      </c>
      <c r="AEI80">
        <v>0</v>
      </c>
      <c r="AEJ80">
        <v>0</v>
      </c>
      <c r="AEK80">
        <v>0</v>
      </c>
      <c r="AEL80">
        <v>0</v>
      </c>
      <c r="AEM80">
        <v>0</v>
      </c>
      <c r="AEN80">
        <v>0</v>
      </c>
      <c r="AEO80">
        <v>0</v>
      </c>
      <c r="AEP80">
        <v>0</v>
      </c>
      <c r="AEQ80">
        <v>0</v>
      </c>
      <c r="AER80">
        <v>0</v>
      </c>
      <c r="AES80">
        <v>0</v>
      </c>
      <c r="AET80">
        <v>0</v>
      </c>
      <c r="AEU80">
        <v>0</v>
      </c>
      <c r="AEV80">
        <v>0</v>
      </c>
      <c r="AEW80">
        <v>0</v>
      </c>
      <c r="AEX80">
        <v>0</v>
      </c>
      <c r="AEY80">
        <v>0</v>
      </c>
      <c r="AEZ80">
        <v>0</v>
      </c>
      <c r="AFA80">
        <v>0</v>
      </c>
      <c r="AFB80">
        <v>0</v>
      </c>
      <c r="AFC80">
        <v>0</v>
      </c>
      <c r="AFD80">
        <v>0</v>
      </c>
      <c r="AFE80">
        <v>0</v>
      </c>
      <c r="AFF80">
        <v>0</v>
      </c>
      <c r="AFG80">
        <v>0</v>
      </c>
      <c r="AFH80">
        <v>0</v>
      </c>
      <c r="AFI80">
        <v>0</v>
      </c>
      <c r="AFJ80">
        <v>0</v>
      </c>
      <c r="AFK80">
        <v>0</v>
      </c>
      <c r="AFL80">
        <v>0</v>
      </c>
      <c r="AFM80">
        <v>0</v>
      </c>
      <c r="AFN80">
        <v>0</v>
      </c>
      <c r="AFO80">
        <v>0</v>
      </c>
      <c r="AFP80">
        <v>0</v>
      </c>
      <c r="AFQ80">
        <v>0</v>
      </c>
      <c r="AFR80">
        <v>0</v>
      </c>
      <c r="AFS80">
        <v>0</v>
      </c>
      <c r="AFT80">
        <v>0</v>
      </c>
      <c r="AFU80">
        <v>0</v>
      </c>
      <c r="AFV80">
        <v>0</v>
      </c>
      <c r="AFW80">
        <v>0</v>
      </c>
      <c r="AFX80">
        <v>0</v>
      </c>
      <c r="AFY80">
        <v>0</v>
      </c>
      <c r="AFZ80">
        <v>0</v>
      </c>
      <c r="AGA80">
        <v>0</v>
      </c>
      <c r="AGB80">
        <v>0</v>
      </c>
      <c r="AGC80">
        <v>0</v>
      </c>
      <c r="AGD80">
        <v>0</v>
      </c>
      <c r="AGE80">
        <v>0</v>
      </c>
      <c r="AGF80">
        <v>0</v>
      </c>
      <c r="AGG80">
        <v>0</v>
      </c>
      <c r="AGH80">
        <v>0</v>
      </c>
      <c r="AGI80">
        <v>0</v>
      </c>
      <c r="AGJ80">
        <v>0</v>
      </c>
      <c r="AGK80">
        <v>0</v>
      </c>
      <c r="AGL80">
        <v>0</v>
      </c>
      <c r="AGM80">
        <v>0</v>
      </c>
      <c r="AGN80">
        <v>0</v>
      </c>
      <c r="AGO80">
        <v>0</v>
      </c>
      <c r="AGP80">
        <v>0</v>
      </c>
      <c r="AGQ80">
        <v>0</v>
      </c>
      <c r="AGR80">
        <v>0</v>
      </c>
      <c r="AGS80">
        <v>0</v>
      </c>
      <c r="AGT80">
        <v>0</v>
      </c>
      <c r="AGU80">
        <v>0</v>
      </c>
      <c r="AGV80">
        <v>0</v>
      </c>
      <c r="AGW80">
        <v>0</v>
      </c>
      <c r="AGX80">
        <v>0</v>
      </c>
      <c r="AGY80">
        <v>0</v>
      </c>
      <c r="AGZ80">
        <v>0</v>
      </c>
      <c r="AHA80">
        <v>0</v>
      </c>
      <c r="AHB80">
        <v>0</v>
      </c>
      <c r="AHC80">
        <v>0</v>
      </c>
      <c r="AHD80">
        <v>0</v>
      </c>
      <c r="AHE80">
        <v>0</v>
      </c>
      <c r="AHF80">
        <v>0</v>
      </c>
      <c r="AHG80">
        <v>0</v>
      </c>
      <c r="AHH80">
        <v>0</v>
      </c>
      <c r="AHI80">
        <v>0</v>
      </c>
      <c r="AHJ80">
        <v>0</v>
      </c>
      <c r="AHK80">
        <v>0</v>
      </c>
      <c r="AHL80">
        <v>0</v>
      </c>
      <c r="AHM80">
        <v>0</v>
      </c>
      <c r="AHN80">
        <v>0</v>
      </c>
      <c r="AHO80">
        <v>0</v>
      </c>
      <c r="AHP80">
        <v>0</v>
      </c>
      <c r="AHQ80">
        <v>0</v>
      </c>
    </row>
    <row r="81" spans="1:901">
      <c r="A81" s="1" t="s">
        <v>140</v>
      </c>
      <c r="C81" s="39">
        <f t="shared" si="157"/>
        <v>7.3595868302130411E-3</v>
      </c>
      <c r="D81" s="39">
        <f t="shared" si="157"/>
        <v>8.4473527662105898E-3</v>
      </c>
      <c r="E81" s="39">
        <f t="shared" si="157"/>
        <v>6.7513899920571881E-3</v>
      </c>
      <c r="F81" s="39">
        <f t="shared" si="157"/>
        <v>0</v>
      </c>
      <c r="G81" s="39">
        <f t="shared" si="222"/>
        <v>3.4911325233905879E-3</v>
      </c>
      <c r="H81" s="39">
        <f t="shared" si="222"/>
        <v>9.9082568807339448E-3</v>
      </c>
      <c r="I81" s="39">
        <f t="shared" si="222"/>
        <v>6.5564813550061463E-3</v>
      </c>
      <c r="J81" s="39">
        <f t="shared" si="222"/>
        <v>5.2459016393442623E-3</v>
      </c>
      <c r="K81" s="39">
        <f t="shared" si="222"/>
        <v>5.1420491065689682E-3</v>
      </c>
      <c r="L81" s="39">
        <f t="shared" si="222"/>
        <v>3.0465100534831763E-3</v>
      </c>
      <c r="M81" s="39">
        <f t="shared" si="222"/>
        <v>3.6624876743203269E-3</v>
      </c>
      <c r="N81" s="39">
        <f t="shared" si="222"/>
        <v>6.4655172413793103E-3</v>
      </c>
      <c r="O81" s="39">
        <f t="shared" si="222"/>
        <v>8.7417218543046366E-3</v>
      </c>
      <c r="P81" s="39">
        <f t="shared" si="222"/>
        <v>1.015864180350682E-2</v>
      </c>
      <c r="Q81" s="39">
        <f t="shared" si="222"/>
        <v>6.3618290258449306E-3</v>
      </c>
      <c r="R81" s="39">
        <f t="shared" si="222"/>
        <v>8.3355740790535086E-3</v>
      </c>
      <c r="S81" s="39">
        <f t="shared" si="222"/>
        <v>3.8471743167949059E-3</v>
      </c>
      <c r="T81" s="39">
        <f t="shared" si="222"/>
        <v>4.9086446686664852E-3</v>
      </c>
      <c r="U81" s="39">
        <f t="shared" si="222"/>
        <v>6.5857885615251298E-3</v>
      </c>
      <c r="V81" s="39">
        <f t="shared" ref="V81:AZ83" si="1131">IFERROR(V18/V60,0)</f>
        <v>2.2036139268400176E-3</v>
      </c>
      <c r="W81" s="39">
        <f t="shared" si="1131"/>
        <v>2.6640493550196299E-3</v>
      </c>
      <c r="X81" s="39">
        <f t="shared" si="1131"/>
        <v>3.607103218645949E-3</v>
      </c>
      <c r="Y81" s="39">
        <f t="shared" si="1131"/>
        <v>7.0761392584206052E-4</v>
      </c>
      <c r="Z81" s="39">
        <f t="shared" si="1131"/>
        <v>4.4609665427509295E-3</v>
      </c>
      <c r="AA81" s="39">
        <f t="shared" si="1131"/>
        <v>2.7837530051879034E-3</v>
      </c>
      <c r="AB81" s="39">
        <f t="shared" si="1131"/>
        <v>2.5544703230653645E-3</v>
      </c>
      <c r="AC81" s="39">
        <f t="shared" si="1131"/>
        <v>2.6635099141757916E-3</v>
      </c>
      <c r="AD81" s="39">
        <f t="shared" si="1131"/>
        <v>3.4726688102893889E-3</v>
      </c>
      <c r="AE81" s="39">
        <f t="shared" si="1131"/>
        <v>7.3761854583772393E-3</v>
      </c>
      <c r="AF81" s="39">
        <f t="shared" si="1131"/>
        <v>7.3394495412844041E-3</v>
      </c>
      <c r="AG81" s="39">
        <f t="shared" si="1131"/>
        <v>6.3251106894370648E-3</v>
      </c>
      <c r="AH81" s="39">
        <f t="shared" si="1131"/>
        <v>5.8389674247080513E-3</v>
      </c>
      <c r="AI81" s="39">
        <f t="shared" si="1131"/>
        <v>7.0159725332139128E-3</v>
      </c>
      <c r="AJ81" s="39">
        <f t="shared" si="1131"/>
        <v>9.3763952969191846E-3</v>
      </c>
      <c r="AK81" s="39">
        <f t="shared" si="1131"/>
        <v>0</v>
      </c>
      <c r="AL81" s="39">
        <f t="shared" si="1131"/>
        <v>4.1711614527148505E-3</v>
      </c>
      <c r="AM81" s="39">
        <f t="shared" si="1131"/>
        <v>7.7475700802929993E-3</v>
      </c>
      <c r="AN81" s="39">
        <f t="shared" si="1131"/>
        <v>4.0650406504065045E-3</v>
      </c>
      <c r="AO81" s="39">
        <f t="shared" si="1131"/>
        <v>3.6345406692567992E-3</v>
      </c>
      <c r="AP81" s="39">
        <f t="shared" si="1131"/>
        <v>1.0532994923857867E-2</v>
      </c>
      <c r="AQ81" s="39">
        <f t="shared" si="1131"/>
        <v>0</v>
      </c>
      <c r="AR81" s="39">
        <f t="shared" si="1131"/>
        <v>2.4428437206388976E-3</v>
      </c>
      <c r="AS81" s="39">
        <f t="shared" si="1131"/>
        <v>4.2449969678593083E-3</v>
      </c>
      <c r="AT81" s="39">
        <f t="shared" si="1131"/>
        <v>9.5619301756726706E-3</v>
      </c>
      <c r="AU81" s="39">
        <f t="shared" si="1131"/>
        <v>5.544005544005544E-3</v>
      </c>
      <c r="AV81" s="39">
        <f t="shared" si="1131"/>
        <v>4.2724609375E-3</v>
      </c>
      <c r="AW81" s="39">
        <f t="shared" si="1131"/>
        <v>8.0276645671236262E-3</v>
      </c>
      <c r="AX81" s="39">
        <f t="shared" si="1131"/>
        <v>0</v>
      </c>
      <c r="AY81" s="39">
        <f t="shared" si="1131"/>
        <v>2.2892462656670292E-3</v>
      </c>
      <c r="AZ81" s="39">
        <f t="shared" si="1131"/>
        <v>5.3816046966731895E-3</v>
      </c>
      <c r="BA81" s="39">
        <f t="shared" ref="BA81:BF81" si="1132">IFERROR(BA18/BA60,0)</f>
        <v>4.035596026490066E-3</v>
      </c>
      <c r="BB81" s="39">
        <f t="shared" si="1132"/>
        <v>3.7078235076010383E-3</v>
      </c>
      <c r="BC81" s="39">
        <f t="shared" si="1132"/>
        <v>5.8250252044359805E-3</v>
      </c>
      <c r="BD81" s="39">
        <f t="shared" si="1132"/>
        <v>5.2317800219004746E-3</v>
      </c>
      <c r="BE81" s="39">
        <f t="shared" si="1132"/>
        <v>0</v>
      </c>
      <c r="BF81" s="39">
        <f t="shared" si="1132"/>
        <v>3.4105609784781843E-3</v>
      </c>
      <c r="BG81" s="39">
        <f t="shared" ref="BG81:BK83" si="1133">IFERROR(BG18/BG60,0)</f>
        <v>6.1919504643962852E-3</v>
      </c>
      <c r="BH81" s="39">
        <f t="shared" si="1133"/>
        <v>3.3440673767649244E-3</v>
      </c>
      <c r="BI81" s="39">
        <f t="shared" si="1133"/>
        <v>2.5114155251141552E-3</v>
      </c>
      <c r="BJ81" s="39">
        <f t="shared" si="1133"/>
        <v>5.7129532470560802E-3</v>
      </c>
      <c r="BK81" s="39">
        <f t="shared" si="1133"/>
        <v>3.5966602440590878E-3</v>
      </c>
      <c r="BL81" s="39">
        <f t="shared" ref="BL81:BM81" si="1134">IFERROR(BL18/BL60,0)</f>
        <v>4.6336881653099562E-3</v>
      </c>
      <c r="BM81" s="39">
        <f t="shared" si="1134"/>
        <v>2.4182404421925381E-3</v>
      </c>
      <c r="BN81" s="39">
        <f t="shared" ref="BN81:BO81" si="1135">IFERROR(BN18/BN60,0)</f>
        <v>3.6482334869431645E-3</v>
      </c>
      <c r="BO81" s="39">
        <f t="shared" si="1135"/>
        <v>3.6484936933180445E-3</v>
      </c>
      <c r="BP81" s="39">
        <f t="shared" ref="BP81:BQ81" si="1136">IFERROR(BP18/BP60,0)</f>
        <v>4.7463660634826463E-3</v>
      </c>
      <c r="BQ81" s="39">
        <f t="shared" si="1136"/>
        <v>3.3109260559847499E-3</v>
      </c>
      <c r="BR81" s="39">
        <f t="shared" ref="BR81:BS81" si="1137">IFERROR(BR18/BR60,0)</f>
        <v>7.8271414397530596E-3</v>
      </c>
      <c r="BS81" s="39">
        <f t="shared" si="1137"/>
        <v>7.6144674882276326E-3</v>
      </c>
      <c r="BT81" s="39">
        <f t="shared" ref="BT81:BU81" si="1138">IFERROR(BT18/BT60,0)</f>
        <v>4.6243865609664021E-3</v>
      </c>
      <c r="BU81" s="39">
        <f t="shared" si="1138"/>
        <v>3.2048347220950462E-3</v>
      </c>
      <c r="BV81" s="39">
        <f t="shared" ref="BV81:BW81" si="1139">IFERROR(BV18/BV60,0)</f>
        <v>6.2087316448211291E-3</v>
      </c>
      <c r="BW81" s="39">
        <f t="shared" si="1139"/>
        <v>5.7328492260653547E-3</v>
      </c>
      <c r="BX81" s="39">
        <f t="shared" ref="BX81:BY81" si="1140">IFERROR(BX18/BX60,0)</f>
        <v>4.4336260106059289E-3</v>
      </c>
      <c r="BY81" s="39">
        <f t="shared" si="1140"/>
        <v>0</v>
      </c>
      <c r="BZ81" s="39">
        <f t="shared" ref="BZ81:CA81" si="1141">IFERROR(BZ18/BZ60,0)</f>
        <v>0</v>
      </c>
      <c r="CA81" s="39">
        <f t="shared" si="1141"/>
        <v>2.3840554372357671E-3</v>
      </c>
      <c r="CB81" s="39">
        <f t="shared" ref="CB81:CC81" si="1142">IFERROR(CB18/CB60,0)</f>
        <v>7.5066514633219308E-3</v>
      </c>
      <c r="CC81" s="39">
        <f t="shared" si="1142"/>
        <v>1.1080332409972299E-2</v>
      </c>
      <c r="CD81" s="39">
        <f t="shared" ref="CD81:CE81" si="1143">IFERROR(CD18/CD60,0)</f>
        <v>6.7938855030472579E-3</v>
      </c>
      <c r="CE81" s="39">
        <f t="shared" si="1143"/>
        <v>1.2278443410238638E-2</v>
      </c>
      <c r="CF81" s="39">
        <f t="shared" ref="CF81:CG81" si="1144">IFERROR(CF18/CF60,0)</f>
        <v>6.7007582436959968E-3</v>
      </c>
      <c r="CG81" s="39">
        <f t="shared" si="1144"/>
        <v>0</v>
      </c>
      <c r="CH81" s="39">
        <f t="shared" ref="CH81:CI81" si="1145">IFERROR(CH18/CH60,0)</f>
        <v>3.6135870874488074E-3</v>
      </c>
      <c r="CI81" s="39">
        <f t="shared" si="1145"/>
        <v>7.9666512274201018E-3</v>
      </c>
      <c r="CJ81" s="39">
        <f t="shared" ref="CJ81:CK81" si="1146">IFERROR(CJ18/CJ60,0)</f>
        <v>0</v>
      </c>
      <c r="CK81" s="39">
        <f t="shared" si="1146"/>
        <v>3.1005661903478025E-3</v>
      </c>
      <c r="CL81" s="39">
        <f t="shared" ref="CL81:CM81" si="1147">IFERROR(CL18/CL60,0)</f>
        <v>6.9089816761790327E-3</v>
      </c>
      <c r="CM81" s="39">
        <f t="shared" si="1147"/>
        <v>9.0866067203028873E-3</v>
      </c>
      <c r="CN81" s="39">
        <f t="shared" ref="CN81:CO81" si="1148">IFERROR(CN18/CN60,0)</f>
        <v>7.6363970926488179E-3</v>
      </c>
      <c r="CO81" s="39">
        <f t="shared" si="1148"/>
        <v>9.2047128129602359E-3</v>
      </c>
      <c r="CP81" s="39">
        <f t="shared" ref="CP81:CQ81" si="1149">IFERROR(CP18/CP60,0)</f>
        <v>0</v>
      </c>
      <c r="CQ81" s="39">
        <f t="shared" si="1149"/>
        <v>5.7152829283190088E-3</v>
      </c>
      <c r="CR81" s="39">
        <f t="shared" ref="CR81:CS81" si="1150">IFERROR(CR18/CR60,0)</f>
        <v>8.1474450245214367E-3</v>
      </c>
      <c r="CS81" s="39">
        <f t="shared" si="1150"/>
        <v>0</v>
      </c>
      <c r="CT81" s="39">
        <f t="shared" ref="CT81:CU81" si="1151">IFERROR(CT18/CT60,0)</f>
        <v>0</v>
      </c>
      <c r="CU81" s="39">
        <f t="shared" si="1151"/>
        <v>0</v>
      </c>
      <c r="CV81" s="39">
        <f t="shared" ref="CV81:CW81" si="1152">IFERROR(CV18/CV60,0)</f>
        <v>0</v>
      </c>
      <c r="CW81" s="39">
        <f t="shared" si="1152"/>
        <v>0</v>
      </c>
      <c r="CX81" s="39">
        <f t="shared" ref="CX81:CY81" si="1153">IFERROR(CX18/CX60,0)</f>
        <v>1.7925104238377908E-3</v>
      </c>
      <c r="CY81" s="39">
        <f t="shared" si="1153"/>
        <v>1.2004025301897642E-2</v>
      </c>
      <c r="CZ81" s="39">
        <f t="shared" ref="CZ81:DA81" si="1154">IFERROR(CZ18/CZ60,0)</f>
        <v>0</v>
      </c>
      <c r="DA81" s="39">
        <f t="shared" si="1154"/>
        <v>5.8819385742462666E-3</v>
      </c>
      <c r="DB81" s="39">
        <f t="shared" ref="DB81:DC81" si="1155">IFERROR(DB18/DB60,0)</f>
        <v>0</v>
      </c>
      <c r="DC81" s="39">
        <f t="shared" si="1155"/>
        <v>6.3384593222170198E-3</v>
      </c>
      <c r="DD81" s="39">
        <f t="shared" ref="DD81:DE81" si="1156">IFERROR(DD18/DD60,0)</f>
        <v>1.3693770398751241E-2</v>
      </c>
      <c r="DE81" s="39">
        <f t="shared" si="1156"/>
        <v>1.5031575202348128E-2</v>
      </c>
      <c r="DF81" s="39">
        <f t="shared" ref="DF81:DG81" si="1157">IFERROR(DF18/DF60,0)</f>
        <v>1.7682601741602987E-2</v>
      </c>
      <c r="DG81" s="39">
        <f t="shared" si="1157"/>
        <v>3.1524341580207504E-2</v>
      </c>
      <c r="DH81" s="39">
        <f t="shared" ref="DH81:DI81" si="1158">IFERROR(DH18/DH60,0)</f>
        <v>2.5588302490290152E-2</v>
      </c>
      <c r="DI81" s="39">
        <f t="shared" si="1158"/>
        <v>1.9830307813733229E-2</v>
      </c>
      <c r="DJ81" s="39">
        <f t="shared" ref="DJ81:DK81" si="1159">IFERROR(DJ18/DJ60,0)</f>
        <v>2.7553527553527555E-2</v>
      </c>
      <c r="DK81" s="39">
        <f t="shared" si="1159"/>
        <v>2.844856103208733E-2</v>
      </c>
      <c r="DL81" s="39">
        <f t="shared" ref="DL81:DM81" si="1160">IFERROR(DL18/DL60,0)</f>
        <v>2.6854031783402E-2</v>
      </c>
      <c r="DM81" s="39">
        <f t="shared" si="1160"/>
        <v>2.9065847629035881E-2</v>
      </c>
      <c r="DN81" s="39">
        <f t="shared" ref="DN81:DO81" si="1161">IFERROR(DN18/DN60,0)</f>
        <v>3.2621858916136844E-2</v>
      </c>
      <c r="DO81" s="39">
        <f t="shared" si="1161"/>
        <v>3.3937282229965157E-2</v>
      </c>
      <c r="DP81" s="39">
        <f t="shared" ref="DP81:DQ81" si="1162">IFERROR(DP18/DP60,0)</f>
        <v>3.8566720426337561E-2</v>
      </c>
      <c r="DQ81" s="39">
        <f t="shared" si="1162"/>
        <v>3.4638864119624115E-2</v>
      </c>
      <c r="DR81" s="39">
        <f t="shared" ref="DR81:DS81" si="1163">IFERROR(DR18/DR60,0)</f>
        <v>3.7594501718213061E-2</v>
      </c>
      <c r="DS81" s="39">
        <f t="shared" si="1163"/>
        <v>3.0398558883134429E-2</v>
      </c>
      <c r="DT81" s="39">
        <f t="shared" ref="DT81:DU81" si="1164">IFERROR(DT18/DT60,0)</f>
        <v>5.0524679362611735E-2</v>
      </c>
      <c r="DU81" s="39">
        <f t="shared" si="1164"/>
        <v>2.5643277421621147E-2</v>
      </c>
      <c r="DV81" s="39">
        <f t="shared" si="125"/>
        <v>2.6033449037551278E-2</v>
      </c>
      <c r="DW81" s="39">
        <f t="shared" si="125"/>
        <v>3.1927545512761869E-2</v>
      </c>
      <c r="DX81" s="39">
        <f t="shared" ref="DX81:DY81" si="1165">IFERROR(DX18/DX60,0)</f>
        <v>3.5686171608501703E-2</v>
      </c>
      <c r="DY81" s="39">
        <f t="shared" si="1165"/>
        <v>0.26289682539682541</v>
      </c>
      <c r="DZ81" s="39">
        <f t="shared" ref="DZ81:EA81" si="1166">IFERROR(DZ18/DZ60,0)</f>
        <v>2.1973337467059369E-2</v>
      </c>
      <c r="EA81" s="39">
        <f t="shared" si="1166"/>
        <v>0</v>
      </c>
      <c r="EB81" s="39">
        <f t="shared" ref="EB81:EC81" si="1167">IFERROR(EB18/EB60,0)</f>
        <v>1.9292932729932967E-2</v>
      </c>
      <c r="EC81" s="39">
        <f t="shared" si="1167"/>
        <v>5.0566134843026245E-2</v>
      </c>
      <c r="ED81" s="39">
        <f t="shared" ref="ED81:EE81" si="1168">IFERROR(ED18/ED60,0)</f>
        <v>5.6790803331727126E-2</v>
      </c>
      <c r="EE81" s="39">
        <f t="shared" si="1168"/>
        <v>4.5638319742342219E-2</v>
      </c>
      <c r="EF81" s="39">
        <f t="shared" ref="EF81:EG81" si="1169">IFERROR(EF18/EF60,0)</f>
        <v>4.7399841760771055E-2</v>
      </c>
      <c r="EG81" s="39">
        <f t="shared" si="1169"/>
        <v>5.5054752253614857E-2</v>
      </c>
      <c r="EH81" s="39">
        <f t="shared" ref="EH81:EI81" si="1170">IFERROR(EH18/EH60,0)</f>
        <v>0</v>
      </c>
      <c r="EI81" s="39">
        <f t="shared" si="1170"/>
        <v>2.4858013005185611E-2</v>
      </c>
      <c r="EJ81" s="39">
        <f t="shared" ref="EJ81:EK81" si="1171">IFERROR(EJ18/EJ60,0)</f>
        <v>5.7987113974672294E-2</v>
      </c>
      <c r="EK81" s="39">
        <f t="shared" si="1171"/>
        <v>5.2295619583040527E-2</v>
      </c>
      <c r="EL81" s="39">
        <f t="shared" ref="EL81:EM81" si="1172">IFERROR(EL18/EL60,0)</f>
        <v>4.5095330201713184E-2</v>
      </c>
      <c r="EM81" s="39">
        <f t="shared" si="1172"/>
        <v>4.6900149858467001E-2</v>
      </c>
      <c r="EN81" s="39">
        <f t="shared" ref="EN81:EO81" si="1173">IFERROR(EN18/EN60,0)</f>
        <v>4.6914285714285714E-2</v>
      </c>
      <c r="EO81" s="39">
        <f t="shared" si="1173"/>
        <v>4.6101085062124021E-2</v>
      </c>
      <c r="EP81" s="39">
        <f t="shared" ref="EP81" si="1174">IFERROR(EP18/EP60,0)</f>
        <v>3.4402823876508087E-2</v>
      </c>
      <c r="EQ81" s="39">
        <f t="shared" ref="EQ81:ER81" si="1175">IFERROR(EQ18/EQ60,0)</f>
        <v>3.0017596522099163E-2</v>
      </c>
      <c r="ER81" s="39">
        <f t="shared" si="1175"/>
        <v>4.3531202435312027E-2</v>
      </c>
      <c r="ES81" s="39">
        <f t="shared" ref="ES81:ET81" si="1176">IFERROR(ES18/ES60,0)</f>
        <v>4.5664553561835179E-2</v>
      </c>
      <c r="ET81" s="39">
        <f t="shared" si="1176"/>
        <v>4.4340283389903562E-2</v>
      </c>
      <c r="EU81" s="39">
        <f t="shared" ref="EU81:EV81" si="1177">IFERROR(EU18/EU60,0)</f>
        <v>4.8842197898905454E-2</v>
      </c>
      <c r="EV81" s="39">
        <f t="shared" si="1177"/>
        <v>4.3895000544602984E-2</v>
      </c>
      <c r="EW81" s="39">
        <f t="shared" ref="EW81:EX81" si="1178">IFERROR(EW18/EW60,0)</f>
        <v>4.0152748918964455E-2</v>
      </c>
      <c r="EX81" s="39">
        <f t="shared" si="1178"/>
        <v>5.7576502396460609E-2</v>
      </c>
      <c r="EY81" s="39">
        <f t="shared" ref="EY81:EZ81" si="1179">IFERROR(EY18/EY60,0)</f>
        <v>5.1072269740919794E-2</v>
      </c>
      <c r="EZ81" s="39">
        <f t="shared" si="1179"/>
        <v>5.4131722479619962E-2</v>
      </c>
      <c r="FA81" s="39">
        <f t="shared" ref="FA81:FB81" si="1180">IFERROR(FA18/FA60,0)</f>
        <v>4.7857819377124071E-2</v>
      </c>
      <c r="FB81" s="39">
        <f t="shared" si="1180"/>
        <v>5.4651501895596387E-2</v>
      </c>
      <c r="FC81" s="39">
        <f t="shared" ref="FC81:FD81" si="1181">IFERROR(FC18/FC60,0)</f>
        <v>5.7226261291033267E-2</v>
      </c>
      <c r="FD81" s="39">
        <f t="shared" si="1181"/>
        <v>4.6400885935769659E-2</v>
      </c>
      <c r="FE81" s="39">
        <f t="shared" ref="FE81:FF81" si="1182">IFERROR(FE18/FE60,0)</f>
        <v>4.4662891334544291E-2</v>
      </c>
      <c r="FF81" s="39">
        <f t="shared" si="1182"/>
        <v>3.7196679438058745E-2</v>
      </c>
      <c r="FG81" s="39">
        <f t="shared" ref="FG81:FH81" si="1183">IFERROR(FG18/FG60,0)</f>
        <v>3.653814691607133E-2</v>
      </c>
      <c r="FH81" s="39">
        <f t="shared" si="1183"/>
        <v>4.7124084446359328E-2</v>
      </c>
      <c r="FI81" s="39">
        <f t="shared" ref="FI81:FJ81" si="1184">IFERROR(FI18/FI60,0)</f>
        <v>4.0241448692152917E-2</v>
      </c>
      <c r="FJ81" s="39">
        <f t="shared" si="1184"/>
        <v>3.4119140948490036E-2</v>
      </c>
      <c r="FK81" s="39">
        <f t="shared" ref="FK81:FL81" si="1185">IFERROR(FK18/FK60,0)</f>
        <v>4.2338814930827459E-2</v>
      </c>
      <c r="FL81" s="39">
        <f t="shared" si="1185"/>
        <v>5.6721852420777152E-2</v>
      </c>
      <c r="FM81" s="39">
        <f t="shared" ref="FM81" si="1186">IFERROR(FM18/FM60,0)</f>
        <v>5.1990898748577929E-2</v>
      </c>
      <c r="FN81" s="39">
        <v>4.4642363223986278E-2</v>
      </c>
      <c r="FO81" s="39">
        <f t="shared" ref="FO81" si="1187">IFERROR(FO18/FO60,0)</f>
        <v>4.3080505655355955E-2</v>
      </c>
      <c r="FP81" s="39">
        <v>4.0945569689359612E-2</v>
      </c>
      <c r="FQ81" s="39">
        <f t="shared" ref="FQ81:HA81" si="1188">IFERROR(FQ18/FQ60,0)</f>
        <v>4.6203554119547657E-2</v>
      </c>
      <c r="FR81" s="39">
        <v>4.2423947905530175E-2</v>
      </c>
      <c r="FS81" s="39">
        <f t="shared" si="1188"/>
        <v>5.6966181459997808E-2</v>
      </c>
      <c r="FT81" s="39">
        <f t="shared" si="1188"/>
        <v>4.1332048399186208E-2</v>
      </c>
      <c r="FU81" s="39">
        <f t="shared" si="1188"/>
        <v>4.4353229576420954E-2</v>
      </c>
      <c r="FV81" s="39">
        <f t="shared" si="1188"/>
        <v>4.290782138633932E-2</v>
      </c>
      <c r="FW81" s="39">
        <f t="shared" si="1188"/>
        <v>3.4800130704716263E-2</v>
      </c>
      <c r="FX81" s="39">
        <f t="shared" si="1188"/>
        <v>4.7332988089073019E-2</v>
      </c>
      <c r="FY81" s="39">
        <f t="shared" si="1188"/>
        <v>3.5156624197720088E-2</v>
      </c>
      <c r="FZ81" s="39">
        <f t="shared" si="1188"/>
        <v>3.9975772259236826E-2</v>
      </c>
      <c r="GA81" s="39">
        <f t="shared" si="1188"/>
        <v>3.6111663024041327E-2</v>
      </c>
      <c r="GB81" s="39">
        <f t="shared" si="1188"/>
        <v>3.5266417566668373E-2</v>
      </c>
      <c r="GC81" s="39">
        <f t="shared" si="1188"/>
        <v>3.7923739745111193E-2</v>
      </c>
      <c r="GD81" s="39">
        <f t="shared" si="1188"/>
        <v>4.1085506367495452E-2</v>
      </c>
      <c r="GE81" s="39">
        <f t="shared" si="1188"/>
        <v>4.2589620117710003E-2</v>
      </c>
      <c r="GF81" s="39">
        <f t="shared" si="1188"/>
        <v>3.7857218179900877E-2</v>
      </c>
      <c r="GG81" s="39">
        <f t="shared" si="1188"/>
        <v>4.261645193260654E-2</v>
      </c>
      <c r="GH81" s="39">
        <f t="shared" si="1188"/>
        <v>4.0490730043461515E-2</v>
      </c>
      <c r="GI81" s="39">
        <f t="shared" si="1188"/>
        <v>4.1187159297395519E-2</v>
      </c>
      <c r="GJ81" s="39">
        <f t="shared" si="1188"/>
        <v>4.1931256929744982E-2</v>
      </c>
      <c r="GK81" s="39">
        <f t="shared" si="1188"/>
        <v>4.5378552663004536E-2</v>
      </c>
      <c r="GL81" s="39">
        <f t="shared" si="1188"/>
        <v>4.5920151901264181E-2</v>
      </c>
      <c r="GM81" s="39">
        <f t="shared" si="1188"/>
        <v>3.6208677685950416E-2</v>
      </c>
      <c r="GN81" s="39">
        <f t="shared" si="1188"/>
        <v>4.9360951961216398E-2</v>
      </c>
      <c r="GO81" s="39">
        <f t="shared" si="1188"/>
        <v>5.1489320007838527E-2</v>
      </c>
      <c r="GP81" s="39">
        <f t="shared" si="1188"/>
        <v>0</v>
      </c>
      <c r="GQ81" s="39">
        <f t="shared" si="1188"/>
        <v>2.5850274824184529E-2</v>
      </c>
      <c r="GR81" s="39">
        <f t="shared" si="1188"/>
        <v>4.9060741870887763E-2</v>
      </c>
      <c r="GS81" s="39">
        <f t="shared" si="1188"/>
        <v>5.4076693968726733E-2</v>
      </c>
      <c r="GT81" s="39">
        <f t="shared" si="1188"/>
        <v>5.028301886792453E-2</v>
      </c>
      <c r="GU81" s="39">
        <f t="shared" si="1188"/>
        <v>5.3290562913907283E-2</v>
      </c>
      <c r="GV81" s="39">
        <f t="shared" si="1188"/>
        <v>4.7746807770656333E-2</v>
      </c>
      <c r="GW81" s="39">
        <f t="shared" si="1188"/>
        <v>4.5020195054674417E-2</v>
      </c>
      <c r="GX81" s="39">
        <f t="shared" si="1188"/>
        <v>4.8016997167138808E-2</v>
      </c>
      <c r="GY81" s="39">
        <f t="shared" si="1188"/>
        <v>4.875304706544159E-2</v>
      </c>
      <c r="GZ81" s="39">
        <f t="shared" si="1188"/>
        <v>4.4631637734444084E-2</v>
      </c>
      <c r="HA81" s="39">
        <f t="shared" si="1188"/>
        <v>3.9538867540163898E-2</v>
      </c>
      <c r="HB81" s="39">
        <f t="shared" si="148"/>
        <v>2.4538173063567759E-2</v>
      </c>
      <c r="HC81" s="39">
        <f t="shared" si="148"/>
        <v>4.5681893964654885E-2</v>
      </c>
      <c r="HD81" s="39">
        <f t="shared" ref="HD81:JO81" si="1189">IFERROR(HD18/HD60,0)</f>
        <v>4.8568111455108358E-2</v>
      </c>
      <c r="HE81" s="39">
        <f t="shared" si="1189"/>
        <v>4.6391292711214206E-2</v>
      </c>
      <c r="HF81" s="39">
        <f t="shared" si="1189"/>
        <v>4.842592155567093E-2</v>
      </c>
      <c r="HG81" s="39">
        <f t="shared" si="1189"/>
        <v>4.6948569358927925E-2</v>
      </c>
      <c r="HH81" s="39">
        <f t="shared" si="1189"/>
        <v>4.914688427299703E-2</v>
      </c>
      <c r="HI81" s="39">
        <f t="shared" si="1189"/>
        <v>5.3194837897387472E-2</v>
      </c>
      <c r="HJ81" s="39">
        <f t="shared" si="1189"/>
        <v>4.7053320860617399E-2</v>
      </c>
      <c r="HK81" s="39">
        <f t="shared" si="1189"/>
        <v>5.5290884104443425E-2</v>
      </c>
      <c r="HL81" s="39">
        <f t="shared" si="1189"/>
        <v>5.5858126659765042E-2</v>
      </c>
      <c r="HM81" s="39">
        <f t="shared" si="1189"/>
        <v>4.9143312524903705E-2</v>
      </c>
      <c r="HN81" s="39">
        <f t="shared" si="1189"/>
        <v>5.3289562440976754E-2</v>
      </c>
      <c r="HO81" s="39">
        <f t="shared" si="1189"/>
        <v>3.9052416836670968E-2</v>
      </c>
      <c r="HP81" s="39">
        <f t="shared" si="1189"/>
        <v>4.7510418951524455E-2</v>
      </c>
      <c r="HQ81" s="39">
        <f t="shared" si="1189"/>
        <v>4.6079940301291915E-2</v>
      </c>
      <c r="HR81" s="39">
        <f t="shared" si="1189"/>
        <v>0</v>
      </c>
      <c r="HS81" s="39">
        <f t="shared" si="1189"/>
        <v>2.3112957397914087E-2</v>
      </c>
      <c r="HT81" s="39">
        <f t="shared" si="1189"/>
        <v>3.9129319192610333E-2</v>
      </c>
      <c r="HU81" s="39">
        <f t="shared" si="1189"/>
        <v>4.8162971623870128E-2</v>
      </c>
      <c r="HV81" s="39">
        <f t="shared" si="1189"/>
        <v>4.0631266893364722E-2</v>
      </c>
      <c r="HW81" s="39">
        <f t="shared" si="1189"/>
        <v>4.9227053140096622E-2</v>
      </c>
      <c r="HX81" s="39">
        <f t="shared" si="1189"/>
        <v>4.7942279394313378E-2</v>
      </c>
      <c r="HY81" s="39">
        <f t="shared" si="1189"/>
        <v>4.6454553422736439E-2</v>
      </c>
      <c r="HZ81" s="39">
        <f t="shared" si="1189"/>
        <v>4.9909801563439569E-2</v>
      </c>
      <c r="IA81" s="39">
        <f t="shared" si="1189"/>
        <v>4.1812971707632075E-2</v>
      </c>
      <c r="IB81" s="39">
        <f t="shared" si="1189"/>
        <v>4.332846952010376E-2</v>
      </c>
      <c r="IC81" s="39">
        <f t="shared" si="1189"/>
        <v>4.6285927584919749E-2</v>
      </c>
      <c r="ID81" s="39">
        <f t="shared" si="1189"/>
        <v>5.8152793614595209E-2</v>
      </c>
      <c r="IE81" s="39">
        <f t="shared" si="1189"/>
        <v>5.8575172279918472E-2</v>
      </c>
      <c r="IF81" s="39">
        <f t="shared" si="1189"/>
        <v>5.1713612976366966E-2</v>
      </c>
      <c r="IG81" s="39">
        <f t="shared" si="1189"/>
        <v>5.5192980939620523E-2</v>
      </c>
      <c r="IH81" s="39">
        <f t="shared" si="1189"/>
        <v>5.8768537797985805E-2</v>
      </c>
      <c r="II81" s="39">
        <f t="shared" si="1189"/>
        <v>5.3559793232266194E-2</v>
      </c>
      <c r="IJ81" s="39">
        <f t="shared" si="1189"/>
        <v>4.6402388164537511E-2</v>
      </c>
      <c r="IK81" s="39">
        <f t="shared" si="1189"/>
        <v>5.6558308706524209E-2</v>
      </c>
      <c r="IL81" s="39">
        <f t="shared" si="1189"/>
        <v>5.9122218297421404E-2</v>
      </c>
      <c r="IM81" s="39">
        <f t="shared" si="1189"/>
        <v>5.803281728005933E-2</v>
      </c>
      <c r="IN81" s="39">
        <f t="shared" si="1189"/>
        <v>5.227987421383648E-2</v>
      </c>
      <c r="IO81" s="39">
        <f t="shared" si="1189"/>
        <v>0</v>
      </c>
      <c r="IP81" s="39">
        <f t="shared" si="1189"/>
        <v>2.6986407337827385E-2</v>
      </c>
      <c r="IQ81" s="39">
        <f t="shared" si="1189"/>
        <v>5.4329930852815275E-2</v>
      </c>
      <c r="IR81" s="39">
        <f t="shared" si="1189"/>
        <v>5.7706061147863398E-2</v>
      </c>
      <c r="IS81" s="39">
        <f t="shared" si="1189"/>
        <v>5.318447333710194E-2</v>
      </c>
      <c r="IT81" s="39">
        <f t="shared" si="1189"/>
        <v>4.7751104948435742E-2</v>
      </c>
      <c r="IU81" s="39">
        <f t="shared" si="1189"/>
        <v>5.3189553189553186E-2</v>
      </c>
      <c r="IV81" s="39">
        <f t="shared" si="1189"/>
        <v>5.0989312846044896E-2</v>
      </c>
      <c r="IW81" s="39">
        <f t="shared" si="1189"/>
        <v>4.690896443787497E-2</v>
      </c>
      <c r="IX81" s="39">
        <f t="shared" si="1189"/>
        <v>4.9091801669121256E-2</v>
      </c>
      <c r="IY81" s="39">
        <f t="shared" si="1189"/>
        <v>5.1626453062420634E-2</v>
      </c>
      <c r="IZ81" s="39">
        <f t="shared" si="1189"/>
        <v>5.5623015131701849E-2</v>
      </c>
      <c r="JA81" s="39">
        <f t="shared" si="1189"/>
        <v>4.6551724137931037E-2</v>
      </c>
      <c r="JB81" s="39">
        <f t="shared" si="1189"/>
        <v>4.6272388212631667E-2</v>
      </c>
      <c r="JC81" s="39">
        <f t="shared" si="1189"/>
        <v>4.7364687226140297E-2</v>
      </c>
      <c r="JD81" s="39">
        <f t="shared" si="1189"/>
        <v>5.0023009664058905E-2</v>
      </c>
      <c r="JE81" s="39">
        <f t="shared" si="1189"/>
        <v>5.6450076219512195E-2</v>
      </c>
      <c r="JF81" s="39">
        <f t="shared" si="1189"/>
        <v>5.1352672027009015E-2</v>
      </c>
      <c r="JG81" s="39">
        <f t="shared" si="1189"/>
        <v>5.1988178398710373E-2</v>
      </c>
      <c r="JH81" s="39">
        <f t="shared" si="1189"/>
        <v>4.9051169095221961E-2</v>
      </c>
      <c r="JI81" s="39">
        <f t="shared" si="1189"/>
        <v>5.6765094755398857E-2</v>
      </c>
      <c r="JJ81" s="39">
        <f t="shared" si="1189"/>
        <v>6.6184273999035217E-2</v>
      </c>
      <c r="JK81" s="39">
        <f t="shared" si="1189"/>
        <v>7.4999999999999997E-2</v>
      </c>
      <c r="JL81" s="39">
        <f t="shared" si="1189"/>
        <v>6.1060064273751866E-2</v>
      </c>
      <c r="JM81" s="39">
        <f t="shared" si="1189"/>
        <v>7.738394924982378E-2</v>
      </c>
      <c r="JN81" s="39">
        <f t="shared" si="1189"/>
        <v>7.0890808953564755E-2</v>
      </c>
      <c r="JO81" s="39">
        <f t="shared" si="1189"/>
        <v>4.9309733282331257E-2</v>
      </c>
      <c r="JP81" s="39">
        <f t="shared" ref="JP81:KG81" si="1190">IFERROR(JP18/JP60,0)</f>
        <v>5.3591460104939391E-2</v>
      </c>
      <c r="JQ81" s="39">
        <f t="shared" si="1190"/>
        <v>4.814390842191333E-2</v>
      </c>
      <c r="JR81" s="39">
        <f t="shared" si="1190"/>
        <v>4.6087682136209E-2</v>
      </c>
      <c r="JS81" s="39">
        <f t="shared" si="1190"/>
        <v>5.3311020798469999E-2</v>
      </c>
      <c r="JT81" s="39">
        <f t="shared" si="1190"/>
        <v>5.4891985548919858E-2</v>
      </c>
      <c r="JU81" s="39">
        <f t="shared" si="1190"/>
        <v>6.7461099074256445E-2</v>
      </c>
      <c r="JV81" s="39">
        <f t="shared" si="1190"/>
        <v>5.616802605240357E-2</v>
      </c>
      <c r="JW81" s="39">
        <f t="shared" si="1190"/>
        <v>7.6096355775169863E-2</v>
      </c>
      <c r="JX81" s="39">
        <f t="shared" si="1190"/>
        <v>6.9434812760055475E-2</v>
      </c>
      <c r="JY81" s="39">
        <f t="shared" si="1190"/>
        <v>0</v>
      </c>
      <c r="JZ81" s="39">
        <f t="shared" si="1190"/>
        <v>4.0183144497904701E-2</v>
      </c>
      <c r="KA81" s="39">
        <f t="shared" si="1190"/>
        <v>9.9531426724834379E-2</v>
      </c>
      <c r="KB81" s="39">
        <f t="shared" si="1190"/>
        <v>8.5875379499783147E-2</v>
      </c>
      <c r="KC81" s="39">
        <f t="shared" si="1190"/>
        <v>8.1542456217888512E-2</v>
      </c>
      <c r="KD81" s="39">
        <f t="shared" si="1190"/>
        <v>9.1888888888888895E-2</v>
      </c>
      <c r="KE81" s="39">
        <f t="shared" si="1190"/>
        <v>9.9715917242962498E-2</v>
      </c>
      <c r="KF81" s="39">
        <f t="shared" si="1190"/>
        <v>9.3092775323404139E-2</v>
      </c>
      <c r="KG81" s="39">
        <f t="shared" si="1190"/>
        <v>7.9199505486014524E-2</v>
      </c>
      <c r="KH81" s="39">
        <f t="shared" si="475"/>
        <v>0.10189257441193995</v>
      </c>
      <c r="KI81" s="39">
        <f t="shared" si="475"/>
        <v>9.928194011651538E-2</v>
      </c>
      <c r="KJ81" s="39">
        <f t="shared" si="541"/>
        <v>9.7670136313649264E-2</v>
      </c>
      <c r="KK81" s="39">
        <f t="shared" si="541"/>
        <v>0.14382012406781181</v>
      </c>
      <c r="KL81" s="39">
        <f t="shared" si="541"/>
        <v>0.13720069921541525</v>
      </c>
      <c r="KM81" s="39">
        <f t="shared" si="541"/>
        <v>0.14840936374549821</v>
      </c>
      <c r="KN81" s="39">
        <f t="shared" si="541"/>
        <v>0.15401031051432681</v>
      </c>
      <c r="KO81" s="39">
        <f t="shared" si="541"/>
        <v>0.14496009917099248</v>
      </c>
      <c r="KP81" s="39">
        <f t="shared" si="541"/>
        <v>0.14059103732137077</v>
      </c>
      <c r="KQ81" s="39">
        <f t="shared" si="541"/>
        <v>0.14170731173858839</v>
      </c>
      <c r="KR81" s="39">
        <f t="shared" si="541"/>
        <v>0</v>
      </c>
      <c r="KS81" s="39">
        <f t="shared" si="541"/>
        <v>6.3930311531079281E-2</v>
      </c>
      <c r="KT81" s="39">
        <f t="shared" si="541"/>
        <v>0.12566796757730411</v>
      </c>
      <c r="KU81" s="39">
        <f t="shared" si="541"/>
        <v>0.14680658993455201</v>
      </c>
      <c r="KV81" s="39">
        <f t="shared" si="541"/>
        <v>0.13826241782322862</v>
      </c>
      <c r="KW81" s="39">
        <f t="shared" si="541"/>
        <v>0.13818770226537216</v>
      </c>
      <c r="KX81" s="39">
        <f t="shared" si="541"/>
        <v>0.15232869168436788</v>
      </c>
      <c r="KY81" s="39">
        <f t="shared" si="541"/>
        <v>0.15136606708799222</v>
      </c>
      <c r="KZ81" s="39">
        <f t="shared" ref="KZ81:NK81" si="1191">IFERROR(KZ18/KZ60,0)</f>
        <v>0.14587027883635814</v>
      </c>
      <c r="LA81" s="39">
        <f t="shared" si="1191"/>
        <v>0.15690131858783496</v>
      </c>
      <c r="LB81" s="39">
        <f t="shared" si="1191"/>
        <v>0.15351716375914462</v>
      </c>
      <c r="LC81" s="39">
        <f t="shared" si="1191"/>
        <v>0.16597362231182797</v>
      </c>
      <c r="LD81" s="39">
        <f t="shared" si="1191"/>
        <v>0.18205784139506728</v>
      </c>
      <c r="LE81" s="39">
        <f t="shared" si="1191"/>
        <v>0.16097177803961174</v>
      </c>
      <c r="LF81" s="39">
        <f t="shared" si="1191"/>
        <v>0.1708185053380783</v>
      </c>
      <c r="LG81" s="39">
        <f t="shared" si="1191"/>
        <v>0.17484928484179835</v>
      </c>
      <c r="LH81" s="39">
        <f t="shared" si="1191"/>
        <v>0.2041128306075011</v>
      </c>
      <c r="LI81" s="39">
        <f t="shared" si="1191"/>
        <v>0.20477115240323079</v>
      </c>
      <c r="LJ81" s="39">
        <f t="shared" si="1191"/>
        <v>0.24505013488064337</v>
      </c>
      <c r="LK81" s="39">
        <f t="shared" si="1191"/>
        <v>0.23601623352070783</v>
      </c>
      <c r="LL81" s="39">
        <f t="shared" si="1191"/>
        <v>0.18138038267179199</v>
      </c>
      <c r="LM81" s="39">
        <f t="shared" si="1191"/>
        <v>0.20475597953822758</v>
      </c>
      <c r="LN81" s="39">
        <f t="shared" si="1191"/>
        <v>0.22100999055619067</v>
      </c>
      <c r="LO81" s="39">
        <f t="shared" si="1191"/>
        <v>0.22590462497004554</v>
      </c>
      <c r="LP81" s="39">
        <f t="shared" si="1191"/>
        <v>0.20199197113674475</v>
      </c>
      <c r="LQ81" s="39">
        <f t="shared" si="1191"/>
        <v>0.2391030958178364</v>
      </c>
      <c r="LR81" s="39">
        <f t="shared" si="1191"/>
        <v>0.2300494586285256</v>
      </c>
      <c r="LS81" s="39">
        <f t="shared" si="1191"/>
        <v>0.18611729432608004</v>
      </c>
      <c r="LT81" s="39">
        <f t="shared" si="1191"/>
        <v>0.18235668370593011</v>
      </c>
      <c r="LU81" s="39">
        <f t="shared" si="1191"/>
        <v>0.18064833408466865</v>
      </c>
      <c r="LV81" s="39">
        <f t="shared" si="1191"/>
        <v>0.18729532195449913</v>
      </c>
      <c r="LW81" s="39">
        <f t="shared" si="1191"/>
        <v>0.20669522091974751</v>
      </c>
      <c r="LX81" s="39">
        <f t="shared" si="1191"/>
        <v>0.23820783462935427</v>
      </c>
      <c r="LY81" s="39">
        <f t="shared" si="1191"/>
        <v>0.18864145932649817</v>
      </c>
      <c r="LZ81" s="39">
        <f t="shared" si="1191"/>
        <v>0.18441553102711147</v>
      </c>
      <c r="MA81" s="39">
        <f t="shared" si="1191"/>
        <v>0.19671602699707869</v>
      </c>
      <c r="MB81" s="39">
        <f t="shared" si="1191"/>
        <v>0.1999794682270814</v>
      </c>
      <c r="MC81" s="39">
        <f t="shared" si="1191"/>
        <v>0.1772974578946391</v>
      </c>
      <c r="MD81" s="39">
        <f t="shared" si="1191"/>
        <v>0.19736145522309045</v>
      </c>
      <c r="ME81" s="39">
        <f t="shared" si="1191"/>
        <v>0.21759757517186848</v>
      </c>
      <c r="MF81" s="39">
        <f t="shared" si="1191"/>
        <v>0.17088419761391291</v>
      </c>
      <c r="MG81" s="39">
        <f t="shared" si="1191"/>
        <v>0.15616282484216709</v>
      </c>
      <c r="MH81" s="39">
        <f t="shared" si="1191"/>
        <v>0.13854329137799704</v>
      </c>
      <c r="MI81" s="39">
        <f t="shared" si="1191"/>
        <v>0.12761993479273404</v>
      </c>
      <c r="MJ81" s="39">
        <f t="shared" si="1191"/>
        <v>0.13141696675320325</v>
      </c>
      <c r="MK81" s="39">
        <f t="shared" si="1191"/>
        <v>0.13102838409110518</v>
      </c>
      <c r="ML81" s="39">
        <f t="shared" si="1191"/>
        <v>0.14468221015649951</v>
      </c>
      <c r="MM81" s="39">
        <f t="shared" si="1191"/>
        <v>0.13304746950114749</v>
      </c>
      <c r="MN81" s="39">
        <f t="shared" si="1191"/>
        <v>0.10865113674151601</v>
      </c>
      <c r="MO81" s="39">
        <f t="shared" si="1191"/>
        <v>0.11860285934423423</v>
      </c>
      <c r="MP81" s="39">
        <f t="shared" si="1191"/>
        <v>0.12888509632741474</v>
      </c>
      <c r="MQ81" s="39">
        <f t="shared" si="1191"/>
        <v>0.15474332511033917</v>
      </c>
      <c r="MR81" s="39">
        <f t="shared" si="1191"/>
        <v>0.1272708069286016</v>
      </c>
      <c r="MS81" s="39">
        <f t="shared" si="1191"/>
        <v>0.14223222783512701</v>
      </c>
      <c r="MT81" s="39">
        <f t="shared" si="1191"/>
        <v>0.14520916265102313</v>
      </c>
      <c r="MU81" s="39">
        <f t="shared" si="1191"/>
        <v>0.12381530790007832</v>
      </c>
      <c r="MV81" s="39">
        <f t="shared" si="1191"/>
        <v>0.14012185961105084</v>
      </c>
      <c r="MW81" s="39">
        <f t="shared" si="1191"/>
        <v>0.14337205360169869</v>
      </c>
      <c r="MX81" s="39">
        <f t="shared" si="1191"/>
        <v>0.1421594649113494</v>
      </c>
      <c r="MY81" s="39">
        <f t="shared" si="1191"/>
        <v>0.15567498973612512</v>
      </c>
      <c r="MZ81" s="39">
        <f t="shared" si="1191"/>
        <v>0.15099039736429748</v>
      </c>
      <c r="NA81" s="39">
        <f t="shared" si="1191"/>
        <v>0.14545276745550556</v>
      </c>
      <c r="NB81" s="39">
        <f t="shared" si="1191"/>
        <v>0.13604423042625291</v>
      </c>
      <c r="NC81" s="39">
        <f t="shared" si="1191"/>
        <v>0.15377054045031344</v>
      </c>
      <c r="ND81" s="39">
        <f t="shared" si="1191"/>
        <v>0.14456420266485615</v>
      </c>
      <c r="NE81" s="39">
        <f t="shared" si="1191"/>
        <v>0.14762563231870612</v>
      </c>
      <c r="NF81" s="39">
        <f t="shared" si="1191"/>
        <v>0.15421825926861846</v>
      </c>
      <c r="NG81" s="39">
        <f t="shared" si="1191"/>
        <v>0.16170187862117399</v>
      </c>
      <c r="NH81" s="39">
        <f t="shared" si="1191"/>
        <v>0.13429360175777949</v>
      </c>
      <c r="NI81" s="39">
        <f t="shared" si="1191"/>
        <v>0.12669212079139189</v>
      </c>
      <c r="NJ81" s="39">
        <f t="shared" si="1191"/>
        <v>0.15110456553755522</v>
      </c>
      <c r="NK81" s="39">
        <f t="shared" si="1191"/>
        <v>0.14109185149016884</v>
      </c>
      <c r="NL81" s="39">
        <f t="shared" ref="NL81:NN81" si="1192">IFERROR(NL18/NL60,0)</f>
        <v>0.13084313725490196</v>
      </c>
      <c r="NM81" s="39">
        <f t="shared" si="1192"/>
        <v>0.13710977878850528</v>
      </c>
      <c r="NN81" s="39">
        <f t="shared" si="1192"/>
        <v>0.14111927855146661</v>
      </c>
      <c r="NO81" s="39">
        <f t="shared" ref="NO81" si="1193">IFERROR(NO18/NO60,0)</f>
        <v>0.13043983094143327</v>
      </c>
      <c r="NP81" s="39">
        <v>0.106853762200722</v>
      </c>
      <c r="NQ81" s="39">
        <v>0</v>
      </c>
      <c r="NR81" s="39">
        <v>5.25770637549497E-2</v>
      </c>
      <c r="NS81" s="39">
        <v>9.6327471080598095E-2</v>
      </c>
      <c r="NT81" s="39">
        <v>0.105107764983761</v>
      </c>
      <c r="NU81" s="39">
        <v>0.14397717032141799</v>
      </c>
      <c r="NV81" s="39">
        <v>9.44675038091735E-2</v>
      </c>
      <c r="NW81" s="39">
        <v>9.0520498771962998E-2</v>
      </c>
      <c r="NX81" s="39">
        <v>8.3994954366698807E-2</v>
      </c>
      <c r="NY81" s="39">
        <v>8.7478079650291002E-2</v>
      </c>
      <c r="NZ81" s="39">
        <v>9.6793253478003993E-2</v>
      </c>
      <c r="OA81" s="39">
        <v>9.1890542606633596E-2</v>
      </c>
      <c r="OB81" s="39">
        <v>9.7221198496351399E-2</v>
      </c>
      <c r="OC81" s="39">
        <v>8.6293485831592104E-2</v>
      </c>
      <c r="OD81" s="39">
        <v>7.9395465994962194E-2</v>
      </c>
      <c r="OE81" s="39">
        <v>6.6069221260815797E-2</v>
      </c>
      <c r="OF81" s="39">
        <v>6.2731697882079898E-2</v>
      </c>
      <c r="OG81" s="39">
        <v>7.2367337527586506E-2</v>
      </c>
      <c r="OH81" s="39">
        <v>6.7474111749423707E-2</v>
      </c>
      <c r="OI81" s="39">
        <v>7.9812206572769995E-2</v>
      </c>
      <c r="OJ81" s="39">
        <v>6.0276103441571097E-2</v>
      </c>
      <c r="OK81" s="39">
        <v>5.3079341594229702E-2</v>
      </c>
      <c r="OL81" s="39">
        <v>5.1102724786206401E-2</v>
      </c>
      <c r="OM81" s="39">
        <v>4.8844629895858901E-2</v>
      </c>
      <c r="ON81" s="39">
        <v>4.6892775881683703E-2</v>
      </c>
      <c r="OO81" s="39">
        <v>4.8829701372074298E-2</v>
      </c>
      <c r="OP81" s="39">
        <v>4.9877225291589902E-2</v>
      </c>
      <c r="OQ81" s="39">
        <v>4.33686813448095E-2</v>
      </c>
      <c r="OR81" s="39">
        <v>3.8341924764623198E-2</v>
      </c>
      <c r="OS81" s="39">
        <f t="shared" ref="OS81" si="1194">IFERROR(OS18/OS60,0)</f>
        <v>3.5454024400229267E-2</v>
      </c>
      <c r="OT81" s="39">
        <f t="shared" si="156"/>
        <v>2.9261877363143184E-2</v>
      </c>
      <c r="OU81" s="39">
        <v>2.93351848637389E-2</v>
      </c>
      <c r="OV81" s="39">
        <v>3.0350978135788301E-2</v>
      </c>
      <c r="OW81" s="39">
        <v>3.2205080072740103E-2</v>
      </c>
      <c r="OX81" s="39">
        <v>2.80679174298302E-2</v>
      </c>
      <c r="OY81" s="39">
        <v>2.69888306359699E-2</v>
      </c>
      <c r="OZ81" s="39">
        <v>2.65126657041607E-2</v>
      </c>
      <c r="PA81" s="39">
        <v>2.4371870430274299E-2</v>
      </c>
      <c r="PB81" s="39">
        <v>2.2263194284397301E-2</v>
      </c>
      <c r="PC81" s="39">
        <v>2.4939108334215799E-2</v>
      </c>
      <c r="PD81" s="39">
        <v>2.8961240310077501E-2</v>
      </c>
      <c r="PE81" s="39">
        <v>2.4304125228035101E-2</v>
      </c>
      <c r="PF81" s="39">
        <v>2.2100356457362198E-2</v>
      </c>
      <c r="PG81" s="39">
        <v>1.93376068376068E-2</v>
      </c>
      <c r="PH81" s="39">
        <v>1.4493470518401301E-2</v>
      </c>
      <c r="PI81" s="39">
        <v>1.74191610771849E-2</v>
      </c>
      <c r="PJ81" s="39">
        <v>1.7099396800419601E-2</v>
      </c>
      <c r="PK81" s="39">
        <v>1.59480212640284E-2</v>
      </c>
      <c r="PL81" s="39">
        <v>1.3526145048661099E-2</v>
      </c>
      <c r="PM81" s="39">
        <v>0</v>
      </c>
      <c r="PN81" s="39">
        <v>0</v>
      </c>
      <c r="PO81" s="39">
        <v>4.8277486206432501E-3</v>
      </c>
      <c r="PP81" s="39">
        <v>1.63633658947786E-2</v>
      </c>
      <c r="PQ81" s="39">
        <v>1.33749442710655E-2</v>
      </c>
      <c r="PR81" s="39">
        <v>1.6555822838545401E-2</v>
      </c>
      <c r="PS81" s="39">
        <v>1.01432313436995E-2</v>
      </c>
      <c r="PT81" s="39">
        <v>0</v>
      </c>
      <c r="PU81" s="39">
        <v>4.1713388652164203E-3</v>
      </c>
      <c r="PV81" s="39">
        <v>8.5140039080673705E-3</v>
      </c>
      <c r="PW81" s="39">
        <v>7.3848827106863602E-3</v>
      </c>
      <c r="PX81" s="39">
        <v>7.6900325347530303E-3</v>
      </c>
      <c r="PY81" s="39">
        <v>9.2278463834984392E-3</v>
      </c>
      <c r="PZ81" s="39">
        <v>7.7701778385772897E-3</v>
      </c>
      <c r="QA81" s="39">
        <v>6.6454013822434899E-3</v>
      </c>
      <c r="QB81" s="39">
        <v>5.1656169287235499E-3</v>
      </c>
      <c r="QC81" s="39">
        <v>0</v>
      </c>
      <c r="QD81" s="39">
        <v>2.13514497149096E-3</v>
      </c>
      <c r="QE81" s="39">
        <v>5.9111060588837097E-3</v>
      </c>
      <c r="QF81" s="39">
        <v>5.7449253159708898E-3</v>
      </c>
      <c r="QG81" s="39">
        <v>4.4704264099037104E-3</v>
      </c>
      <c r="QH81" s="39">
        <v>4.1077133728890901E-3</v>
      </c>
      <c r="QI81" s="39">
        <v>3.2368905930979502E-3</v>
      </c>
      <c r="QJ81" s="39">
        <v>3.7050195401715498E-3</v>
      </c>
      <c r="QK81" s="39">
        <v>3.2683183974696901E-3</v>
      </c>
      <c r="QL81" s="39">
        <v>3.7130126813663899E-3</v>
      </c>
      <c r="QM81" s="39">
        <v>4.3074637950241404E-3</v>
      </c>
      <c r="QN81" s="39">
        <v>0</v>
      </c>
      <c r="QO81" s="39">
        <v>1.9780219780219802E-3</v>
      </c>
      <c r="QP81" s="39">
        <v>3.9461592518514497E-3</v>
      </c>
      <c r="QQ81" s="39">
        <v>3.9570378745053701E-3</v>
      </c>
      <c r="QR81" s="39">
        <v>0</v>
      </c>
      <c r="QS81" s="39">
        <v>2.32681432610745E-3</v>
      </c>
      <c r="QT81" s="39">
        <v>4.4610209156062596E-3</v>
      </c>
      <c r="QU81" s="39">
        <v>4.9197466330484002E-3</v>
      </c>
      <c r="QV81" s="39">
        <v>4.5182252005279699E-3</v>
      </c>
      <c r="QW81" s="39">
        <v>3.9790575916230399E-3</v>
      </c>
      <c r="QX81" s="39">
        <v>0</v>
      </c>
      <c r="QY81" s="39">
        <v>0</v>
      </c>
      <c r="QZ81" s="39">
        <v>2.2799736378048101E-3</v>
      </c>
      <c r="RA81" s="39">
        <v>9.3265581784267096E-3</v>
      </c>
      <c r="RB81" s="39">
        <v>1.2977222551289601E-2</v>
      </c>
      <c r="RC81" s="39">
        <v>0</v>
      </c>
      <c r="RD81" s="39">
        <v>0</v>
      </c>
      <c r="RE81" s="39">
        <v>7.0111969862317403E-3</v>
      </c>
      <c r="RF81" s="39">
        <v>0</v>
      </c>
      <c r="RG81" s="39">
        <v>1.4873866402718001E-2</v>
      </c>
      <c r="RH81" s="39">
        <v>0</v>
      </c>
      <c r="RI81" s="39">
        <v>2.49690146663912E-2</v>
      </c>
      <c r="RJ81" s="39">
        <v>0</v>
      </c>
      <c r="RK81" s="39">
        <v>0</v>
      </c>
      <c r="RL81" s="39">
        <v>0</v>
      </c>
      <c r="RM81" s="39">
        <v>1.7600785991765198E-2</v>
      </c>
      <c r="RN81" s="39">
        <v>0</v>
      </c>
      <c r="RO81" s="39">
        <v>3.4684545031778001E-2</v>
      </c>
      <c r="RP81" s="39">
        <v>6.8440691280439905E-2</v>
      </c>
      <c r="RQ81" s="39">
        <v>7.1664339215437398E-2</v>
      </c>
      <c r="RR81" s="39">
        <v>7.4949449561896198E-2</v>
      </c>
      <c r="RS81" s="39">
        <v>0</v>
      </c>
      <c r="RT81" s="39">
        <v>4.3059366802461203E-2</v>
      </c>
      <c r="RU81" s="39">
        <v>0</v>
      </c>
      <c r="RV81" s="39">
        <v>4.8394530649869399E-2</v>
      </c>
      <c r="RW81" s="39">
        <v>9.1548643895214304E-2</v>
      </c>
      <c r="RX81" s="39">
        <v>8.2836401348198099E-2</v>
      </c>
      <c r="RY81" s="39">
        <v>0</v>
      </c>
      <c r="RZ81" s="39">
        <v>4.6464287665992698E-2</v>
      </c>
      <c r="SA81" s="39">
        <v>9.47237673489226E-2</v>
      </c>
      <c r="SB81" s="39">
        <v>0.104930828785379</v>
      </c>
      <c r="SC81" s="39">
        <v>0.108951870392999</v>
      </c>
      <c r="SD81" s="39">
        <v>0.109373855730502</v>
      </c>
      <c r="SE81" s="39">
        <v>9.3104817363684506E-2</v>
      </c>
      <c r="SF81" s="39">
        <v>9.3070426281838106E-2</v>
      </c>
      <c r="SG81" s="39">
        <v>0.108807000071139</v>
      </c>
      <c r="SH81" s="39">
        <v>0.108790955237656</v>
      </c>
      <c r="SI81" s="39">
        <v>9.3661598302687402E-2</v>
      </c>
      <c r="SJ81" s="39">
        <v>4.35111615588347E-2</v>
      </c>
      <c r="SK81" s="39">
        <v>8.8158927600990297E-2</v>
      </c>
      <c r="SL81" s="39">
        <v>8.5334216481757499E-2</v>
      </c>
      <c r="SM81" s="39">
        <v>7.9091059511334202E-2</v>
      </c>
      <c r="SN81" s="39">
        <v>7.8293430159990907E-2</v>
      </c>
      <c r="SO81" s="39">
        <v>7.8781821388676607E-2</v>
      </c>
      <c r="SP81" s="39">
        <v>9.1749982996667395E-2</v>
      </c>
      <c r="SQ81" s="39">
        <v>8.0947837150127197E-2</v>
      </c>
      <c r="SR81" s="39">
        <v>6.1516835129526701E-2</v>
      </c>
      <c r="SS81" s="39">
        <v>5.83435582822086E-2</v>
      </c>
      <c r="ST81" s="39">
        <v>0</v>
      </c>
      <c r="SU81" s="39">
        <v>2.5989990341557599E-2</v>
      </c>
      <c r="SV81" s="39">
        <v>0</v>
      </c>
      <c r="SW81" s="39">
        <v>2.7165151774995702E-2</v>
      </c>
      <c r="SX81" s="39">
        <v>5.34668590342018E-2</v>
      </c>
      <c r="SY81" s="39">
        <v>0</v>
      </c>
      <c r="SZ81" s="39">
        <v>0</v>
      </c>
      <c r="TA81" s="39">
        <v>0</v>
      </c>
      <c r="TB81" s="39">
        <v>0</v>
      </c>
      <c r="TC81" s="39">
        <v>0</v>
      </c>
      <c r="TD81" s="39">
        <v>0</v>
      </c>
      <c r="TE81" s="39">
        <v>0</v>
      </c>
      <c r="TF81" s="39">
        <v>0</v>
      </c>
      <c r="TG81" s="39">
        <v>0</v>
      </c>
      <c r="TH81" s="39">
        <v>0</v>
      </c>
      <c r="TI81" s="39">
        <v>0</v>
      </c>
      <c r="TJ81" s="39">
        <v>0</v>
      </c>
      <c r="TK81" s="39">
        <v>0</v>
      </c>
      <c r="TL81" s="39">
        <v>0</v>
      </c>
      <c r="TM81" s="39">
        <v>0</v>
      </c>
      <c r="TN81" s="39">
        <v>0</v>
      </c>
      <c r="TO81" s="39">
        <v>0</v>
      </c>
      <c r="TP81" s="39">
        <v>0</v>
      </c>
      <c r="TQ81" s="39">
        <v>0</v>
      </c>
      <c r="TR81" s="39">
        <v>0</v>
      </c>
      <c r="TS81" s="39">
        <v>0</v>
      </c>
      <c r="TT81" s="39">
        <v>0</v>
      </c>
      <c r="TU81" s="39">
        <v>0</v>
      </c>
      <c r="TV81" s="39">
        <v>0</v>
      </c>
      <c r="TW81" s="39">
        <v>0</v>
      </c>
      <c r="TX81" s="39">
        <v>0</v>
      </c>
      <c r="TY81" s="39">
        <v>0</v>
      </c>
      <c r="TZ81" s="39">
        <v>0</v>
      </c>
      <c r="UA81" s="39">
        <v>0</v>
      </c>
      <c r="UB81" s="39">
        <v>0</v>
      </c>
      <c r="UC81" s="39">
        <v>0</v>
      </c>
      <c r="UD81" s="39">
        <v>0</v>
      </c>
      <c r="UE81" s="39">
        <v>0</v>
      </c>
      <c r="UF81" s="39">
        <v>0</v>
      </c>
      <c r="UG81" s="39">
        <v>0</v>
      </c>
      <c r="UH81" s="45">
        <v>0</v>
      </c>
      <c r="UI81" s="45">
        <v>0</v>
      </c>
      <c r="UJ81" s="45">
        <v>0</v>
      </c>
      <c r="UK81" s="45">
        <v>0</v>
      </c>
      <c r="UL81" s="45">
        <v>0</v>
      </c>
      <c r="UM81" s="45">
        <v>0</v>
      </c>
      <c r="UN81" s="45">
        <v>0</v>
      </c>
      <c r="UO81" s="45">
        <v>0</v>
      </c>
      <c r="UP81" s="45">
        <v>0</v>
      </c>
      <c r="UQ81" s="45">
        <v>0</v>
      </c>
      <c r="UR81" s="45">
        <v>0</v>
      </c>
      <c r="US81" s="45">
        <v>0</v>
      </c>
      <c r="UT81" s="45">
        <v>0</v>
      </c>
      <c r="UU81" s="45">
        <v>0</v>
      </c>
      <c r="UV81" s="45">
        <v>0</v>
      </c>
      <c r="UW81" s="45">
        <v>0</v>
      </c>
      <c r="UX81" s="45">
        <v>0</v>
      </c>
      <c r="UY81" s="45">
        <v>0</v>
      </c>
      <c r="UZ81" s="45">
        <v>0</v>
      </c>
      <c r="VA81" s="45">
        <v>0</v>
      </c>
      <c r="VB81" s="45">
        <v>0</v>
      </c>
      <c r="VC81" s="45">
        <v>0</v>
      </c>
      <c r="VD81" s="45">
        <v>0</v>
      </c>
      <c r="VE81" s="45">
        <v>0</v>
      </c>
      <c r="VF81" s="45">
        <v>0</v>
      </c>
      <c r="VG81" s="45">
        <v>0</v>
      </c>
      <c r="VH81" s="45">
        <v>0</v>
      </c>
      <c r="VI81" s="45">
        <v>0</v>
      </c>
      <c r="VJ81" s="45">
        <v>0</v>
      </c>
      <c r="VK81" s="45">
        <v>0</v>
      </c>
      <c r="VL81" s="45">
        <v>0</v>
      </c>
      <c r="VM81" s="45">
        <v>0</v>
      </c>
      <c r="VN81" s="45">
        <v>0</v>
      </c>
      <c r="VO81" s="45">
        <v>0</v>
      </c>
      <c r="VP81" s="45">
        <v>0</v>
      </c>
      <c r="VQ81" s="45">
        <v>0</v>
      </c>
      <c r="VR81" s="45">
        <v>0</v>
      </c>
      <c r="VS81" s="45">
        <v>0</v>
      </c>
      <c r="VT81" s="45">
        <v>0</v>
      </c>
      <c r="VU81" s="45">
        <v>0</v>
      </c>
      <c r="VV81" s="45">
        <v>0</v>
      </c>
      <c r="VW81" s="45">
        <v>0</v>
      </c>
      <c r="VX81" s="35">
        <v>0</v>
      </c>
      <c r="VY81" s="35">
        <v>0</v>
      </c>
      <c r="VZ81" s="35">
        <v>0</v>
      </c>
      <c r="WA81" s="35">
        <v>0</v>
      </c>
      <c r="WB81" s="35">
        <v>0</v>
      </c>
      <c r="WC81" s="35">
        <v>0</v>
      </c>
      <c r="WD81" s="35">
        <v>0</v>
      </c>
      <c r="WE81" s="35">
        <v>0</v>
      </c>
      <c r="WF81" s="35">
        <v>0</v>
      </c>
      <c r="WG81" s="35">
        <v>0</v>
      </c>
      <c r="WH81" s="35">
        <v>0</v>
      </c>
      <c r="WI81" s="35">
        <v>0</v>
      </c>
      <c r="WJ81" s="35">
        <v>0</v>
      </c>
      <c r="WK81" s="35">
        <v>0</v>
      </c>
      <c r="WL81" s="35">
        <v>0</v>
      </c>
      <c r="WM81" s="35">
        <v>0</v>
      </c>
      <c r="WN81" s="35">
        <v>0</v>
      </c>
      <c r="WO81" s="35">
        <v>0</v>
      </c>
      <c r="WP81" s="35">
        <v>0</v>
      </c>
      <c r="WQ81" s="35">
        <v>0</v>
      </c>
      <c r="WR81" s="35">
        <v>0</v>
      </c>
      <c r="WS81" s="35">
        <v>0</v>
      </c>
      <c r="WT81" s="35">
        <v>0</v>
      </c>
      <c r="WU81" s="35">
        <v>4.9367028834637603E-5</v>
      </c>
      <c r="WV81" s="45">
        <v>0</v>
      </c>
      <c r="WW81" s="45">
        <v>0</v>
      </c>
      <c r="WX81" s="45">
        <v>0</v>
      </c>
      <c r="WY81" s="45">
        <v>0</v>
      </c>
      <c r="WZ81" s="45">
        <v>0</v>
      </c>
      <c r="XA81" s="45">
        <v>0</v>
      </c>
      <c r="XB81" s="45">
        <v>0</v>
      </c>
      <c r="XC81" s="45">
        <v>0</v>
      </c>
      <c r="XD81" s="45">
        <v>0</v>
      </c>
      <c r="XE81" s="45">
        <v>0</v>
      </c>
      <c r="XF81" s="45">
        <v>0</v>
      </c>
      <c r="XG81" s="45">
        <v>0</v>
      </c>
      <c r="XH81" s="45">
        <v>0</v>
      </c>
      <c r="XI81" s="45">
        <v>0</v>
      </c>
      <c r="XJ81" s="45">
        <v>0</v>
      </c>
      <c r="XK81" s="45">
        <v>0</v>
      </c>
      <c r="XL81" s="45">
        <v>0</v>
      </c>
      <c r="XM81" s="45">
        <v>0</v>
      </c>
      <c r="XN81" s="45">
        <v>0</v>
      </c>
      <c r="XO81" s="45">
        <v>0</v>
      </c>
      <c r="XP81" s="45">
        <v>0</v>
      </c>
      <c r="XQ81" s="45">
        <v>0</v>
      </c>
      <c r="XR81" s="45">
        <v>0</v>
      </c>
      <c r="XS81" s="45">
        <v>0</v>
      </c>
      <c r="XT81" s="45">
        <v>0</v>
      </c>
      <c r="XU81" s="45">
        <v>0</v>
      </c>
      <c r="XV81" s="45">
        <v>0</v>
      </c>
      <c r="XW81" s="45">
        <v>0</v>
      </c>
      <c r="XX81" s="45">
        <v>0</v>
      </c>
      <c r="XY81">
        <v>0</v>
      </c>
      <c r="XZ81">
        <v>0</v>
      </c>
      <c r="YA81">
        <v>0</v>
      </c>
      <c r="YB81">
        <v>0</v>
      </c>
      <c r="YC81">
        <v>0</v>
      </c>
      <c r="YD81">
        <v>0</v>
      </c>
      <c r="YE81">
        <v>0</v>
      </c>
      <c r="YF81" s="1">
        <v>0</v>
      </c>
      <c r="YG81" s="1">
        <v>0</v>
      </c>
      <c r="YH81" s="1">
        <v>0</v>
      </c>
      <c r="YI81" s="1">
        <v>0</v>
      </c>
      <c r="YJ81">
        <v>0</v>
      </c>
      <c r="YK81">
        <v>0</v>
      </c>
      <c r="YL81">
        <v>0</v>
      </c>
      <c r="YM81">
        <v>0</v>
      </c>
      <c r="YN81">
        <v>0</v>
      </c>
      <c r="YO81">
        <v>0</v>
      </c>
      <c r="YP81">
        <v>0</v>
      </c>
      <c r="YQ81">
        <v>0</v>
      </c>
      <c r="YR81">
        <v>4.3861152040571602E-4</v>
      </c>
      <c r="YS81">
        <v>0</v>
      </c>
      <c r="YT81">
        <v>0</v>
      </c>
      <c r="YU81">
        <v>0</v>
      </c>
      <c r="YV81">
        <v>0</v>
      </c>
      <c r="YW81">
        <v>0</v>
      </c>
      <c r="YX81">
        <v>0</v>
      </c>
      <c r="YY81">
        <v>0</v>
      </c>
      <c r="YZ81">
        <v>0</v>
      </c>
      <c r="ZA81">
        <v>0</v>
      </c>
      <c r="ZB81">
        <v>0</v>
      </c>
      <c r="ZC81">
        <v>0</v>
      </c>
      <c r="ZD81">
        <v>0</v>
      </c>
      <c r="ZE81">
        <v>0</v>
      </c>
      <c r="ZF81">
        <v>0</v>
      </c>
      <c r="ZG81">
        <v>0</v>
      </c>
      <c r="ZH81">
        <v>0</v>
      </c>
      <c r="ZI81">
        <v>0</v>
      </c>
      <c r="ZJ81">
        <v>0</v>
      </c>
      <c r="ZK81">
        <v>0</v>
      </c>
      <c r="ZL81">
        <v>0</v>
      </c>
      <c r="ZM81">
        <v>0</v>
      </c>
      <c r="ZN81">
        <v>0</v>
      </c>
      <c r="ZO81">
        <v>0</v>
      </c>
      <c r="ZP81">
        <v>0</v>
      </c>
      <c r="ZQ81">
        <v>0</v>
      </c>
      <c r="ZR81">
        <v>0</v>
      </c>
      <c r="ZS81">
        <v>0</v>
      </c>
      <c r="ZT81">
        <v>0</v>
      </c>
      <c r="ZU81">
        <v>1.09266715562275E-3</v>
      </c>
      <c r="ZV81">
        <v>0</v>
      </c>
      <c r="ZW81">
        <v>0</v>
      </c>
      <c r="ZX81">
        <v>0</v>
      </c>
      <c r="ZY81">
        <v>0</v>
      </c>
      <c r="ZZ81">
        <v>0</v>
      </c>
      <c r="AAA81">
        <v>0</v>
      </c>
      <c r="AAB81">
        <v>0</v>
      </c>
      <c r="AAC81">
        <v>0</v>
      </c>
      <c r="AAD81">
        <v>0</v>
      </c>
      <c r="AAE81">
        <v>0</v>
      </c>
      <c r="AAF81">
        <v>0</v>
      </c>
      <c r="AAG81">
        <v>0</v>
      </c>
      <c r="AAH81">
        <v>0</v>
      </c>
      <c r="AAI81">
        <v>0</v>
      </c>
      <c r="AAJ81">
        <v>0</v>
      </c>
      <c r="AAK81">
        <v>0</v>
      </c>
      <c r="AAL81">
        <v>0</v>
      </c>
      <c r="AAM81">
        <v>0</v>
      </c>
      <c r="AAN81">
        <v>0</v>
      </c>
      <c r="AAO81">
        <v>0</v>
      </c>
      <c r="AAP81">
        <v>0</v>
      </c>
      <c r="AAQ81">
        <v>0</v>
      </c>
      <c r="AAR81">
        <v>0</v>
      </c>
      <c r="AAS81">
        <v>0</v>
      </c>
      <c r="AAT81">
        <v>0</v>
      </c>
      <c r="AAU81">
        <v>0</v>
      </c>
      <c r="AAV81">
        <v>0</v>
      </c>
      <c r="AAW81">
        <v>0</v>
      </c>
      <c r="AAX81">
        <v>0</v>
      </c>
      <c r="AAY81">
        <v>0</v>
      </c>
      <c r="AAZ81">
        <v>3.58637178720861E-4</v>
      </c>
      <c r="ABA81">
        <v>1.06186518928901E-2</v>
      </c>
      <c r="ABB81">
        <v>5.5629139072847699E-3</v>
      </c>
      <c r="ABC81">
        <v>0</v>
      </c>
      <c r="ABD81">
        <v>0</v>
      </c>
      <c r="ABE81">
        <v>3.0042918454935598E-3</v>
      </c>
      <c r="ABF81">
        <v>5.4054054054054099E-2</v>
      </c>
      <c r="ABG81">
        <v>6.9555912252541501E-3</v>
      </c>
      <c r="ABH81">
        <v>7.9920079920079903E-3</v>
      </c>
      <c r="ABI81">
        <v>5.2954292084726896E-3</v>
      </c>
      <c r="ABJ81">
        <v>0</v>
      </c>
      <c r="ABK81">
        <v>9.9009900990098994E-3</v>
      </c>
      <c r="ABL81">
        <v>9.2024539877300603E-3</v>
      </c>
      <c r="ABM81">
        <v>2.5974025974026E-3</v>
      </c>
      <c r="ABN81">
        <v>3.8338658146964901E-3</v>
      </c>
      <c r="ABO81">
        <v>7.5376884422110497E-3</v>
      </c>
      <c r="ABP81">
        <v>6.4456721915285503E-3</v>
      </c>
      <c r="ABQ81">
        <v>2.20507166482911E-3</v>
      </c>
      <c r="ABR81">
        <v>0</v>
      </c>
      <c r="ABS81">
        <v>4.9099836333878896E-3</v>
      </c>
      <c r="ABT81">
        <v>1.0857763300760001E-3</v>
      </c>
      <c r="ABU81">
        <v>7.2703238598810296E-3</v>
      </c>
      <c r="ABV81">
        <v>3.3936651583710399E-3</v>
      </c>
      <c r="ABW81">
        <v>2.3909145248057402E-3</v>
      </c>
      <c r="ABX81">
        <v>0</v>
      </c>
      <c r="ABY81">
        <v>0</v>
      </c>
      <c r="ABZ81">
        <v>0</v>
      </c>
      <c r="ACA81">
        <v>0</v>
      </c>
      <c r="ACB81">
        <v>3.3254156769596198E-3</v>
      </c>
      <c r="ACC81">
        <v>0</v>
      </c>
      <c r="ACD81">
        <v>0</v>
      </c>
      <c r="ACE81">
        <v>0</v>
      </c>
      <c r="ACF81">
        <v>0</v>
      </c>
      <c r="ACG81">
        <v>0</v>
      </c>
      <c r="ACH81">
        <v>0</v>
      </c>
      <c r="ACI81">
        <v>0</v>
      </c>
      <c r="ACJ81">
        <v>0</v>
      </c>
      <c r="ACK81">
        <v>0</v>
      </c>
      <c r="ACL81">
        <v>0</v>
      </c>
      <c r="ACM81">
        <v>0</v>
      </c>
      <c r="ACN81">
        <v>6.89179875947622E-4</v>
      </c>
      <c r="ACO81">
        <v>0</v>
      </c>
      <c r="ACP81">
        <v>0</v>
      </c>
      <c r="ACQ81">
        <v>0</v>
      </c>
      <c r="ACR81">
        <v>0</v>
      </c>
      <c r="ACS81">
        <v>0</v>
      </c>
      <c r="ACT81">
        <v>0</v>
      </c>
      <c r="ACU81">
        <v>0</v>
      </c>
      <c r="ACV81">
        <v>0</v>
      </c>
      <c r="ACW81">
        <v>0</v>
      </c>
      <c r="ACX81">
        <v>0</v>
      </c>
      <c r="ACY81">
        <v>0</v>
      </c>
      <c r="ACZ81">
        <v>0</v>
      </c>
      <c r="ADA81">
        <v>0</v>
      </c>
      <c r="ADB81">
        <v>0</v>
      </c>
      <c r="ADC81">
        <v>0</v>
      </c>
      <c r="ADD81">
        <v>0</v>
      </c>
      <c r="ADE81">
        <v>0</v>
      </c>
      <c r="ADF81">
        <v>0</v>
      </c>
      <c r="ADG81">
        <v>0</v>
      </c>
      <c r="ADH81">
        <v>0</v>
      </c>
      <c r="ADI81">
        <v>0</v>
      </c>
      <c r="ADJ81">
        <v>0</v>
      </c>
      <c r="ADK81">
        <v>0</v>
      </c>
      <c r="ADL81">
        <v>0</v>
      </c>
      <c r="ADM81">
        <v>0</v>
      </c>
      <c r="ADN81">
        <v>0</v>
      </c>
      <c r="ADO81">
        <v>0</v>
      </c>
      <c r="ADP81">
        <v>0</v>
      </c>
      <c r="ADQ81">
        <v>0</v>
      </c>
      <c r="ADR81">
        <v>1.4599149078167999E-4</v>
      </c>
      <c r="ADS81">
        <v>0</v>
      </c>
      <c r="ADT81">
        <v>0</v>
      </c>
      <c r="ADU81">
        <v>0</v>
      </c>
      <c r="ADV81">
        <v>0</v>
      </c>
      <c r="ADW81">
        <v>3.8491147036181701E-3</v>
      </c>
      <c r="ADX81">
        <v>0</v>
      </c>
      <c r="ADY81">
        <v>0</v>
      </c>
      <c r="ADZ81">
        <v>0</v>
      </c>
      <c r="AEA81">
        <v>0</v>
      </c>
      <c r="AEB81">
        <v>0</v>
      </c>
      <c r="AEC81">
        <v>0</v>
      </c>
      <c r="AED81">
        <v>0</v>
      </c>
      <c r="AEE81">
        <v>0</v>
      </c>
      <c r="AEF81">
        <v>0</v>
      </c>
      <c r="AEG81">
        <v>0</v>
      </c>
      <c r="AEH81">
        <v>0</v>
      </c>
      <c r="AEI81">
        <v>0</v>
      </c>
      <c r="AEJ81">
        <v>0</v>
      </c>
      <c r="AEK81">
        <v>0</v>
      </c>
      <c r="AEL81">
        <v>0</v>
      </c>
      <c r="AEM81">
        <v>0</v>
      </c>
      <c r="AEN81">
        <v>0</v>
      </c>
      <c r="AEO81">
        <v>0</v>
      </c>
      <c r="AEP81">
        <v>0</v>
      </c>
      <c r="AEQ81">
        <v>0</v>
      </c>
      <c r="AER81">
        <v>5.2570970810594299E-4</v>
      </c>
      <c r="AES81">
        <v>0</v>
      </c>
      <c r="AET81">
        <v>0</v>
      </c>
      <c r="AEU81">
        <v>0</v>
      </c>
      <c r="AEV81">
        <v>0</v>
      </c>
      <c r="AEW81">
        <v>0</v>
      </c>
      <c r="AEX81">
        <v>0</v>
      </c>
      <c r="AEY81">
        <v>0</v>
      </c>
      <c r="AEZ81">
        <v>0</v>
      </c>
      <c r="AFA81">
        <v>0</v>
      </c>
      <c r="AFB81">
        <v>0</v>
      </c>
      <c r="AFC81">
        <v>0</v>
      </c>
      <c r="AFD81">
        <v>0</v>
      </c>
      <c r="AFE81">
        <v>7.9707738292925899E-3</v>
      </c>
      <c r="AFF81">
        <v>0</v>
      </c>
      <c r="AFG81">
        <v>0</v>
      </c>
      <c r="AFH81">
        <v>0</v>
      </c>
      <c r="AFI81">
        <v>0</v>
      </c>
      <c r="AFJ81">
        <v>0</v>
      </c>
      <c r="AFK81">
        <v>0</v>
      </c>
      <c r="AFL81">
        <v>0</v>
      </c>
      <c r="AFM81">
        <v>0</v>
      </c>
      <c r="AFN81">
        <v>0</v>
      </c>
      <c r="AFO81">
        <v>0</v>
      </c>
      <c r="AFP81">
        <v>0</v>
      </c>
      <c r="AFQ81">
        <v>0</v>
      </c>
      <c r="AFR81">
        <v>0</v>
      </c>
      <c r="AFS81">
        <v>0</v>
      </c>
      <c r="AFT81">
        <v>0</v>
      </c>
      <c r="AFU81">
        <v>0</v>
      </c>
      <c r="AFV81">
        <v>0</v>
      </c>
      <c r="AFW81">
        <v>0</v>
      </c>
      <c r="AFX81">
        <v>0</v>
      </c>
      <c r="AFY81">
        <v>0</v>
      </c>
      <c r="AFZ81">
        <v>0</v>
      </c>
      <c r="AGA81">
        <v>5.0670228937307101E-4</v>
      </c>
      <c r="AGB81">
        <v>0</v>
      </c>
      <c r="AGC81">
        <v>0</v>
      </c>
      <c r="AGD81">
        <v>0</v>
      </c>
      <c r="AGE81">
        <v>0</v>
      </c>
      <c r="AGF81">
        <v>0</v>
      </c>
      <c r="AGG81">
        <v>0</v>
      </c>
      <c r="AGH81">
        <v>0</v>
      </c>
      <c r="AGI81">
        <v>0</v>
      </c>
      <c r="AGJ81">
        <v>0</v>
      </c>
      <c r="AGK81">
        <v>0</v>
      </c>
      <c r="AGL81">
        <v>0</v>
      </c>
      <c r="AGM81">
        <v>0</v>
      </c>
      <c r="AGN81">
        <v>0</v>
      </c>
      <c r="AGO81">
        <v>3.6046427799005102E-4</v>
      </c>
      <c r="AGP81">
        <v>0</v>
      </c>
      <c r="AGQ81">
        <v>0</v>
      </c>
      <c r="AGR81">
        <v>0</v>
      </c>
      <c r="AGS81">
        <v>0</v>
      </c>
      <c r="AGT81">
        <v>0</v>
      </c>
      <c r="AGU81">
        <v>0</v>
      </c>
      <c r="AGV81">
        <v>0</v>
      </c>
      <c r="AGW81">
        <v>0</v>
      </c>
      <c r="AGX81">
        <v>0</v>
      </c>
      <c r="AGY81">
        <v>0</v>
      </c>
      <c r="AGZ81">
        <v>0</v>
      </c>
      <c r="AHA81">
        <v>0</v>
      </c>
      <c r="AHB81">
        <v>0</v>
      </c>
      <c r="AHC81">
        <v>2.0635575732562898E-3</v>
      </c>
      <c r="AHD81">
        <v>0</v>
      </c>
      <c r="AHE81">
        <v>0</v>
      </c>
      <c r="AHF81">
        <v>0</v>
      </c>
      <c r="AHG81">
        <v>0</v>
      </c>
      <c r="AHH81">
        <v>0</v>
      </c>
      <c r="AHI81">
        <v>0</v>
      </c>
      <c r="AHJ81">
        <v>0</v>
      </c>
      <c r="AHK81">
        <v>2.4948024948024902E-3</v>
      </c>
      <c r="AHL81">
        <v>0</v>
      </c>
      <c r="AHM81">
        <v>0</v>
      </c>
      <c r="AHN81">
        <v>0</v>
      </c>
      <c r="AHO81">
        <v>0</v>
      </c>
      <c r="AHP81">
        <v>0</v>
      </c>
      <c r="AHQ81">
        <v>0</v>
      </c>
    </row>
    <row r="82" spans="1:901">
      <c r="A82" s="1" t="s">
        <v>114</v>
      </c>
      <c r="C82" s="39">
        <f t="shared" si="157"/>
        <v>0</v>
      </c>
      <c r="D82" s="39">
        <f t="shared" si="157"/>
        <v>0</v>
      </c>
      <c r="E82" s="39">
        <f t="shared" si="157"/>
        <v>0</v>
      </c>
      <c r="F82" s="39">
        <f t="shared" si="157"/>
        <v>0</v>
      </c>
      <c r="G82" s="39">
        <f t="shared" si="222"/>
        <v>5.1020408163265302E-3</v>
      </c>
      <c r="H82" s="39">
        <f t="shared" si="222"/>
        <v>3.7037037037037035E-2</v>
      </c>
      <c r="I82" s="39">
        <f t="shared" si="222"/>
        <v>0</v>
      </c>
      <c r="J82" s="39">
        <f t="shared" si="222"/>
        <v>0.15492957746478872</v>
      </c>
      <c r="K82" s="39">
        <f t="shared" si="222"/>
        <v>4.8929663608562692E-2</v>
      </c>
      <c r="L82" s="39">
        <f t="shared" si="222"/>
        <v>3.2629558541266791E-2</v>
      </c>
      <c r="M82" s="39">
        <f t="shared" si="222"/>
        <v>0</v>
      </c>
      <c r="N82" s="39">
        <f t="shared" si="222"/>
        <v>0</v>
      </c>
      <c r="O82" s="39">
        <f t="shared" si="222"/>
        <v>0</v>
      </c>
      <c r="P82" s="39">
        <f t="shared" si="222"/>
        <v>4.9342105263157895E-2</v>
      </c>
      <c r="Q82" s="39">
        <f t="shared" si="222"/>
        <v>0</v>
      </c>
      <c r="R82" s="39">
        <f t="shared" si="222"/>
        <v>4.6116504854368932E-2</v>
      </c>
      <c r="S82" s="39">
        <f t="shared" si="222"/>
        <v>0</v>
      </c>
      <c r="T82" s="39">
        <f t="shared" si="222"/>
        <v>3.7383177570093455E-2</v>
      </c>
      <c r="U82" s="39">
        <f t="shared" si="222"/>
        <v>5.5276381909547742E-2</v>
      </c>
      <c r="V82" s="39">
        <f t="shared" ref="V82:AY82" si="1195">IFERROR(V19/V61,0)</f>
        <v>0</v>
      </c>
      <c r="W82" s="39">
        <f t="shared" si="1195"/>
        <v>0</v>
      </c>
      <c r="X82" s="39">
        <f t="shared" si="1195"/>
        <v>0</v>
      </c>
      <c r="Y82" s="39">
        <f t="shared" si="1195"/>
        <v>0</v>
      </c>
      <c r="Z82" s="39">
        <f t="shared" si="1195"/>
        <v>0</v>
      </c>
      <c r="AA82" s="39">
        <f t="shared" si="1195"/>
        <v>0</v>
      </c>
      <c r="AB82" s="39">
        <f t="shared" si="1195"/>
        <v>0</v>
      </c>
      <c r="AC82" s="39">
        <f t="shared" si="1195"/>
        <v>0</v>
      </c>
      <c r="AD82" s="39">
        <f t="shared" si="1195"/>
        <v>0</v>
      </c>
      <c r="AE82" s="39">
        <f t="shared" si="1195"/>
        <v>0</v>
      </c>
      <c r="AF82" s="39">
        <f t="shared" si="1195"/>
        <v>2.8999064546304958E-2</v>
      </c>
      <c r="AG82" s="39">
        <f t="shared" si="1195"/>
        <v>1.0610079575596816E-2</v>
      </c>
      <c r="AH82" s="39">
        <f t="shared" si="1195"/>
        <v>0</v>
      </c>
      <c r="AI82" s="39">
        <f t="shared" si="1195"/>
        <v>0</v>
      </c>
      <c r="AJ82" s="39">
        <f t="shared" si="1195"/>
        <v>0</v>
      </c>
      <c r="AK82" s="39">
        <f t="shared" si="1195"/>
        <v>6.2360801781737196E-2</v>
      </c>
      <c r="AL82" s="39">
        <f t="shared" si="1195"/>
        <v>2.0202020202020204E-2</v>
      </c>
      <c r="AM82" s="39">
        <f t="shared" si="1195"/>
        <v>0</v>
      </c>
      <c r="AN82" s="39">
        <f t="shared" si="1195"/>
        <v>0</v>
      </c>
      <c r="AO82" s="39">
        <f t="shared" si="1195"/>
        <v>0</v>
      </c>
      <c r="AP82" s="39">
        <f t="shared" si="1195"/>
        <v>0.16279069767441862</v>
      </c>
      <c r="AQ82" s="39">
        <f t="shared" si="1195"/>
        <v>3.2085561497326207E-2</v>
      </c>
      <c r="AR82" s="39">
        <f t="shared" si="1195"/>
        <v>9.166666666666666E-2</v>
      </c>
      <c r="AS82" s="39">
        <f t="shared" si="1195"/>
        <v>0</v>
      </c>
      <c r="AT82" s="39">
        <f t="shared" si="1195"/>
        <v>0</v>
      </c>
      <c r="AU82" s="39">
        <f t="shared" si="1195"/>
        <v>0</v>
      </c>
      <c r="AV82" s="39">
        <f t="shared" si="1195"/>
        <v>0</v>
      </c>
      <c r="AW82" s="39">
        <f t="shared" si="1195"/>
        <v>0</v>
      </c>
      <c r="AX82" s="39">
        <f t="shared" si="1195"/>
        <v>5.1008303677342826E-2</v>
      </c>
      <c r="AY82" s="39">
        <f t="shared" si="1195"/>
        <v>0.16666666666666666</v>
      </c>
      <c r="AZ82" s="39">
        <f t="shared" si="1131"/>
        <v>0</v>
      </c>
      <c r="BA82" s="39">
        <f t="shared" ref="BA82:BF82" si="1196">IFERROR(BA19/BA61,0)</f>
        <v>0</v>
      </c>
      <c r="BB82" s="39">
        <f t="shared" si="1196"/>
        <v>0</v>
      </c>
      <c r="BC82" s="39">
        <f t="shared" si="1196"/>
        <v>0</v>
      </c>
      <c r="BD82" s="39">
        <f t="shared" si="1196"/>
        <v>0</v>
      </c>
      <c r="BE82" s="39">
        <f t="shared" si="1196"/>
        <v>0</v>
      </c>
      <c r="BF82" s="39">
        <f t="shared" si="1196"/>
        <v>0</v>
      </c>
      <c r="BG82" s="39">
        <f t="shared" ref="BG82" si="1197">IFERROR(BG19/BG61,0)</f>
        <v>0</v>
      </c>
      <c r="BH82" s="39">
        <f t="shared" si="1133"/>
        <v>0</v>
      </c>
      <c r="BI82" s="39">
        <f t="shared" si="1133"/>
        <v>0</v>
      </c>
      <c r="BJ82" s="39">
        <f t="shared" si="1133"/>
        <v>0</v>
      </c>
      <c r="BK82" s="39">
        <f t="shared" si="1133"/>
        <v>0</v>
      </c>
      <c r="BL82" s="39">
        <f t="shared" ref="BL82:BM82" si="1198">IFERROR(BL19/BL61,0)</f>
        <v>0</v>
      </c>
      <c r="BM82" s="39">
        <f t="shared" si="1198"/>
        <v>1.0234798314268514E-2</v>
      </c>
      <c r="BN82" s="39">
        <f t="shared" ref="BN82:BO82" si="1199">IFERROR(BN19/BN61,0)</f>
        <v>0</v>
      </c>
      <c r="BO82" s="39">
        <f t="shared" si="1199"/>
        <v>0</v>
      </c>
      <c r="BP82" s="39">
        <f t="shared" ref="BP82:BQ82" si="1200">IFERROR(BP19/BP61,0)</f>
        <v>0</v>
      </c>
      <c r="BQ82" s="39">
        <f t="shared" si="1200"/>
        <v>0</v>
      </c>
      <c r="BR82" s="39">
        <f t="shared" ref="BR82:BS82" si="1201">IFERROR(BR19/BR61,0)</f>
        <v>0</v>
      </c>
      <c r="BS82" s="39">
        <f t="shared" si="1201"/>
        <v>0</v>
      </c>
      <c r="BT82" s="39">
        <f t="shared" ref="BT82:BU82" si="1202">IFERROR(BT19/BT61,0)</f>
        <v>0</v>
      </c>
      <c r="BU82" s="39">
        <f t="shared" si="1202"/>
        <v>0</v>
      </c>
      <c r="BV82" s="39">
        <f t="shared" ref="BV82:BW82" si="1203">IFERROR(BV19/BV61,0)</f>
        <v>0</v>
      </c>
      <c r="BW82" s="39">
        <f t="shared" si="1203"/>
        <v>0</v>
      </c>
      <c r="BX82" s="39">
        <f t="shared" ref="BX82:BY82" si="1204">IFERROR(BX19/BX61,0)</f>
        <v>0</v>
      </c>
      <c r="BY82" s="39">
        <f t="shared" si="1204"/>
        <v>0</v>
      </c>
      <c r="BZ82" s="39">
        <f t="shared" ref="BZ82:CA82" si="1205">IFERROR(BZ19/BZ61,0)</f>
        <v>0</v>
      </c>
      <c r="CA82" s="39">
        <f t="shared" si="1205"/>
        <v>0</v>
      </c>
      <c r="CB82" s="39">
        <f t="shared" ref="CB82:CC82" si="1206">IFERROR(CB19/CB61,0)</f>
        <v>0</v>
      </c>
      <c r="CC82" s="39">
        <f t="shared" si="1206"/>
        <v>0</v>
      </c>
      <c r="CD82" s="39">
        <f t="shared" ref="CD82:CE82" si="1207">IFERROR(CD19/CD61,0)</f>
        <v>0</v>
      </c>
      <c r="CE82" s="39">
        <f t="shared" si="1207"/>
        <v>0</v>
      </c>
      <c r="CF82" s="39">
        <f t="shared" ref="CF82:CG82" si="1208">IFERROR(CF19/CF61,0)</f>
        <v>0</v>
      </c>
      <c r="CG82" s="39">
        <f t="shared" si="1208"/>
        <v>0</v>
      </c>
      <c r="CH82" s="39">
        <f t="shared" ref="CH82:CI82" si="1209">IFERROR(CH19/CH61,0)</f>
        <v>0</v>
      </c>
      <c r="CI82" s="39">
        <f t="shared" si="1209"/>
        <v>0</v>
      </c>
      <c r="CJ82" s="39">
        <f t="shared" ref="CJ82:CK82" si="1210">IFERROR(CJ19/CJ61,0)</f>
        <v>0</v>
      </c>
      <c r="CK82" s="39">
        <f t="shared" si="1210"/>
        <v>0</v>
      </c>
      <c r="CL82" s="39">
        <f t="shared" ref="CL82:CM82" si="1211">IFERROR(CL19/CL61,0)</f>
        <v>0</v>
      </c>
      <c r="CM82" s="39">
        <f t="shared" si="1211"/>
        <v>0</v>
      </c>
      <c r="CN82" s="39">
        <f t="shared" ref="CN82:CO82" si="1212">IFERROR(CN19/CN61,0)</f>
        <v>0</v>
      </c>
      <c r="CO82" s="39">
        <f t="shared" si="1212"/>
        <v>0</v>
      </c>
      <c r="CP82" s="39">
        <f t="shared" ref="CP82:CQ82" si="1213">IFERROR(CP19/CP61,0)</f>
        <v>0</v>
      </c>
      <c r="CQ82" s="39">
        <f t="shared" si="1213"/>
        <v>5.7382476274553075E-3</v>
      </c>
      <c r="CR82" s="39">
        <f t="shared" ref="CR82:CS82" si="1214">IFERROR(CR19/CR61,0)</f>
        <v>0</v>
      </c>
      <c r="CS82" s="39">
        <f t="shared" si="1214"/>
        <v>0</v>
      </c>
      <c r="CT82" s="39">
        <f t="shared" ref="CT82:CU82" si="1215">IFERROR(CT19/CT61,0)</f>
        <v>0</v>
      </c>
      <c r="CU82" s="39">
        <f t="shared" si="1215"/>
        <v>0</v>
      </c>
      <c r="CV82" s="39">
        <f t="shared" ref="CV82:CW82" si="1216">IFERROR(CV19/CV61,0)</f>
        <v>0</v>
      </c>
      <c r="CW82" s="39">
        <f t="shared" si="1216"/>
        <v>0</v>
      </c>
      <c r="CX82" s="39">
        <f t="shared" ref="CX82:CY82" si="1217">IFERROR(CX19/CX61,0)</f>
        <v>0</v>
      </c>
      <c r="CY82" s="39">
        <f t="shared" si="1217"/>
        <v>0</v>
      </c>
      <c r="CZ82" s="39">
        <f t="shared" ref="CZ82:DA82" si="1218">IFERROR(CZ19/CZ61,0)</f>
        <v>0</v>
      </c>
      <c r="DA82" s="39">
        <f t="shared" si="1218"/>
        <v>0</v>
      </c>
      <c r="DB82" s="39">
        <f t="shared" ref="DB82:DC82" si="1219">IFERROR(DB19/DB61,0)</f>
        <v>0</v>
      </c>
      <c r="DC82" s="39">
        <f t="shared" si="1219"/>
        <v>0</v>
      </c>
      <c r="DD82" s="39">
        <f t="shared" ref="DD82:DE82" si="1220">IFERROR(DD19/DD61,0)</f>
        <v>0</v>
      </c>
      <c r="DE82" s="39">
        <f t="shared" si="1220"/>
        <v>0</v>
      </c>
      <c r="DF82" s="39">
        <f t="shared" ref="DF82:DG82" si="1221">IFERROR(DF19/DF61,0)</f>
        <v>0</v>
      </c>
      <c r="DG82" s="39">
        <f t="shared" si="1221"/>
        <v>0</v>
      </c>
      <c r="DH82" s="39">
        <f t="shared" ref="DH82:DI82" si="1222">IFERROR(DH19/DH61,0)</f>
        <v>0</v>
      </c>
      <c r="DI82" s="39">
        <f t="shared" si="1222"/>
        <v>0</v>
      </c>
      <c r="DJ82" s="39">
        <f t="shared" ref="DJ82:DK82" si="1223">IFERROR(DJ19/DJ61,0)</f>
        <v>0</v>
      </c>
      <c r="DK82" s="39">
        <f t="shared" si="1223"/>
        <v>0</v>
      </c>
      <c r="DL82" s="39">
        <f t="shared" ref="DL82:DM82" si="1224">IFERROR(DL19/DL61,0)</f>
        <v>2.7409372236958444E-2</v>
      </c>
      <c r="DM82" s="39">
        <f t="shared" si="1224"/>
        <v>0</v>
      </c>
      <c r="DN82" s="39">
        <f t="shared" ref="DN82:DO82" si="1225">IFERROR(DN19/DN61,0)</f>
        <v>0</v>
      </c>
      <c r="DO82" s="39">
        <f t="shared" si="1225"/>
        <v>0</v>
      </c>
      <c r="DP82" s="39">
        <f t="shared" ref="DP82:DQ82" si="1226">IFERROR(DP19/DP61,0)</f>
        <v>8.7649402390438252E-2</v>
      </c>
      <c r="DQ82" s="39">
        <f t="shared" si="1226"/>
        <v>0</v>
      </c>
      <c r="DR82" s="39">
        <f t="shared" ref="DR82:DS82" si="1227">IFERROR(DR19/DR61,0)</f>
        <v>0</v>
      </c>
      <c r="DS82" s="39">
        <f t="shared" si="1227"/>
        <v>0</v>
      </c>
      <c r="DT82" s="39">
        <f t="shared" ref="DT82:DU82" si="1228">IFERROR(DT19/DT61,0)</f>
        <v>0</v>
      </c>
      <c r="DU82" s="39">
        <f t="shared" si="1228"/>
        <v>0</v>
      </c>
      <c r="DV82" s="39">
        <f t="shared" si="125"/>
        <v>0</v>
      </c>
      <c r="DW82" s="39">
        <f t="shared" si="125"/>
        <v>0</v>
      </c>
      <c r="DX82" s="39">
        <f t="shared" ref="DX82:DY82" si="1229">IFERROR(DX19/DX61,0)</f>
        <v>0</v>
      </c>
      <c r="DY82" s="39">
        <f t="shared" si="1229"/>
        <v>0</v>
      </c>
      <c r="DZ82" s="39">
        <f t="shared" ref="DZ82:EA82" si="1230">IFERROR(DZ19/DZ61,0)</f>
        <v>0</v>
      </c>
      <c r="EA82" s="39">
        <f t="shared" si="1230"/>
        <v>0</v>
      </c>
      <c r="EB82" s="39">
        <f t="shared" ref="EB82:EC82" si="1231">IFERROR(EB19/EB61,0)</f>
        <v>0</v>
      </c>
      <c r="EC82" s="39">
        <f t="shared" si="1231"/>
        <v>2.1087160262417994E-2</v>
      </c>
      <c r="ED82" s="39">
        <f t="shared" ref="ED82:EE82" si="1232">IFERROR(ED19/ED61,0)</f>
        <v>0</v>
      </c>
      <c r="EE82" s="39">
        <f t="shared" si="1232"/>
        <v>0.30603448275862066</v>
      </c>
      <c r="EF82" s="39">
        <f t="shared" ref="EF82:EG82" si="1233">IFERROR(EF19/EF61,0)</f>
        <v>0.14077669902912621</v>
      </c>
      <c r="EG82" s="39">
        <f t="shared" si="1233"/>
        <v>0</v>
      </c>
      <c r="EH82" s="39">
        <f t="shared" ref="EH82:EI82" si="1234">IFERROR(EH19/EH61,0)</f>
        <v>8.6232980332829043E-2</v>
      </c>
      <c r="EI82" s="39">
        <f t="shared" si="1234"/>
        <v>0</v>
      </c>
      <c r="EJ82" s="39">
        <f t="shared" ref="EJ82:EK82" si="1235">IFERROR(EJ19/EJ61,0)</f>
        <v>0</v>
      </c>
      <c r="EK82" s="39">
        <f t="shared" si="1235"/>
        <v>0</v>
      </c>
      <c r="EL82" s="39">
        <f t="shared" ref="EL82:EM82" si="1236">IFERROR(EL19/EL61,0)</f>
        <v>0</v>
      </c>
      <c r="EM82" s="39">
        <f t="shared" si="1236"/>
        <v>0</v>
      </c>
      <c r="EN82" s="39">
        <f t="shared" ref="EN82:EO82" si="1237">IFERROR(EN19/EN61,0)</f>
        <v>0</v>
      </c>
      <c r="EO82" s="39">
        <f t="shared" si="1237"/>
        <v>0</v>
      </c>
      <c r="EP82" s="39">
        <f t="shared" ref="EP82" si="1238">IFERROR(EP19/EP61,0)</f>
        <v>0</v>
      </c>
      <c r="EQ82" s="39">
        <f t="shared" ref="EQ82:ER82" si="1239">IFERROR(EQ19/EQ61,0)</f>
        <v>0</v>
      </c>
      <c r="ER82" s="39">
        <f t="shared" si="1239"/>
        <v>0</v>
      </c>
      <c r="ES82" s="39">
        <f t="shared" ref="ES82:ET82" si="1240">IFERROR(ES19/ES61,0)</f>
        <v>0</v>
      </c>
      <c r="ET82" s="39">
        <f t="shared" si="1240"/>
        <v>0</v>
      </c>
      <c r="EU82" s="39">
        <f t="shared" ref="EU82:EV82" si="1241">IFERROR(EU19/EU61,0)</f>
        <v>0</v>
      </c>
      <c r="EV82" s="39">
        <f t="shared" si="1241"/>
        <v>0</v>
      </c>
      <c r="EW82" s="39">
        <f t="shared" ref="EW82:EX82" si="1242">IFERROR(EW19/EW61,0)</f>
        <v>0</v>
      </c>
      <c r="EX82" s="39">
        <f t="shared" si="1242"/>
        <v>0</v>
      </c>
      <c r="EY82" s="39">
        <f t="shared" ref="EY82:EZ82" si="1243">IFERROR(EY19/EY61,0)</f>
        <v>0</v>
      </c>
      <c r="EZ82" s="39">
        <f t="shared" si="1243"/>
        <v>0</v>
      </c>
      <c r="FA82" s="39">
        <f t="shared" ref="FA82:FB82" si="1244">IFERROR(FA19/FA61,0)</f>
        <v>0</v>
      </c>
      <c r="FB82" s="39">
        <f t="shared" si="1244"/>
        <v>0</v>
      </c>
      <c r="FC82" s="39">
        <f t="shared" ref="FC82:FD82" si="1245">IFERROR(FC19/FC61,0)</f>
        <v>0</v>
      </c>
      <c r="FD82" s="39">
        <f t="shared" si="1245"/>
        <v>0</v>
      </c>
      <c r="FE82" s="39">
        <f t="shared" ref="FE82:FF82" si="1246">IFERROR(FE19/FE61,0)</f>
        <v>3.499562554680665E-3</v>
      </c>
      <c r="FF82" s="39">
        <f t="shared" si="1246"/>
        <v>0</v>
      </c>
      <c r="FG82" s="39">
        <f t="shared" ref="FG82:FH82" si="1247">IFERROR(FG19/FG61,0)</f>
        <v>8.0168776371308023E-2</v>
      </c>
      <c r="FH82" s="39">
        <f t="shared" si="1247"/>
        <v>0</v>
      </c>
      <c r="FI82" s="39">
        <f t="shared" ref="FI82:FJ82" si="1248">IFERROR(FI19/FI61,0)</f>
        <v>0</v>
      </c>
      <c r="FJ82" s="39">
        <f t="shared" si="1248"/>
        <v>0</v>
      </c>
      <c r="FK82" s="39">
        <f t="shared" ref="FK82:FL82" si="1249">IFERROR(FK19/FK61,0)</f>
        <v>0</v>
      </c>
      <c r="FL82" s="39">
        <f t="shared" si="1249"/>
        <v>0</v>
      </c>
      <c r="FM82" s="39">
        <f t="shared" ref="FM82" si="1250">IFERROR(FM19/FM61,0)</f>
        <v>0</v>
      </c>
      <c r="FN82" s="39">
        <v>0</v>
      </c>
      <c r="FO82" s="39">
        <f t="shared" ref="FO82" si="1251">IFERROR(FO19/FO61,0)</f>
        <v>0</v>
      </c>
      <c r="FP82" s="39">
        <v>0</v>
      </c>
      <c r="FQ82" s="39">
        <f t="shared" ref="FQ82:HA82" si="1252">IFERROR(FQ19/FQ61,0)</f>
        <v>0</v>
      </c>
      <c r="FR82" s="39">
        <v>0</v>
      </c>
      <c r="FS82" s="39">
        <f t="shared" si="1252"/>
        <v>0</v>
      </c>
      <c r="FT82" s="39">
        <f t="shared" si="1252"/>
        <v>0</v>
      </c>
      <c r="FU82" s="39">
        <f t="shared" si="1252"/>
        <v>0</v>
      </c>
      <c r="FV82" s="39">
        <f t="shared" si="1252"/>
        <v>0</v>
      </c>
      <c r="FW82" s="39">
        <f t="shared" si="1252"/>
        <v>0</v>
      </c>
      <c r="FX82" s="39">
        <f t="shared" si="1252"/>
        <v>0</v>
      </c>
      <c r="FY82" s="39">
        <f t="shared" si="1252"/>
        <v>0</v>
      </c>
      <c r="FZ82" s="39">
        <f t="shared" si="1252"/>
        <v>0</v>
      </c>
      <c r="GA82" s="39">
        <f t="shared" si="1252"/>
        <v>0</v>
      </c>
      <c r="GB82" s="39">
        <f t="shared" si="1252"/>
        <v>0</v>
      </c>
      <c r="GC82" s="39">
        <f t="shared" si="1252"/>
        <v>0</v>
      </c>
      <c r="GD82" s="39">
        <f t="shared" si="1252"/>
        <v>0</v>
      </c>
      <c r="GE82" s="39">
        <f t="shared" si="1252"/>
        <v>0</v>
      </c>
      <c r="GF82" s="39">
        <f t="shared" si="1252"/>
        <v>0</v>
      </c>
      <c r="GG82" s="39">
        <f t="shared" si="1252"/>
        <v>0</v>
      </c>
      <c r="GH82" s="39">
        <f t="shared" si="1252"/>
        <v>0</v>
      </c>
      <c r="GI82" s="39">
        <f t="shared" si="1252"/>
        <v>0</v>
      </c>
      <c r="GJ82" s="39">
        <f t="shared" si="1252"/>
        <v>0</v>
      </c>
      <c r="GK82" s="39">
        <f t="shared" si="1252"/>
        <v>0</v>
      </c>
      <c r="GL82" s="39">
        <f t="shared" si="1252"/>
        <v>0</v>
      </c>
      <c r="GM82" s="39">
        <f t="shared" si="1252"/>
        <v>0</v>
      </c>
      <c r="GN82" s="39">
        <f t="shared" si="1252"/>
        <v>0</v>
      </c>
      <c r="GO82" s="39">
        <f t="shared" si="1252"/>
        <v>0</v>
      </c>
      <c r="GP82" s="39">
        <f t="shared" si="1252"/>
        <v>0</v>
      </c>
      <c r="GQ82" s="39">
        <f t="shared" si="1252"/>
        <v>0</v>
      </c>
      <c r="GR82" s="39">
        <f t="shared" si="1252"/>
        <v>0</v>
      </c>
      <c r="GS82" s="39">
        <f t="shared" si="1252"/>
        <v>0</v>
      </c>
      <c r="GT82" s="39">
        <f t="shared" si="1252"/>
        <v>0</v>
      </c>
      <c r="GU82" s="39">
        <f t="shared" si="1252"/>
        <v>0</v>
      </c>
      <c r="GV82" s="39">
        <f t="shared" si="1252"/>
        <v>0</v>
      </c>
      <c r="GW82" s="39">
        <f t="shared" si="1252"/>
        <v>0</v>
      </c>
      <c r="GX82" s="39">
        <f t="shared" si="1252"/>
        <v>0</v>
      </c>
      <c r="GY82" s="39">
        <f t="shared" si="1252"/>
        <v>0</v>
      </c>
      <c r="GZ82" s="39">
        <f t="shared" si="1252"/>
        <v>0</v>
      </c>
      <c r="HA82" s="39">
        <f t="shared" si="1252"/>
        <v>5.2576235541535229E-3</v>
      </c>
      <c r="HB82" s="39">
        <f t="shared" si="148"/>
        <v>0</v>
      </c>
      <c r="HC82" s="39">
        <f t="shared" si="148"/>
        <v>0</v>
      </c>
      <c r="HD82" s="39">
        <f t="shared" ref="HD82:JO82" si="1253">IFERROR(HD19/HD61,0)</f>
        <v>0</v>
      </c>
      <c r="HE82" s="39">
        <f t="shared" si="1253"/>
        <v>0</v>
      </c>
      <c r="HF82" s="39">
        <f t="shared" si="1253"/>
        <v>0</v>
      </c>
      <c r="HG82" s="39">
        <f t="shared" si="1253"/>
        <v>0</v>
      </c>
      <c r="HH82" s="39">
        <f t="shared" si="1253"/>
        <v>0</v>
      </c>
      <c r="HI82" s="39">
        <f t="shared" si="1253"/>
        <v>0</v>
      </c>
      <c r="HJ82" s="39">
        <f t="shared" si="1253"/>
        <v>0</v>
      </c>
      <c r="HK82" s="39">
        <f t="shared" si="1253"/>
        <v>0</v>
      </c>
      <c r="HL82" s="39">
        <f t="shared" si="1253"/>
        <v>0</v>
      </c>
      <c r="HM82" s="39">
        <f t="shared" si="1253"/>
        <v>0</v>
      </c>
      <c r="HN82" s="39">
        <f t="shared" si="1253"/>
        <v>0</v>
      </c>
      <c r="HO82" s="39">
        <f t="shared" si="1253"/>
        <v>0</v>
      </c>
      <c r="HP82" s="39">
        <f t="shared" si="1253"/>
        <v>0</v>
      </c>
      <c r="HQ82" s="39">
        <f t="shared" si="1253"/>
        <v>0</v>
      </c>
      <c r="HR82" s="39">
        <f t="shared" si="1253"/>
        <v>0</v>
      </c>
      <c r="HS82" s="39">
        <f t="shared" si="1253"/>
        <v>0</v>
      </c>
      <c r="HT82" s="39">
        <f t="shared" si="1253"/>
        <v>0</v>
      </c>
      <c r="HU82" s="39">
        <f t="shared" si="1253"/>
        <v>0</v>
      </c>
      <c r="HV82" s="39">
        <f t="shared" si="1253"/>
        <v>0</v>
      </c>
      <c r="HW82" s="39">
        <f t="shared" si="1253"/>
        <v>0</v>
      </c>
      <c r="HX82" s="39">
        <f t="shared" si="1253"/>
        <v>0</v>
      </c>
      <c r="HY82" s="39">
        <f t="shared" si="1253"/>
        <v>0</v>
      </c>
      <c r="HZ82" s="39">
        <f t="shared" si="1253"/>
        <v>0</v>
      </c>
      <c r="IA82" s="39">
        <f t="shared" si="1253"/>
        <v>0</v>
      </c>
      <c r="IB82" s="39">
        <f t="shared" si="1253"/>
        <v>0</v>
      </c>
      <c r="IC82" s="39">
        <f t="shared" si="1253"/>
        <v>0</v>
      </c>
      <c r="ID82" s="39">
        <f t="shared" si="1253"/>
        <v>0</v>
      </c>
      <c r="IE82" s="39">
        <f t="shared" si="1253"/>
        <v>0</v>
      </c>
      <c r="IF82" s="39">
        <f t="shared" si="1253"/>
        <v>0</v>
      </c>
      <c r="IG82" s="39">
        <f t="shared" si="1253"/>
        <v>0</v>
      </c>
      <c r="IH82" s="39">
        <f t="shared" si="1253"/>
        <v>0</v>
      </c>
      <c r="II82" s="39">
        <f t="shared" si="1253"/>
        <v>0</v>
      </c>
      <c r="IJ82" s="39">
        <f t="shared" si="1253"/>
        <v>0</v>
      </c>
      <c r="IK82" s="39">
        <f t="shared" si="1253"/>
        <v>0</v>
      </c>
      <c r="IL82" s="39">
        <f t="shared" si="1253"/>
        <v>0</v>
      </c>
      <c r="IM82" s="39">
        <f t="shared" si="1253"/>
        <v>0</v>
      </c>
      <c r="IN82" s="39">
        <f t="shared" si="1253"/>
        <v>0</v>
      </c>
      <c r="IO82" s="39">
        <f t="shared" si="1253"/>
        <v>0</v>
      </c>
      <c r="IP82" s="39">
        <f t="shared" si="1253"/>
        <v>1.9398752127056156E-2</v>
      </c>
      <c r="IQ82" s="39">
        <f t="shared" si="1253"/>
        <v>0</v>
      </c>
      <c r="IR82" s="39">
        <f t="shared" si="1253"/>
        <v>0</v>
      </c>
      <c r="IS82" s="39">
        <f t="shared" si="1253"/>
        <v>0</v>
      </c>
      <c r="IT82" s="39">
        <f t="shared" si="1253"/>
        <v>0</v>
      </c>
      <c r="IU82" s="39">
        <f t="shared" si="1253"/>
        <v>0</v>
      </c>
      <c r="IV82" s="39">
        <f t="shared" si="1253"/>
        <v>0</v>
      </c>
      <c r="IW82" s="39">
        <f t="shared" si="1253"/>
        <v>0</v>
      </c>
      <c r="IX82" s="39">
        <f t="shared" si="1253"/>
        <v>0</v>
      </c>
      <c r="IY82" s="39">
        <f t="shared" si="1253"/>
        <v>0.22263623660922216</v>
      </c>
      <c r="IZ82" s="39">
        <f t="shared" si="1253"/>
        <v>0</v>
      </c>
      <c r="JA82" s="39">
        <f t="shared" si="1253"/>
        <v>0</v>
      </c>
      <c r="JB82" s="39">
        <f t="shared" si="1253"/>
        <v>0</v>
      </c>
      <c r="JC82" s="39">
        <f t="shared" si="1253"/>
        <v>0</v>
      </c>
      <c r="JD82" s="39">
        <f t="shared" si="1253"/>
        <v>0</v>
      </c>
      <c r="JE82" s="39">
        <f t="shared" si="1253"/>
        <v>0</v>
      </c>
      <c r="JF82" s="39">
        <f t="shared" si="1253"/>
        <v>2.35E-2</v>
      </c>
      <c r="JG82" s="39">
        <f t="shared" si="1253"/>
        <v>0</v>
      </c>
      <c r="JH82" s="39">
        <f t="shared" si="1253"/>
        <v>0.17413441955193482</v>
      </c>
      <c r="JI82" s="39">
        <f t="shared" si="1253"/>
        <v>0.32564102564102565</v>
      </c>
      <c r="JJ82" s="39">
        <f t="shared" si="1253"/>
        <v>0</v>
      </c>
      <c r="JK82" s="39">
        <f t="shared" si="1253"/>
        <v>0.18796992481203006</v>
      </c>
      <c r="JL82" s="39">
        <f t="shared" si="1253"/>
        <v>0.22666666666666666</v>
      </c>
      <c r="JM82" s="39">
        <f t="shared" si="1253"/>
        <v>0.24618736383442266</v>
      </c>
      <c r="JN82" s="39">
        <f t="shared" si="1253"/>
        <v>0.20487804878048779</v>
      </c>
      <c r="JO82" s="39">
        <f t="shared" si="1253"/>
        <v>0.27720207253886009</v>
      </c>
      <c r="JP82" s="39">
        <f t="shared" ref="JP82:KG82" si="1254">IFERROR(JP19/JP61,0)</f>
        <v>0.3504273504273504</v>
      </c>
      <c r="JQ82" s="39">
        <f t="shared" si="1254"/>
        <v>0.25775978407557354</v>
      </c>
      <c r="JR82" s="39">
        <f t="shared" si="1254"/>
        <v>0</v>
      </c>
      <c r="JS82" s="39">
        <f t="shared" si="1254"/>
        <v>0.47346938775510206</v>
      </c>
      <c r="JT82" s="39">
        <f t="shared" si="1254"/>
        <v>5.8310626702997276E-2</v>
      </c>
      <c r="JU82" s="39">
        <f t="shared" si="1254"/>
        <v>0.28402366863905326</v>
      </c>
      <c r="JV82" s="39">
        <f t="shared" si="1254"/>
        <v>0</v>
      </c>
      <c r="JW82" s="39">
        <f t="shared" si="1254"/>
        <v>0.14905149051490515</v>
      </c>
      <c r="JX82" s="39">
        <f t="shared" si="1254"/>
        <v>0.16868932038834952</v>
      </c>
      <c r="JY82" s="39">
        <f t="shared" si="1254"/>
        <v>0</v>
      </c>
      <c r="JZ82" s="39">
        <f t="shared" si="1254"/>
        <v>9.1750192752505788E-2</v>
      </c>
      <c r="KA82" s="39">
        <f t="shared" si="1254"/>
        <v>0.19209039548022599</v>
      </c>
      <c r="KB82" s="39">
        <f t="shared" si="1254"/>
        <v>0.16080402010050251</v>
      </c>
      <c r="KC82" s="39">
        <f t="shared" si="1254"/>
        <v>5.3030303030303032E-2</v>
      </c>
      <c r="KD82" s="39">
        <f t="shared" si="1254"/>
        <v>0.23962516733601072</v>
      </c>
      <c r="KE82" s="39">
        <f t="shared" si="1254"/>
        <v>0</v>
      </c>
      <c r="KF82" s="39">
        <f t="shared" si="1254"/>
        <v>0.17373233582709893</v>
      </c>
      <c r="KG82" s="39">
        <f t="shared" si="1254"/>
        <v>0</v>
      </c>
      <c r="KH82" s="39">
        <f t="shared" si="475"/>
        <v>0.10207939508506617</v>
      </c>
      <c r="KI82" s="39">
        <f t="shared" si="475"/>
        <v>0</v>
      </c>
      <c r="KJ82" s="39">
        <f t="shared" si="541"/>
        <v>7.6069730586370843E-2</v>
      </c>
      <c r="KK82" s="39">
        <f t="shared" si="541"/>
        <v>0</v>
      </c>
      <c r="KL82" s="39">
        <f t="shared" si="541"/>
        <v>0</v>
      </c>
      <c r="KM82" s="39">
        <f t="shared" si="541"/>
        <v>0</v>
      </c>
      <c r="KN82" s="39">
        <f t="shared" si="541"/>
        <v>0.10608203677510608</v>
      </c>
      <c r="KO82" s="39">
        <f t="shared" si="541"/>
        <v>0.13036303630363036</v>
      </c>
      <c r="KP82" s="39">
        <f t="shared" si="541"/>
        <v>0</v>
      </c>
      <c r="KQ82" s="39">
        <f t="shared" si="541"/>
        <v>0</v>
      </c>
      <c r="KR82" s="39">
        <f t="shared" si="541"/>
        <v>0.15880322209436135</v>
      </c>
      <c r="KS82" s="39">
        <f t="shared" si="541"/>
        <v>0</v>
      </c>
      <c r="KT82" s="39">
        <f t="shared" si="541"/>
        <v>0</v>
      </c>
      <c r="KU82" s="39">
        <f t="shared" si="541"/>
        <v>0</v>
      </c>
      <c r="KV82" s="39">
        <f t="shared" si="541"/>
        <v>0</v>
      </c>
      <c r="KW82" s="39">
        <f t="shared" si="541"/>
        <v>0</v>
      </c>
      <c r="KX82" s="39">
        <f t="shared" si="541"/>
        <v>0</v>
      </c>
      <c r="KY82" s="39">
        <f t="shared" si="541"/>
        <v>0</v>
      </c>
      <c r="KZ82" s="39">
        <f t="shared" ref="KZ82:NK82" si="1255">IFERROR(KZ19/KZ61,0)</f>
        <v>0</v>
      </c>
      <c r="LA82" s="39">
        <f t="shared" si="1255"/>
        <v>1.4255765199161425E-2</v>
      </c>
      <c r="LB82" s="39">
        <f t="shared" si="1255"/>
        <v>0.115234375</v>
      </c>
      <c r="LC82" s="39">
        <f t="shared" si="1255"/>
        <v>0.12240868706811452</v>
      </c>
      <c r="LD82" s="39">
        <f t="shared" si="1255"/>
        <v>0</v>
      </c>
      <c r="LE82" s="39">
        <f t="shared" si="1255"/>
        <v>0</v>
      </c>
      <c r="LF82" s="39">
        <f t="shared" si="1255"/>
        <v>0</v>
      </c>
      <c r="LG82" s="39">
        <f t="shared" si="1255"/>
        <v>0</v>
      </c>
      <c r="LH82" s="39">
        <f t="shared" si="1255"/>
        <v>0</v>
      </c>
      <c r="LI82" s="39">
        <f t="shared" si="1255"/>
        <v>0</v>
      </c>
      <c r="LJ82" s="39">
        <f t="shared" si="1255"/>
        <v>0</v>
      </c>
      <c r="LK82" s="39">
        <f t="shared" si="1255"/>
        <v>7.5366917889726302E-3</v>
      </c>
      <c r="LL82" s="39">
        <f t="shared" si="1255"/>
        <v>0</v>
      </c>
      <c r="LM82" s="39">
        <f t="shared" si="1255"/>
        <v>0</v>
      </c>
      <c r="LN82" s="39">
        <f t="shared" si="1255"/>
        <v>0</v>
      </c>
      <c r="LO82" s="39">
        <f t="shared" si="1255"/>
        <v>4.1269841269841269E-2</v>
      </c>
      <c r="LP82" s="39">
        <f t="shared" si="1255"/>
        <v>9.5444685466377438E-2</v>
      </c>
      <c r="LQ82" s="39">
        <f t="shared" si="1255"/>
        <v>0</v>
      </c>
      <c r="LR82" s="39">
        <f t="shared" si="1255"/>
        <v>0.10393258426966293</v>
      </c>
      <c r="LS82" s="39">
        <f t="shared" si="1255"/>
        <v>0</v>
      </c>
      <c r="LT82" s="39">
        <f t="shared" si="1255"/>
        <v>0</v>
      </c>
      <c r="LU82" s="39">
        <f t="shared" si="1255"/>
        <v>0</v>
      </c>
      <c r="LV82" s="39">
        <f t="shared" si="1255"/>
        <v>0</v>
      </c>
      <c r="LW82" s="39">
        <f t="shared" si="1255"/>
        <v>2.3274478330658106E-2</v>
      </c>
      <c r="LX82" s="39">
        <f t="shared" si="1255"/>
        <v>0</v>
      </c>
      <c r="LY82" s="39">
        <f t="shared" si="1255"/>
        <v>3.6036036036036036E-2</v>
      </c>
      <c r="LZ82" s="39">
        <f t="shared" si="1255"/>
        <v>0</v>
      </c>
      <c r="MA82" s="39">
        <f t="shared" si="1255"/>
        <v>0</v>
      </c>
      <c r="MB82" s="39">
        <f t="shared" si="1255"/>
        <v>0</v>
      </c>
      <c r="MC82" s="39">
        <f t="shared" si="1255"/>
        <v>0</v>
      </c>
      <c r="MD82" s="39">
        <f t="shared" si="1255"/>
        <v>0</v>
      </c>
      <c r="ME82" s="39">
        <f t="shared" si="1255"/>
        <v>3.8617886178861791E-2</v>
      </c>
      <c r="MF82" s="39">
        <f t="shared" si="1255"/>
        <v>7.0257611241217793E-2</v>
      </c>
      <c r="MG82" s="39">
        <f t="shared" si="1255"/>
        <v>0</v>
      </c>
      <c r="MH82" s="39">
        <f t="shared" si="1255"/>
        <v>0</v>
      </c>
      <c r="MI82" s="39">
        <f t="shared" si="1255"/>
        <v>0</v>
      </c>
      <c r="MJ82" s="39">
        <f t="shared" si="1255"/>
        <v>0</v>
      </c>
      <c r="MK82" s="39">
        <f t="shared" si="1255"/>
        <v>0</v>
      </c>
      <c r="ML82" s="39">
        <f t="shared" si="1255"/>
        <v>0</v>
      </c>
      <c r="MM82" s="39">
        <f t="shared" si="1255"/>
        <v>0</v>
      </c>
      <c r="MN82" s="39">
        <f t="shared" si="1255"/>
        <v>0</v>
      </c>
      <c r="MO82" s="39">
        <f t="shared" si="1255"/>
        <v>5.3134962805526037E-3</v>
      </c>
      <c r="MP82" s="39">
        <f t="shared" si="1255"/>
        <v>0</v>
      </c>
      <c r="MQ82" s="39">
        <f t="shared" si="1255"/>
        <v>0</v>
      </c>
      <c r="MR82" s="39">
        <f t="shared" si="1255"/>
        <v>0</v>
      </c>
      <c r="MS82" s="39">
        <f t="shared" si="1255"/>
        <v>0</v>
      </c>
      <c r="MT82" s="39">
        <f t="shared" si="1255"/>
        <v>0</v>
      </c>
      <c r="MU82" s="39">
        <f t="shared" si="1255"/>
        <v>0</v>
      </c>
      <c r="MV82" s="39">
        <f t="shared" si="1255"/>
        <v>0</v>
      </c>
      <c r="MW82" s="39">
        <f t="shared" si="1255"/>
        <v>0</v>
      </c>
      <c r="MX82" s="39">
        <f t="shared" si="1255"/>
        <v>1.2572533849129593E-2</v>
      </c>
      <c r="MY82" s="39">
        <f t="shared" si="1255"/>
        <v>0</v>
      </c>
      <c r="MZ82" s="39">
        <f t="shared" si="1255"/>
        <v>0</v>
      </c>
      <c r="NA82" s="39">
        <f t="shared" si="1255"/>
        <v>0</v>
      </c>
      <c r="NB82" s="39">
        <f t="shared" si="1255"/>
        <v>0</v>
      </c>
      <c r="NC82" s="39">
        <f t="shared" si="1255"/>
        <v>1.8518518518518517E-2</v>
      </c>
      <c r="ND82" s="39">
        <f t="shared" si="1255"/>
        <v>0</v>
      </c>
      <c r="NE82" s="39">
        <f t="shared" si="1255"/>
        <v>0</v>
      </c>
      <c r="NF82" s="39">
        <f t="shared" si="1255"/>
        <v>0</v>
      </c>
      <c r="NG82" s="39">
        <f t="shared" si="1255"/>
        <v>0</v>
      </c>
      <c r="NH82" s="39">
        <f t="shared" si="1255"/>
        <v>0</v>
      </c>
      <c r="NI82" s="39">
        <f t="shared" si="1255"/>
        <v>0</v>
      </c>
      <c r="NJ82" s="39">
        <f t="shared" si="1255"/>
        <v>0</v>
      </c>
      <c r="NK82" s="39">
        <f t="shared" si="1255"/>
        <v>0</v>
      </c>
      <c r="NL82" s="39">
        <f t="shared" ref="NL82:NN82" si="1256">IFERROR(NL19/NL61,0)</f>
        <v>0</v>
      </c>
      <c r="NM82" s="39">
        <f t="shared" si="1256"/>
        <v>0</v>
      </c>
      <c r="NN82" s="39">
        <f t="shared" si="1256"/>
        <v>0</v>
      </c>
      <c r="NO82" s="39">
        <f t="shared" ref="NO82" si="1257">IFERROR(NO19/NO61,0)</f>
        <v>0</v>
      </c>
      <c r="NP82" s="39">
        <v>9.4692798942964101E-3</v>
      </c>
      <c r="NQ82" s="39">
        <v>0.24888888888888899</v>
      </c>
      <c r="NR82" s="39">
        <v>0</v>
      </c>
      <c r="NS82" s="39">
        <v>0</v>
      </c>
      <c r="NT82" s="39">
        <v>0</v>
      </c>
      <c r="NU82" s="39">
        <v>0</v>
      </c>
      <c r="NV82" s="39">
        <v>0</v>
      </c>
      <c r="NW82" s="39">
        <v>0</v>
      </c>
      <c r="NX82" s="39">
        <v>0</v>
      </c>
      <c r="NY82" s="39">
        <v>0</v>
      </c>
      <c r="NZ82" s="39">
        <v>0</v>
      </c>
      <c r="OA82" s="39">
        <v>0</v>
      </c>
      <c r="OB82" s="39">
        <v>0</v>
      </c>
      <c r="OC82" s="39">
        <v>0</v>
      </c>
      <c r="OD82" s="39">
        <v>0</v>
      </c>
      <c r="OE82" s="39">
        <v>0</v>
      </c>
      <c r="OF82" s="39">
        <v>0</v>
      </c>
      <c r="OG82" s="39">
        <v>0</v>
      </c>
      <c r="OH82" s="39">
        <v>0</v>
      </c>
      <c r="OI82" s="39">
        <v>0</v>
      </c>
      <c r="OJ82" s="39">
        <v>0</v>
      </c>
      <c r="OK82" s="39">
        <v>0</v>
      </c>
      <c r="OL82" s="39">
        <v>0</v>
      </c>
      <c r="OM82" s="39">
        <v>0</v>
      </c>
      <c r="ON82" s="39">
        <v>0</v>
      </c>
      <c r="OO82" s="39">
        <v>0</v>
      </c>
      <c r="OP82" s="39">
        <v>0</v>
      </c>
      <c r="OQ82" s="39">
        <v>0</v>
      </c>
      <c r="OR82" s="39">
        <v>0</v>
      </c>
      <c r="OS82" s="39">
        <f t="shared" ref="OS82" si="1258">IFERROR(OS19/OS61,0)</f>
        <v>0</v>
      </c>
      <c r="OT82" s="39">
        <f t="shared" si="156"/>
        <v>2.952755905511811E-3</v>
      </c>
      <c r="OU82" s="39">
        <v>0</v>
      </c>
      <c r="OV82" s="39">
        <v>0</v>
      </c>
      <c r="OW82" s="39">
        <v>0</v>
      </c>
      <c r="OX82" s="39">
        <v>0</v>
      </c>
      <c r="OY82" s="39">
        <v>6.5882352941176503E-2</v>
      </c>
      <c r="OZ82" s="39">
        <v>0</v>
      </c>
      <c r="PA82" s="39">
        <v>0</v>
      </c>
      <c r="PB82" s="39">
        <v>0</v>
      </c>
      <c r="PC82" s="39">
        <v>0</v>
      </c>
      <c r="PD82" s="39">
        <v>0</v>
      </c>
      <c r="PE82" s="39">
        <v>0</v>
      </c>
      <c r="PF82" s="39">
        <v>0</v>
      </c>
      <c r="PG82" s="39">
        <v>0</v>
      </c>
      <c r="PH82" s="39">
        <v>0</v>
      </c>
      <c r="PI82" s="39">
        <v>0</v>
      </c>
      <c r="PJ82" s="39">
        <v>0</v>
      </c>
      <c r="PK82" s="39">
        <v>0</v>
      </c>
      <c r="PL82" s="39">
        <v>0</v>
      </c>
      <c r="PM82" s="39">
        <v>0</v>
      </c>
      <c r="PN82" s="39">
        <v>0</v>
      </c>
      <c r="PO82" s="39">
        <v>0</v>
      </c>
      <c r="PP82" s="39">
        <v>0</v>
      </c>
      <c r="PQ82" s="39">
        <v>0</v>
      </c>
      <c r="PR82" s="39">
        <v>0</v>
      </c>
      <c r="PS82" s="39">
        <v>0</v>
      </c>
      <c r="PT82" s="39">
        <v>0</v>
      </c>
      <c r="PU82" s="39">
        <v>0</v>
      </c>
      <c r="PV82" s="39">
        <v>0</v>
      </c>
      <c r="PW82" s="39">
        <v>0</v>
      </c>
      <c r="PX82" s="39">
        <v>0</v>
      </c>
      <c r="PY82" s="39">
        <v>0</v>
      </c>
      <c r="PZ82" s="39">
        <v>0</v>
      </c>
      <c r="QA82" s="39">
        <v>0</v>
      </c>
      <c r="QB82" s="39">
        <v>0</v>
      </c>
      <c r="QC82" s="39">
        <v>0</v>
      </c>
      <c r="QD82" s="39">
        <v>0</v>
      </c>
      <c r="QE82" s="39">
        <v>0</v>
      </c>
      <c r="QF82" s="39">
        <v>0</v>
      </c>
      <c r="QG82" s="39">
        <v>0</v>
      </c>
      <c r="QH82" s="39">
        <v>0</v>
      </c>
      <c r="QI82" s="39">
        <v>0</v>
      </c>
      <c r="QJ82" s="39">
        <v>0</v>
      </c>
      <c r="QK82" s="39">
        <v>0</v>
      </c>
      <c r="QL82" s="39">
        <v>0</v>
      </c>
      <c r="QM82" s="39">
        <v>0</v>
      </c>
      <c r="QN82" s="39">
        <v>0</v>
      </c>
      <c r="QO82" s="39">
        <v>0</v>
      </c>
      <c r="QP82" s="39">
        <v>0</v>
      </c>
      <c r="QQ82" s="39">
        <v>0</v>
      </c>
      <c r="QR82" s="39">
        <v>0</v>
      </c>
      <c r="QS82" s="39">
        <v>0</v>
      </c>
      <c r="QT82" s="39">
        <v>0</v>
      </c>
      <c r="QU82" s="39">
        <v>0</v>
      </c>
      <c r="QV82" s="39">
        <v>0</v>
      </c>
      <c r="QW82" s="39">
        <v>0</v>
      </c>
      <c r="QX82" s="39">
        <v>0</v>
      </c>
      <c r="QY82" s="39">
        <v>0</v>
      </c>
      <c r="QZ82" s="39">
        <v>0</v>
      </c>
      <c r="RA82" s="39">
        <v>0</v>
      </c>
      <c r="RB82" s="39">
        <v>0</v>
      </c>
      <c r="RC82" s="39">
        <v>0</v>
      </c>
      <c r="RD82" s="39">
        <v>0</v>
      </c>
      <c r="RE82" s="39">
        <v>0</v>
      </c>
      <c r="RF82" s="39">
        <v>0</v>
      </c>
      <c r="RG82" s="39">
        <v>0</v>
      </c>
      <c r="RH82" s="39">
        <v>0</v>
      </c>
      <c r="RI82" s="39">
        <v>0</v>
      </c>
      <c r="RJ82" s="39">
        <v>0</v>
      </c>
      <c r="RK82" s="39">
        <v>0</v>
      </c>
      <c r="RL82" s="39">
        <v>0</v>
      </c>
      <c r="RM82" s="39">
        <v>0</v>
      </c>
      <c r="RN82" s="39">
        <v>0</v>
      </c>
      <c r="RO82" s="39">
        <v>0</v>
      </c>
      <c r="RP82" s="39">
        <v>0</v>
      </c>
      <c r="RQ82" s="39">
        <v>0</v>
      </c>
      <c r="RR82" s="39">
        <v>0</v>
      </c>
      <c r="RS82" s="39">
        <v>0</v>
      </c>
      <c r="RT82" s="39">
        <v>0</v>
      </c>
      <c r="RU82" s="39">
        <v>0</v>
      </c>
      <c r="RV82" s="39">
        <v>0</v>
      </c>
      <c r="RW82" s="39">
        <v>0</v>
      </c>
      <c r="RX82" s="39">
        <v>0</v>
      </c>
      <c r="RY82" s="39">
        <v>0</v>
      </c>
      <c r="RZ82" s="39">
        <v>0</v>
      </c>
      <c r="SA82" s="39">
        <v>0</v>
      </c>
      <c r="SB82" s="39">
        <v>0</v>
      </c>
      <c r="SC82" s="39">
        <v>0</v>
      </c>
      <c r="SD82" s="39">
        <v>0</v>
      </c>
      <c r="SE82" s="39">
        <v>0</v>
      </c>
      <c r="SF82" s="39">
        <v>0</v>
      </c>
      <c r="SG82" s="39">
        <v>0</v>
      </c>
      <c r="SH82" s="39">
        <v>0</v>
      </c>
      <c r="SI82" s="39">
        <v>0</v>
      </c>
      <c r="SJ82" s="39">
        <v>0</v>
      </c>
      <c r="SK82" s="39">
        <v>0</v>
      </c>
      <c r="SL82" s="39">
        <v>0</v>
      </c>
      <c r="SM82" s="39">
        <v>0</v>
      </c>
      <c r="SN82" s="39">
        <v>0</v>
      </c>
      <c r="SO82" s="39">
        <v>0</v>
      </c>
      <c r="SP82" s="39">
        <v>0</v>
      </c>
      <c r="SQ82" s="39">
        <v>0</v>
      </c>
      <c r="SR82" s="39">
        <v>0</v>
      </c>
      <c r="SS82" s="39">
        <v>0</v>
      </c>
      <c r="ST82" s="39">
        <v>0</v>
      </c>
      <c r="SU82" s="39">
        <v>0</v>
      </c>
      <c r="SV82" s="39">
        <v>0</v>
      </c>
      <c r="SW82" s="39">
        <v>0</v>
      </c>
      <c r="SX82" s="39">
        <v>0</v>
      </c>
      <c r="SY82" s="39">
        <v>0</v>
      </c>
      <c r="SZ82" s="39">
        <v>0</v>
      </c>
      <c r="TA82" s="39">
        <v>0</v>
      </c>
      <c r="TB82" s="39">
        <v>0</v>
      </c>
      <c r="TC82" s="39">
        <v>0</v>
      </c>
      <c r="TD82" s="39">
        <v>0</v>
      </c>
      <c r="TE82" s="39">
        <v>0</v>
      </c>
      <c r="TF82" s="39">
        <v>0</v>
      </c>
      <c r="TG82" s="39">
        <v>0</v>
      </c>
      <c r="TH82" s="39">
        <v>0</v>
      </c>
      <c r="TI82" s="39">
        <v>0</v>
      </c>
      <c r="TJ82" s="39">
        <v>0</v>
      </c>
      <c r="TK82" s="39">
        <v>0</v>
      </c>
      <c r="TL82" s="39">
        <v>0</v>
      </c>
      <c r="TM82" s="39">
        <v>0</v>
      </c>
      <c r="TN82" s="39">
        <v>0</v>
      </c>
      <c r="TO82" s="39">
        <v>0</v>
      </c>
      <c r="TP82" s="39">
        <v>0</v>
      </c>
      <c r="TQ82" s="39">
        <v>0</v>
      </c>
      <c r="TR82" s="39">
        <v>0</v>
      </c>
      <c r="TS82" s="39">
        <v>0</v>
      </c>
      <c r="TT82" s="39">
        <v>0</v>
      </c>
      <c r="TU82" s="39">
        <v>0</v>
      </c>
      <c r="TV82" s="39">
        <v>0</v>
      </c>
      <c r="TW82" s="39">
        <v>0</v>
      </c>
      <c r="TX82" s="39">
        <v>0</v>
      </c>
      <c r="TY82" s="39">
        <v>0</v>
      </c>
      <c r="TZ82" s="39">
        <v>0</v>
      </c>
      <c r="UA82" s="39">
        <v>0</v>
      </c>
      <c r="UB82" s="39">
        <v>0</v>
      </c>
      <c r="UC82" s="39">
        <v>0</v>
      </c>
      <c r="UD82" s="39">
        <v>0</v>
      </c>
      <c r="UE82" s="39">
        <v>0</v>
      </c>
      <c r="UF82" s="39">
        <v>0</v>
      </c>
      <c r="UG82" s="39">
        <v>0</v>
      </c>
      <c r="UH82" s="45">
        <v>0</v>
      </c>
      <c r="UI82" s="45">
        <v>0</v>
      </c>
      <c r="UJ82" s="45">
        <v>0</v>
      </c>
      <c r="UK82" s="45">
        <v>0</v>
      </c>
      <c r="UL82" s="45">
        <v>0</v>
      </c>
      <c r="UM82" s="45">
        <v>0</v>
      </c>
      <c r="UN82" s="45">
        <v>0</v>
      </c>
      <c r="UO82" s="45">
        <v>0</v>
      </c>
      <c r="UP82" s="45">
        <v>0</v>
      </c>
      <c r="UQ82" s="45">
        <v>0</v>
      </c>
      <c r="UR82" s="45">
        <v>0</v>
      </c>
      <c r="US82" s="45">
        <v>0</v>
      </c>
      <c r="UT82" s="45">
        <v>0</v>
      </c>
      <c r="UU82" s="45">
        <v>0</v>
      </c>
      <c r="UV82" s="45">
        <v>0</v>
      </c>
      <c r="UW82" s="45">
        <v>0</v>
      </c>
      <c r="UX82" s="45">
        <v>0</v>
      </c>
      <c r="UY82" s="45">
        <v>0</v>
      </c>
      <c r="UZ82" s="45">
        <v>0</v>
      </c>
      <c r="VA82" s="45">
        <v>0</v>
      </c>
      <c r="VB82" s="45">
        <v>0</v>
      </c>
      <c r="VC82" s="45">
        <v>0</v>
      </c>
      <c r="VD82" s="45">
        <v>0</v>
      </c>
      <c r="VE82" s="45">
        <v>0</v>
      </c>
      <c r="VF82" s="45">
        <v>0</v>
      </c>
      <c r="VG82" s="45">
        <v>0</v>
      </c>
      <c r="VH82" s="45">
        <v>0</v>
      </c>
      <c r="VI82" s="45">
        <v>0</v>
      </c>
      <c r="VJ82" s="45">
        <v>0</v>
      </c>
      <c r="VK82" s="45">
        <v>0</v>
      </c>
      <c r="VL82" s="45">
        <v>0</v>
      </c>
      <c r="VM82" s="45">
        <v>0</v>
      </c>
      <c r="VN82" s="45">
        <v>0</v>
      </c>
      <c r="VO82" s="45">
        <v>0</v>
      </c>
      <c r="VP82" s="45">
        <v>0</v>
      </c>
      <c r="VQ82" s="45">
        <v>0</v>
      </c>
      <c r="VR82" s="45">
        <v>0</v>
      </c>
      <c r="VS82" s="45">
        <v>0</v>
      </c>
      <c r="VT82" s="45">
        <v>0</v>
      </c>
      <c r="VU82" s="45">
        <v>0</v>
      </c>
      <c r="VV82" s="45">
        <v>0</v>
      </c>
      <c r="VW82" s="45">
        <v>0</v>
      </c>
      <c r="VX82" s="35">
        <v>0</v>
      </c>
      <c r="VY82" s="35">
        <v>0</v>
      </c>
      <c r="VZ82" s="35">
        <v>0</v>
      </c>
      <c r="WA82" s="35">
        <v>0</v>
      </c>
      <c r="WB82" s="35">
        <v>0</v>
      </c>
      <c r="WC82" s="35">
        <v>0</v>
      </c>
      <c r="WD82" s="35">
        <v>0</v>
      </c>
      <c r="WE82" s="35">
        <v>0</v>
      </c>
      <c r="WF82" s="35">
        <v>0</v>
      </c>
      <c r="WG82" s="35">
        <v>0</v>
      </c>
      <c r="WH82" s="35">
        <v>0</v>
      </c>
      <c r="WI82" s="35">
        <v>0</v>
      </c>
      <c r="WJ82" s="35">
        <v>0</v>
      </c>
      <c r="WK82" s="35">
        <v>0</v>
      </c>
      <c r="WL82" s="35">
        <v>0</v>
      </c>
      <c r="WM82" s="35">
        <v>0</v>
      </c>
      <c r="WN82" s="35">
        <v>0</v>
      </c>
      <c r="WO82" s="35">
        <v>0</v>
      </c>
      <c r="WP82" s="35">
        <v>0</v>
      </c>
      <c r="WQ82" s="35">
        <v>0</v>
      </c>
      <c r="WR82" s="35">
        <v>0</v>
      </c>
      <c r="WS82" s="35">
        <v>0</v>
      </c>
      <c r="WT82" s="35">
        <v>0</v>
      </c>
      <c r="WU82" s="35">
        <v>0</v>
      </c>
      <c r="WV82" s="45">
        <v>0</v>
      </c>
      <c r="WW82" s="45">
        <v>0</v>
      </c>
      <c r="WX82" s="45">
        <v>0</v>
      </c>
      <c r="WY82" s="45">
        <v>0</v>
      </c>
      <c r="WZ82" s="45">
        <v>0</v>
      </c>
      <c r="XA82" s="45">
        <v>0</v>
      </c>
      <c r="XB82" s="45">
        <v>0</v>
      </c>
      <c r="XC82" s="45">
        <v>0</v>
      </c>
      <c r="XD82" s="45">
        <v>0</v>
      </c>
      <c r="XE82" s="45">
        <v>0</v>
      </c>
      <c r="XF82" s="45">
        <v>0</v>
      </c>
      <c r="XG82" s="45">
        <v>0</v>
      </c>
      <c r="XH82" s="45">
        <v>0</v>
      </c>
      <c r="XI82" s="45">
        <v>0</v>
      </c>
      <c r="XJ82" s="45">
        <v>0</v>
      </c>
      <c r="XK82" s="45">
        <v>0</v>
      </c>
      <c r="XL82" s="45">
        <v>0</v>
      </c>
      <c r="XM82" s="45">
        <v>0</v>
      </c>
      <c r="XN82" s="45">
        <v>0</v>
      </c>
      <c r="XO82" s="45">
        <v>0</v>
      </c>
      <c r="XP82" s="45">
        <v>0</v>
      </c>
      <c r="XQ82" s="45">
        <v>0</v>
      </c>
      <c r="XR82" s="45">
        <v>0</v>
      </c>
      <c r="XS82" s="45">
        <v>0</v>
      </c>
      <c r="XT82" s="45">
        <v>0</v>
      </c>
      <c r="XU82" s="45">
        <v>0</v>
      </c>
      <c r="XV82" s="45">
        <v>0</v>
      </c>
      <c r="XW82" s="45">
        <v>0</v>
      </c>
      <c r="XX82" s="45">
        <v>0</v>
      </c>
      <c r="XY82">
        <v>0</v>
      </c>
      <c r="XZ82">
        <v>0</v>
      </c>
      <c r="YA82">
        <v>0</v>
      </c>
      <c r="YB82">
        <v>0</v>
      </c>
      <c r="YC82">
        <v>0</v>
      </c>
      <c r="YD82">
        <v>0</v>
      </c>
      <c r="YE82">
        <v>0</v>
      </c>
      <c r="YF82" s="1">
        <v>0</v>
      </c>
      <c r="YG82" s="1">
        <v>0</v>
      </c>
      <c r="YH82" s="1">
        <v>0</v>
      </c>
      <c r="YI82" s="1">
        <v>0</v>
      </c>
      <c r="YJ82">
        <v>0</v>
      </c>
      <c r="YK82">
        <v>0</v>
      </c>
      <c r="YL82">
        <v>0</v>
      </c>
      <c r="YM82">
        <v>0</v>
      </c>
      <c r="YN82">
        <v>0</v>
      </c>
      <c r="YO82">
        <v>0</v>
      </c>
      <c r="YP82">
        <v>0</v>
      </c>
      <c r="YQ82">
        <v>0</v>
      </c>
      <c r="YR82">
        <v>0</v>
      </c>
      <c r="YS82">
        <v>0</v>
      </c>
      <c r="YT82">
        <v>0</v>
      </c>
      <c r="YU82">
        <v>0</v>
      </c>
      <c r="YV82">
        <v>0</v>
      </c>
      <c r="YW82">
        <v>0</v>
      </c>
      <c r="YX82">
        <v>0</v>
      </c>
      <c r="YY82">
        <v>0</v>
      </c>
      <c r="YZ82">
        <v>0</v>
      </c>
      <c r="ZA82">
        <v>0</v>
      </c>
      <c r="ZB82">
        <v>0</v>
      </c>
      <c r="ZC82">
        <v>0</v>
      </c>
      <c r="ZD82">
        <v>0</v>
      </c>
      <c r="ZE82">
        <v>0</v>
      </c>
      <c r="ZF82">
        <v>0</v>
      </c>
      <c r="ZG82">
        <v>0</v>
      </c>
      <c r="ZH82">
        <v>0</v>
      </c>
      <c r="ZI82">
        <v>0</v>
      </c>
      <c r="ZJ82">
        <v>0</v>
      </c>
      <c r="ZK82">
        <v>0</v>
      </c>
      <c r="ZL82">
        <v>0</v>
      </c>
      <c r="ZM82">
        <v>0</v>
      </c>
      <c r="ZN82">
        <v>0</v>
      </c>
      <c r="ZO82">
        <v>0</v>
      </c>
      <c r="ZP82">
        <v>0</v>
      </c>
      <c r="ZQ82">
        <v>0</v>
      </c>
      <c r="ZR82">
        <v>0</v>
      </c>
      <c r="ZS82">
        <v>0</v>
      </c>
      <c r="ZT82">
        <v>0</v>
      </c>
      <c r="ZU82">
        <v>0</v>
      </c>
      <c r="ZV82">
        <v>0</v>
      </c>
      <c r="ZW82">
        <v>0</v>
      </c>
      <c r="ZX82">
        <v>0</v>
      </c>
      <c r="ZY82">
        <v>0</v>
      </c>
      <c r="ZZ82">
        <v>0</v>
      </c>
      <c r="AAA82">
        <v>0</v>
      </c>
      <c r="AAB82">
        <v>0</v>
      </c>
      <c r="AAC82">
        <v>0</v>
      </c>
      <c r="AAD82">
        <v>0</v>
      </c>
      <c r="AAE82">
        <v>0</v>
      </c>
      <c r="AAF82">
        <v>0</v>
      </c>
      <c r="AAG82">
        <v>0</v>
      </c>
      <c r="AAH82">
        <v>0</v>
      </c>
      <c r="AAI82">
        <v>0</v>
      </c>
      <c r="AAJ82">
        <v>0</v>
      </c>
      <c r="AAK82">
        <v>0</v>
      </c>
      <c r="AAL82">
        <v>0</v>
      </c>
      <c r="AAM82">
        <v>0</v>
      </c>
      <c r="AAN82">
        <v>0</v>
      </c>
      <c r="AAO82">
        <v>0</v>
      </c>
      <c r="AAP82">
        <v>0</v>
      </c>
      <c r="AAQ82">
        <v>0</v>
      </c>
      <c r="AAR82">
        <v>0</v>
      </c>
      <c r="AAS82">
        <v>0</v>
      </c>
      <c r="AAT82">
        <v>0</v>
      </c>
      <c r="AAU82">
        <v>0</v>
      </c>
      <c r="AAV82">
        <v>0</v>
      </c>
      <c r="AAW82">
        <v>0</v>
      </c>
      <c r="AAX82">
        <v>0</v>
      </c>
      <c r="AAY82">
        <v>0</v>
      </c>
      <c r="AAZ82">
        <v>0</v>
      </c>
      <c r="ABA82">
        <v>0</v>
      </c>
      <c r="ABB82">
        <v>0</v>
      </c>
      <c r="ABC82">
        <v>0</v>
      </c>
      <c r="ABD82">
        <v>0</v>
      </c>
      <c r="ABE82">
        <v>0</v>
      </c>
      <c r="ABF82">
        <v>0</v>
      </c>
      <c r="ABG82">
        <v>0</v>
      </c>
      <c r="ABH82">
        <v>0</v>
      </c>
      <c r="ABI82">
        <v>0</v>
      </c>
      <c r="ABJ82">
        <v>0</v>
      </c>
      <c r="ABK82">
        <v>0</v>
      </c>
      <c r="ABL82">
        <v>0</v>
      </c>
      <c r="ABM82">
        <v>0</v>
      </c>
      <c r="ABN82">
        <v>0</v>
      </c>
      <c r="ABO82">
        <v>0</v>
      </c>
      <c r="ABP82">
        <v>0</v>
      </c>
      <c r="ABQ82">
        <v>0</v>
      </c>
      <c r="ABR82">
        <v>0</v>
      </c>
      <c r="ABS82">
        <v>0</v>
      </c>
      <c r="ABT82">
        <v>0</v>
      </c>
      <c r="ABU82">
        <v>0</v>
      </c>
      <c r="ABV82">
        <v>0</v>
      </c>
      <c r="ABW82">
        <v>0</v>
      </c>
      <c r="ABX82">
        <v>0</v>
      </c>
      <c r="ABY82">
        <v>0</v>
      </c>
      <c r="ABZ82">
        <v>0</v>
      </c>
      <c r="ACA82">
        <v>0</v>
      </c>
      <c r="ACB82">
        <v>0</v>
      </c>
      <c r="ACC82">
        <v>0</v>
      </c>
      <c r="ACD82">
        <v>0</v>
      </c>
      <c r="ACE82">
        <v>0</v>
      </c>
      <c r="ACF82">
        <v>0</v>
      </c>
      <c r="ACG82">
        <v>0</v>
      </c>
      <c r="ACH82">
        <v>0</v>
      </c>
      <c r="ACI82">
        <v>0</v>
      </c>
      <c r="ACJ82">
        <v>0</v>
      </c>
      <c r="ACK82">
        <v>0</v>
      </c>
      <c r="ACL82">
        <v>0</v>
      </c>
      <c r="ACM82">
        <v>0</v>
      </c>
      <c r="ACN82">
        <v>0</v>
      </c>
      <c r="ACO82">
        <v>0</v>
      </c>
      <c r="ACP82">
        <v>0</v>
      </c>
      <c r="ACQ82">
        <v>0</v>
      </c>
      <c r="ACR82">
        <v>0</v>
      </c>
      <c r="ACS82">
        <v>0</v>
      </c>
      <c r="ACT82">
        <v>0</v>
      </c>
      <c r="ACU82">
        <v>0</v>
      </c>
      <c r="ACV82">
        <v>0</v>
      </c>
      <c r="ACW82">
        <v>0</v>
      </c>
      <c r="ACX82">
        <v>0</v>
      </c>
      <c r="ACY82">
        <v>0</v>
      </c>
      <c r="ACZ82">
        <v>0</v>
      </c>
      <c r="ADA82">
        <v>0</v>
      </c>
      <c r="ADB82">
        <v>0</v>
      </c>
      <c r="ADC82">
        <v>0</v>
      </c>
      <c r="ADD82">
        <v>0</v>
      </c>
      <c r="ADE82">
        <v>0</v>
      </c>
      <c r="ADF82">
        <v>0</v>
      </c>
      <c r="ADG82">
        <v>0</v>
      </c>
      <c r="ADH82">
        <v>0</v>
      </c>
      <c r="ADI82">
        <v>0</v>
      </c>
      <c r="ADJ82">
        <v>0</v>
      </c>
      <c r="ADK82">
        <v>0</v>
      </c>
      <c r="ADL82">
        <v>0</v>
      </c>
      <c r="ADM82">
        <v>0</v>
      </c>
      <c r="ADN82">
        <v>0</v>
      </c>
      <c r="ADO82">
        <v>0</v>
      </c>
      <c r="ADP82">
        <v>0</v>
      </c>
      <c r="ADQ82">
        <v>0</v>
      </c>
      <c r="ADR82">
        <v>0</v>
      </c>
      <c r="ADS82">
        <v>0</v>
      </c>
      <c r="ADT82">
        <v>0</v>
      </c>
      <c r="ADU82">
        <v>0</v>
      </c>
      <c r="ADV82">
        <v>0</v>
      </c>
      <c r="ADW82">
        <v>0</v>
      </c>
      <c r="ADX82">
        <v>0</v>
      </c>
      <c r="ADY82">
        <v>0</v>
      </c>
      <c r="ADZ82">
        <v>0</v>
      </c>
      <c r="AEA82">
        <v>0</v>
      </c>
      <c r="AEB82">
        <v>0</v>
      </c>
      <c r="AEC82">
        <v>0</v>
      </c>
      <c r="AED82">
        <v>0</v>
      </c>
      <c r="AEE82">
        <v>0</v>
      </c>
      <c r="AEF82">
        <v>0</v>
      </c>
      <c r="AEG82">
        <v>0</v>
      </c>
      <c r="AEH82">
        <v>0</v>
      </c>
      <c r="AEI82">
        <v>0</v>
      </c>
      <c r="AEJ82">
        <v>0</v>
      </c>
      <c r="AEK82">
        <v>0</v>
      </c>
      <c r="AEL82">
        <v>0</v>
      </c>
      <c r="AEM82">
        <v>0</v>
      </c>
      <c r="AEN82">
        <v>0</v>
      </c>
      <c r="AEO82">
        <v>0</v>
      </c>
      <c r="AEP82">
        <v>0</v>
      </c>
      <c r="AEQ82">
        <v>0</v>
      </c>
      <c r="AER82">
        <v>0</v>
      </c>
      <c r="AES82">
        <v>0</v>
      </c>
      <c r="AET82">
        <v>0</v>
      </c>
      <c r="AEU82">
        <v>0</v>
      </c>
      <c r="AEV82">
        <v>0</v>
      </c>
      <c r="AEW82">
        <v>0</v>
      </c>
      <c r="AEX82">
        <v>0</v>
      </c>
      <c r="AEY82">
        <v>0</v>
      </c>
      <c r="AEZ82">
        <v>0</v>
      </c>
      <c r="AFA82">
        <v>0</v>
      </c>
      <c r="AFB82">
        <v>0</v>
      </c>
      <c r="AFC82">
        <v>0</v>
      </c>
      <c r="AFD82">
        <v>0</v>
      </c>
      <c r="AFE82">
        <v>0</v>
      </c>
      <c r="AFF82">
        <v>0</v>
      </c>
      <c r="AFG82">
        <v>0</v>
      </c>
      <c r="AFH82">
        <v>0</v>
      </c>
      <c r="AFI82">
        <v>0</v>
      </c>
      <c r="AFJ82">
        <v>0</v>
      </c>
      <c r="AFK82">
        <v>0</v>
      </c>
      <c r="AFL82">
        <v>0</v>
      </c>
      <c r="AFM82">
        <v>0</v>
      </c>
      <c r="AFN82">
        <v>0</v>
      </c>
      <c r="AFO82">
        <v>0</v>
      </c>
      <c r="AFP82">
        <v>0</v>
      </c>
      <c r="AFQ82">
        <v>0</v>
      </c>
      <c r="AFR82">
        <v>0</v>
      </c>
      <c r="AFS82">
        <v>0</v>
      </c>
      <c r="AFT82">
        <v>0</v>
      </c>
      <c r="AFU82">
        <v>0</v>
      </c>
      <c r="AFV82">
        <v>0</v>
      </c>
      <c r="AFW82">
        <v>0</v>
      </c>
      <c r="AFX82">
        <v>0</v>
      </c>
      <c r="AFY82">
        <v>0</v>
      </c>
      <c r="AFZ82">
        <v>0</v>
      </c>
      <c r="AGA82">
        <v>0</v>
      </c>
      <c r="AGB82">
        <v>0</v>
      </c>
      <c r="AGC82">
        <v>0</v>
      </c>
      <c r="AGD82">
        <v>0</v>
      </c>
      <c r="AGE82">
        <v>0</v>
      </c>
      <c r="AGF82">
        <v>0</v>
      </c>
      <c r="AGG82">
        <v>0</v>
      </c>
      <c r="AGH82">
        <v>0</v>
      </c>
      <c r="AGI82">
        <v>0</v>
      </c>
      <c r="AGJ82">
        <v>0</v>
      </c>
      <c r="AGK82">
        <v>0</v>
      </c>
      <c r="AGL82">
        <v>0</v>
      </c>
      <c r="AGM82">
        <v>0</v>
      </c>
      <c r="AGN82">
        <v>0</v>
      </c>
      <c r="AGO82">
        <v>0</v>
      </c>
      <c r="AGP82">
        <v>0</v>
      </c>
      <c r="AGQ82">
        <v>0</v>
      </c>
      <c r="AGR82">
        <v>0</v>
      </c>
      <c r="AGS82">
        <v>0</v>
      </c>
      <c r="AGT82">
        <v>0</v>
      </c>
      <c r="AGU82">
        <v>0</v>
      </c>
      <c r="AGV82">
        <v>0</v>
      </c>
      <c r="AGW82">
        <v>0</v>
      </c>
      <c r="AGX82">
        <v>0</v>
      </c>
      <c r="AGY82">
        <v>0</v>
      </c>
      <c r="AGZ82">
        <v>0</v>
      </c>
      <c r="AHA82">
        <v>0</v>
      </c>
      <c r="AHB82">
        <v>0</v>
      </c>
      <c r="AHC82">
        <v>0</v>
      </c>
      <c r="AHD82">
        <v>0</v>
      </c>
      <c r="AHE82">
        <v>0</v>
      </c>
      <c r="AHF82">
        <v>0</v>
      </c>
      <c r="AHG82">
        <v>0</v>
      </c>
      <c r="AHH82">
        <v>0</v>
      </c>
      <c r="AHI82">
        <v>0</v>
      </c>
      <c r="AHJ82">
        <v>0</v>
      </c>
      <c r="AHK82">
        <v>0</v>
      </c>
      <c r="AHL82">
        <v>0</v>
      </c>
      <c r="AHM82">
        <v>0</v>
      </c>
      <c r="AHN82">
        <v>0</v>
      </c>
      <c r="AHO82">
        <v>0</v>
      </c>
      <c r="AHP82">
        <v>0</v>
      </c>
      <c r="AHQ82">
        <v>0</v>
      </c>
    </row>
    <row r="83" spans="1:901">
      <c r="A83" s="1" t="s">
        <v>120</v>
      </c>
      <c r="C83" s="39">
        <f t="shared" si="157"/>
        <v>0.26041275797373359</v>
      </c>
      <c r="D83" s="39">
        <f t="shared" si="157"/>
        <v>0.29528246942341291</v>
      </c>
      <c r="E83" s="39">
        <f t="shared" si="157"/>
        <v>0.28599033816425123</v>
      </c>
      <c r="F83" s="39">
        <f t="shared" si="157"/>
        <v>0.20151636073423784</v>
      </c>
      <c r="G83" s="39">
        <f t="shared" si="222"/>
        <v>0.35904900533721495</v>
      </c>
      <c r="H83" s="39">
        <f t="shared" si="222"/>
        <v>0.19532324621733149</v>
      </c>
      <c r="I83" s="39">
        <f t="shared" si="222"/>
        <v>0.24958011420893517</v>
      </c>
      <c r="J83" s="39">
        <f t="shared" si="222"/>
        <v>0.30457038391224861</v>
      </c>
      <c r="K83" s="39">
        <f t="shared" si="222"/>
        <v>0.33306320907617504</v>
      </c>
      <c r="L83" s="39">
        <f t="shared" si="222"/>
        <v>0.13417855256207079</v>
      </c>
      <c r="M83" s="39">
        <f t="shared" si="222"/>
        <v>0.26867816091954022</v>
      </c>
      <c r="N83" s="39">
        <f t="shared" si="222"/>
        <v>0.32459970887918488</v>
      </c>
      <c r="O83" s="39">
        <f t="shared" si="222"/>
        <v>0.22369765066394279</v>
      </c>
      <c r="P83" s="39">
        <f t="shared" si="222"/>
        <v>0.30465320456540823</v>
      </c>
      <c r="Q83" s="39">
        <f t="shared" si="222"/>
        <v>0.3367579908675799</v>
      </c>
      <c r="R83" s="39">
        <f t="shared" si="222"/>
        <v>0.28183486238532113</v>
      </c>
      <c r="S83" s="39">
        <f t="shared" si="222"/>
        <v>0.32589285714285715</v>
      </c>
      <c r="T83" s="39">
        <f t="shared" si="222"/>
        <v>0.26583541147132167</v>
      </c>
      <c r="U83" s="39">
        <f t="shared" si="222"/>
        <v>0.32507847924659922</v>
      </c>
      <c r="V83" s="39">
        <f t="shared" ref="V83:AY83" si="1259">IFERROR(V20/V62,0)</f>
        <v>0.24920936116382036</v>
      </c>
      <c r="W83" s="39">
        <f t="shared" si="1259"/>
        <v>0.29162528963919232</v>
      </c>
      <c r="X83" s="39">
        <f t="shared" si="1259"/>
        <v>0.30935483870967739</v>
      </c>
      <c r="Y83" s="39">
        <f t="shared" si="1259"/>
        <v>0.24283246977547496</v>
      </c>
      <c r="Z83" s="39">
        <f t="shared" si="1259"/>
        <v>0.24109304738844689</v>
      </c>
      <c r="AA83" s="39">
        <f t="shared" si="1259"/>
        <v>0.23204994797086367</v>
      </c>
      <c r="AB83" s="39">
        <f t="shared" si="1259"/>
        <v>0.31279794646131281</v>
      </c>
      <c r="AC83" s="39">
        <f t="shared" si="1259"/>
        <v>0.21379082810953481</v>
      </c>
      <c r="AD83" s="39">
        <f t="shared" si="1259"/>
        <v>0.25701574264202603</v>
      </c>
      <c r="AE83" s="39">
        <f t="shared" si="1259"/>
        <v>0.29811574697173621</v>
      </c>
      <c r="AF83" s="39">
        <f t="shared" si="1259"/>
        <v>0.18184919822586149</v>
      </c>
      <c r="AG83" s="39">
        <f t="shared" si="1259"/>
        <v>0.26347082868821997</v>
      </c>
      <c r="AH83" s="39">
        <f t="shared" si="1259"/>
        <v>0.32298136645962733</v>
      </c>
      <c r="AI83" s="39">
        <f t="shared" si="1259"/>
        <v>0.2048828769383042</v>
      </c>
      <c r="AJ83" s="39">
        <f t="shared" si="1259"/>
        <v>0.27087872185911399</v>
      </c>
      <c r="AK83" s="39">
        <f t="shared" si="1259"/>
        <v>0.24911909795630727</v>
      </c>
      <c r="AL83" s="39">
        <f t="shared" si="1259"/>
        <v>0.25683251576734406</v>
      </c>
      <c r="AM83" s="39">
        <f t="shared" si="1259"/>
        <v>0.26089850249584029</v>
      </c>
      <c r="AN83" s="39">
        <f t="shared" si="1259"/>
        <v>0.21804511278195488</v>
      </c>
      <c r="AO83" s="39">
        <f t="shared" si="1259"/>
        <v>0.2122835943940643</v>
      </c>
      <c r="AP83" s="39">
        <f t="shared" si="1259"/>
        <v>0.18497109826589594</v>
      </c>
      <c r="AQ83" s="39">
        <f t="shared" si="1259"/>
        <v>0.25791695988740326</v>
      </c>
      <c r="AR83" s="39">
        <f t="shared" si="1259"/>
        <v>0.24196115886660299</v>
      </c>
      <c r="AS83" s="39">
        <f t="shared" si="1259"/>
        <v>0.18187874750166555</v>
      </c>
      <c r="AT83" s="39">
        <f t="shared" si="1259"/>
        <v>0.20587207270185251</v>
      </c>
      <c r="AU83" s="39">
        <f t="shared" si="1259"/>
        <v>0.20472440944881889</v>
      </c>
      <c r="AV83" s="39">
        <f t="shared" si="1259"/>
        <v>0.27687296416938112</v>
      </c>
      <c r="AW83" s="39">
        <f t="shared" si="1259"/>
        <v>0.15717615717615718</v>
      </c>
      <c r="AX83" s="39">
        <f t="shared" si="1259"/>
        <v>0.23127753303964757</v>
      </c>
      <c r="AY83" s="39">
        <f t="shared" si="1259"/>
        <v>0.18420120439249027</v>
      </c>
      <c r="AZ83" s="39">
        <f t="shared" si="1131"/>
        <v>0.24009562841530055</v>
      </c>
      <c r="BA83" s="39">
        <f t="shared" ref="BA83:BF83" si="1260">IFERROR(BA20/BA62,0)</f>
        <v>0.17457305502846299</v>
      </c>
      <c r="BB83" s="39">
        <f t="shared" si="1260"/>
        <v>0.25106547849670668</v>
      </c>
      <c r="BC83" s="39">
        <f t="shared" si="1260"/>
        <v>0.14429260450160772</v>
      </c>
      <c r="BD83" s="39">
        <f t="shared" si="1260"/>
        <v>0.24519874944171505</v>
      </c>
      <c r="BE83" s="39">
        <f t="shared" si="1260"/>
        <v>0.22589020771513352</v>
      </c>
      <c r="BF83" s="39">
        <f t="shared" si="1260"/>
        <v>0.20704012112036335</v>
      </c>
      <c r="BG83" s="39">
        <f t="shared" ref="BG83" si="1261">IFERROR(BG20/BG62,0)</f>
        <v>0.25395189003436425</v>
      </c>
      <c r="BH83" s="39">
        <f t="shared" si="1133"/>
        <v>0.25994592506759368</v>
      </c>
      <c r="BI83" s="39">
        <f t="shared" si="1133"/>
        <v>0.32902391725921137</v>
      </c>
      <c r="BJ83" s="39">
        <f t="shared" si="1133"/>
        <v>0.16143911439114392</v>
      </c>
      <c r="BK83" s="39">
        <f t="shared" si="1133"/>
        <v>0.26128921061702859</v>
      </c>
      <c r="BL83" s="39">
        <f t="shared" ref="BL83:BM83" si="1262">IFERROR(BL20/BL62,0)</f>
        <v>0.25980066445182726</v>
      </c>
      <c r="BM83" s="39">
        <f t="shared" si="1262"/>
        <v>0.26249616681999388</v>
      </c>
      <c r="BN83" s="39">
        <f t="shared" ref="BN83:BO83" si="1263">IFERROR(BN20/BN62,0)</f>
        <v>0.22323552735923871</v>
      </c>
      <c r="BO83" s="39">
        <f t="shared" si="1263"/>
        <v>0.29075691411935956</v>
      </c>
      <c r="BP83" s="39">
        <f t="shared" ref="BP83:BQ83" si="1264">IFERROR(BP20/BP62,0)</f>
        <v>0.21463245492371705</v>
      </c>
      <c r="BQ83" s="39">
        <f t="shared" si="1264"/>
        <v>0.21594202898550724</v>
      </c>
      <c r="BR83" s="39">
        <f t="shared" ref="BR83:BS83" si="1265">IFERROR(BR20/BR62,0)</f>
        <v>0.27209302325581397</v>
      </c>
      <c r="BS83" s="39">
        <f t="shared" si="1265"/>
        <v>0.31473214285714285</v>
      </c>
      <c r="BT83" s="39">
        <f t="shared" ref="BT83:BU83" si="1266">IFERROR(BT20/BT62,0)</f>
        <v>0.17656811273832551</v>
      </c>
      <c r="BU83" s="39">
        <f t="shared" si="1266"/>
        <v>0.26197263397947551</v>
      </c>
      <c r="BV83" s="39">
        <f t="shared" ref="BV83:BW83" si="1267">IFERROR(BV20/BV62,0)</f>
        <v>0.19004648619086684</v>
      </c>
      <c r="BW83" s="39">
        <f t="shared" si="1267"/>
        <v>0.24571972098922004</v>
      </c>
      <c r="BX83" s="39">
        <f t="shared" ref="BX83:BY83" si="1268">IFERROR(BX20/BX62,0)</f>
        <v>0.16867469879518071</v>
      </c>
      <c r="BY83" s="39">
        <f t="shared" si="1268"/>
        <v>0.27807063784923564</v>
      </c>
      <c r="BZ83" s="39">
        <f t="shared" ref="BZ83:CA83" si="1269">IFERROR(BZ20/BZ62,0)</f>
        <v>0.24674046740467404</v>
      </c>
      <c r="CA83" s="39">
        <f t="shared" si="1269"/>
        <v>0.23718712753277713</v>
      </c>
      <c r="CB83" s="39">
        <f t="shared" ref="CB83:CC83" si="1270">IFERROR(CB20/CB62,0)</f>
        <v>0.24596871239470516</v>
      </c>
      <c r="CC83" s="39">
        <f t="shared" si="1270"/>
        <v>0.17499999999999999</v>
      </c>
      <c r="CD83" s="39">
        <f t="shared" ref="CD83:CE83" si="1271">IFERROR(CD20/CD62,0)</f>
        <v>0.17277614858260021</v>
      </c>
      <c r="CE83" s="39">
        <f t="shared" si="1271"/>
        <v>0.20526584867075665</v>
      </c>
      <c r="CF83" s="39">
        <f t="shared" ref="CF83:CG83" si="1272">IFERROR(CF20/CF62,0)</f>
        <v>0.18224543080939948</v>
      </c>
      <c r="CG83" s="39">
        <f t="shared" si="1272"/>
        <v>0.18494897959183673</v>
      </c>
      <c r="CH83" s="39">
        <f t="shared" ref="CH83:CI83" si="1273">IFERROR(CH20/CH62,0)</f>
        <v>0.20453400503778338</v>
      </c>
      <c r="CI83" s="39">
        <f t="shared" si="1273"/>
        <v>0.28802992518703241</v>
      </c>
      <c r="CJ83" s="39">
        <f t="shared" ref="CJ83:CK83" si="1274">IFERROR(CJ20/CJ62,0)</f>
        <v>0.20997375328083989</v>
      </c>
      <c r="CK83" s="39">
        <f t="shared" si="1274"/>
        <v>0.17358588479501816</v>
      </c>
      <c r="CL83" s="39">
        <f t="shared" ref="CL83:CM83" si="1275">IFERROR(CL20/CL62,0)</f>
        <v>0.18107344632768363</v>
      </c>
      <c r="CM83" s="39">
        <f t="shared" si="1275"/>
        <v>0.32193732193732194</v>
      </c>
      <c r="CN83" s="39">
        <f t="shared" ref="CN83:CO83" si="1276">IFERROR(CN20/CN62,0)</f>
        <v>0.22986036519871106</v>
      </c>
      <c r="CO83" s="39">
        <f t="shared" si="1276"/>
        <v>0.22580645161290322</v>
      </c>
      <c r="CP83" s="39">
        <f t="shared" ref="CP83:CQ83" si="1277">IFERROR(CP20/CP62,0)</f>
        <v>0.32680412371134021</v>
      </c>
      <c r="CQ83" s="39">
        <f t="shared" si="1277"/>
        <v>0.2289284764690242</v>
      </c>
      <c r="CR83" s="39">
        <f t="shared" ref="CR83:CS83" si="1278">IFERROR(CR20/CR62,0)</f>
        <v>0.19482120838471023</v>
      </c>
      <c r="CS83" s="39">
        <f t="shared" si="1278"/>
        <v>0.22345913657344557</v>
      </c>
      <c r="CT83" s="39">
        <f t="shared" ref="CT83:CU83" si="1279">IFERROR(CT20/CT62,0)</f>
        <v>0.26121076233183854</v>
      </c>
      <c r="CU83" s="39">
        <f t="shared" si="1279"/>
        <v>0.23302338686954072</v>
      </c>
      <c r="CV83" s="39">
        <f t="shared" ref="CV83:CW83" si="1280">IFERROR(CV20/CV62,0)</f>
        <v>0.26413013509787703</v>
      </c>
      <c r="CW83" s="39">
        <f t="shared" si="1280"/>
        <v>0.14293019688059319</v>
      </c>
      <c r="CX83" s="39">
        <f t="shared" ref="CX83:CY83" si="1281">IFERROR(CX20/CX62,0)</f>
        <v>0.15702005730659027</v>
      </c>
      <c r="CY83" s="39">
        <f t="shared" si="1281"/>
        <v>0.12093023255813953</v>
      </c>
      <c r="CZ83" s="39">
        <f t="shared" ref="CZ83:DA83" si="1282">IFERROR(CZ20/CZ62,0)</f>
        <v>0.3252476938845234</v>
      </c>
      <c r="DA83" s="39">
        <f t="shared" si="1282"/>
        <v>0.23111919927206551</v>
      </c>
      <c r="DB83" s="39">
        <f t="shared" ref="DB83:DC83" si="1283">IFERROR(DB20/DB62,0)</f>
        <v>0.31278538812785389</v>
      </c>
      <c r="DC83" s="39">
        <f t="shared" si="1283"/>
        <v>0.29749541844838118</v>
      </c>
      <c r="DD83" s="39">
        <f t="shared" ref="DD83:DE83" si="1284">IFERROR(DD20/DD62,0)</f>
        <v>0.13421306726746057</v>
      </c>
      <c r="DE83" s="39">
        <f t="shared" si="1284"/>
        <v>0.35480769230769232</v>
      </c>
      <c r="DF83" s="39">
        <f t="shared" ref="DF83:DG83" si="1285">IFERROR(DF20/DF62,0)</f>
        <v>0.28018942383583267</v>
      </c>
      <c r="DG83" s="39">
        <f t="shared" si="1285"/>
        <v>0.29750778816199375</v>
      </c>
      <c r="DH83" s="39">
        <f t="shared" ref="DH83:DI83" si="1286">IFERROR(DH20/DH62,0)</f>
        <v>0.33720112517580875</v>
      </c>
      <c r="DI83" s="39">
        <f t="shared" si="1286"/>
        <v>0.29823978744603125</v>
      </c>
      <c r="DJ83" s="39">
        <f t="shared" ref="DJ83:DK83" si="1287">IFERROR(DJ20/DJ62,0)</f>
        <v>0.38694638694638694</v>
      </c>
      <c r="DK83" s="39">
        <f t="shared" si="1287"/>
        <v>0.34940128953024258</v>
      </c>
      <c r="DL83" s="39">
        <f t="shared" ref="DL83:DM83" si="1288">IFERROR(DL20/DL62,0)</f>
        <v>0.3279313632030505</v>
      </c>
      <c r="DM83" s="39">
        <f t="shared" si="1288"/>
        <v>0.23503989361702127</v>
      </c>
      <c r="DN83" s="39">
        <f t="shared" ref="DN83:DO83" si="1289">IFERROR(DN20/DN62,0)</f>
        <v>0.32325675130995568</v>
      </c>
      <c r="DO83" s="39">
        <f t="shared" si="1289"/>
        <v>0.36304198210598759</v>
      </c>
      <c r="DP83" s="39">
        <f t="shared" ref="DP83:DQ83" si="1290">IFERROR(DP20/DP62,0)</f>
        <v>0.32125681308111576</v>
      </c>
      <c r="DQ83" s="39">
        <f t="shared" si="1290"/>
        <v>0.33196072220462464</v>
      </c>
      <c r="DR83" s="39">
        <f t="shared" ref="DR83:DS83" si="1291">IFERROR(DR20/DR62,0)</f>
        <v>0.36981010621177984</v>
      </c>
      <c r="DS83" s="39">
        <f t="shared" si="1291"/>
        <v>0.25249853027630803</v>
      </c>
      <c r="DT83" s="39">
        <f t="shared" ref="DT83:DU83" si="1292">IFERROR(DT20/DT62,0)</f>
        <v>0.1641025641025641</v>
      </c>
      <c r="DU83" s="39">
        <f t="shared" si="1292"/>
        <v>0.13652312599681021</v>
      </c>
      <c r="DV83" s="39">
        <f t="shared" si="125"/>
        <v>0.23803643099722135</v>
      </c>
      <c r="DW83" s="39">
        <f t="shared" si="125"/>
        <v>0.3154537547115106</v>
      </c>
      <c r="DX83" s="39">
        <f t="shared" ref="DX83:DY83" si="1293">IFERROR(DX20/DX62,0)</f>
        <v>0.33137376237623761</v>
      </c>
      <c r="DY83" s="39">
        <f t="shared" si="1293"/>
        <v>0.24970691676436108</v>
      </c>
      <c r="DZ83" s="39">
        <f t="shared" ref="DZ83:EA83" si="1294">IFERROR(DZ20/DZ62,0)</f>
        <v>0.22614503816793893</v>
      </c>
      <c r="EA83" s="39">
        <f t="shared" si="1294"/>
        <v>0.19778316591617595</v>
      </c>
      <c r="EB83" s="39">
        <f t="shared" ref="EB83:EC83" si="1295">IFERROR(EB20/EB62,0)</f>
        <v>0.26278984173721015</v>
      </c>
      <c r="EC83" s="39">
        <f t="shared" si="1295"/>
        <v>0.32521354001898134</v>
      </c>
      <c r="ED83" s="39">
        <f t="shared" ref="ED83:EE83" si="1296">IFERROR(ED20/ED62,0)</f>
        <v>0.22518301610541727</v>
      </c>
      <c r="EE83" s="39">
        <f t="shared" si="1296"/>
        <v>0.24221008673305494</v>
      </c>
      <c r="EF83" s="39">
        <f t="shared" ref="EF83:EG83" si="1297">IFERROR(EF20/EF62,0)</f>
        <v>0.29587786259541987</v>
      </c>
      <c r="EG83" s="39">
        <f t="shared" si="1297"/>
        <v>0.20425794507867942</v>
      </c>
      <c r="EH83" s="39">
        <f t="shared" ref="EH83:EI83" si="1298">IFERROR(EH20/EH62,0)</f>
        <v>0.21008663366336633</v>
      </c>
      <c r="EI83" s="39">
        <f t="shared" si="1298"/>
        <v>0.16279753158977373</v>
      </c>
      <c r="EJ83" s="39">
        <f t="shared" ref="EJ83:EK83" si="1299">IFERROR(EJ20/EJ62,0)</f>
        <v>0.2044924154025671</v>
      </c>
      <c r="EK83" s="39">
        <f t="shared" si="1299"/>
        <v>0.2224538415723645</v>
      </c>
      <c r="EL83" s="39">
        <f t="shared" ref="EL83:EM83" si="1300">IFERROR(EL20/EL62,0)</f>
        <v>0.22744199369808077</v>
      </c>
      <c r="EM83" s="39">
        <f t="shared" si="1300"/>
        <v>0.24292518912860744</v>
      </c>
      <c r="EN83" s="39">
        <f t="shared" ref="EN83:EO83" si="1301">IFERROR(EN20/EN62,0)</f>
        <v>0.20101494220468002</v>
      </c>
      <c r="EO83" s="39">
        <f t="shared" si="1301"/>
        <v>0.17126704356501496</v>
      </c>
      <c r="EP83" s="39">
        <f t="shared" ref="EP83" si="1302">IFERROR(EP20/EP62,0)</f>
        <v>0.27539127539127539</v>
      </c>
      <c r="EQ83" s="39">
        <f t="shared" ref="EQ83:ER83" si="1303">IFERROR(EQ20/EQ62,0)</f>
        <v>0.24696241876236225</v>
      </c>
      <c r="ER83" s="39">
        <f t="shared" si="1303"/>
        <v>0.27557058326289097</v>
      </c>
      <c r="ES83" s="39">
        <f t="shared" ref="ES83:ET83" si="1304">IFERROR(ES20/ES62,0)</f>
        <v>0.25777543489720611</v>
      </c>
      <c r="ET83" s="39">
        <f t="shared" si="1304"/>
        <v>0.23314447592067988</v>
      </c>
      <c r="EU83" s="39">
        <f t="shared" ref="EU83:EV83" si="1305">IFERROR(EU20/EU62,0)</f>
        <v>0.24239816408491108</v>
      </c>
      <c r="EV83" s="39">
        <f t="shared" si="1305"/>
        <v>0.17242371905584342</v>
      </c>
      <c r="EW83" s="39">
        <f t="shared" ref="EW83:EX83" si="1306">IFERROR(EW20/EW62,0)</f>
        <v>0.30583793203601511</v>
      </c>
      <c r="EX83" s="39">
        <f t="shared" si="1306"/>
        <v>0.30975407571152253</v>
      </c>
      <c r="EY83" s="39">
        <f t="shared" ref="EY83:EZ83" si="1307">IFERROR(EY20/EY62,0)</f>
        <v>0.27484760137821362</v>
      </c>
      <c r="EZ83" s="39">
        <f t="shared" si="1307"/>
        <v>0.36064278187565857</v>
      </c>
      <c r="FA83" s="39">
        <f t="shared" ref="FA83:FB83" si="1308">IFERROR(FA20/FA62,0)</f>
        <v>0.28679449095328113</v>
      </c>
      <c r="FB83" s="39">
        <f t="shared" si="1308"/>
        <v>0.28978688070855246</v>
      </c>
      <c r="FC83" s="39">
        <f t="shared" ref="FC83:FD83" si="1309">IFERROR(FC20/FC62,0)</f>
        <v>0.26291955247735749</v>
      </c>
      <c r="FD83" s="39">
        <f t="shared" si="1309"/>
        <v>0.25564318738101716</v>
      </c>
      <c r="FE83" s="39">
        <f t="shared" ref="FE83:FF83" si="1310">IFERROR(FE20/FE62,0)</f>
        <v>0.30275474725862528</v>
      </c>
      <c r="FF83" s="39">
        <f t="shared" si="1310"/>
        <v>0.33665760048352977</v>
      </c>
      <c r="FG83" s="39">
        <f t="shared" ref="FG83:FH83" si="1311">IFERROR(FG20/FG62,0)</f>
        <v>0.36777332570120208</v>
      </c>
      <c r="FH83" s="39">
        <f t="shared" si="1311"/>
        <v>0.39552447552447551</v>
      </c>
      <c r="FI83" s="39">
        <f t="shared" ref="FI83:FJ83" si="1312">IFERROR(FI20/FI62,0)</f>
        <v>0.26443941109852775</v>
      </c>
      <c r="FJ83" s="39">
        <f t="shared" si="1312"/>
        <v>0.24709915611814345</v>
      </c>
      <c r="FK83" s="39">
        <f t="shared" ref="FK83:FL83" si="1313">IFERROR(FK20/FK62,0)</f>
        <v>0.26077643908969211</v>
      </c>
      <c r="FL83" s="39">
        <f t="shared" si="1313"/>
        <v>0.31244585619405141</v>
      </c>
      <c r="FM83" s="39">
        <f t="shared" ref="FM83" si="1314">IFERROR(FM20/FM62,0)</f>
        <v>0.37764010137989301</v>
      </c>
      <c r="FN83" s="39">
        <v>0.40753327669215522</v>
      </c>
      <c r="FO83" s="39">
        <f t="shared" ref="FO83" si="1315">IFERROR(FO20/FO62,0)</f>
        <v>0.39355007865757735</v>
      </c>
      <c r="FP83" s="39">
        <v>0.30274509803921568</v>
      </c>
      <c r="FQ83" s="39">
        <f t="shared" ref="FQ83:HA83" si="1316">IFERROR(FQ20/FQ62,0)</f>
        <v>0.26112326768781913</v>
      </c>
      <c r="FR83" s="39">
        <v>0.42236169223616921</v>
      </c>
      <c r="FS83" s="39">
        <f t="shared" si="1316"/>
        <v>0.45126353790613716</v>
      </c>
      <c r="FT83" s="39">
        <f t="shared" si="1316"/>
        <v>0.43735173603623034</v>
      </c>
      <c r="FU83" s="39">
        <f t="shared" si="1316"/>
        <v>0.35687586071217786</v>
      </c>
      <c r="FV83" s="39">
        <f t="shared" si="1316"/>
        <v>0.35116325313183533</v>
      </c>
      <c r="FW83" s="39">
        <f t="shared" si="1316"/>
        <v>0.29812537794799437</v>
      </c>
      <c r="FX83" s="39">
        <f t="shared" si="1316"/>
        <v>0.19454770755885997</v>
      </c>
      <c r="FY83" s="39">
        <f t="shared" si="1316"/>
        <v>0.27467137531881497</v>
      </c>
      <c r="FZ83" s="39">
        <f t="shared" si="1316"/>
        <v>0.37788198515044941</v>
      </c>
      <c r="GA83" s="39">
        <f t="shared" si="1316"/>
        <v>0.48968575284364757</v>
      </c>
      <c r="GB83" s="39">
        <f t="shared" si="1316"/>
        <v>0.44836488812392428</v>
      </c>
      <c r="GC83" s="39">
        <f t="shared" si="1316"/>
        <v>0.3323943661971831</v>
      </c>
      <c r="GD83" s="39">
        <f t="shared" si="1316"/>
        <v>0.3487792725460887</v>
      </c>
      <c r="GE83" s="39">
        <f t="shared" si="1316"/>
        <v>0.25362198168193173</v>
      </c>
      <c r="GF83" s="39">
        <f t="shared" si="1316"/>
        <v>0.32784184514003295</v>
      </c>
      <c r="GG83" s="39">
        <f t="shared" si="1316"/>
        <v>0.336046511627907</v>
      </c>
      <c r="GH83" s="39">
        <f t="shared" si="1316"/>
        <v>0.42171320991528083</v>
      </c>
      <c r="GI83" s="39">
        <f t="shared" si="1316"/>
        <v>0.30750327653997378</v>
      </c>
      <c r="GJ83" s="39">
        <f t="shared" si="1316"/>
        <v>0.32804059584220002</v>
      </c>
      <c r="GK83" s="39">
        <f t="shared" si="1316"/>
        <v>0.29545809271109724</v>
      </c>
      <c r="GL83" s="39">
        <f t="shared" si="1316"/>
        <v>0.31773969430291804</v>
      </c>
      <c r="GM83" s="39">
        <f t="shared" si="1316"/>
        <v>0.29059267772122804</v>
      </c>
      <c r="GN83" s="39">
        <f t="shared" si="1316"/>
        <v>0.35071970283237891</v>
      </c>
      <c r="GO83" s="39">
        <f t="shared" si="1316"/>
        <v>0.3203112335872913</v>
      </c>
      <c r="GP83" s="39">
        <f t="shared" si="1316"/>
        <v>0.2680086508068541</v>
      </c>
      <c r="GQ83" s="39">
        <f t="shared" si="1316"/>
        <v>0.27671657201858546</v>
      </c>
      <c r="GR83" s="39">
        <f t="shared" si="1316"/>
        <v>0.26077175982003808</v>
      </c>
      <c r="GS83" s="39">
        <f t="shared" si="1316"/>
        <v>0.36222044728434505</v>
      </c>
      <c r="GT83" s="39">
        <f t="shared" si="1316"/>
        <v>0.28332360381397159</v>
      </c>
      <c r="GU83" s="39">
        <f t="shared" si="1316"/>
        <v>0.41278375149342889</v>
      </c>
      <c r="GV83" s="39">
        <f t="shared" si="1316"/>
        <v>0.4163750874737579</v>
      </c>
      <c r="GW83" s="39">
        <f t="shared" si="1316"/>
        <v>0.42660471519531923</v>
      </c>
      <c r="GX83" s="39">
        <f t="shared" si="1316"/>
        <v>0.42749244712990936</v>
      </c>
      <c r="GY83" s="39">
        <f t="shared" si="1316"/>
        <v>0.26465246821859006</v>
      </c>
      <c r="GZ83" s="39">
        <f t="shared" si="1316"/>
        <v>0.25183135275923818</v>
      </c>
      <c r="HA83" s="39">
        <f t="shared" si="1316"/>
        <v>0.35000388893209927</v>
      </c>
      <c r="HB83" s="39">
        <f t="shared" si="148"/>
        <v>0.20214669051878353</v>
      </c>
      <c r="HC83" s="39">
        <f t="shared" si="148"/>
        <v>0.30312124849939975</v>
      </c>
      <c r="HD83" s="39">
        <f t="shared" ref="HD83:JO83" si="1317">IFERROR(HD20/HD62,0)</f>
        <v>0.36697674418604653</v>
      </c>
      <c r="HE83" s="39">
        <f t="shared" si="1317"/>
        <v>0</v>
      </c>
      <c r="HF83" s="39">
        <f t="shared" si="1317"/>
        <v>0.12142467461616398</v>
      </c>
      <c r="HG83" s="39">
        <f t="shared" si="1317"/>
        <v>0.2940888308295232</v>
      </c>
      <c r="HH83" s="39">
        <f t="shared" si="1317"/>
        <v>0.34981572481572482</v>
      </c>
      <c r="HI83" s="39">
        <f t="shared" si="1317"/>
        <v>0.39984639016897083</v>
      </c>
      <c r="HJ83" s="39">
        <f t="shared" si="1317"/>
        <v>0.41420118343195267</v>
      </c>
      <c r="HK83" s="39">
        <f t="shared" si="1317"/>
        <v>0.41675751440585579</v>
      </c>
      <c r="HL83" s="39">
        <f t="shared" si="1317"/>
        <v>0.42939616164768296</v>
      </c>
      <c r="HM83" s="39">
        <f t="shared" si="1317"/>
        <v>0.32962341820399449</v>
      </c>
      <c r="HN83" s="39">
        <f t="shared" si="1317"/>
        <v>0.27836658354114713</v>
      </c>
      <c r="HO83" s="39">
        <f t="shared" si="1317"/>
        <v>0.36162420382165605</v>
      </c>
      <c r="HP83" s="39">
        <f t="shared" si="1317"/>
        <v>0.38489208633093525</v>
      </c>
      <c r="HQ83" s="39">
        <f t="shared" si="1317"/>
        <v>0.36470588235294116</v>
      </c>
      <c r="HR83" s="39">
        <f t="shared" si="1317"/>
        <v>0.42102796438056556</v>
      </c>
      <c r="HS83" s="39">
        <f t="shared" si="1317"/>
        <v>0.36768617021276595</v>
      </c>
      <c r="HT83" s="39">
        <f t="shared" si="1317"/>
        <v>0.32075160705455746</v>
      </c>
      <c r="HU83" s="39">
        <f t="shared" si="1317"/>
        <v>0.25070097311561934</v>
      </c>
      <c r="HV83" s="39">
        <f t="shared" si="1317"/>
        <v>0.31775079021793379</v>
      </c>
      <c r="HW83" s="39">
        <f t="shared" si="1317"/>
        <v>0.36259416966917785</v>
      </c>
      <c r="HX83" s="39">
        <f t="shared" si="1317"/>
        <v>0.38258706467661691</v>
      </c>
      <c r="HY83" s="39">
        <f t="shared" si="1317"/>
        <v>0.42155413175620177</v>
      </c>
      <c r="HZ83" s="39">
        <f t="shared" si="1317"/>
        <v>0.44741651437115798</v>
      </c>
      <c r="IA83" s="39">
        <f t="shared" si="1317"/>
        <v>0.33570850202429148</v>
      </c>
      <c r="IB83" s="39">
        <f t="shared" si="1317"/>
        <v>0.24164901417630763</v>
      </c>
      <c r="IC83" s="39">
        <f t="shared" si="1317"/>
        <v>0.31353408338848443</v>
      </c>
      <c r="ID83" s="39">
        <f t="shared" si="1317"/>
        <v>0.39044021024967146</v>
      </c>
      <c r="IE83" s="39">
        <f t="shared" si="1317"/>
        <v>0.45010345376412542</v>
      </c>
      <c r="IF83" s="39">
        <f t="shared" si="1317"/>
        <v>0.42229896398618649</v>
      </c>
      <c r="IG83" s="39">
        <f t="shared" si="1317"/>
        <v>0.36307641085400366</v>
      </c>
      <c r="IH83" s="39">
        <f t="shared" si="1317"/>
        <v>0.34958540630182422</v>
      </c>
      <c r="II83" s="39">
        <f t="shared" si="1317"/>
        <v>0.29239862091610574</v>
      </c>
      <c r="IJ83" s="39">
        <f t="shared" si="1317"/>
        <v>0.33294873908027034</v>
      </c>
      <c r="IK83" s="39">
        <f t="shared" si="1317"/>
        <v>0.44909483474505896</v>
      </c>
      <c r="IL83" s="39">
        <f t="shared" si="1317"/>
        <v>0.45868381989114299</v>
      </c>
      <c r="IM83" s="39">
        <f t="shared" si="1317"/>
        <v>0.49599083619702178</v>
      </c>
      <c r="IN83" s="39">
        <f t="shared" si="1317"/>
        <v>0.52278731836195513</v>
      </c>
      <c r="IO83" s="39">
        <f t="shared" si="1317"/>
        <v>0.50007745933384973</v>
      </c>
      <c r="IP83" s="39">
        <f t="shared" si="1317"/>
        <v>0.38004535147392288</v>
      </c>
      <c r="IQ83" s="39">
        <f t="shared" si="1317"/>
        <v>0.3912543153049482</v>
      </c>
      <c r="IR83" s="39">
        <f t="shared" si="1317"/>
        <v>0.46088946088946087</v>
      </c>
      <c r="IS83" s="39">
        <f t="shared" si="1317"/>
        <v>0.45739972337482709</v>
      </c>
      <c r="IT83" s="39">
        <f t="shared" si="1317"/>
        <v>0.39867785405542844</v>
      </c>
      <c r="IU83" s="39">
        <f t="shared" si="1317"/>
        <v>0.34957338939037963</v>
      </c>
      <c r="IV83" s="39">
        <f t="shared" si="1317"/>
        <v>0.30766307789740344</v>
      </c>
      <c r="IW83" s="39">
        <f t="shared" si="1317"/>
        <v>0.24394545027039738</v>
      </c>
      <c r="IX83" s="39">
        <f t="shared" si="1317"/>
        <v>0.32095238095238093</v>
      </c>
      <c r="IY83" s="39">
        <f t="shared" si="1317"/>
        <v>0.34432940043342164</v>
      </c>
      <c r="IZ83" s="39">
        <f t="shared" si="1317"/>
        <v>0.36943705929950293</v>
      </c>
      <c r="JA83" s="39">
        <f t="shared" si="1317"/>
        <v>0.37689196995956092</v>
      </c>
      <c r="JB83" s="39">
        <f t="shared" si="1317"/>
        <v>0.40275367349300012</v>
      </c>
      <c r="JC83" s="39">
        <f t="shared" si="1317"/>
        <v>0.3235662980275909</v>
      </c>
      <c r="JD83" s="39">
        <f t="shared" si="1317"/>
        <v>0.29193899782135074</v>
      </c>
      <c r="JE83" s="39">
        <f t="shared" si="1317"/>
        <v>0.34723414693977678</v>
      </c>
      <c r="JF83" s="39">
        <f t="shared" si="1317"/>
        <v>0.32779171894604769</v>
      </c>
      <c r="JG83" s="39">
        <f t="shared" si="1317"/>
        <v>0.32355703997495044</v>
      </c>
      <c r="JH83" s="39">
        <f t="shared" si="1317"/>
        <v>0.29478409576742198</v>
      </c>
      <c r="JI83" s="39">
        <f t="shared" si="1317"/>
        <v>0.29142363361417151</v>
      </c>
      <c r="JJ83" s="39">
        <f t="shared" si="1317"/>
        <v>0.27859778597785978</v>
      </c>
      <c r="JK83" s="39">
        <f t="shared" si="1317"/>
        <v>0.25326148610323312</v>
      </c>
      <c r="JL83" s="39">
        <f t="shared" si="1317"/>
        <v>0.30097087378640774</v>
      </c>
      <c r="JM83" s="39">
        <f t="shared" si="1317"/>
        <v>0.36454346637506835</v>
      </c>
      <c r="JN83" s="39">
        <f t="shared" si="1317"/>
        <v>0.30696909155012342</v>
      </c>
      <c r="JO83" s="39">
        <f t="shared" si="1317"/>
        <v>0.28473098543076747</v>
      </c>
      <c r="JP83" s="39">
        <f t="shared" ref="JP83:KG83" si="1318">IFERROR(JP20/JP62,0)</f>
        <v>0.24855424473745086</v>
      </c>
      <c r="JQ83" s="39">
        <f t="shared" si="1318"/>
        <v>0.20546941765352217</v>
      </c>
      <c r="JR83" s="39">
        <f t="shared" si="1318"/>
        <v>0.15810549571941451</v>
      </c>
      <c r="JS83" s="39">
        <f t="shared" si="1318"/>
        <v>0.23017942033430455</v>
      </c>
      <c r="JT83" s="39">
        <f t="shared" si="1318"/>
        <v>0.24769470846928643</v>
      </c>
      <c r="JU83" s="39">
        <f t="shared" si="1318"/>
        <v>0.29763059442981848</v>
      </c>
      <c r="JV83" s="39">
        <f t="shared" si="1318"/>
        <v>0.2509878730072217</v>
      </c>
      <c r="JW83" s="39">
        <f t="shared" si="1318"/>
        <v>0.3080357142857143</v>
      </c>
      <c r="JX83" s="39">
        <f t="shared" si="1318"/>
        <v>0.23704280155642024</v>
      </c>
      <c r="JY83" s="39">
        <f t="shared" si="1318"/>
        <v>0.23000773395204949</v>
      </c>
      <c r="JZ83" s="39">
        <f t="shared" si="1318"/>
        <v>0.23816641753861484</v>
      </c>
      <c r="KA83" s="39">
        <f t="shared" si="1318"/>
        <v>0.29307852898667097</v>
      </c>
      <c r="KB83" s="39">
        <f t="shared" si="1318"/>
        <v>0.26276579233276426</v>
      </c>
      <c r="KC83" s="39">
        <f t="shared" si="1318"/>
        <v>0.26879699248120303</v>
      </c>
      <c r="KD83" s="39">
        <f t="shared" si="1318"/>
        <v>0.21989005497251374</v>
      </c>
      <c r="KE83" s="39">
        <f t="shared" si="1318"/>
        <v>0.27007943512797883</v>
      </c>
      <c r="KF83" s="39">
        <f t="shared" si="1318"/>
        <v>0.29093992248062017</v>
      </c>
      <c r="KG83" s="39">
        <f t="shared" si="1318"/>
        <v>0.27342439491972204</v>
      </c>
      <c r="KH83" s="39">
        <f t="shared" si="475"/>
        <v>0.26764121999639057</v>
      </c>
      <c r="KI83" s="39">
        <f t="shared" si="475"/>
        <v>0.24420980926430519</v>
      </c>
      <c r="KJ83" s="39">
        <f t="shared" si="541"/>
        <v>0.25141776937618149</v>
      </c>
      <c r="KK83" s="39">
        <f t="shared" si="541"/>
        <v>0.21296766548163196</v>
      </c>
      <c r="KL83" s="39">
        <f t="shared" si="541"/>
        <v>0.1885049606568594</v>
      </c>
      <c r="KM83" s="39">
        <f t="shared" si="541"/>
        <v>0.19305359661495064</v>
      </c>
      <c r="KN83" s="39">
        <f t="shared" si="541"/>
        <v>0.23891175125743028</v>
      </c>
      <c r="KO83" s="39">
        <f t="shared" si="541"/>
        <v>0.20566345979306588</v>
      </c>
      <c r="KP83" s="39">
        <f t="shared" si="541"/>
        <v>0.19246097641979409</v>
      </c>
      <c r="KQ83" s="39">
        <f t="shared" si="541"/>
        <v>0.19972236682283534</v>
      </c>
      <c r="KR83" s="39">
        <f t="shared" si="541"/>
        <v>0.20450576318546979</v>
      </c>
      <c r="KS83" s="39">
        <f t="shared" si="541"/>
        <v>0.19283088235294119</v>
      </c>
      <c r="KT83" s="39">
        <f t="shared" si="541"/>
        <v>0.14023330851327873</v>
      </c>
      <c r="KU83" s="39">
        <f t="shared" si="541"/>
        <v>0.14299975043673571</v>
      </c>
      <c r="KV83" s="39">
        <f t="shared" si="541"/>
        <v>0.16505995767693393</v>
      </c>
      <c r="KW83" s="39">
        <f t="shared" si="541"/>
        <v>0.19922937443336355</v>
      </c>
      <c r="KX83" s="39">
        <f t="shared" si="541"/>
        <v>0.16822867853795689</v>
      </c>
      <c r="KY83" s="39">
        <f t="shared" si="541"/>
        <v>0.15203021718602455</v>
      </c>
      <c r="KZ83" s="39">
        <f t="shared" ref="KZ83" si="1319">IFERROR(KZ20/KZ62,0)</f>
        <v>9.6926713947990545E-2</v>
      </c>
      <c r="LA83" s="39">
        <f>IFERROR(LA20/LA62,0)</f>
        <v>0.1052762568442011</v>
      </c>
      <c r="LB83" s="39">
        <f t="shared" ref="LB83:NM83" si="1320">IFERROR(LB20/LB62,0)</f>
        <v>0.12541918175720992</v>
      </c>
      <c r="LC83" s="39">
        <f t="shared" si="1320"/>
        <v>0.13581096581784813</v>
      </c>
      <c r="LD83" s="39">
        <f t="shared" si="1320"/>
        <v>0.14961694456962596</v>
      </c>
      <c r="LE83" s="39">
        <f t="shared" si="1320"/>
        <v>0.12436313107920334</v>
      </c>
      <c r="LF83" s="39">
        <f t="shared" si="1320"/>
        <v>0.11864922421661089</v>
      </c>
      <c r="LG83" s="39">
        <f t="shared" si="1320"/>
        <v>9.1623828243120653E-2</v>
      </c>
      <c r="LH83" s="39">
        <f t="shared" si="1320"/>
        <v>8.8344257623254485E-2</v>
      </c>
      <c r="LI83" s="39">
        <f t="shared" si="1320"/>
        <v>9.7197898423817861E-2</v>
      </c>
      <c r="LJ83" s="39">
        <f t="shared" si="1320"/>
        <v>9.7025700259890268E-2</v>
      </c>
      <c r="LK83" s="39">
        <f t="shared" si="1320"/>
        <v>0.10468252022554547</v>
      </c>
      <c r="LL83" s="39">
        <f t="shared" si="1320"/>
        <v>0.10357327809425168</v>
      </c>
      <c r="LM83" s="39">
        <f t="shared" si="1320"/>
        <v>9.7780275358246696E-2</v>
      </c>
      <c r="LN83" s="39">
        <f t="shared" si="1320"/>
        <v>9.8415600243753815E-2</v>
      </c>
      <c r="LO83" s="39">
        <f t="shared" si="1320"/>
        <v>8.115849777211967E-2</v>
      </c>
      <c r="LP83" s="39">
        <f t="shared" si="1320"/>
        <v>8.8837516512549536E-2</v>
      </c>
      <c r="LQ83" s="39">
        <f t="shared" si="1320"/>
        <v>8.9045287637698894E-2</v>
      </c>
      <c r="LR83" s="39">
        <f t="shared" si="1320"/>
        <v>0.11743119266055047</v>
      </c>
      <c r="LS83" s="39">
        <f t="shared" si="1320"/>
        <v>6.3889670700816206E-2</v>
      </c>
      <c r="LT83" s="39">
        <f t="shared" si="1320"/>
        <v>5.5732024256425067E-2</v>
      </c>
      <c r="LU83" s="39">
        <f t="shared" si="1320"/>
        <v>3.1982942430703626E-2</v>
      </c>
      <c r="LV83" s="39">
        <f t="shared" si="1320"/>
        <v>3.4834045349983571E-2</v>
      </c>
      <c r="LW83" s="39">
        <f t="shared" si="1320"/>
        <v>5.058499655884377E-2</v>
      </c>
      <c r="LX83" s="39">
        <f t="shared" si="1320"/>
        <v>0</v>
      </c>
      <c r="LY83" s="39">
        <f t="shared" si="1320"/>
        <v>5.7167480609020396E-2</v>
      </c>
      <c r="LZ83" s="39">
        <f t="shared" si="1320"/>
        <v>3.568418094970497E-2</v>
      </c>
      <c r="MA83" s="39">
        <f t="shared" si="1320"/>
        <v>3.7534330180042721E-2</v>
      </c>
      <c r="MB83" s="39">
        <f t="shared" si="1320"/>
        <v>4.3037196434060863E-2</v>
      </c>
      <c r="MC83" s="39">
        <f t="shared" si="1320"/>
        <v>4.1513592946362969E-2</v>
      </c>
      <c r="MD83" s="39">
        <f t="shared" si="1320"/>
        <v>3.5434305424898088E-2</v>
      </c>
      <c r="ME83" s="39">
        <f t="shared" si="1320"/>
        <v>4.2560000000000001E-2</v>
      </c>
      <c r="MF83" s="39">
        <f t="shared" si="1320"/>
        <v>4.6385156749840048E-2</v>
      </c>
      <c r="MG83" s="39">
        <f t="shared" si="1320"/>
        <v>2.9973649538866932E-2</v>
      </c>
      <c r="MH83" s="39">
        <f t="shared" si="1320"/>
        <v>7.3186959414504324E-3</v>
      </c>
      <c r="MI83" s="39">
        <f t="shared" si="1320"/>
        <v>2.0659780073308896E-2</v>
      </c>
      <c r="MJ83" s="39">
        <f t="shared" si="1320"/>
        <v>2.3081052066559311E-2</v>
      </c>
      <c r="MK83" s="39">
        <f t="shared" si="1320"/>
        <v>2.5024533856722278E-2</v>
      </c>
      <c r="ML83" s="39">
        <f t="shared" si="1320"/>
        <v>3.3333333333333333E-2</v>
      </c>
      <c r="MM83" s="39">
        <f t="shared" si="1320"/>
        <v>3.8273253226524258E-2</v>
      </c>
      <c r="MN83" s="39">
        <f t="shared" si="1320"/>
        <v>4.3645699614890884E-2</v>
      </c>
      <c r="MO83" s="39">
        <f t="shared" si="1320"/>
        <v>3.574504737295435E-2</v>
      </c>
      <c r="MP83" s="39">
        <f t="shared" si="1320"/>
        <v>1.9693654266958426E-2</v>
      </c>
      <c r="MQ83" s="39">
        <f t="shared" si="1320"/>
        <v>1.7505470459518599E-2</v>
      </c>
      <c r="MR83" s="39">
        <f t="shared" si="1320"/>
        <v>1.6601135867190912E-2</v>
      </c>
      <c r="MS83" s="39">
        <f t="shared" si="1320"/>
        <v>0</v>
      </c>
      <c r="MT83" s="39">
        <f t="shared" si="1320"/>
        <v>3.7280701754385963E-2</v>
      </c>
      <c r="MU83" s="39">
        <f t="shared" si="1320"/>
        <v>3.1031468531468532E-2</v>
      </c>
      <c r="MV83" s="39">
        <f t="shared" si="1320"/>
        <v>3.2757857459052679E-2</v>
      </c>
      <c r="MW83" s="39">
        <f t="shared" si="1320"/>
        <v>2.2381378692927483E-2</v>
      </c>
      <c r="MX83" s="39">
        <f t="shared" si="1320"/>
        <v>1.569713758079409E-2</v>
      </c>
      <c r="MY83" s="39">
        <f t="shared" si="1320"/>
        <v>2.2611905860636824E-2</v>
      </c>
      <c r="MZ83" s="39">
        <f t="shared" si="1320"/>
        <v>2.2546419098143235E-2</v>
      </c>
      <c r="NA83" s="39">
        <f t="shared" si="1320"/>
        <v>3.1574199368516014E-2</v>
      </c>
      <c r="NB83" s="39">
        <f t="shared" si="1320"/>
        <v>2.8225806451612902E-2</v>
      </c>
      <c r="NC83" s="39">
        <f t="shared" si="1320"/>
        <v>2.574712643678161E-2</v>
      </c>
      <c r="ND83" s="39">
        <f t="shared" si="1320"/>
        <v>1.8749999999999999E-2</v>
      </c>
      <c r="NE83" s="39">
        <f t="shared" si="1320"/>
        <v>1.3182674199623353E-2</v>
      </c>
      <c r="NF83" s="39">
        <f t="shared" si="1320"/>
        <v>7.2219547424169474E-3</v>
      </c>
      <c r="NG83" s="39">
        <f t="shared" si="1320"/>
        <v>1.4612761811982464E-2</v>
      </c>
      <c r="NH83" s="39">
        <f t="shared" si="1320"/>
        <v>1.1742602160638797E-2</v>
      </c>
      <c r="NI83" s="39">
        <f t="shared" si="1320"/>
        <v>1.432532347504621E-2</v>
      </c>
      <c r="NJ83" s="39">
        <f t="shared" si="1320"/>
        <v>1.3358778625954198E-2</v>
      </c>
      <c r="NK83" s="39">
        <f t="shared" si="1320"/>
        <v>1.218917601170161E-2</v>
      </c>
      <c r="NL83" s="39">
        <f t="shared" si="1320"/>
        <v>1.1940298507462687E-2</v>
      </c>
      <c r="NM83" s="39">
        <f t="shared" si="1320"/>
        <v>1.3860369609856264E-2</v>
      </c>
      <c r="NN83" s="39">
        <f t="shared" ref="NN83:NO83" si="1321">IFERROR(NN20/NN62,0)</f>
        <v>2.3000522739153161E-2</v>
      </c>
      <c r="NO83" s="39">
        <f t="shared" si="1321"/>
        <v>2.8340080971659919E-2</v>
      </c>
      <c r="NP83" s="39">
        <v>1.1309523809523801E-2</v>
      </c>
      <c r="NQ83" s="39">
        <v>1.6825574873808199E-2</v>
      </c>
      <c r="NR83" s="39">
        <v>1.39198218262806E-2</v>
      </c>
      <c r="NS83" s="39">
        <v>1.04223806911684E-2</v>
      </c>
      <c r="NT83" s="39">
        <v>1.1074197120708699E-2</v>
      </c>
      <c r="NU83" s="39">
        <v>1.22994652406417E-2</v>
      </c>
      <c r="NV83" s="39">
        <v>1.50414937759336E-2</v>
      </c>
      <c r="NW83" s="39">
        <v>1.3248542660307399E-2</v>
      </c>
      <c r="NX83" s="39">
        <v>1.6508254127063499E-2</v>
      </c>
      <c r="NY83" s="39">
        <v>1.0388190267906E-2</v>
      </c>
      <c r="NZ83" s="39">
        <v>7.2504182933630801E-3</v>
      </c>
      <c r="OA83" s="39">
        <v>8.8287227781047705E-3</v>
      </c>
      <c r="OB83" s="39">
        <v>1.47392290249433E-2</v>
      </c>
      <c r="OC83" s="39">
        <v>1.7637626937466601E-2</v>
      </c>
      <c r="OD83" s="39">
        <v>1.28962923159592E-2</v>
      </c>
      <c r="OE83" s="39">
        <v>1.19318181818182E-2</v>
      </c>
      <c r="OF83" s="39">
        <v>1.01549973276323E-2</v>
      </c>
      <c r="OG83" s="39">
        <v>0.10555867490174101</v>
      </c>
      <c r="OH83" s="39">
        <v>1.4035087719298201E-2</v>
      </c>
      <c r="OI83" s="39">
        <v>1.64960182025028E-2</v>
      </c>
      <c r="OJ83" s="39">
        <v>1.7259414225941402E-2</v>
      </c>
      <c r="OK83" s="39">
        <v>1.7673888255416201E-2</v>
      </c>
      <c r="OL83" s="39">
        <v>1.7515923566879001E-2</v>
      </c>
      <c r="OM83" s="39">
        <v>1.22973728339855E-2</v>
      </c>
      <c r="ON83" s="39">
        <v>1.2134583563154999E-2</v>
      </c>
      <c r="OO83" s="39">
        <v>1.73864273696018E-2</v>
      </c>
      <c r="OP83" s="39">
        <v>3.4097261039687E-2</v>
      </c>
      <c r="OQ83" s="39">
        <v>4.1404612159329099E-2</v>
      </c>
      <c r="OR83" s="39">
        <v>2.7578599007170398E-2</v>
      </c>
      <c r="OS83" s="39">
        <f t="shared" ref="OS83" si="1322">IFERROR(OS20/OS62,0)</f>
        <v>1.5608740894901144E-2</v>
      </c>
      <c r="OT83" s="39">
        <f t="shared" si="156"/>
        <v>1.7419706042460535E-2</v>
      </c>
      <c r="OU83" s="39">
        <v>1.92202086765513E-2</v>
      </c>
      <c r="OV83" s="39">
        <v>2.46575342465753E-2</v>
      </c>
      <c r="OW83" s="39">
        <v>2.6822157434402302E-2</v>
      </c>
      <c r="OX83" s="39">
        <v>2.77926242650989E-2</v>
      </c>
      <c r="OY83" s="39">
        <v>2.13430504945341E-2</v>
      </c>
      <c r="OZ83" s="39">
        <v>2.64690312334569E-2</v>
      </c>
      <c r="PA83" s="39">
        <v>1.9760790431617301E-2</v>
      </c>
      <c r="PB83" s="39">
        <v>2.6016260162601602E-2</v>
      </c>
      <c r="PC83" s="39">
        <v>2.9034059184812999E-2</v>
      </c>
      <c r="PD83" s="39">
        <v>2.8679653679653701E-2</v>
      </c>
      <c r="PE83" s="39">
        <v>2.8738690792974999E-2</v>
      </c>
      <c r="PF83" s="39">
        <v>2.8511087645195402E-2</v>
      </c>
      <c r="PG83" s="39">
        <v>0</v>
      </c>
      <c r="PH83" s="39">
        <v>2.4415584415584401E-2</v>
      </c>
      <c r="PI83" s="39">
        <v>2.32678386763185E-2</v>
      </c>
      <c r="PJ83" s="39">
        <v>2.4945770065075899E-2</v>
      </c>
      <c r="PK83" s="39">
        <v>3.05676855895196E-2</v>
      </c>
      <c r="PL83" s="39">
        <v>0</v>
      </c>
      <c r="PM83" s="39">
        <v>2.0032485110990799E-2</v>
      </c>
      <c r="PN83" s="39">
        <v>2.77926242650989E-2</v>
      </c>
      <c r="PO83" s="39">
        <v>2.3305084745762698E-2</v>
      </c>
      <c r="PP83" s="39">
        <v>2.20311660397636E-2</v>
      </c>
      <c r="PQ83" s="39">
        <v>2.61723009814613E-2</v>
      </c>
      <c r="PR83" s="39">
        <v>3.0067392431311599E-2</v>
      </c>
      <c r="PS83" s="39">
        <v>2.9130632680928501E-2</v>
      </c>
      <c r="PT83" s="39">
        <v>3.5682426404995499E-2</v>
      </c>
      <c r="PU83" s="39">
        <v>0</v>
      </c>
      <c r="PV83" s="39">
        <v>2.1379588543767598E-2</v>
      </c>
      <c r="PW83" s="39">
        <v>2.0600858369098699E-2</v>
      </c>
      <c r="PX83" s="39">
        <v>1.9505851755526701E-2</v>
      </c>
      <c r="PY83" s="39">
        <v>2.31143552311436E-2</v>
      </c>
      <c r="PZ83" s="39">
        <v>2.4343122102009299E-2</v>
      </c>
      <c r="QA83" s="39">
        <v>3.09278350515464E-2</v>
      </c>
      <c r="QB83" s="39">
        <v>2.3185100722158899E-2</v>
      </c>
      <c r="QC83" s="39">
        <v>2.1016431027894501E-2</v>
      </c>
      <c r="QD83" s="39">
        <v>2.1197471178876898E-2</v>
      </c>
      <c r="QE83" s="39">
        <v>2.1113243761996199E-2</v>
      </c>
      <c r="QF83" s="39">
        <v>1.8024263431542498E-2</v>
      </c>
      <c r="QG83" s="39">
        <v>1.5390121689334299E-2</v>
      </c>
      <c r="QH83" s="39">
        <v>2.0706890396286998E-2</v>
      </c>
      <c r="QI83" s="39">
        <v>2.4322446143154999E-2</v>
      </c>
      <c r="QJ83" s="39">
        <v>2.0270270270270299E-2</v>
      </c>
      <c r="QK83" s="39">
        <v>1.67539267015707E-2</v>
      </c>
      <c r="QL83" s="39">
        <v>2.72489734975737E-2</v>
      </c>
      <c r="QM83" s="39">
        <v>3.4110685694396098E-2</v>
      </c>
      <c r="QN83" s="39">
        <v>3.0433086227077601E-2</v>
      </c>
      <c r="QO83" s="39">
        <v>3.6191974822974003E-2</v>
      </c>
      <c r="QP83" s="39">
        <v>3.09358081979892E-2</v>
      </c>
      <c r="QQ83" s="39">
        <v>2.06413564319941E-2</v>
      </c>
      <c r="QR83" s="39">
        <v>1.8912529550827398E-2</v>
      </c>
      <c r="QS83" s="39">
        <v>2.9165001997602899E-2</v>
      </c>
      <c r="QT83" s="39">
        <v>3.5169988276670602E-2</v>
      </c>
      <c r="QU83" s="39">
        <v>3.7513791835233498E-2</v>
      </c>
      <c r="QV83" s="39">
        <v>4.7584973166368498E-2</v>
      </c>
      <c r="QW83" s="39">
        <v>3.6415565869332402E-2</v>
      </c>
      <c r="QX83" s="39">
        <v>3.6628733997155001E-2</v>
      </c>
      <c r="QY83" s="39">
        <v>3.7851478010093698E-2</v>
      </c>
      <c r="QZ83" s="39">
        <v>7.8993358965396707E-2</v>
      </c>
      <c r="RA83" s="39">
        <v>8.6407444333665706E-2</v>
      </c>
      <c r="RB83" s="39">
        <v>8.6212262682850899E-2</v>
      </c>
      <c r="RC83" s="39">
        <v>0.228821156432093</v>
      </c>
      <c r="RD83" s="39">
        <v>0.18150753768844199</v>
      </c>
      <c r="RE83" s="39">
        <v>7.6757532281205201E-2</v>
      </c>
      <c r="RF83" s="39">
        <v>0.137535145267104</v>
      </c>
      <c r="RG83" s="39">
        <v>0.13190252626872301</v>
      </c>
      <c r="RH83" s="39">
        <v>0.20462983184101299</v>
      </c>
      <c r="RI83" s="39">
        <v>0.20016440608302499</v>
      </c>
      <c r="RJ83" s="39">
        <v>0.243705743509048</v>
      </c>
      <c r="RK83" s="39">
        <v>0.31539044730856702</v>
      </c>
      <c r="RL83" s="39">
        <v>0.243238369996394</v>
      </c>
      <c r="RM83" s="39">
        <v>0.143298479087452</v>
      </c>
      <c r="RN83" s="39">
        <v>0.31032049989921401</v>
      </c>
      <c r="RO83" s="39">
        <v>0.209694763834891</v>
      </c>
      <c r="RP83" s="39">
        <v>0.30008964589870002</v>
      </c>
      <c r="RQ83" s="39">
        <v>0.22569397881185499</v>
      </c>
      <c r="RR83" s="39">
        <v>0.31882162910545297</v>
      </c>
      <c r="RS83" s="39">
        <v>0.26511441188277801</v>
      </c>
      <c r="RT83" s="39">
        <v>0.32744114897595</v>
      </c>
      <c r="RU83" s="39">
        <v>0.290672253598105</v>
      </c>
      <c r="RV83" s="39">
        <v>0.44870732515744099</v>
      </c>
      <c r="RW83" s="39">
        <v>0.51880276285494997</v>
      </c>
      <c r="RX83" s="39">
        <v>0.49311676014276401</v>
      </c>
      <c r="RY83" s="39">
        <v>0.40482492626484201</v>
      </c>
      <c r="RZ83" s="39">
        <v>0.31277081856141198</v>
      </c>
      <c r="SA83" s="39">
        <v>0.36848825331971402</v>
      </c>
      <c r="SB83" s="39">
        <v>0.47548330404217898</v>
      </c>
      <c r="SC83" s="39">
        <v>0.48223684210526302</v>
      </c>
      <c r="SD83" s="39">
        <v>0.45524335943497601</v>
      </c>
      <c r="SE83" s="39">
        <v>0.43996925441967699</v>
      </c>
      <c r="SF83" s="39">
        <v>0.43497650712749902</v>
      </c>
      <c r="SG83" s="39">
        <v>0.45447255880256598</v>
      </c>
      <c r="SH83" s="39">
        <v>0.575161026943663</v>
      </c>
      <c r="SI83" s="39">
        <v>0.59487847222222201</v>
      </c>
      <c r="SJ83" s="39">
        <v>0.23925549915397601</v>
      </c>
      <c r="SK83" s="39">
        <v>0.39380633233187001</v>
      </c>
      <c r="SL83" s="39">
        <v>0.29965547632401301</v>
      </c>
      <c r="SM83" s="39">
        <v>0.29986018587054902</v>
      </c>
      <c r="SN83" s="39">
        <v>0.26407750910897598</v>
      </c>
      <c r="SO83" s="39">
        <v>0.25113102859581699</v>
      </c>
      <c r="SP83" s="39">
        <v>0</v>
      </c>
      <c r="SQ83" s="39">
        <v>0.29490557751427299</v>
      </c>
      <c r="SR83" s="39">
        <v>0.355980184005662</v>
      </c>
      <c r="SS83" s="39">
        <v>0.34136593393675801</v>
      </c>
      <c r="ST83" s="39">
        <v>0.23659542557180399</v>
      </c>
      <c r="SU83" s="39">
        <v>0.23892566191445999</v>
      </c>
      <c r="SV83" s="39">
        <v>0.30167597765363102</v>
      </c>
      <c r="SW83" s="39">
        <v>0.34163183717972001</v>
      </c>
      <c r="SX83" s="39">
        <v>0.39274336283185801</v>
      </c>
      <c r="SY83" s="39">
        <v>0.37521876093804701</v>
      </c>
      <c r="SZ83" s="39">
        <v>0.298461006398063</v>
      </c>
      <c r="TA83" s="39">
        <v>0.38340414896275898</v>
      </c>
      <c r="TB83" s="39">
        <v>0</v>
      </c>
      <c r="TC83" s="39">
        <v>0.227872998033155</v>
      </c>
      <c r="TD83" s="39">
        <v>0.296331738437002</v>
      </c>
      <c r="TE83" s="39">
        <v>0.23492169276907701</v>
      </c>
      <c r="TF83" s="39">
        <v>0.29781771501925502</v>
      </c>
      <c r="TG83" s="39">
        <v>0.33166009322337803</v>
      </c>
      <c r="TH83" s="39">
        <v>0.2734375</v>
      </c>
      <c r="TI83" s="39">
        <v>0.28195345288057999</v>
      </c>
      <c r="TJ83" s="39">
        <v>0.301923831959168</v>
      </c>
      <c r="TK83" s="39">
        <v>0.182562423250102</v>
      </c>
      <c r="TL83" s="39">
        <v>0.174989509022241</v>
      </c>
      <c r="TM83" s="39">
        <v>0.14802130898021301</v>
      </c>
      <c r="TN83" s="39">
        <v>0.164985881403792</v>
      </c>
      <c r="TO83" s="39">
        <v>0.15444015444015399</v>
      </c>
      <c r="TP83" s="39">
        <v>0.12090790048014</v>
      </c>
      <c r="TQ83" s="39">
        <v>0.118181818181818</v>
      </c>
      <c r="TR83" s="39">
        <v>0.16169782718544701</v>
      </c>
      <c r="TS83" s="39">
        <v>0.193305044790193</v>
      </c>
      <c r="TT83" s="39">
        <v>0.16098707403055201</v>
      </c>
      <c r="TU83" s="39">
        <v>0.15775749674054801</v>
      </c>
      <c r="TV83" s="39">
        <v>0.140786749482402</v>
      </c>
      <c r="TW83" s="39">
        <v>5.8670820353063299E-2</v>
      </c>
      <c r="TX83" s="39">
        <v>5.9833506763787701E-2</v>
      </c>
      <c r="TY83" s="39">
        <v>8.8969823100936499E-2</v>
      </c>
      <c r="TZ83" s="39">
        <v>0.11914672216441199</v>
      </c>
      <c r="UA83" s="39">
        <v>0.111578947368421</v>
      </c>
      <c r="UB83" s="39">
        <v>6.4224548049476707E-2</v>
      </c>
      <c r="UC83" s="39">
        <v>2.92192613370734E-2</v>
      </c>
      <c r="UD83" s="39">
        <v>0</v>
      </c>
      <c r="UE83" s="39">
        <v>7.4558907228229901E-2</v>
      </c>
      <c r="UF83" s="39">
        <v>0.10588972431077701</v>
      </c>
      <c r="UG83" s="39">
        <v>9.2485549132948E-2</v>
      </c>
      <c r="UH83" s="45">
        <v>6.01421541826134E-2</v>
      </c>
      <c r="UI83" s="45">
        <v>7.0267435762978503E-2</v>
      </c>
      <c r="UJ83" s="45">
        <v>4.86486486486487E-2</v>
      </c>
      <c r="UK83" s="45">
        <v>4.1387024608501098E-2</v>
      </c>
      <c r="UL83" s="45">
        <v>4.2682926829268303E-2</v>
      </c>
      <c r="UM83" s="45">
        <v>0</v>
      </c>
      <c r="UN83" s="45">
        <v>0</v>
      </c>
      <c r="UO83" s="45">
        <v>0</v>
      </c>
      <c r="UP83" s="45">
        <v>0</v>
      </c>
      <c r="UQ83" s="45">
        <v>0</v>
      </c>
      <c r="UR83" s="45">
        <v>0</v>
      </c>
      <c r="US83" s="45">
        <v>0</v>
      </c>
      <c r="UT83" s="45">
        <v>0</v>
      </c>
      <c r="UU83" s="45">
        <v>0</v>
      </c>
      <c r="UV83" s="45">
        <v>0</v>
      </c>
      <c r="UW83" s="45">
        <v>0</v>
      </c>
      <c r="UX83" s="45">
        <v>6.57104500812549E-3</v>
      </c>
      <c r="UY83" s="45">
        <v>0</v>
      </c>
      <c r="UZ83" s="45">
        <v>0</v>
      </c>
      <c r="VA83" s="45">
        <v>0</v>
      </c>
      <c r="VB83" s="45">
        <v>0</v>
      </c>
      <c r="VC83" s="45">
        <v>0</v>
      </c>
      <c r="VD83" s="45">
        <v>0</v>
      </c>
      <c r="VE83" s="45">
        <v>0</v>
      </c>
      <c r="VF83" s="45">
        <v>0</v>
      </c>
      <c r="VG83" s="45">
        <v>0</v>
      </c>
      <c r="VH83" s="45">
        <v>0</v>
      </c>
      <c r="VI83" s="45">
        <v>0</v>
      </c>
      <c r="VJ83" s="45">
        <v>0</v>
      </c>
      <c r="VK83" s="45">
        <v>0</v>
      </c>
      <c r="VL83" s="45">
        <v>0</v>
      </c>
      <c r="VM83" s="45">
        <v>0</v>
      </c>
      <c r="VN83" s="45">
        <v>0</v>
      </c>
      <c r="VO83" s="45">
        <v>0</v>
      </c>
      <c r="VP83" s="45">
        <v>0</v>
      </c>
      <c r="VQ83" s="45">
        <v>0</v>
      </c>
      <c r="VR83" s="45">
        <v>0</v>
      </c>
      <c r="VS83" s="45">
        <v>0</v>
      </c>
      <c r="VT83" s="45">
        <v>0</v>
      </c>
      <c r="VU83" s="45">
        <v>0</v>
      </c>
      <c r="VV83" s="45">
        <v>0</v>
      </c>
      <c r="VW83" s="45">
        <v>0</v>
      </c>
      <c r="VX83" s="35">
        <v>0</v>
      </c>
      <c r="VY83" s="35">
        <v>2.5198811919133899E-2</v>
      </c>
      <c r="VZ83" s="35">
        <v>0</v>
      </c>
      <c r="WA83" s="35">
        <v>0</v>
      </c>
      <c r="WB83" s="35">
        <v>0</v>
      </c>
      <c r="WC83" s="35">
        <v>0</v>
      </c>
      <c r="WD83" s="35">
        <v>0</v>
      </c>
      <c r="WE83" s="35">
        <v>0</v>
      </c>
      <c r="WF83" s="35">
        <v>0</v>
      </c>
      <c r="WG83" s="35">
        <v>0</v>
      </c>
      <c r="WH83" s="35">
        <v>0</v>
      </c>
      <c r="WI83" s="35">
        <v>0</v>
      </c>
      <c r="WJ83" s="35">
        <v>0</v>
      </c>
      <c r="WK83" s="35">
        <v>0</v>
      </c>
      <c r="WL83" s="35">
        <v>0</v>
      </c>
      <c r="WM83" s="35">
        <v>0</v>
      </c>
      <c r="WN83" s="35">
        <v>0</v>
      </c>
      <c r="WO83" s="35">
        <v>0</v>
      </c>
      <c r="WP83" s="35">
        <v>0</v>
      </c>
      <c r="WQ83" s="35">
        <v>0</v>
      </c>
      <c r="WR83" s="35">
        <v>0</v>
      </c>
      <c r="WS83" s="35">
        <v>0</v>
      </c>
      <c r="WT83" s="35">
        <v>0</v>
      </c>
      <c r="WU83" s="35">
        <v>0</v>
      </c>
      <c r="WV83" s="45">
        <v>0</v>
      </c>
      <c r="WW83" s="45">
        <v>0</v>
      </c>
      <c r="WX83" s="45">
        <v>0</v>
      </c>
      <c r="WY83" s="45">
        <v>0</v>
      </c>
      <c r="WZ83" s="45">
        <v>0</v>
      </c>
      <c r="XA83" s="45">
        <v>0</v>
      </c>
      <c r="XB83" s="45">
        <v>0</v>
      </c>
      <c r="XC83" s="45">
        <v>0</v>
      </c>
      <c r="XD83" s="45">
        <v>0</v>
      </c>
      <c r="XE83" s="45">
        <v>0</v>
      </c>
      <c r="XF83" s="45">
        <v>0</v>
      </c>
      <c r="XG83" s="45">
        <v>0</v>
      </c>
      <c r="XH83" s="45">
        <v>0</v>
      </c>
      <c r="XI83" s="45">
        <v>0</v>
      </c>
      <c r="XJ83" s="45">
        <v>0</v>
      </c>
      <c r="XK83" s="45">
        <v>0</v>
      </c>
      <c r="XL83" s="45">
        <v>0</v>
      </c>
      <c r="XM83" s="45">
        <v>0</v>
      </c>
      <c r="XN83" s="45">
        <v>0</v>
      </c>
      <c r="XO83" s="45">
        <v>0</v>
      </c>
      <c r="XP83" s="45">
        <v>0</v>
      </c>
      <c r="XQ83" s="45">
        <v>0</v>
      </c>
      <c r="XR83" s="45">
        <v>0</v>
      </c>
      <c r="XS83" s="45">
        <v>0</v>
      </c>
      <c r="XT83" s="45">
        <v>0</v>
      </c>
      <c r="XU83" s="45">
        <v>0</v>
      </c>
      <c r="XV83" s="45">
        <v>0</v>
      </c>
      <c r="XW83" s="45">
        <v>0</v>
      </c>
      <c r="XX83" s="45">
        <v>0</v>
      </c>
      <c r="XY83">
        <v>0</v>
      </c>
      <c r="XZ83">
        <v>0</v>
      </c>
      <c r="YA83">
        <v>0</v>
      </c>
      <c r="YB83">
        <v>0</v>
      </c>
      <c r="YC83">
        <v>0</v>
      </c>
      <c r="YD83">
        <v>0</v>
      </c>
      <c r="YE83">
        <v>0</v>
      </c>
      <c r="YF83" s="1">
        <v>0</v>
      </c>
      <c r="YG83" s="1">
        <v>0</v>
      </c>
      <c r="YH83" s="1">
        <v>0</v>
      </c>
      <c r="YI83" s="1">
        <v>0</v>
      </c>
      <c r="YJ83">
        <v>0</v>
      </c>
      <c r="YK83">
        <v>0</v>
      </c>
      <c r="YL83">
        <v>0</v>
      </c>
      <c r="YM83">
        <v>0</v>
      </c>
      <c r="YN83">
        <v>0</v>
      </c>
      <c r="YO83">
        <v>0</v>
      </c>
      <c r="YP83">
        <v>0</v>
      </c>
      <c r="YQ83">
        <v>0</v>
      </c>
      <c r="YR83">
        <v>0</v>
      </c>
      <c r="YS83">
        <v>0</v>
      </c>
      <c r="YT83">
        <v>0</v>
      </c>
      <c r="YU83">
        <v>0</v>
      </c>
      <c r="YV83">
        <v>0</v>
      </c>
      <c r="YW83">
        <v>0</v>
      </c>
      <c r="YX83">
        <v>0</v>
      </c>
      <c r="YY83">
        <v>0</v>
      </c>
      <c r="YZ83">
        <v>0</v>
      </c>
      <c r="ZA83">
        <v>0</v>
      </c>
      <c r="ZB83">
        <v>0</v>
      </c>
      <c r="ZC83">
        <v>0</v>
      </c>
      <c r="ZD83">
        <v>0</v>
      </c>
      <c r="ZE83">
        <v>0</v>
      </c>
      <c r="ZF83">
        <v>0</v>
      </c>
      <c r="ZG83">
        <v>0</v>
      </c>
      <c r="ZH83">
        <v>0</v>
      </c>
      <c r="ZI83">
        <v>0</v>
      </c>
      <c r="ZJ83">
        <v>0</v>
      </c>
      <c r="ZK83">
        <v>0</v>
      </c>
      <c r="ZL83">
        <v>0</v>
      </c>
      <c r="ZM83">
        <v>0</v>
      </c>
      <c r="ZN83">
        <v>0</v>
      </c>
      <c r="ZO83">
        <v>0</v>
      </c>
      <c r="ZP83">
        <v>0</v>
      </c>
      <c r="ZQ83">
        <v>0</v>
      </c>
      <c r="ZR83">
        <v>0</v>
      </c>
      <c r="ZS83">
        <v>0</v>
      </c>
      <c r="ZT83">
        <v>0</v>
      </c>
      <c r="ZU83">
        <v>0</v>
      </c>
      <c r="ZV83">
        <v>0</v>
      </c>
      <c r="ZW83">
        <v>0</v>
      </c>
      <c r="ZX83">
        <v>0</v>
      </c>
      <c r="ZY83">
        <v>0</v>
      </c>
      <c r="ZZ83">
        <v>1.3400335008375199E-2</v>
      </c>
      <c r="AAA83">
        <v>0</v>
      </c>
      <c r="AAB83">
        <v>0</v>
      </c>
      <c r="AAC83">
        <v>0</v>
      </c>
      <c r="AAD83">
        <v>0</v>
      </c>
      <c r="AAE83">
        <v>0</v>
      </c>
      <c r="AAF83">
        <v>0</v>
      </c>
      <c r="AAG83">
        <v>0</v>
      </c>
      <c r="AAH83">
        <v>0</v>
      </c>
      <c r="AAI83">
        <v>0</v>
      </c>
      <c r="AAJ83">
        <v>0</v>
      </c>
      <c r="AAK83">
        <v>0</v>
      </c>
      <c r="AAL83">
        <v>0</v>
      </c>
      <c r="AAM83">
        <v>0</v>
      </c>
      <c r="AAN83">
        <v>0</v>
      </c>
      <c r="AAO83">
        <v>0</v>
      </c>
      <c r="AAP83">
        <v>0</v>
      </c>
      <c r="AAQ83">
        <v>0</v>
      </c>
      <c r="AAR83">
        <v>0</v>
      </c>
      <c r="AAS83">
        <v>0</v>
      </c>
      <c r="AAT83">
        <v>0</v>
      </c>
      <c r="AAU83">
        <v>0</v>
      </c>
      <c r="AAV83">
        <v>0</v>
      </c>
      <c r="AAW83">
        <v>0</v>
      </c>
      <c r="AAX83">
        <v>0</v>
      </c>
      <c r="AAY83">
        <v>0</v>
      </c>
      <c r="AAZ83">
        <v>0</v>
      </c>
      <c r="ABA83">
        <v>0</v>
      </c>
      <c r="ABB83">
        <v>0</v>
      </c>
      <c r="ABC83">
        <v>0</v>
      </c>
      <c r="ABD83">
        <v>0</v>
      </c>
      <c r="ABE83">
        <v>0</v>
      </c>
      <c r="ABF83">
        <v>0</v>
      </c>
      <c r="ABG83">
        <v>0</v>
      </c>
      <c r="ABH83">
        <v>0</v>
      </c>
      <c r="ABI83">
        <v>0</v>
      </c>
      <c r="ABJ83">
        <v>0</v>
      </c>
      <c r="ABK83">
        <v>0</v>
      </c>
      <c r="ABL83">
        <v>0</v>
      </c>
      <c r="ABM83">
        <v>0</v>
      </c>
      <c r="ABN83">
        <v>0</v>
      </c>
      <c r="ABO83">
        <v>0</v>
      </c>
      <c r="ABP83">
        <v>0</v>
      </c>
      <c r="ABQ83">
        <v>0</v>
      </c>
      <c r="ABR83">
        <v>0</v>
      </c>
      <c r="ABS83">
        <v>0</v>
      </c>
      <c r="ABT83">
        <v>0</v>
      </c>
      <c r="ABU83">
        <v>0</v>
      </c>
      <c r="ABV83">
        <v>0</v>
      </c>
      <c r="ABW83">
        <v>0</v>
      </c>
      <c r="ABX83">
        <v>0</v>
      </c>
      <c r="ABY83">
        <v>0</v>
      </c>
      <c r="ABZ83">
        <v>0</v>
      </c>
      <c r="ACA83">
        <v>0</v>
      </c>
      <c r="ACB83">
        <v>0</v>
      </c>
      <c r="ACC83">
        <v>0</v>
      </c>
      <c r="ACD83">
        <v>0</v>
      </c>
      <c r="ACE83">
        <v>0</v>
      </c>
      <c r="ACF83">
        <v>0</v>
      </c>
      <c r="ACG83">
        <v>0</v>
      </c>
      <c r="ACH83">
        <v>0</v>
      </c>
      <c r="ACI83">
        <v>0</v>
      </c>
      <c r="ACJ83">
        <v>0</v>
      </c>
      <c r="ACK83">
        <v>0</v>
      </c>
      <c r="ACL83">
        <v>0</v>
      </c>
      <c r="ACM83">
        <v>0</v>
      </c>
      <c r="ACN83">
        <v>0</v>
      </c>
      <c r="ACO83">
        <v>0</v>
      </c>
      <c r="ACP83">
        <v>0</v>
      </c>
      <c r="ACQ83">
        <v>0</v>
      </c>
      <c r="ACR83">
        <v>0</v>
      </c>
      <c r="ACS83">
        <v>0</v>
      </c>
      <c r="ACT83">
        <v>0</v>
      </c>
      <c r="ACU83">
        <v>0</v>
      </c>
      <c r="ACV83">
        <v>0</v>
      </c>
      <c r="ACW83">
        <v>0</v>
      </c>
      <c r="ACX83">
        <v>0</v>
      </c>
      <c r="ACY83">
        <v>0</v>
      </c>
      <c r="ACZ83">
        <v>0</v>
      </c>
      <c r="ADA83">
        <v>0</v>
      </c>
      <c r="ADB83">
        <v>0</v>
      </c>
      <c r="ADC83">
        <v>0</v>
      </c>
      <c r="ADD83">
        <v>0</v>
      </c>
      <c r="ADE83">
        <v>0</v>
      </c>
      <c r="ADF83">
        <v>0</v>
      </c>
      <c r="ADG83">
        <v>0</v>
      </c>
      <c r="ADH83">
        <v>0</v>
      </c>
      <c r="ADI83">
        <v>0</v>
      </c>
      <c r="ADJ83">
        <v>0</v>
      </c>
      <c r="ADK83">
        <v>0</v>
      </c>
      <c r="ADL83">
        <v>0</v>
      </c>
      <c r="ADM83">
        <v>0</v>
      </c>
      <c r="ADN83">
        <v>0</v>
      </c>
      <c r="ADO83">
        <v>0</v>
      </c>
      <c r="ADP83">
        <v>0</v>
      </c>
      <c r="ADQ83">
        <v>0</v>
      </c>
      <c r="ADR83">
        <v>0</v>
      </c>
      <c r="ADS83">
        <v>0</v>
      </c>
      <c r="ADT83">
        <v>0</v>
      </c>
      <c r="ADU83">
        <v>0</v>
      </c>
      <c r="ADV83">
        <v>0</v>
      </c>
      <c r="ADW83">
        <v>0</v>
      </c>
      <c r="ADX83">
        <v>0</v>
      </c>
      <c r="ADY83">
        <v>0</v>
      </c>
      <c r="ADZ83">
        <v>0</v>
      </c>
      <c r="AEA83">
        <v>0</v>
      </c>
      <c r="AEB83">
        <v>0</v>
      </c>
      <c r="AEC83">
        <v>0</v>
      </c>
      <c r="AED83">
        <v>0</v>
      </c>
      <c r="AEE83">
        <v>0</v>
      </c>
      <c r="AEF83">
        <v>0</v>
      </c>
      <c r="AEG83">
        <v>0</v>
      </c>
      <c r="AEH83">
        <v>0</v>
      </c>
      <c r="AEI83">
        <v>0</v>
      </c>
      <c r="AEJ83">
        <v>0</v>
      </c>
      <c r="AEK83">
        <v>0</v>
      </c>
      <c r="AEL83">
        <v>0</v>
      </c>
      <c r="AEM83">
        <v>0</v>
      </c>
      <c r="AEN83">
        <v>0</v>
      </c>
      <c r="AEO83">
        <v>0</v>
      </c>
      <c r="AEP83">
        <v>0</v>
      </c>
      <c r="AEQ83">
        <v>0</v>
      </c>
      <c r="AER83">
        <v>0</v>
      </c>
      <c r="AES83">
        <v>0</v>
      </c>
      <c r="AET83">
        <v>0</v>
      </c>
      <c r="AEU83">
        <v>0</v>
      </c>
      <c r="AEV83">
        <v>0</v>
      </c>
      <c r="AEW83">
        <v>0</v>
      </c>
      <c r="AEX83">
        <v>0</v>
      </c>
      <c r="AEY83">
        <v>0</v>
      </c>
      <c r="AEZ83">
        <v>0</v>
      </c>
      <c r="AFA83">
        <v>0</v>
      </c>
      <c r="AFB83">
        <v>0</v>
      </c>
      <c r="AFC83">
        <v>0</v>
      </c>
      <c r="AFD83">
        <v>0</v>
      </c>
      <c r="AFE83">
        <v>0</v>
      </c>
      <c r="AFF83">
        <v>0</v>
      </c>
      <c r="AFG83">
        <v>0</v>
      </c>
      <c r="AFH83">
        <v>0</v>
      </c>
      <c r="AFI83">
        <v>0</v>
      </c>
      <c r="AFJ83">
        <v>0</v>
      </c>
      <c r="AFK83">
        <v>0</v>
      </c>
      <c r="AFL83">
        <v>0</v>
      </c>
      <c r="AFM83">
        <v>0</v>
      </c>
      <c r="AFN83">
        <v>0</v>
      </c>
      <c r="AFO83">
        <v>0</v>
      </c>
      <c r="AFP83">
        <v>0</v>
      </c>
      <c r="AFQ83">
        <v>0</v>
      </c>
      <c r="AFR83">
        <v>0</v>
      </c>
      <c r="AFS83">
        <v>0</v>
      </c>
      <c r="AFT83">
        <v>0</v>
      </c>
      <c r="AFU83">
        <v>0</v>
      </c>
      <c r="AFV83">
        <v>0</v>
      </c>
      <c r="AFW83">
        <v>0</v>
      </c>
      <c r="AFX83">
        <v>0</v>
      </c>
      <c r="AFY83">
        <v>0</v>
      </c>
      <c r="AFZ83">
        <v>0</v>
      </c>
      <c r="AGA83">
        <v>0</v>
      </c>
      <c r="AGB83">
        <v>0</v>
      </c>
      <c r="AGC83">
        <v>0</v>
      </c>
      <c r="AGD83">
        <v>0</v>
      </c>
      <c r="AGE83">
        <v>0</v>
      </c>
      <c r="AGF83">
        <v>0</v>
      </c>
      <c r="AGG83">
        <v>0</v>
      </c>
      <c r="AGH83">
        <v>0</v>
      </c>
      <c r="AGI83">
        <v>0</v>
      </c>
      <c r="AGJ83">
        <v>0</v>
      </c>
      <c r="AGK83">
        <v>0</v>
      </c>
      <c r="AGL83">
        <v>0</v>
      </c>
      <c r="AGM83">
        <v>0</v>
      </c>
      <c r="AGN83">
        <v>0</v>
      </c>
      <c r="AGO83">
        <v>0</v>
      </c>
      <c r="AGP83">
        <v>0</v>
      </c>
      <c r="AGQ83">
        <v>0</v>
      </c>
      <c r="AGR83">
        <v>0</v>
      </c>
      <c r="AGS83">
        <v>0</v>
      </c>
      <c r="AGT83">
        <v>0</v>
      </c>
      <c r="AGU83">
        <v>0</v>
      </c>
      <c r="AGV83">
        <v>0</v>
      </c>
      <c r="AGW83">
        <v>0</v>
      </c>
      <c r="AGX83">
        <v>0</v>
      </c>
      <c r="AGY83">
        <v>0</v>
      </c>
      <c r="AGZ83">
        <v>0</v>
      </c>
      <c r="AHA83">
        <v>0</v>
      </c>
      <c r="AHB83">
        <v>0</v>
      </c>
      <c r="AHC83">
        <v>0</v>
      </c>
      <c r="AHD83">
        <v>0</v>
      </c>
      <c r="AHE83">
        <v>0</v>
      </c>
      <c r="AHF83">
        <v>0</v>
      </c>
      <c r="AHG83">
        <v>0</v>
      </c>
      <c r="AHH83">
        <v>0</v>
      </c>
      <c r="AHI83">
        <v>0</v>
      </c>
      <c r="AHJ83">
        <v>0</v>
      </c>
      <c r="AHK83">
        <v>0</v>
      </c>
      <c r="AHL83">
        <v>0</v>
      </c>
      <c r="AHM83">
        <v>0</v>
      </c>
      <c r="AHN83">
        <v>0</v>
      </c>
      <c r="AHO83">
        <v>0</v>
      </c>
      <c r="AHP83">
        <v>0</v>
      </c>
      <c r="AHQ83">
        <v>0</v>
      </c>
    </row>
    <row r="84" spans="1:901">
      <c r="LA84" s="39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</sheetPr>
  <dimension ref="A1:C225"/>
  <sheetViews>
    <sheetView workbookViewId="0">
      <selection activeCell="B17" sqref="B17"/>
    </sheetView>
  </sheetViews>
  <sheetFormatPr defaultColWidth="10.6640625" defaultRowHeight="15.5"/>
  <cols>
    <col min="1" max="1" width="28.6640625" customWidth="1"/>
    <col min="2" max="2" width="37.1640625" customWidth="1"/>
    <col min="3" max="3" width="14.1640625" customWidth="1"/>
  </cols>
  <sheetData>
    <row r="1" spans="1:3">
      <c r="A1" s="20" t="s">
        <v>29</v>
      </c>
      <c r="B1" s="20" t="s">
        <v>388</v>
      </c>
      <c r="C1" t="s">
        <v>426</v>
      </c>
    </row>
    <row r="2" spans="1:3">
      <c r="A2" s="1" t="s">
        <v>313</v>
      </c>
      <c r="B2" cm="1">
        <f t="array" ref="B2">IFERROR(LOOKUP(2,1/(ISNUMBER('Histórico vacunas'!C2:AEF2)),'Histórico vacunas'!C2:AEF2),"")</f>
        <v>36.700000000000003</v>
      </c>
      <c r="C2">
        <v>38928341</v>
      </c>
    </row>
    <row r="3" spans="1:3">
      <c r="A3" s="1" t="s">
        <v>121</v>
      </c>
      <c r="B3" cm="1">
        <f t="array" ref="B3">IFERROR(LOOKUP(2,1/(ISNUMBER('Histórico vacunas'!C3:AEF3)),'Histórico vacunas'!C3:AEF3),"")</f>
        <v>97.97</v>
      </c>
      <c r="C3">
        <v>2877800</v>
      </c>
    </row>
    <row r="4" spans="1:3">
      <c r="A4" s="1" t="s">
        <v>253</v>
      </c>
      <c r="B4" cm="1">
        <f t="array" ref="B4">IFERROR(LOOKUP(2,1/(ISNUMBER('Histórico vacunas'!C4:AEF4)),'Histórico vacunas'!C4:AEF4),"")</f>
        <v>22.39</v>
      </c>
      <c r="C4">
        <v>43851043</v>
      </c>
    </row>
    <row r="5" spans="1:3">
      <c r="A5" s="1" t="s">
        <v>171</v>
      </c>
      <c r="B5" cm="1">
        <f t="array" ref="B5">IFERROR(LOOKUP(2,1/(ISNUMBER('Histórico vacunas'!C5:AEF5)),'Histórico vacunas'!C5:AEF5),"")</f>
        <v>118.63</v>
      </c>
      <c r="C5">
        <v>77265</v>
      </c>
    </row>
    <row r="6" spans="1:3">
      <c r="A6" s="1" t="s">
        <v>163</v>
      </c>
      <c r="B6" cm="1">
        <f t="array" ref="B6">IFERROR(LOOKUP(2,1/(ISNUMBER('Histórico vacunas'!C6:AEF6)),'Histórico vacunas'!C6:AEF6),"")</f>
        <v>42.99</v>
      </c>
      <c r="C6">
        <v>32866268</v>
      </c>
    </row>
    <row r="7" spans="1:3">
      <c r="A7" s="1" t="s">
        <v>382</v>
      </c>
      <c r="B7" cm="1">
        <f t="array" ref="B7">IFERROR(LOOKUP(2,1/(ISNUMBER('Histórico vacunas'!C7:AEF7)),'Histórico vacunas'!C7:AEF7),"")</f>
        <v>154.97</v>
      </c>
      <c r="C7">
        <v>0</v>
      </c>
    </row>
    <row r="8" spans="1:3">
      <c r="A8" s="1" t="s">
        <v>314</v>
      </c>
      <c r="B8" cm="1">
        <f t="array" ref="B8">IFERROR(LOOKUP(2,1/(ISNUMBER('Histórico vacunas'!C8:AEF8)),'Histórico vacunas'!C8:AEF8),"")</f>
        <v>75.599999999999994</v>
      </c>
      <c r="C8">
        <v>97928</v>
      </c>
    </row>
    <row r="9" spans="1:3">
      <c r="A9" s="1" t="s">
        <v>33</v>
      </c>
      <c r="B9" cm="1">
        <f t="array" ref="B9">IFERROR(LOOKUP(2,1/(ISNUMBER('Histórico vacunas'!C9:AEF9)),'Histórico vacunas'!C9:AEF9),"")</f>
        <v>252.6</v>
      </c>
      <c r="C9">
        <v>45195777</v>
      </c>
    </row>
    <row r="10" spans="1:3">
      <c r="A10" s="1" t="s">
        <v>79</v>
      </c>
      <c r="B10" cm="1">
        <f t="array" ref="B10">IFERROR(LOOKUP(2,1/(ISNUMBER('Histórico vacunas'!C10:AEF10)),'Histórico vacunas'!C10:AEF10),"")</f>
        <v>22.81</v>
      </c>
      <c r="C10">
        <v>2963234</v>
      </c>
    </row>
    <row r="11" spans="1:3">
      <c r="A11" s="1" t="s">
        <v>200</v>
      </c>
      <c r="B11" cm="1">
        <f t="array" ref="B11">IFERROR(LOOKUP(2,1/(ISNUMBER('Histórico vacunas'!C11:AEF11)),'Histórico vacunas'!C11:AEF11),"")</f>
        <v>163.85</v>
      </c>
      <c r="C11">
        <v>106766</v>
      </c>
    </row>
    <row r="12" spans="1:3">
      <c r="A12" s="1" t="s">
        <v>98</v>
      </c>
      <c r="B12" cm="1">
        <f t="array" ref="B12">IFERROR(LOOKUP(2,1/(ISNUMBER('Histórico vacunas'!C12:AEF12)),'Histórico vacunas'!C12:AEF12),"")</f>
        <v>243.27</v>
      </c>
      <c r="C12">
        <v>25499881</v>
      </c>
    </row>
    <row r="13" spans="1:3">
      <c r="A13" s="1" t="s">
        <v>93</v>
      </c>
      <c r="B13" cm="1">
        <f t="array" ref="B13">IFERROR(LOOKUP(2,1/(ISNUMBER('Histórico vacunas'!C13:AEF13)),'Histórico vacunas'!C13:AEF13),"")</f>
        <v>226.67</v>
      </c>
      <c r="C13">
        <v>9006400</v>
      </c>
    </row>
    <row r="14" spans="1:3">
      <c r="A14" s="1" t="s">
        <v>315</v>
      </c>
      <c r="B14" cm="1">
        <f t="array" ref="B14">IFERROR(LOOKUP(2,1/(ISNUMBER('Histórico vacunas'!C14:AEF14)),'Histórico vacunas'!C14:AEF14),"")</f>
        <v>134.37</v>
      </c>
      <c r="C14">
        <v>10139175</v>
      </c>
    </row>
    <row r="15" spans="1:3">
      <c r="A15" s="1" t="s">
        <v>179</v>
      </c>
      <c r="B15" cm="1">
        <f t="array" ref="B15">IFERROR(LOOKUP(2,1/(ISNUMBER('Histórico vacunas'!C15:AEF15)),'Histórico vacunas'!C15:AEF15),"")</f>
        <v>88.98</v>
      </c>
      <c r="C15">
        <v>393248</v>
      </c>
    </row>
    <row r="16" spans="1:3">
      <c r="A16" s="1" t="s">
        <v>392</v>
      </c>
      <c r="B16" cm="1">
        <f t="array" ref="B16">IFERROR(LOOKUP(2,1/(ISNUMBER('Histórico vacunas'!C16:AEF16)),'Histórico vacunas'!C16:AEF16),"")</f>
        <v>236.15</v>
      </c>
      <c r="C16">
        <v>1701583</v>
      </c>
    </row>
    <row r="17" spans="1:3">
      <c r="A17" s="1" t="s">
        <v>51</v>
      </c>
      <c r="B17" cm="1">
        <f t="array" ref="B17">IFERROR(LOOKUP(2,1/(ISNUMBER('Histórico vacunas'!C17:AEF17)),'Histórico vacunas'!C17:AEF17),"")</f>
        <v>207.46</v>
      </c>
      <c r="C17">
        <v>164689383</v>
      </c>
    </row>
    <row r="18" spans="1:3">
      <c r="A18" s="1" t="s">
        <v>199</v>
      </c>
      <c r="B18" cm="1">
        <f t="array" ref="B18">IFERROR(LOOKUP(2,1/(ISNUMBER('Histórico vacunas'!C18:AEF18)),'Histórico vacunas'!C18:AEF18),"")</f>
        <v>135.5</v>
      </c>
      <c r="C18">
        <v>287371</v>
      </c>
    </row>
    <row r="19" spans="1:3">
      <c r="A19" s="1" t="s">
        <v>316</v>
      </c>
      <c r="B19" cm="1">
        <f t="array" ref="B19">IFERROR(LOOKUP(2,1/(ISNUMBER('Histórico vacunas'!C19:AEF19)),'Histórico vacunas'!C19:AEF19),"")</f>
        <v>30</v>
      </c>
      <c r="C19">
        <v>9449321</v>
      </c>
    </row>
    <row r="20" spans="1:3">
      <c r="A20" s="1" t="s">
        <v>254</v>
      </c>
      <c r="B20" cm="1">
        <f t="array" ref="B20">IFERROR(LOOKUP(2,1/(ISNUMBER('Histórico vacunas'!C20:AEF20)),'Histórico vacunas'!C20:AEF20),"")</f>
        <v>254.14</v>
      </c>
      <c r="C20">
        <v>11589616</v>
      </c>
    </row>
    <row r="21" spans="1:3">
      <c r="A21" s="1" t="s">
        <v>317</v>
      </c>
      <c r="B21" cm="1">
        <f t="array" ref="B21">IFERROR(LOOKUP(2,1/(ISNUMBER('Histórico vacunas'!C21:AEF21)),'Histórico vacunas'!C21:AEF21),"")</f>
        <v>123.94</v>
      </c>
      <c r="C21">
        <v>397621</v>
      </c>
    </row>
    <row r="22" spans="1:3">
      <c r="A22" s="1" t="s">
        <v>393</v>
      </c>
      <c r="B22" cm="1">
        <f t="array" ref="B22">IFERROR(LOOKUP(2,1/(ISNUMBER('Histórico vacunas'!C22:AEF22)),'Histórico vacunas'!C22:AEF22),"")</f>
        <v>9.19</v>
      </c>
      <c r="C22">
        <v>12123198</v>
      </c>
    </row>
    <row r="23" spans="1:3">
      <c r="A23" s="1" t="s">
        <v>379</v>
      </c>
      <c r="B23" cm="1">
        <f t="array" ref="B23">IFERROR(LOOKUP(2,1/(ISNUMBER('Histórico vacunas'!C23:AEF23)),'Histórico vacunas'!C23:AEF23),"")</f>
        <v>211.96</v>
      </c>
      <c r="C23">
        <v>0</v>
      </c>
    </row>
    <row r="24" spans="1:3">
      <c r="A24" s="1" t="s">
        <v>318</v>
      </c>
      <c r="B24" cm="1">
        <f t="array" ref="B24">IFERROR(LOOKUP(2,1/(ISNUMBER('Histórico vacunas'!C24:AEF24)),'Histórico vacunas'!C24:AEF24),"")</f>
        <v>132.94</v>
      </c>
      <c r="C24">
        <v>771612</v>
      </c>
    </row>
    <row r="25" spans="1:3">
      <c r="A25" s="1" t="s">
        <v>32</v>
      </c>
      <c r="B25" cm="1">
        <f t="array" ref="B25">IFERROR(LOOKUP(2,1/(ISNUMBER('Histórico vacunas'!C25:AEF25)),'Histórico vacunas'!C25:AEF25),"")</f>
        <v>121.62</v>
      </c>
      <c r="C25">
        <v>11673029</v>
      </c>
    </row>
    <row r="26" spans="1:3">
      <c r="A26" t="s">
        <v>418</v>
      </c>
      <c r="B26" cm="1">
        <f t="array" ref="B26">IFERROR(LOOKUP(2,1/(ISNUMBER('Histórico vacunas'!C26:AEF26)),'Histórico vacunas'!C26:AEF26),"")</f>
        <v>28.19</v>
      </c>
      <c r="C26">
        <v>0</v>
      </c>
    </row>
    <row r="27" spans="1:3">
      <c r="A27" s="1" t="s">
        <v>319</v>
      </c>
      <c r="B27" cm="1">
        <f t="array" ref="B27">IFERROR(LOOKUP(2,1/(ISNUMBER('Histórico vacunas'!C27:AEF27)),'Histórico vacunas'!C27:AEF27),"")</f>
        <v>32.49</v>
      </c>
      <c r="C27">
        <v>3280815</v>
      </c>
    </row>
    <row r="28" spans="1:3">
      <c r="A28" s="1" t="s">
        <v>176</v>
      </c>
      <c r="B28" cm="1">
        <f t="array" ref="B28">IFERROR(LOOKUP(2,1/(ISNUMBER('Histórico vacunas'!C28:AEF28)),'Histórico vacunas'!C28:AEF28),"")</f>
        <v>60.29</v>
      </c>
      <c r="C28">
        <v>2351625</v>
      </c>
    </row>
    <row r="29" spans="1:3">
      <c r="A29" s="1" t="s">
        <v>255</v>
      </c>
      <c r="B29" cm="1">
        <f t="array" ref="B29">IFERROR(LOOKUP(2,1/(ISNUMBER('Histórico vacunas'!C29:AEF29)),'Histórico vacunas'!C29:AEF29),"")</f>
        <v>225.37</v>
      </c>
      <c r="C29">
        <v>212559409</v>
      </c>
    </row>
    <row r="30" spans="1:3">
      <c r="A30" s="1" t="s">
        <v>421</v>
      </c>
      <c r="B30" cm="1">
        <f t="array" ref="B30">IFERROR(LOOKUP(2,1/(ISNUMBER('Histórico vacunas'!C30:AEF30)),'Histórico vacunas'!C30:AEF30),"")</f>
        <v>115.02</v>
      </c>
      <c r="C30">
        <v>0</v>
      </c>
    </row>
    <row r="31" spans="1:3">
      <c r="A31" s="1" t="s">
        <v>198</v>
      </c>
      <c r="B31" cm="1">
        <f t="array" ref="B31">IFERROR(LOOKUP(2,1/(ISNUMBER('Histórico vacunas'!C31:AEF31)),'Histórico vacunas'!C31:AEF31),"")</f>
        <v>179.04</v>
      </c>
      <c r="C31">
        <v>437483</v>
      </c>
    </row>
    <row r="32" spans="1:3">
      <c r="A32" s="1" t="s">
        <v>105</v>
      </c>
      <c r="B32" cm="1">
        <f t="array" ref="B32">IFERROR(LOOKUP(2,1/(ISNUMBER('Histórico vacunas'!C32:AEF32)),'Histórico vacunas'!C32:AEF32),"")</f>
        <v>67.959999999999994</v>
      </c>
      <c r="C32">
        <v>6948445</v>
      </c>
    </row>
    <row r="33" spans="1:3">
      <c r="A33" s="1" t="s">
        <v>168</v>
      </c>
      <c r="B33" cm="1">
        <f t="array" ref="B33">IFERROR(LOOKUP(2,1/(ISNUMBER('Histórico vacunas'!C33:AEF33)),'Histórico vacunas'!C33:AEF33),"")</f>
        <v>10.84</v>
      </c>
      <c r="C33">
        <v>20903278</v>
      </c>
    </row>
    <row r="34" spans="1:3">
      <c r="A34" s="1" t="s">
        <v>185</v>
      </c>
      <c r="B34" cm="1">
        <f t="array" ref="B34">IFERROR(LOOKUP(2,1/(ISNUMBER('Histórico vacunas'!C34:AEF34)),'Histórico vacunas'!C34:AEF34),"")</f>
        <v>0.1</v>
      </c>
      <c r="C34">
        <v>11890781</v>
      </c>
    </row>
    <row r="35" spans="1:3">
      <c r="A35" s="1" t="s">
        <v>320</v>
      </c>
      <c r="B35" cm="1">
        <f t="array" ref="B35">IFERROR(LOOKUP(2,1/(ISNUMBER('Histórico vacunas'!C35:AEF35)),'Histórico vacunas'!C35:AEF35),"")</f>
        <v>226.54</v>
      </c>
      <c r="C35">
        <v>16718971</v>
      </c>
    </row>
    <row r="36" spans="1:3">
      <c r="A36" s="1" t="s">
        <v>321</v>
      </c>
      <c r="B36" cm="1">
        <f t="array" ref="B36">IFERROR(LOOKUP(2,1/(ISNUMBER('Histórico vacunas'!C36:AEF36)),'Histórico vacunas'!C36:AEF36),"")</f>
        <v>3.76</v>
      </c>
      <c r="C36">
        <v>26545864</v>
      </c>
    </row>
    <row r="37" spans="1:3">
      <c r="A37" s="1" t="s">
        <v>256</v>
      </c>
      <c r="B37" cm="1">
        <f t="array" ref="B37">IFERROR(LOOKUP(2,1/(ISNUMBER('Histórico vacunas'!C37:AEF37)),'Histórico vacunas'!C37:AEF37),"")</f>
        <v>252.13</v>
      </c>
      <c r="C37">
        <v>37742157</v>
      </c>
    </row>
    <row r="38" spans="1:3">
      <c r="A38" s="1" t="s">
        <v>141</v>
      </c>
      <c r="B38" cm="1">
        <f t="array" ref="B38">IFERROR(LOOKUP(2,1/(ISNUMBER('Histórico vacunas'!C38:AEF38)),'Histórico vacunas'!C38:AEF38),"")</f>
        <v>129.57</v>
      </c>
      <c r="C38">
        <v>555988</v>
      </c>
    </row>
    <row r="39" spans="1:3">
      <c r="A39" s="1" t="s">
        <v>257</v>
      </c>
      <c r="B39" cm="1">
        <f t="array" ref="B39">IFERROR(LOOKUP(2,1/(ISNUMBER('Histórico vacunas'!C39:AEF39)),'Histórico vacunas'!C39:AEF39),"")</f>
        <v>189.05</v>
      </c>
      <c r="C39">
        <v>0</v>
      </c>
    </row>
    <row r="40" spans="1:3">
      <c r="A40" s="1" t="s">
        <v>322</v>
      </c>
      <c r="B40" cm="1">
        <f t="array" ref="B40">IFERROR(LOOKUP(2,1/(ISNUMBER('Histórico vacunas'!C40:AEF40)),'Histórico vacunas'!C40:AEF40),"")</f>
        <v>13.25</v>
      </c>
      <c r="C40">
        <v>4829764</v>
      </c>
    </row>
    <row r="41" spans="1:3">
      <c r="A41" s="1" t="s">
        <v>170</v>
      </c>
      <c r="B41" cm="1">
        <f t="array" ref="B41">IFERROR(LOOKUP(2,1/(ISNUMBER('Histórico vacunas'!C41:AEF41)),'Histórico vacunas'!C41:AEF41),"")</f>
        <v>2.25</v>
      </c>
      <c r="C41">
        <v>16425859</v>
      </c>
    </row>
    <row r="42" spans="1:3">
      <c r="A42" s="1" t="s">
        <v>36</v>
      </c>
      <c r="B42" cm="1">
        <f t="array" ref="B42">IFERROR(LOOKUP(2,1/(ISNUMBER('Histórico vacunas'!C42:AEF42)),'Histórico vacunas'!C42:AEF42),"")</f>
        <v>319.77999999999997</v>
      </c>
      <c r="C42">
        <v>19116209</v>
      </c>
    </row>
    <row r="43" spans="1:3">
      <c r="A43" s="1" t="s">
        <v>62</v>
      </c>
      <c r="B43" cm="1">
        <f t="array" ref="B43">IFERROR(LOOKUP(2,1/(ISNUMBER('Histórico vacunas'!C43:AEF43)),'Histórico vacunas'!C43:AEF43),"")</f>
        <v>244.84</v>
      </c>
      <c r="C43">
        <v>1439323774</v>
      </c>
    </row>
    <row r="44" spans="1:3">
      <c r="A44" s="1" t="s">
        <v>35</v>
      </c>
      <c r="B44" cm="1">
        <f t="array" ref="B44">IFERROR(LOOKUP(2,1/(ISNUMBER('Histórico vacunas'!C44:AEF44)),'Histórico vacunas'!C44:AEF44),"")</f>
        <v>173.9</v>
      </c>
      <c r="C44">
        <v>50882884</v>
      </c>
    </row>
    <row r="45" spans="1:3">
      <c r="A45" s="1" t="s">
        <v>424</v>
      </c>
      <c r="B45" cm="1">
        <f t="array" ref="B45">IFERROR(LOOKUP(2,1/(ISNUMBER('Histórico vacunas'!C45:AEF45)),'Histórico vacunas'!C45:AEF45),"")</f>
        <v>239.87</v>
      </c>
      <c r="C45">
        <v>869595</v>
      </c>
    </row>
    <row r="46" spans="1:3">
      <c r="A46" s="1" t="s">
        <v>323</v>
      </c>
      <c r="B46" cm="1">
        <f t="array" ref="B46">IFERROR(LOOKUP(2,1/(ISNUMBER('Histórico vacunas'!C46:AEF46)),'Histórico vacunas'!C46:AEF46),"")</f>
        <v>45.9</v>
      </c>
      <c r="C46">
        <v>5518092</v>
      </c>
    </row>
    <row r="47" spans="1:3">
      <c r="A47" s="1" t="s">
        <v>137</v>
      </c>
      <c r="B47" cm="1">
        <f t="array" ref="B47">IFERROR(LOOKUP(2,1/(ISNUMBER('Histórico vacunas'!C47:AEF47)),'Histórico vacunas'!C47:AEF47),"")</f>
        <v>22.9</v>
      </c>
      <c r="C47">
        <v>0</v>
      </c>
    </row>
    <row r="48" spans="1:3">
      <c r="A48" s="1" t="s">
        <v>96</v>
      </c>
      <c r="B48" cm="1">
        <f t="array" ref="B48">IFERROR(LOOKUP(2,1/(ISNUMBER('Histórico vacunas'!C48:AEF48)),'Histórico vacunas'!C48:AEF48),"")</f>
        <v>214.39</v>
      </c>
      <c r="C48">
        <v>5094114</v>
      </c>
    </row>
    <row r="49" spans="1:3">
      <c r="A49" s="1" t="s">
        <v>324</v>
      </c>
      <c r="B49" cm="1">
        <f t="array" ref="B49">IFERROR(LOOKUP(2,1/(ISNUMBER('Histórico vacunas'!C49:AEF49)),'Histórico vacunas'!C49:AEF49),"")</f>
        <v>38.31</v>
      </c>
      <c r="C49">
        <v>26378275</v>
      </c>
    </row>
    <row r="50" spans="1:3">
      <c r="A50" s="1" t="s">
        <v>258</v>
      </c>
      <c r="B50" cm="1">
        <f t="array" ref="B50">IFERROR(LOOKUP(2,1/(ISNUMBER('Histórico vacunas'!C50:AEF50)),'Histórico vacunas'!C50:AEF50),"")</f>
        <v>133</v>
      </c>
      <c r="C50">
        <v>4105268</v>
      </c>
    </row>
    <row r="51" spans="1:3">
      <c r="A51" s="1" t="s">
        <v>140</v>
      </c>
      <c r="B51" cm="1">
        <f t="array" ref="B51">IFERROR(LOOKUP(2,1/(ISNUMBER('Histórico vacunas'!C51:AEF51)),'Histórico vacunas'!C51:AEF51),"")</f>
        <v>389.64</v>
      </c>
      <c r="C51">
        <v>11326616</v>
      </c>
    </row>
    <row r="52" spans="1:3">
      <c r="A52" s="1" t="s">
        <v>400</v>
      </c>
      <c r="B52" cm="1">
        <f t="array" ref="B52">IFERROR(LOOKUP(2,1/(ISNUMBER('Histórico vacunas'!C52:AEF52)),'Histórico vacunas'!C52:AEF52),"")</f>
        <v>133.93</v>
      </c>
      <c r="C52">
        <v>164100</v>
      </c>
    </row>
    <row r="53" spans="1:3">
      <c r="A53" s="1" t="s">
        <v>259</v>
      </c>
      <c r="B53" cm="1">
        <f t="array" ref="B53">IFERROR(LOOKUP(2,1/(ISNUMBER('Histórico vacunas'!C53:AEF53)),'Histórico vacunas'!C53:AEF53),"")</f>
        <v>200.62</v>
      </c>
      <c r="C53">
        <v>888005</v>
      </c>
    </row>
    <row r="54" spans="1:3">
      <c r="A54" s="1" t="s">
        <v>394</v>
      </c>
      <c r="B54" cm="1">
        <f t="array" ref="B54">IFERROR(LOOKUP(2,1/(ISNUMBER('Histórico vacunas'!C54:AEF54)),'Histórico vacunas'!C54:AEF54),"")</f>
        <v>177.42</v>
      </c>
      <c r="C54">
        <v>10708982</v>
      </c>
    </row>
    <row r="55" spans="1:3">
      <c r="A55" s="1" t="s">
        <v>326</v>
      </c>
      <c r="B55" cm="1">
        <f t="array" ref="B55">IFERROR(LOOKUP(2,1/(ISNUMBER('Histórico vacunas'!C55:AEF55)),'Histórico vacunas'!C55:AEF55),"")</f>
        <v>0.32</v>
      </c>
      <c r="C55">
        <v>89561404</v>
      </c>
    </row>
    <row r="56" spans="1:3">
      <c r="A56" s="1" t="s">
        <v>260</v>
      </c>
      <c r="B56" cm="1">
        <f t="array" ref="B56">IFERROR(LOOKUP(2,1/(ISNUMBER('Histórico vacunas'!C56:AEF56)),'Histórico vacunas'!C56:AEF56),"")</f>
        <v>223.39</v>
      </c>
      <c r="C56">
        <v>5792203</v>
      </c>
    </row>
    <row r="57" spans="1:3">
      <c r="A57" s="1" t="s">
        <v>395</v>
      </c>
      <c r="B57" cm="1">
        <f t="array" ref="B57">IFERROR(LOOKUP(2,1/(ISNUMBER('Histórico vacunas'!C57:AEF57)),'Histórico vacunas'!C57:AEF57),"")</f>
        <v>34.31</v>
      </c>
      <c r="C57">
        <v>988002</v>
      </c>
    </row>
    <row r="58" spans="1:3">
      <c r="A58" s="1" t="s">
        <v>214</v>
      </c>
      <c r="B58" cm="1">
        <f t="array" ref="B58">IFERROR(LOOKUP(2,1/(ISNUMBER('Histórico vacunas'!C58:AEF58)),'Histórico vacunas'!C58:AEF58),"")</f>
        <v>93.42</v>
      </c>
      <c r="C58">
        <v>71991</v>
      </c>
    </row>
    <row r="59" spans="1:3">
      <c r="A59" s="1" t="s">
        <v>327</v>
      </c>
      <c r="B59" cm="1">
        <f t="array" ref="B59">IFERROR(LOOKUP(2,1/(ISNUMBER('Histórico vacunas'!C59:AEF59)),'Histórico vacunas'!C59:AEF59),"")</f>
        <v>144.63</v>
      </c>
      <c r="C59">
        <v>10847904</v>
      </c>
    </row>
    <row r="60" spans="1:3">
      <c r="A60" s="1" t="s">
        <v>34</v>
      </c>
      <c r="B60" cm="1">
        <f t="array" ref="B60">IFERROR(LOOKUP(2,1/(ISNUMBER('Histórico vacunas'!C60:AEF60)),'Histórico vacunas'!C60:AEF60),"")</f>
        <v>219.55</v>
      </c>
      <c r="C60">
        <v>17643060</v>
      </c>
    </row>
    <row r="61" spans="1:3">
      <c r="A61" s="1" t="s">
        <v>261</v>
      </c>
      <c r="B61" cm="1">
        <f t="array" ref="B61">IFERROR(LOOKUP(2,1/(ISNUMBER('Histórico vacunas'!C61:AEF61)),'Histórico vacunas'!C61:AEF61),"")</f>
        <v>91.37</v>
      </c>
      <c r="C61">
        <v>102334403</v>
      </c>
    </row>
    <row r="62" spans="1:3">
      <c r="A62" s="1" t="s">
        <v>99</v>
      </c>
      <c r="B62" cm="1">
        <f t="array" ref="B62">IFERROR(LOOKUP(2,1/(ISNUMBER('Histórico vacunas'!C62:AEF62)),'Histórico vacunas'!C62:AEF62),"")</f>
        <v>168.73</v>
      </c>
      <c r="C62">
        <v>6486201</v>
      </c>
    </row>
    <row r="63" spans="1:3">
      <c r="A63" s="1" t="s">
        <v>328</v>
      </c>
      <c r="B63" cm="1">
        <f t="array" ref="B63">IFERROR(LOOKUP(2,1/(ISNUMBER('Histórico vacunas'!C63:AEF63)),'Histórico vacunas'!C63:AEF63),"")</f>
        <v>30.94</v>
      </c>
      <c r="C63">
        <v>1402985</v>
      </c>
    </row>
    <row r="64" spans="1:3">
      <c r="A64" s="1" t="s">
        <v>191</v>
      </c>
      <c r="B64" t="str" cm="1">
        <f t="array" ref="B64">IFERROR(LOOKUP(2,1/(ISNUMBER('Histórico vacunas'!C64:AEF64)),'Histórico vacunas'!C64:AEF64),"")</f>
        <v/>
      </c>
      <c r="C64">
        <v>3546427</v>
      </c>
    </row>
    <row r="65" spans="1:3">
      <c r="A65" s="1" t="s">
        <v>148</v>
      </c>
      <c r="B65" cm="1">
        <f t="array" ref="B65">IFERROR(LOOKUP(2,1/(ISNUMBER('Histórico vacunas'!C65:AEF65)),'Histórico vacunas'!C65:AEF65),"")</f>
        <v>159.07</v>
      </c>
      <c r="C65">
        <v>1326539</v>
      </c>
    </row>
    <row r="66" spans="1:3">
      <c r="A66" s="1" t="s">
        <v>139</v>
      </c>
      <c r="B66" cm="1">
        <f t="array" ref="B66">IFERROR(LOOKUP(2,1/(ISNUMBER('Histórico vacunas'!C66:AEF66)),'Histórico vacunas'!C66:AEF66),"")</f>
        <v>37.04</v>
      </c>
      <c r="C66">
        <v>1160164</v>
      </c>
    </row>
    <row r="67" spans="1:3">
      <c r="A67" s="1" t="s">
        <v>329</v>
      </c>
      <c r="B67" cm="1">
        <f t="array" ref="B67">IFERROR(LOOKUP(2,1/(ISNUMBER('Histórico vacunas'!C67:AEF67)),'Histórico vacunas'!C67:AEF67),"")</f>
        <v>24.92</v>
      </c>
      <c r="C67">
        <v>114963583</v>
      </c>
    </row>
    <row r="68" spans="1:3">
      <c r="A68" s="1" t="s">
        <v>262</v>
      </c>
      <c r="B68" cm="1">
        <f t="array" ref="B68">IFERROR(LOOKUP(2,1/(ISNUMBER('Histórico vacunas'!C68:AEF68)),'Histórico vacunas'!C68:AEF68),"")</f>
        <v>211.8</v>
      </c>
      <c r="C68">
        <v>48865</v>
      </c>
    </row>
    <row r="69" spans="1:3">
      <c r="A69" s="1" t="s">
        <v>384</v>
      </c>
      <c r="B69" cm="1">
        <f t="array" ref="B69">IFERROR(LOOKUP(2,1/(ISNUMBER('Histórico vacunas'!C69:AEF69)),'Histórico vacunas'!C69:AEF69),"")</f>
        <v>126.53</v>
      </c>
      <c r="C69">
        <v>0</v>
      </c>
    </row>
    <row r="70" spans="1:3">
      <c r="A70" s="1" t="s">
        <v>330</v>
      </c>
      <c r="B70" cm="1">
        <f t="array" ref="B70">IFERROR(LOOKUP(2,1/(ISNUMBER('Histórico vacunas'!C70:AEF70)),'Histórico vacunas'!C70:AEF70),"")</f>
        <v>167.05</v>
      </c>
      <c r="C70">
        <v>896444</v>
      </c>
    </row>
    <row r="71" spans="1:3">
      <c r="A71" s="1" t="s">
        <v>263</v>
      </c>
      <c r="B71" cm="1">
        <f t="array" ref="B71">IFERROR(LOOKUP(2,1/(ISNUMBER('Histórico vacunas'!C71:AEF71)),'Histórico vacunas'!C71:AEF71),"")</f>
        <v>238.25</v>
      </c>
      <c r="C71">
        <v>5540718</v>
      </c>
    </row>
    <row r="72" spans="1:3">
      <c r="A72" s="1" t="s">
        <v>264</v>
      </c>
      <c r="B72" cm="1">
        <f t="array" ref="B72">IFERROR(LOOKUP(2,1/(ISNUMBER('Histórico vacunas'!C72:AEF72)),'Histórico vacunas'!C72:AEF72),"")</f>
        <v>227.56</v>
      </c>
      <c r="C72">
        <v>67564251</v>
      </c>
    </row>
    <row r="73" spans="1:3">
      <c r="A73" s="1" t="s">
        <v>411</v>
      </c>
      <c r="B73" cm="1">
        <f t="array" ref="B73">IFERROR(LOOKUP(2,1/(ISNUMBER('Histórico vacunas'!C73:AEF73)),'Histórico vacunas'!C73:AEF73),"")</f>
        <v>102.92</v>
      </c>
      <c r="C73">
        <v>280904</v>
      </c>
    </row>
    <row r="74" spans="1:3">
      <c r="A74" s="1" t="s">
        <v>331</v>
      </c>
      <c r="B74" cm="1">
        <f t="array" ref="B74">IFERROR(LOOKUP(2,1/(ISNUMBER('Histórico vacunas'!C74:AEF74)),'Histórico vacunas'!C74:AEF74),"")</f>
        <v>24.84</v>
      </c>
      <c r="C74">
        <v>2225728</v>
      </c>
    </row>
    <row r="75" spans="1:3">
      <c r="A75" s="1" t="s">
        <v>182</v>
      </c>
      <c r="B75" cm="1">
        <f t="array" ref="B75">IFERROR(LOOKUP(2,1/(ISNUMBER('Histórico vacunas'!C75:AEF75)),'Histórico vacunas'!C75:AEF75),"")</f>
        <v>13.3</v>
      </c>
      <c r="C75">
        <v>2416664</v>
      </c>
    </row>
    <row r="76" spans="1:3">
      <c r="A76" s="1" t="s">
        <v>165</v>
      </c>
      <c r="B76" cm="1">
        <f t="array" ref="B76">IFERROR(LOOKUP(2,1/(ISNUMBER('Histórico vacunas'!C76:AEF76)),'Histórico vacunas'!C76:AEF76),"")</f>
        <v>77.989999999999995</v>
      </c>
      <c r="C76">
        <v>3989175</v>
      </c>
    </row>
    <row r="77" spans="1:3">
      <c r="A77" s="1" t="s">
        <v>265</v>
      </c>
      <c r="B77" cm="1">
        <f t="array" ref="B77">IFERROR(LOOKUP(2,1/(ISNUMBER('Histórico vacunas'!C77:AEF77)),'Histórico vacunas'!C77:AEF77),"")</f>
        <v>230.45</v>
      </c>
      <c r="C77">
        <v>83783945</v>
      </c>
    </row>
    <row r="78" spans="1:3">
      <c r="A78" s="1" t="s">
        <v>80</v>
      </c>
      <c r="B78" cm="1">
        <f t="array" ref="B78">IFERROR(LOOKUP(2,1/(ISNUMBER('Histórico vacunas'!C78:AEF78)),'Histórico vacunas'!C78:AEF78),"")</f>
        <v>30.26</v>
      </c>
      <c r="C78">
        <v>31072945</v>
      </c>
    </row>
    <row r="79" spans="1:3">
      <c r="A79" s="1" t="s">
        <v>195</v>
      </c>
      <c r="B79" cm="1">
        <f t="array" ref="B79">IFERROR(LOOKUP(2,1/(ISNUMBER('Histórico vacunas'!C79:AEF79)),'Histórico vacunas'!C79:AEF79),"")</f>
        <v>354.93</v>
      </c>
      <c r="C79">
        <v>0</v>
      </c>
    </row>
    <row r="80" spans="1:3">
      <c r="A80" s="1" t="s">
        <v>266</v>
      </c>
      <c r="B80" cm="1">
        <f t="array" ref="B80">IFERROR(LOOKUP(2,1/(ISNUMBER('Histórico vacunas'!C80:AEF80)),'Histórico vacunas'!C80:AEF80),"")</f>
        <v>212.92</v>
      </c>
      <c r="C80">
        <v>10423056</v>
      </c>
    </row>
    <row r="81" spans="1:3">
      <c r="A81" s="1" t="s">
        <v>267</v>
      </c>
      <c r="B81" cm="1">
        <f t="array" ref="B81">IFERROR(LOOKUP(2,1/(ISNUMBER('Histórico vacunas'!C81:AEF81)),'Histórico vacunas'!C81:AEF81),"")</f>
        <v>140.22999999999999</v>
      </c>
      <c r="C81">
        <v>56772</v>
      </c>
    </row>
    <row r="82" spans="1:3">
      <c r="A82" s="1" t="s">
        <v>332</v>
      </c>
      <c r="B82" cm="1">
        <f t="array" ref="B82">IFERROR(LOOKUP(2,1/(ISNUMBER('Histórico vacunas'!C82:AEF82)),'Histórico vacunas'!C82:AEF82),"")</f>
        <v>72.430000000000007</v>
      </c>
      <c r="C82">
        <v>112519</v>
      </c>
    </row>
    <row r="83" spans="1:3">
      <c r="A83" s="1" t="s">
        <v>31</v>
      </c>
      <c r="B83" cm="1">
        <f t="array" ref="B83">IFERROR(LOOKUP(2,1/(ISNUMBER('Histórico vacunas'!C83:AEF83)),'Histórico vacunas'!C83:AEF83),"")</f>
        <v>113.44</v>
      </c>
      <c r="C83">
        <v>17915567</v>
      </c>
    </row>
    <row r="84" spans="1:3">
      <c r="A84" s="1" t="s">
        <v>251</v>
      </c>
      <c r="B84" cm="1">
        <f t="array" ref="B84">IFERROR(LOOKUP(2,1/(ISNUMBER('Histórico vacunas'!C84:AEF84)),'Histórico vacunas'!C84:AEF84),"")</f>
        <v>281.89999999999998</v>
      </c>
      <c r="C84">
        <v>67052</v>
      </c>
    </row>
    <row r="85" spans="1:3">
      <c r="A85" s="1" t="s">
        <v>116</v>
      </c>
      <c r="B85" cm="1">
        <f t="array" ref="B85">IFERROR(LOOKUP(2,1/(ISNUMBER('Histórico vacunas'!C85:AEF85)),'Histórico vacunas'!C85:AEF85),"")</f>
        <v>18.100000000000001</v>
      </c>
      <c r="C85">
        <v>13132792</v>
      </c>
    </row>
    <row r="86" spans="1:3">
      <c r="A86" t="s">
        <v>150</v>
      </c>
      <c r="B86" cm="1">
        <f t="array" ref="B86">IFERROR(LOOKUP(2,1/(ISNUMBER('Histórico vacunas'!C86:AEF86)),'Histórico vacunas'!C86:AEF86),"")</f>
        <v>27.91</v>
      </c>
      <c r="C86">
        <v>1967998</v>
      </c>
    </row>
    <row r="87" spans="1:3">
      <c r="A87" t="s">
        <v>184</v>
      </c>
      <c r="B87" cm="1">
        <f t="array" ref="B87">IFERROR(LOOKUP(2,1/(ISNUMBER('Histórico vacunas'!C87:AEF87)),'Histórico vacunas'!C87:AEF87),"")</f>
        <v>117.92</v>
      </c>
      <c r="C87">
        <v>786559</v>
      </c>
    </row>
    <row r="88" spans="1:3">
      <c r="A88" t="s">
        <v>334</v>
      </c>
      <c r="B88" cm="1">
        <f t="array" ref="B88">IFERROR(LOOKUP(2,1/(ISNUMBER('Histórico vacunas'!C88:AEF88)),'Histórico vacunas'!C88:AEF88),"")</f>
        <v>2.11</v>
      </c>
      <c r="C88">
        <v>11402533</v>
      </c>
    </row>
    <row r="89" spans="1:3">
      <c r="A89" t="s">
        <v>30</v>
      </c>
      <c r="B89" cm="1">
        <f t="array" ref="B89">IFERROR(LOOKUP(2,1/(ISNUMBER('Histórico vacunas'!C89:AEF89)),'Histórico vacunas'!C89:AEF89),"")</f>
        <v>163.91</v>
      </c>
      <c r="C89">
        <v>9904608</v>
      </c>
    </row>
    <row r="90" spans="1:3">
      <c r="A90" t="s">
        <v>133</v>
      </c>
      <c r="B90" cm="1">
        <f t="array" ref="B90">IFERROR(LOOKUP(2,1/(ISNUMBER('Histórico vacunas'!C90:AEF90)),'Histórico vacunas'!C90:AEF90),"")</f>
        <v>276.52999999999997</v>
      </c>
      <c r="C90">
        <v>7496988</v>
      </c>
    </row>
    <row r="91" spans="1:3">
      <c r="A91" t="s">
        <v>268</v>
      </c>
      <c r="B91" cm="1">
        <f t="array" ref="B91">IFERROR(LOOKUP(2,1/(ISNUMBER('Histórico vacunas'!C91:AEF91)),'Histórico vacunas'!C91:AEF91),"")</f>
        <v>171.25</v>
      </c>
      <c r="C91">
        <v>9660350</v>
      </c>
    </row>
    <row r="92" spans="1:3">
      <c r="A92" t="s">
        <v>269</v>
      </c>
      <c r="B92" cm="1">
        <f t="array" ref="B92">IFERROR(LOOKUP(2,1/(ISNUMBER('Histórico vacunas'!C92:AEF92)),'Histórico vacunas'!C92:AEF92),"")</f>
        <v>218.41</v>
      </c>
      <c r="C92">
        <v>341250</v>
      </c>
    </row>
    <row r="93" spans="1:3">
      <c r="A93" t="s">
        <v>41</v>
      </c>
      <c r="B93" cm="1">
        <f t="array" ref="B93">IFERROR(LOOKUP(2,1/(ISNUMBER('Histórico vacunas'!C93:AEF93)),'Histórico vacunas'!C93:AEF93),"")</f>
        <v>155.69</v>
      </c>
      <c r="C93">
        <v>1380004385</v>
      </c>
    </row>
    <row r="94" spans="1:3">
      <c r="A94" t="s">
        <v>57</v>
      </c>
      <c r="B94" cm="1">
        <f t="array" ref="B94">IFERROR(LOOKUP(2,1/(ISNUMBER('Histórico vacunas'!C94:AEF94)),'Histórico vacunas'!C94:AEF94),"")</f>
        <v>161.27000000000001</v>
      </c>
      <c r="C94">
        <v>273523621</v>
      </c>
    </row>
    <row r="95" spans="1:3">
      <c r="A95" t="s">
        <v>396</v>
      </c>
      <c r="B95" cm="1">
        <f t="array" ref="B95">IFERROR(LOOKUP(2,1/(ISNUMBER('Histórico vacunas'!C95:AEF95)),'Histórico vacunas'!C95:AEF95),"")</f>
        <v>175.05</v>
      </c>
      <c r="C95">
        <v>83992953</v>
      </c>
    </row>
    <row r="96" spans="1:3">
      <c r="A96" t="s">
        <v>335</v>
      </c>
      <c r="B96" cm="1">
        <f t="array" ref="B96">IFERROR(LOOKUP(2,1/(ISNUMBER('Histórico vacunas'!C96:AEF96)),'Histórico vacunas'!C96:AEF96),"")</f>
        <v>43.94</v>
      </c>
      <c r="C96">
        <v>40222503</v>
      </c>
    </row>
    <row r="97" spans="1:3">
      <c r="A97" t="s">
        <v>270</v>
      </c>
      <c r="B97" cm="1">
        <f t="array" ref="B97">IFERROR(LOOKUP(2,1/(ISNUMBER('Histórico vacunas'!C97:AEF97)),'Histórico vacunas'!C97:AEF97),"")</f>
        <v>221.2</v>
      </c>
      <c r="C97">
        <v>4937796</v>
      </c>
    </row>
    <row r="98" spans="1:3">
      <c r="A98" t="s">
        <v>297</v>
      </c>
      <c r="B98" cm="1">
        <f t="array" ref="B98">IFERROR(LOOKUP(2,1/(ISNUMBER('Histórico vacunas'!C98:AEF98)),'Histórico vacunas'!C98:AEF98),"")</f>
        <v>222.45</v>
      </c>
      <c r="C98">
        <v>85032</v>
      </c>
    </row>
    <row r="99" spans="1:3">
      <c r="A99" t="s">
        <v>65</v>
      </c>
      <c r="B99" cm="1">
        <f t="array" ref="B99">IFERROR(LOOKUP(2,1/(ISNUMBER('Histórico vacunas'!C99:AEF99)),'Histórico vacunas'!C99:AEF99),"")</f>
        <v>197.31</v>
      </c>
      <c r="C99">
        <v>8655541</v>
      </c>
    </row>
    <row r="100" spans="1:3">
      <c r="A100" t="s">
        <v>271</v>
      </c>
      <c r="B100" cm="1">
        <f t="array" ref="B100">IFERROR(LOOKUP(2,1/(ISNUMBER('Histórico vacunas'!C100:AEF100)),'Histórico vacunas'!C100:AEF100),"")</f>
        <v>243.58</v>
      </c>
      <c r="C100">
        <v>60461828</v>
      </c>
    </row>
    <row r="101" spans="1:3">
      <c r="A101" t="s">
        <v>172</v>
      </c>
      <c r="B101" cm="1">
        <f t="array" ref="B101">IFERROR(LOOKUP(2,1/(ISNUMBER('Histórico vacunas'!C101:AEF101)),'Histórico vacunas'!C101:AEF101),"")</f>
        <v>53.68</v>
      </c>
      <c r="C101">
        <v>2961161</v>
      </c>
    </row>
    <row r="102" spans="1:3">
      <c r="A102" t="s">
        <v>336</v>
      </c>
      <c r="B102" cm="1">
        <f t="array" ref="B102">IFERROR(LOOKUP(2,1/(ISNUMBER('Histórico vacunas'!C102:AEF102)),'Histórico vacunas'!C102:AEF102),"")</f>
        <v>308.41000000000003</v>
      </c>
      <c r="C102">
        <v>126476458</v>
      </c>
    </row>
    <row r="103" spans="1:3">
      <c r="A103" t="s">
        <v>252</v>
      </c>
      <c r="B103" cm="1">
        <f t="array" ref="B103">IFERROR(LOOKUP(2,1/(ISNUMBER('Histórico vacunas'!C103:AEF103)),'Histórico vacunas'!C103:AEF103),"")</f>
        <v>240.94</v>
      </c>
      <c r="C103">
        <v>0</v>
      </c>
    </row>
    <row r="104" spans="1:3">
      <c r="A104" t="s">
        <v>389</v>
      </c>
      <c r="B104" cm="1">
        <f t="array" ref="B104">IFERROR(LOOKUP(2,1/(ISNUMBER('Histórico vacunas'!C104:AEF104)),'Histórico vacunas'!C104:AEF104),"")</f>
        <v>96.42</v>
      </c>
      <c r="C104">
        <v>10203140</v>
      </c>
    </row>
    <row r="105" spans="1:3">
      <c r="A105" t="s">
        <v>338</v>
      </c>
      <c r="B105" cm="1">
        <f t="array" ref="B105">IFERROR(LOOKUP(2,1/(ISNUMBER('Histórico vacunas'!C105:AEF105)),'Histórico vacunas'!C105:AEF105),"")</f>
        <v>110.13</v>
      </c>
      <c r="C105">
        <v>18776707</v>
      </c>
    </row>
    <row r="106" spans="1:3">
      <c r="A106" t="s">
        <v>339</v>
      </c>
      <c r="B106" cm="1">
        <f t="array" ref="B106">IFERROR(LOOKUP(2,1/(ISNUMBER('Histórico vacunas'!C106:AEF106)),'Histórico vacunas'!C106:AEF106),"")</f>
        <v>31.51</v>
      </c>
      <c r="C106">
        <v>53771300</v>
      </c>
    </row>
    <row r="107" spans="1:3">
      <c r="A107" t="s">
        <v>422</v>
      </c>
      <c r="B107" cm="1">
        <f t="array" ref="B107">IFERROR(LOOKUP(2,1/(ISNUMBER('Histórico vacunas'!C107:AEF107)),'Histórico vacunas'!C107:AEF107),"")</f>
        <v>167.62</v>
      </c>
      <c r="C107">
        <v>119446</v>
      </c>
    </row>
    <row r="108" spans="1:3">
      <c r="A108" t="s">
        <v>307</v>
      </c>
      <c r="B108" cm="1">
        <f t="array" ref="B108">IFERROR(LOOKUP(2,1/(ISNUMBER('Histórico vacunas'!C108:AEF108)),'Histórico vacunas'!C108:AEF108),"")</f>
        <v>103.1</v>
      </c>
      <c r="C108">
        <v>1932774</v>
      </c>
    </row>
    <row r="109" spans="1:3">
      <c r="A109" t="s">
        <v>70</v>
      </c>
      <c r="B109" cm="1">
        <f t="array" ref="B109">IFERROR(LOOKUP(2,1/(ISNUMBER('Histórico vacunas'!C109:AEF109)),'Histórico vacunas'!C109:AEF109),"")</f>
        <v>193.46</v>
      </c>
      <c r="C109">
        <v>4270563</v>
      </c>
    </row>
    <row r="110" spans="1:3">
      <c r="A110" t="s">
        <v>340</v>
      </c>
      <c r="B110" cm="1">
        <f t="array" ref="B110">IFERROR(LOOKUP(2,1/(ISNUMBER('Histórico vacunas'!C110:AEF110)),'Histórico vacunas'!C110:AEF110),"")</f>
        <v>51.76</v>
      </c>
      <c r="C110">
        <v>6524191</v>
      </c>
    </row>
    <row r="111" spans="1:3">
      <c r="A111" t="s">
        <v>213</v>
      </c>
      <c r="B111" cm="1">
        <f t="array" ref="B111">IFERROR(LOOKUP(2,1/(ISNUMBER('Histórico vacunas'!C111:AEF111)),'Histórico vacunas'!C111:AEF111),"")</f>
        <v>149.63999999999999</v>
      </c>
      <c r="C111">
        <v>7275556</v>
      </c>
    </row>
    <row r="112" spans="1:3">
      <c r="A112" t="s">
        <v>272</v>
      </c>
      <c r="B112" cm="1">
        <f t="array" ref="B112">IFERROR(LOOKUP(2,1/(ISNUMBER('Histórico vacunas'!C112:AEF112)),'Histórico vacunas'!C112:AEF112),"")</f>
        <v>154.53</v>
      </c>
      <c r="C112">
        <v>1886202</v>
      </c>
    </row>
    <row r="113" spans="1:3">
      <c r="A113" t="s">
        <v>341</v>
      </c>
      <c r="B113" cm="1">
        <f t="array" ref="B113">IFERROR(LOOKUP(2,1/(ISNUMBER('Histórico vacunas'!C113:AEF113)),'Histórico vacunas'!C113:AEF113),"")</f>
        <v>105.92</v>
      </c>
      <c r="C113">
        <v>6825442</v>
      </c>
    </row>
    <row r="114" spans="1:3">
      <c r="A114" t="s">
        <v>342</v>
      </c>
      <c r="B114" cm="1">
        <f t="array" ref="B114">IFERROR(LOOKUP(2,1/(ISNUMBER('Histórico vacunas'!C114:AEF114)),'Histórico vacunas'!C114:AEF114),"")</f>
        <v>31.87</v>
      </c>
      <c r="C114">
        <v>2142252</v>
      </c>
    </row>
    <row r="115" spans="1:3">
      <c r="A115" t="s">
        <v>162</v>
      </c>
      <c r="B115" cm="1">
        <f t="array" ref="B115">IFERROR(LOOKUP(2,1/(ISNUMBER('Histórico vacunas'!C115:AEF115)),'Histórico vacunas'!C115:AEF115),"")</f>
        <v>11.38</v>
      </c>
      <c r="C115">
        <v>5057677</v>
      </c>
    </row>
    <row r="116" spans="1:3">
      <c r="A116" t="s">
        <v>343</v>
      </c>
      <c r="B116" cm="1">
        <f t="array" ref="B116">IFERROR(LOOKUP(2,1/(ISNUMBER('Histórico vacunas'!C116:AEF116)),'Histórico vacunas'!C116:AEF116),"")</f>
        <v>54.89</v>
      </c>
      <c r="C116">
        <v>6871287</v>
      </c>
    </row>
    <row r="117" spans="1:3">
      <c r="A117" t="s">
        <v>206</v>
      </c>
      <c r="B117" cm="1">
        <f t="array" ref="B117">IFERROR(LOOKUP(2,1/(ISNUMBER('Histórico vacunas'!C117:AEF117)),'Histórico vacunas'!C117:AEF117),"")</f>
        <v>188.76</v>
      </c>
      <c r="C117">
        <v>38137</v>
      </c>
    </row>
    <row r="118" spans="1:3">
      <c r="A118" t="s">
        <v>273</v>
      </c>
      <c r="B118" cm="1">
        <f t="array" ref="B118">IFERROR(LOOKUP(2,1/(ISNUMBER('Histórico vacunas'!C118:AEF118)),'Histórico vacunas'!C118:AEF118),"")</f>
        <v>165.25</v>
      </c>
      <c r="C118">
        <v>2722291</v>
      </c>
    </row>
    <row r="119" spans="1:3">
      <c r="A119" t="s">
        <v>274</v>
      </c>
      <c r="B119" cm="1">
        <f t="array" ref="B119">IFERROR(LOOKUP(2,1/(ISNUMBER('Histórico vacunas'!C119:AEF119)),'Histórico vacunas'!C119:AEF119),"")</f>
        <v>212.2</v>
      </c>
      <c r="C119">
        <v>625976</v>
      </c>
    </row>
    <row r="120" spans="1:3">
      <c r="A120" t="s">
        <v>208</v>
      </c>
      <c r="B120" cm="1">
        <f t="array" ref="B120">IFERROR(LOOKUP(2,1/(ISNUMBER('Histórico vacunas'!C120:AEF120)),'Histórico vacunas'!C120:AEF120),"")</f>
        <v>258.69</v>
      </c>
      <c r="C120">
        <v>649342</v>
      </c>
    </row>
    <row r="121" spans="1:3">
      <c r="A121" t="s">
        <v>107</v>
      </c>
      <c r="B121" cm="1">
        <f t="array" ref="B121">IFERROR(LOOKUP(2,1/(ISNUMBER('Histórico vacunas'!C121:AEF121)),'Histórico vacunas'!C121:AEF121),"")</f>
        <v>3.42</v>
      </c>
      <c r="C121">
        <v>27691019</v>
      </c>
    </row>
    <row r="122" spans="1:3">
      <c r="A122" t="s">
        <v>128</v>
      </c>
      <c r="B122" cm="1">
        <f t="array" ref="B122">IFERROR(LOOKUP(2,1/(ISNUMBER('Histórico vacunas'!C122:AEF122)),'Histórico vacunas'!C122:AEF122),"")</f>
        <v>9.92</v>
      </c>
      <c r="C122">
        <v>19129955</v>
      </c>
    </row>
    <row r="123" spans="1:3">
      <c r="A123" t="s">
        <v>344</v>
      </c>
      <c r="B123" cm="1">
        <f t="array" ref="B123">IFERROR(LOOKUP(2,1/(ISNUMBER('Histórico vacunas'!C123:AEF123)),'Histórico vacunas'!C123:AEF123),"")</f>
        <v>213.87</v>
      </c>
      <c r="C123">
        <v>32365998</v>
      </c>
    </row>
    <row r="124" spans="1:3">
      <c r="A124" t="s">
        <v>275</v>
      </c>
      <c r="B124" cm="1">
        <f t="array" ref="B124">IFERROR(LOOKUP(2,1/(ISNUMBER('Histórico vacunas'!C124:AEF124)),'Histórico vacunas'!C124:AEF124),"")</f>
        <v>181.66</v>
      </c>
      <c r="C124">
        <v>540542</v>
      </c>
    </row>
    <row r="125" spans="1:3">
      <c r="A125" t="s">
        <v>142</v>
      </c>
      <c r="B125" cm="1">
        <f t="array" ref="B125">IFERROR(LOOKUP(2,1/(ISNUMBER('Histórico vacunas'!C125:AEF125)),'Histórico vacunas'!C125:AEF125),"")</f>
        <v>8.6999999999999993</v>
      </c>
      <c r="C125">
        <v>20250834</v>
      </c>
    </row>
    <row r="126" spans="1:3">
      <c r="A126" t="s">
        <v>174</v>
      </c>
      <c r="B126" cm="1">
        <f t="array" ref="B126">IFERROR(LOOKUP(2,1/(ISNUMBER('Histórico vacunas'!C126:AEF126)),'Histórico vacunas'!C126:AEF126),"")</f>
        <v>258.83</v>
      </c>
      <c r="C126">
        <v>441539</v>
      </c>
    </row>
    <row r="127" spans="1:3">
      <c r="A127" t="s">
        <v>345</v>
      </c>
      <c r="B127" t="str" cm="1">
        <f t="array" ref="B127">IFERROR(LOOKUP(2,1/(ISNUMBER('Histórico vacunas'!C127:AEF127)),'Histórico vacunas'!C127:AEF127),"")</f>
        <v/>
      </c>
      <c r="C127">
        <v>59194</v>
      </c>
    </row>
    <row r="128" spans="1:3">
      <c r="A128" t="s">
        <v>119</v>
      </c>
      <c r="B128" cm="1">
        <f t="array" ref="B128">IFERROR(LOOKUP(2,1/(ISNUMBER('Histórico vacunas'!C128:AEF128)),'Histórico vacunas'!C128:AEF128),"")</f>
        <v>53.93</v>
      </c>
      <c r="C128">
        <v>4649660</v>
      </c>
    </row>
    <row r="129" spans="1:3">
      <c r="A129" t="s">
        <v>346</v>
      </c>
      <c r="B129" cm="1">
        <f t="array" ref="B129">IFERROR(LOOKUP(2,1/(ISNUMBER('Histórico vacunas'!C129:AEF129)),'Histórico vacunas'!C129:AEF129),"")</f>
        <v>163.12</v>
      </c>
      <c r="C129">
        <v>1271767</v>
      </c>
    </row>
    <row r="130" spans="1:3">
      <c r="A130" t="s">
        <v>276</v>
      </c>
      <c r="B130" cm="1">
        <f t="array" ref="B130">IFERROR(LOOKUP(2,1/(ISNUMBER('Histórico vacunas'!C130:AEF130)),'Histórico vacunas'!C130:AEF130),"")</f>
        <v>175.02</v>
      </c>
      <c r="C130">
        <v>128932753</v>
      </c>
    </row>
    <row r="131" spans="1:3">
      <c r="A131" t="s">
        <v>397</v>
      </c>
      <c r="B131" t="str" cm="1">
        <f t="array" ref="B131">IFERROR(LOOKUP(2,1/(ISNUMBER('Histórico vacunas'!C131:AEF131)),'Histórico vacunas'!C131:AEF131),"")</f>
        <v/>
      </c>
      <c r="C131">
        <v>115021</v>
      </c>
    </row>
    <row r="132" spans="1:3">
      <c r="A132" t="s">
        <v>348</v>
      </c>
      <c r="B132" cm="1">
        <f t="array" ref="B132">IFERROR(LOOKUP(2,1/(ISNUMBER('Histórico vacunas'!C132:AEF132)),'Histórico vacunas'!C132:AEF132),"")</f>
        <v>53.82</v>
      </c>
      <c r="C132">
        <v>4033963</v>
      </c>
    </row>
    <row r="133" spans="1:3">
      <c r="A133" t="s">
        <v>277</v>
      </c>
      <c r="B133" cm="1">
        <f t="array" ref="B133">IFERROR(LOOKUP(2,1/(ISNUMBER('Histórico vacunas'!C133:AEF133)),'Histórico vacunas'!C133:AEF133),"")</f>
        <v>126.47</v>
      </c>
      <c r="C133">
        <v>39244</v>
      </c>
    </row>
    <row r="134" spans="1:3">
      <c r="A134" t="s">
        <v>190</v>
      </c>
      <c r="B134" cm="1">
        <f t="array" ref="B134">IFERROR(LOOKUP(2,1/(ISNUMBER('Histórico vacunas'!C134:AEF134)),'Histórico vacunas'!C134:AEF134),"")</f>
        <v>164.99</v>
      </c>
      <c r="C134">
        <v>3278292</v>
      </c>
    </row>
    <row r="135" spans="1:3">
      <c r="A135" t="s">
        <v>135</v>
      </c>
      <c r="B135" cm="1">
        <f t="array" ref="B135">IFERROR(LOOKUP(2,1/(ISNUMBER('Histórico vacunas'!C135:AEF135)),'Histórico vacunas'!C135:AEF135),"")</f>
        <v>108.17</v>
      </c>
      <c r="C135">
        <v>628062</v>
      </c>
    </row>
    <row r="136" spans="1:3">
      <c r="A136" t="s">
        <v>217</v>
      </c>
      <c r="B136" cm="1">
        <f t="array" ref="B136">IFERROR(LOOKUP(2,1/(ISNUMBER('Histórico vacunas'!C136:AEF136)),'Histórico vacunas'!C136:AEF136),"")</f>
        <v>56.57</v>
      </c>
      <c r="C136">
        <v>0</v>
      </c>
    </row>
    <row r="137" spans="1:3">
      <c r="A137" t="s">
        <v>278</v>
      </c>
      <c r="B137" cm="1">
        <f t="array" ref="B137">IFERROR(LOOKUP(2,1/(ISNUMBER('Histórico vacunas'!C137:AEF137)),'Histórico vacunas'!C137:AEF137),"")</f>
        <v>147.85</v>
      </c>
      <c r="C137">
        <v>36910558</v>
      </c>
    </row>
    <row r="138" spans="1:3">
      <c r="A138" t="s">
        <v>151</v>
      </c>
      <c r="B138" cm="1">
        <f t="array" ref="B138">IFERROR(LOOKUP(2,1/(ISNUMBER('Histórico vacunas'!C138:AEF138)),'Histórico vacunas'!C138:AEF138),"")</f>
        <v>81.510000000000005</v>
      </c>
      <c r="C138">
        <v>31255435</v>
      </c>
    </row>
    <row r="139" spans="1:3">
      <c r="A139" t="s">
        <v>187</v>
      </c>
      <c r="B139" cm="1">
        <f t="array" ref="B139">IFERROR(LOOKUP(2,1/(ISNUMBER('Histórico vacunas'!C139:AEF139)),'Histórico vacunas'!C139:AEF139),"")</f>
        <v>101.39</v>
      </c>
      <c r="C139">
        <v>54409794</v>
      </c>
    </row>
    <row r="140" spans="1:3">
      <c r="A140" t="s">
        <v>145</v>
      </c>
      <c r="B140" cm="1">
        <f t="array" ref="B140">IFERROR(LOOKUP(2,1/(ISNUMBER('Histórico vacunas'!C140:AEF140)),'Histórico vacunas'!C140:AEF140),"")</f>
        <v>31.98</v>
      </c>
      <c r="C140">
        <v>2540916</v>
      </c>
    </row>
    <row r="141" spans="1:3">
      <c r="A141" t="s">
        <v>402</v>
      </c>
      <c r="B141" cm="1">
        <f t="array" ref="B141">IFERROR(LOOKUP(2,1/(ISNUMBER('Histórico vacunas'!C141:AEF141)),'Histórico vacunas'!C141:AEF141),"")</f>
        <v>253.38</v>
      </c>
      <c r="C141">
        <v>0</v>
      </c>
    </row>
    <row r="142" spans="1:3">
      <c r="A142" t="s">
        <v>94</v>
      </c>
      <c r="B142" cm="1">
        <f t="array" ref="B142">IFERROR(LOOKUP(2,1/(ISNUMBER('Histórico vacunas'!C142:AEF142)),'Histórico vacunas'!C142:AEF142),"")</f>
        <v>199.61</v>
      </c>
      <c r="C142">
        <v>29136808</v>
      </c>
    </row>
    <row r="143" spans="1:3">
      <c r="A143" t="s">
        <v>279</v>
      </c>
      <c r="B143" cm="1">
        <f t="array" ref="B143">IFERROR(LOOKUP(2,1/(ISNUMBER('Histórico vacunas'!C143:AEF143)),'Histórico vacunas'!C143:AEF143),"")</f>
        <v>198.09</v>
      </c>
      <c r="C143">
        <v>17134873</v>
      </c>
    </row>
    <row r="144" spans="1:3">
      <c r="A144" t="s">
        <v>412</v>
      </c>
      <c r="B144" cm="1">
        <f t="array" ref="B144">IFERROR(LOOKUP(2,1/(ISNUMBER('Histórico vacunas'!C144:AEF144)),'Histórico vacunas'!C144:AEF144),"")</f>
        <v>165.52</v>
      </c>
      <c r="C144">
        <v>285491</v>
      </c>
    </row>
    <row r="145" spans="1:3">
      <c r="A145" t="s">
        <v>349</v>
      </c>
      <c r="B145" cm="1">
        <f t="array" ref="B145">IFERROR(LOOKUP(2,1/(ISNUMBER('Histórico vacunas'!C145:AEF145)),'Histórico vacunas'!C145:AEF145),"")</f>
        <v>231.15</v>
      </c>
      <c r="C145">
        <v>4822233</v>
      </c>
    </row>
    <row r="146" spans="1:3">
      <c r="A146" t="s">
        <v>132</v>
      </c>
      <c r="B146" cm="1">
        <f t="array" ref="B146">IFERROR(LOOKUP(2,1/(ISNUMBER('Histórico vacunas'!C146:AEF146)),'Histórico vacunas'!C146:AEF146),"")</f>
        <v>219.2</v>
      </c>
      <c r="C146">
        <v>6624554</v>
      </c>
    </row>
    <row r="147" spans="1:3">
      <c r="A147" t="s">
        <v>350</v>
      </c>
      <c r="B147" cm="1">
        <f t="array" ref="B147">IFERROR(LOOKUP(2,1/(ISNUMBER('Histórico vacunas'!C147:AEF147)),'Histórico vacunas'!C147:AEF147),"")</f>
        <v>7.32</v>
      </c>
      <c r="C147">
        <v>24206636</v>
      </c>
    </row>
    <row r="148" spans="1:3">
      <c r="A148" t="s">
        <v>77</v>
      </c>
      <c r="B148" cm="1">
        <f t="array" ref="B148">IFERROR(LOOKUP(2,1/(ISNUMBER('Histórico vacunas'!C148:AEF148)),'Histórico vacunas'!C148:AEF148),"")</f>
        <v>14.85</v>
      </c>
      <c r="C148">
        <v>206139587</v>
      </c>
    </row>
    <row r="149" spans="1:3">
      <c r="A149" t="s">
        <v>428</v>
      </c>
      <c r="B149" cm="1">
        <f t="array" ref="B149">IFERROR(LOOKUP(2,1/(ISNUMBER('Histórico vacunas'!C149:AEF149)),'Histórico vacunas'!C149:AEF149),"")</f>
        <v>148.69999999999999</v>
      </c>
      <c r="C149">
        <v>1618</v>
      </c>
    </row>
    <row r="150" spans="1:3">
      <c r="A150" t="s">
        <v>351</v>
      </c>
      <c r="B150" cm="1">
        <f t="array" ref="B150">IFERROR(LOOKUP(2,1/(ISNUMBER('Histórico vacunas'!C150:AEF150)),'Histórico vacunas'!C150:AEF150),"")</f>
        <v>79.599999999999994</v>
      </c>
      <c r="C150">
        <v>2083380</v>
      </c>
    </row>
    <row r="151" spans="1:3">
      <c r="A151" t="s">
        <v>380</v>
      </c>
      <c r="B151" cm="1">
        <f t="array" ref="B151">IFERROR(LOOKUP(2,1/(ISNUMBER('Histórico vacunas'!C151:AEF151)),'Histórico vacunas'!C151:AEF151),"")</f>
        <v>225.04</v>
      </c>
      <c r="C151">
        <v>0</v>
      </c>
    </row>
    <row r="152" spans="1:3">
      <c r="A152" t="s">
        <v>280</v>
      </c>
      <c r="B152" cm="1">
        <f t="array" ref="B152">IFERROR(LOOKUP(2,1/(ISNUMBER('Histórico vacunas'!C152:AEF152)),'Histórico vacunas'!C152:AEF152),"")</f>
        <v>223.3</v>
      </c>
      <c r="C152">
        <v>5421242</v>
      </c>
    </row>
    <row r="153" spans="1:3">
      <c r="A153" t="s">
        <v>281</v>
      </c>
      <c r="B153" cm="1">
        <f t="array" ref="B153">IFERROR(LOOKUP(2,1/(ISNUMBER('Histórico vacunas'!C153:AEF153)),'Histórico vacunas'!C153:AEF153),"")</f>
        <v>135.31</v>
      </c>
      <c r="C153">
        <v>5106622</v>
      </c>
    </row>
    <row r="154" spans="1:3">
      <c r="A154" t="s">
        <v>352</v>
      </c>
      <c r="B154" cm="1">
        <f t="array" ref="B154">IFERROR(LOOKUP(2,1/(ISNUMBER('Histórico vacunas'!C154:AEF154)),'Histórico vacunas'!C154:AEF154),"")</f>
        <v>141.53</v>
      </c>
      <c r="C154">
        <v>220892331</v>
      </c>
    </row>
    <row r="155" spans="1:3">
      <c r="A155" t="s">
        <v>436</v>
      </c>
      <c r="B155" t="str" cm="1">
        <f t="array" ref="B155">IFERROR(LOOKUP(2,1/(ISNUMBER('Histórico vacunas'!C155:AEF155)),'Histórico vacunas'!C155:AEF155),"")</f>
        <v/>
      </c>
      <c r="C155">
        <v>18092</v>
      </c>
    </row>
    <row r="156" spans="1:3">
      <c r="A156" t="s">
        <v>353</v>
      </c>
      <c r="B156" cm="1">
        <f t="array" ref="B156">IFERROR(LOOKUP(2,1/(ISNUMBER('Histórico vacunas'!C156:AEF156)),'Histórico vacunas'!C156:AEF156),"")</f>
        <v>71.47</v>
      </c>
      <c r="C156">
        <v>5101416</v>
      </c>
    </row>
    <row r="157" spans="1:3">
      <c r="A157" t="s">
        <v>282</v>
      </c>
      <c r="B157" cm="1">
        <f t="array" ref="B157">IFERROR(LOOKUP(2,1/(ISNUMBER('Histórico vacunas'!C157:AEF157)),'Histórico vacunas'!C157:AEF157),"")</f>
        <v>198.63</v>
      </c>
      <c r="C157">
        <v>4314768</v>
      </c>
    </row>
    <row r="158" spans="1:3">
      <c r="A158" t="s">
        <v>354</v>
      </c>
      <c r="B158" cm="1">
        <f t="array" ref="B158">IFERROR(LOOKUP(2,1/(ISNUMBER('Histórico vacunas'!C158:AEF158)),'Histórico vacunas'!C158:AEF158),"")</f>
        <v>7.14</v>
      </c>
      <c r="C158">
        <v>8947027</v>
      </c>
    </row>
    <row r="159" spans="1:3">
      <c r="A159" t="s">
        <v>120</v>
      </c>
      <c r="B159" cm="1">
        <f t="array" ref="B159">IFERROR(LOOKUP(2,1/(ISNUMBER('Histórico vacunas'!C159:AEF159)),'Histórico vacunas'!C159:AEF159),"")</f>
        <v>141.62</v>
      </c>
      <c r="C159">
        <v>7132530</v>
      </c>
    </row>
    <row r="160" spans="1:3">
      <c r="A160" t="s">
        <v>355</v>
      </c>
      <c r="B160" cm="1">
        <f t="array" ref="B160">IFERROR(LOOKUP(2,1/(ISNUMBER('Histórico vacunas'!C160:AEF160)),'Histórico vacunas'!C160:AEF160),"")</f>
        <v>258.49</v>
      </c>
      <c r="C160">
        <v>32971846</v>
      </c>
    </row>
    <row r="161" spans="1:3">
      <c r="A161" t="s">
        <v>356</v>
      </c>
      <c r="B161" cm="1">
        <f t="array" ref="B161">IFERROR(LOOKUP(2,1/(ISNUMBER('Histórico vacunas'!C161:AEF161)),'Histórico vacunas'!C161:AEF161),"")</f>
        <v>147.43</v>
      </c>
      <c r="C161">
        <v>109581085</v>
      </c>
    </row>
    <row r="162" spans="1:3">
      <c r="A162" t="s">
        <v>425</v>
      </c>
      <c r="B162" cm="1">
        <f t="array" ref="B162">IFERROR(LOOKUP(2,1/(ISNUMBER('Histórico vacunas'!C162:AEF162)),'Histórico vacunas'!C162:AEF162),"")</f>
        <v>248.94</v>
      </c>
      <c r="C162">
        <v>0</v>
      </c>
    </row>
    <row r="163" spans="1:3">
      <c r="A163" t="s">
        <v>283</v>
      </c>
      <c r="B163" cm="1">
        <f t="array" ref="B163">IFERROR(LOOKUP(2,1/(ISNUMBER('Histórico vacunas'!C163:AEF163)),'Histórico vacunas'!C163:AEF163),"")</f>
        <v>145.31</v>
      </c>
      <c r="C163">
        <v>37846605</v>
      </c>
    </row>
    <row r="164" spans="1:3">
      <c r="A164" t="s">
        <v>75</v>
      </c>
      <c r="B164" cm="1">
        <f t="array" ref="B164">IFERROR(LOOKUP(2,1/(ISNUMBER('Histórico vacunas'!C164:AEF164)),'Histórico vacunas'!C164:AEF164),"")</f>
        <v>273.64999999999998</v>
      </c>
      <c r="C164">
        <v>10196707</v>
      </c>
    </row>
    <row r="165" spans="1:3">
      <c r="A165" t="s">
        <v>390</v>
      </c>
      <c r="B165" cm="1">
        <f t="array" ref="B165">IFERROR(LOOKUP(2,1/(ISNUMBER('Histórico vacunas'!C165:AEF165)),'Histórico vacunas'!C165:AEF165),"")</f>
        <v>282.23</v>
      </c>
      <c r="C165">
        <v>2881060</v>
      </c>
    </row>
    <row r="166" spans="1:3">
      <c r="A166" t="s">
        <v>284</v>
      </c>
      <c r="B166" cm="1">
        <f t="array" ref="B166">IFERROR(LOOKUP(2,1/(ISNUMBER('Histórico vacunas'!C166:AEF166)),'Histórico vacunas'!C166:AEF166),"")</f>
        <v>87.97</v>
      </c>
      <c r="C166">
        <v>19237682</v>
      </c>
    </row>
    <row r="167" spans="1:3">
      <c r="A167" t="s">
        <v>285</v>
      </c>
      <c r="B167" cm="1">
        <f t="array" ref="B167">IFERROR(LOOKUP(2,1/(ISNUMBER('Histórico vacunas'!C167:AEF167)),'Histórico vacunas'!C167:AEF167),"")</f>
        <v>128.36000000000001</v>
      </c>
      <c r="C167">
        <v>145934460</v>
      </c>
    </row>
    <row r="168" spans="1:3">
      <c r="A168" t="s">
        <v>358</v>
      </c>
      <c r="B168" cm="1">
        <f t="array" ref="B168">IFERROR(LOOKUP(2,1/(ISNUMBER('Histórico vacunas'!C168:AEF168)),'Histórico vacunas'!C168:AEF168),"")</f>
        <v>104.64</v>
      </c>
      <c r="C168">
        <v>12952209</v>
      </c>
    </row>
    <row r="169" spans="1:3">
      <c r="A169" t="s">
        <v>391</v>
      </c>
      <c r="B169" cm="1">
        <f t="array" ref="B169">IFERROR(LOOKUP(2,1/(ISNUMBER('Histórico vacunas'!C169:AEF169)),'Histórico vacunas'!C169:AEF169),"")</f>
        <v>130</v>
      </c>
      <c r="C169">
        <v>0</v>
      </c>
    </row>
    <row r="170" spans="1:3">
      <c r="A170" t="s">
        <v>398</v>
      </c>
      <c r="B170" cm="1">
        <f t="array" ref="B170">IFERROR(LOOKUP(2,1/(ISNUMBER('Histórico vacunas'!C170:AEF170)),'Histórico vacunas'!C170:AEF170),"")</f>
        <v>134.85</v>
      </c>
      <c r="C170">
        <v>53192</v>
      </c>
    </row>
    <row r="171" spans="1:3">
      <c r="A171" t="s">
        <v>360</v>
      </c>
      <c r="B171" cm="1">
        <f t="array" ref="B171">IFERROR(LOOKUP(2,1/(ISNUMBER('Histórico vacunas'!C171:AEF171)),'Histórico vacunas'!C171:AEF171),"")</f>
        <v>68.37</v>
      </c>
      <c r="C171">
        <v>183629</v>
      </c>
    </row>
    <row r="172" spans="1:3">
      <c r="A172" t="s">
        <v>361</v>
      </c>
      <c r="B172" cm="1">
        <f t="array" ref="B172">IFERROR(LOOKUP(2,1/(ISNUMBER('Histórico vacunas'!C172:AEF172)),'Histórico vacunas'!C172:AEF172),"")</f>
        <v>70.58</v>
      </c>
      <c r="C172">
        <v>110947</v>
      </c>
    </row>
    <row r="173" spans="1:3">
      <c r="A173" t="s">
        <v>250</v>
      </c>
      <c r="B173" cm="1">
        <f t="array" ref="B173">IFERROR(LOOKUP(2,1/(ISNUMBER('Histórico vacunas'!C173:AEF173)),'Histórico vacunas'!C173:AEF173),"")</f>
        <v>203.48</v>
      </c>
      <c r="C173">
        <v>198410</v>
      </c>
    </row>
    <row r="174" spans="1:3">
      <c r="A174" t="s">
        <v>178</v>
      </c>
      <c r="B174" cm="1">
        <f t="array" ref="B174">IFERROR(LOOKUP(2,1/(ISNUMBER('Histórico vacunas'!C174:AEF174)),'Histórico vacunas'!C174:AEF174),"")</f>
        <v>138.44</v>
      </c>
      <c r="C174">
        <v>33938</v>
      </c>
    </row>
    <row r="175" spans="1:3">
      <c r="A175" t="s">
        <v>362</v>
      </c>
      <c r="B175" cm="1">
        <f t="array" ref="B175">IFERROR(LOOKUP(2,1/(ISNUMBER('Histórico vacunas'!C175:AEF175)),'Histórico vacunas'!C175:AEF175),"")</f>
        <v>67.62</v>
      </c>
      <c r="C175">
        <v>219161</v>
      </c>
    </row>
    <row r="176" spans="1:3">
      <c r="A176" t="s">
        <v>287</v>
      </c>
      <c r="B176" cm="1">
        <f t="array" ref="B176">IFERROR(LOOKUP(2,1/(ISNUMBER('Histórico vacunas'!C176:AEF176)),'Histórico vacunas'!C176:AEF176),"")</f>
        <v>187.87</v>
      </c>
      <c r="C176">
        <v>34813867</v>
      </c>
    </row>
    <row r="177" spans="1:3">
      <c r="A177" t="s">
        <v>109</v>
      </c>
      <c r="B177" cm="1">
        <f t="array" ref="B177">IFERROR(LOOKUP(2,1/(ISNUMBER('Histórico vacunas'!C177:AEF177)),'Histórico vacunas'!C177:AEF177),"")</f>
        <v>11.89</v>
      </c>
      <c r="C177">
        <v>16743930</v>
      </c>
    </row>
    <row r="178" spans="1:3">
      <c r="A178" t="s">
        <v>87</v>
      </c>
      <c r="B178" cm="1">
        <f t="array" ref="B178">IFERROR(LOOKUP(2,1/(ISNUMBER('Histórico vacunas'!C178:AEF178)),'Histórico vacunas'!C178:AEF178),"")</f>
        <v>124.2</v>
      </c>
      <c r="C178">
        <v>6804596</v>
      </c>
    </row>
    <row r="179" spans="1:3">
      <c r="A179" t="s">
        <v>202</v>
      </c>
      <c r="B179" cm="1">
        <f t="array" ref="B179">IFERROR(LOOKUP(2,1/(ISNUMBER('Histórico vacunas'!C179:AEF179)),'Histórico vacunas'!C179:AEF179),"")</f>
        <v>201.66</v>
      </c>
      <c r="C179">
        <v>98340</v>
      </c>
    </row>
    <row r="180" spans="1:3">
      <c r="A180" t="s">
        <v>363</v>
      </c>
      <c r="B180" cm="1">
        <f t="array" ref="B180">IFERROR(LOOKUP(2,1/(ISNUMBER('Histórico vacunas'!C180:AEF180)),'Histórico vacunas'!C180:AEF180),"")</f>
        <v>11.35</v>
      </c>
      <c r="C180">
        <v>7976985</v>
      </c>
    </row>
    <row r="181" spans="1:3">
      <c r="A181" t="s">
        <v>288</v>
      </c>
      <c r="B181" cm="1">
        <f t="array" ref="B181">IFERROR(LOOKUP(2,1/(ISNUMBER('Histórico vacunas'!C181:AEF181)),'Histórico vacunas'!C181:AEF181),"")</f>
        <v>261.70999999999998</v>
      </c>
      <c r="C181">
        <v>5850343</v>
      </c>
    </row>
    <row r="182" spans="1:3">
      <c r="A182" t="s">
        <v>419</v>
      </c>
      <c r="B182" cm="1">
        <f t="array" ref="B182">IFERROR(LOOKUP(2,1/(ISNUMBER('Histórico vacunas'!C182:AEF182)),'Histórico vacunas'!C182:AEF182),"")</f>
        <v>109.71</v>
      </c>
      <c r="C182">
        <v>0</v>
      </c>
    </row>
    <row r="183" spans="1:3">
      <c r="A183" t="s">
        <v>289</v>
      </c>
      <c r="B183" cm="1">
        <f t="array" ref="B183">IFERROR(LOOKUP(2,1/(ISNUMBER('Histórico vacunas'!C183:AEF183)),'Histórico vacunas'!C183:AEF183),"")</f>
        <v>129.84</v>
      </c>
      <c r="C183">
        <v>5459643</v>
      </c>
    </row>
    <row r="184" spans="1:3">
      <c r="A184" t="s">
        <v>290</v>
      </c>
      <c r="B184" cm="1">
        <f t="array" ref="B184">IFERROR(LOOKUP(2,1/(ISNUMBER('Histórico vacunas'!C184:AEF184)),'Histórico vacunas'!C184:AEF184),"")</f>
        <v>144.16</v>
      </c>
      <c r="C184">
        <v>2078932</v>
      </c>
    </row>
    <row r="185" spans="1:3">
      <c r="A185" t="s">
        <v>364</v>
      </c>
      <c r="B185" cm="1">
        <f t="array" ref="B185">IFERROR(LOOKUP(2,1/(ISNUMBER('Histórico vacunas'!C185:AEF185)),'Histórico vacunas'!C185:AEF185),"")</f>
        <v>86.43</v>
      </c>
      <c r="C185">
        <v>686878</v>
      </c>
    </row>
    <row r="186" spans="1:3">
      <c r="A186" t="s">
        <v>136</v>
      </c>
      <c r="B186" cm="1">
        <f t="array" ref="B186">IFERROR(LOOKUP(2,1/(ISNUMBER('Histórico vacunas'!C186:AEF186)),'Histórico vacunas'!C186:AEF186),"")</f>
        <v>48.42</v>
      </c>
      <c r="C186">
        <v>15893219</v>
      </c>
    </row>
    <row r="187" spans="1:3">
      <c r="A187" t="s">
        <v>365</v>
      </c>
      <c r="B187" cm="1">
        <f t="array" ref="B187">IFERROR(LOOKUP(2,1/(ISNUMBER('Histórico vacunas'!C187:AEF187)),'Histórico vacunas'!C187:AEF187),"")</f>
        <v>63.53</v>
      </c>
      <c r="C187">
        <v>59308690</v>
      </c>
    </row>
    <row r="188" spans="1:3">
      <c r="A188" t="s">
        <v>366</v>
      </c>
      <c r="B188" cm="1">
        <f t="array" ref="B188">IFERROR(LOOKUP(2,1/(ISNUMBER('Histórico vacunas'!C188:AEF188)),'Histórico vacunas'!C188:AEF188),"")</f>
        <v>250.21</v>
      </c>
      <c r="C188">
        <v>51269183</v>
      </c>
    </row>
    <row r="189" spans="1:3">
      <c r="A189" t="s">
        <v>367</v>
      </c>
      <c r="B189" cm="1">
        <f t="array" ref="B189">IFERROR(LOOKUP(2,1/(ISNUMBER('Histórico vacunas'!C189:AEF189)),'Histórico vacunas'!C189:AEF189),"")</f>
        <v>3.01</v>
      </c>
      <c r="C189">
        <v>11193729</v>
      </c>
    </row>
    <row r="190" spans="1:3">
      <c r="A190" t="s">
        <v>291</v>
      </c>
      <c r="B190" cm="1">
        <f t="array" ref="B190">IFERROR(LOOKUP(2,1/(ISNUMBER('Histórico vacunas'!C190:AEF190)),'Histórico vacunas'!C190:AEF190),"")</f>
        <v>221.88</v>
      </c>
      <c r="C190">
        <v>46754783</v>
      </c>
    </row>
    <row r="191" spans="1:3">
      <c r="A191" t="s">
        <v>138</v>
      </c>
      <c r="B191" cm="1">
        <f t="array" ref="B191">IFERROR(LOOKUP(2,1/(ISNUMBER('Histórico vacunas'!C191:AEF191)),'Histórico vacunas'!C191:AEF191),"")</f>
        <v>184.15</v>
      </c>
      <c r="C191">
        <v>21413250</v>
      </c>
    </row>
    <row r="192" spans="1:3">
      <c r="A192" t="s">
        <v>368</v>
      </c>
      <c r="B192" cm="1">
        <f t="array" ref="B192">IFERROR(LOOKUP(2,1/(ISNUMBER('Histórico vacunas'!C192:AEF192)),'Histórico vacunas'!C192:AEF192),"")</f>
        <v>39.31</v>
      </c>
      <c r="C192">
        <v>43849269</v>
      </c>
    </row>
    <row r="193" spans="1:3">
      <c r="A193" t="s">
        <v>369</v>
      </c>
      <c r="B193" cm="1">
        <f t="array" ref="B193">IFERROR(LOOKUP(2,1/(ISNUMBER('Histórico vacunas'!C193:AEF193)),'Histórico vacunas'!C193:AEF193),"")</f>
        <v>85.45</v>
      </c>
      <c r="C193">
        <v>586634</v>
      </c>
    </row>
    <row r="194" spans="1:3">
      <c r="A194" t="s">
        <v>292</v>
      </c>
      <c r="B194" cm="1">
        <f t="array" ref="B194">IFERROR(LOOKUP(2,1/(ISNUMBER('Histórico vacunas'!C194:AEF194)),'Histórico vacunas'!C194:AEF194),"")</f>
        <v>243.19</v>
      </c>
      <c r="C194">
        <v>10099270</v>
      </c>
    </row>
    <row r="195" spans="1:3">
      <c r="A195" t="s">
        <v>293</v>
      </c>
      <c r="B195" cm="1">
        <f t="array" ref="B195">IFERROR(LOOKUP(2,1/(ISNUMBER('Histórico vacunas'!C195:AEF195)),'Histórico vacunas'!C195:AEF195),"")</f>
        <v>193.65</v>
      </c>
      <c r="C195">
        <v>8654618</v>
      </c>
    </row>
    <row r="196" spans="1:3">
      <c r="A196" t="s">
        <v>370</v>
      </c>
      <c r="B196" cm="1">
        <f t="array" ref="B196">IFERROR(LOOKUP(2,1/(ISNUMBER('Histórico vacunas'!C196:AEF196)),'Histórico vacunas'!C196:AEF196),"")</f>
        <v>22.47</v>
      </c>
      <c r="C196">
        <v>17500657</v>
      </c>
    </row>
    <row r="197" spans="1:3">
      <c r="A197" t="s">
        <v>371</v>
      </c>
      <c r="B197" cm="1">
        <f t="array" ref="B197">IFERROR(LOOKUP(2,1/(ISNUMBER('Histórico vacunas'!C197:AEF197)),'Histórico vacunas'!C197:AEF197),"")</f>
        <v>281.37</v>
      </c>
      <c r="C197">
        <v>23816775</v>
      </c>
    </row>
    <row r="198" spans="1:3">
      <c r="A198" t="s">
        <v>372</v>
      </c>
      <c r="B198" cm="1">
        <f t="array" ref="B198">IFERROR(LOOKUP(2,1/(ISNUMBER('Histórico vacunas'!C198:AEF198)),'Histórico vacunas'!C198:AEF198),"")</f>
        <v>39.72</v>
      </c>
      <c r="C198">
        <v>9537642</v>
      </c>
    </row>
    <row r="199" spans="1:3">
      <c r="A199" t="s">
        <v>181</v>
      </c>
      <c r="B199" cm="1">
        <f t="array" ref="B199">IFERROR(LOOKUP(2,1/(ISNUMBER('Histórico vacunas'!C199:AEF199)),'Histórico vacunas'!C199:AEF199),"")</f>
        <v>3.95</v>
      </c>
      <c r="C199">
        <v>59734213</v>
      </c>
    </row>
    <row r="200" spans="1:3">
      <c r="A200" t="s">
        <v>373</v>
      </c>
      <c r="B200" cm="1">
        <f t="array" ref="B200">IFERROR(LOOKUP(2,1/(ISNUMBER('Histórico vacunas'!C200:AEF200)),'Histórico vacunas'!C200:AEF200),"")</f>
        <v>199.21</v>
      </c>
      <c r="C200">
        <v>69799978</v>
      </c>
    </row>
    <row r="201" spans="1:3">
      <c r="A201" t="s">
        <v>311</v>
      </c>
      <c r="B201" cm="1">
        <f t="array" ref="B201">IFERROR(LOOKUP(2,1/(ISNUMBER('Histórico vacunas'!C201:AEF201)),'Histórico vacunas'!C201:AEF201),"")</f>
        <v>149.97999999999999</v>
      </c>
      <c r="C201">
        <v>1318442</v>
      </c>
    </row>
    <row r="202" spans="1:3">
      <c r="A202" t="s">
        <v>169</v>
      </c>
      <c r="B202" cm="1">
        <f t="array" ref="B202">IFERROR(LOOKUP(2,1/(ISNUMBER('Histórico vacunas'!C202:AEF202)),'Histórico vacunas'!C202:AEF202),"")</f>
        <v>16.22</v>
      </c>
      <c r="C202">
        <v>8278737</v>
      </c>
    </row>
    <row r="203" spans="1:3">
      <c r="A203" t="s">
        <v>435</v>
      </c>
      <c r="B203" cm="1">
        <f t="array" ref="B203">IFERROR(LOOKUP(2,1/(ISNUMBER('Histórico vacunas'!C203:AEF203)),'Histórico vacunas'!C203:AEF203),"")</f>
        <v>283.89</v>
      </c>
      <c r="C203">
        <v>0</v>
      </c>
    </row>
    <row r="204" spans="1:3">
      <c r="A204" t="s">
        <v>403</v>
      </c>
      <c r="B204" cm="1">
        <f t="array" ref="B204">IFERROR(LOOKUP(2,1/(ISNUMBER('Histórico vacunas'!C204:AEF204)),'Histórico vacunas'!C204:AEF204),"")</f>
        <v>189.69</v>
      </c>
      <c r="C204">
        <v>0</v>
      </c>
    </row>
    <row r="205" spans="1:3">
      <c r="A205" t="s">
        <v>374</v>
      </c>
      <c r="B205" cm="1">
        <f t="array" ref="B205">IFERROR(LOOKUP(2,1/(ISNUMBER('Histórico vacunas'!C205:AEF205)),'Histórico vacunas'!C205:AEF205),"")</f>
        <v>103.62</v>
      </c>
      <c r="C205">
        <v>1399491</v>
      </c>
    </row>
    <row r="206" spans="1:3">
      <c r="A206" t="s">
        <v>375</v>
      </c>
      <c r="B206" cm="1">
        <f t="array" ref="B206">IFERROR(LOOKUP(2,1/(ISNUMBER('Histórico vacunas'!C206:AEF206)),'Histórico vacunas'!C206:AEF206),"")</f>
        <v>107.19</v>
      </c>
      <c r="C206">
        <v>11818618</v>
      </c>
    </row>
    <row r="207" spans="1:3">
      <c r="A207" t="s">
        <v>386</v>
      </c>
      <c r="B207" cm="1">
        <f t="array" ref="B207">IFERROR(LOOKUP(2,1/(ISNUMBER('Histórico vacunas'!C207:AEF207)),'Histórico vacunas'!C207:AEF207),"")</f>
        <v>178.66</v>
      </c>
      <c r="C207">
        <v>84339067</v>
      </c>
    </row>
    <row r="208" spans="1:3">
      <c r="A208" t="s">
        <v>385</v>
      </c>
      <c r="B208" cm="1">
        <f t="array" ref="B208">IFERROR(LOOKUP(2,1/(ISNUMBER('Histórico vacunas'!C208:AEF208)),'Histórico vacunas'!C208:AEF208),"")</f>
        <v>0.7</v>
      </c>
      <c r="C208">
        <v>0</v>
      </c>
    </row>
    <row r="209" spans="1:3">
      <c r="A209" t="s">
        <v>416</v>
      </c>
      <c r="B209" cm="1">
        <f t="array" ref="B209">IFERROR(LOOKUP(2,1/(ISNUMBER('Histórico vacunas'!C209:AEF209)),'Histórico vacunas'!C209:AEF209),"")</f>
        <v>126.83</v>
      </c>
      <c r="C209">
        <v>0</v>
      </c>
    </row>
    <row r="210" spans="1:3">
      <c r="A210" t="s">
        <v>409</v>
      </c>
      <c r="B210" cm="1">
        <f t="array" ref="B210">IFERROR(LOOKUP(2,1/(ISNUMBER('Histórico vacunas'!C210:AEF210)),'Histórico vacunas'!C210:AEF210),"")</f>
        <v>40.47</v>
      </c>
      <c r="C210">
        <v>0</v>
      </c>
    </row>
    <row r="211" spans="1:3">
      <c r="A211" t="s">
        <v>164</v>
      </c>
      <c r="B211" cm="1">
        <f t="array" ref="B211">IFERROR(LOOKUP(2,1/(ISNUMBER('Histórico vacunas'!C211:AEF211)),'Histórico vacunas'!C211:AEF211),"")</f>
        <v>31.77</v>
      </c>
      <c r="C211">
        <v>45741000</v>
      </c>
    </row>
    <row r="212" spans="1:3">
      <c r="A212" t="s">
        <v>376</v>
      </c>
      <c r="B212" cm="1">
        <f t="array" ref="B212">IFERROR(LOOKUP(2,1/(ISNUMBER('Histórico vacunas'!C212:AEF212)),'Histórico vacunas'!C212:AEF212),"")</f>
        <v>72.89</v>
      </c>
      <c r="C212">
        <v>43733759</v>
      </c>
    </row>
    <row r="213" spans="1:3">
      <c r="A213" t="s">
        <v>294</v>
      </c>
      <c r="B213" cm="1">
        <f t="array" ref="B213">IFERROR(LOOKUP(2,1/(ISNUMBER('Histórico vacunas'!C213:AEF213)),'Histórico vacunas'!C213:AEF213),"")</f>
        <v>249.44</v>
      </c>
      <c r="C213">
        <v>9890400</v>
      </c>
    </row>
    <row r="214" spans="1:3">
      <c r="A214" t="s">
        <v>295</v>
      </c>
      <c r="B214" cm="1">
        <f t="array" ref="B214">IFERROR(LOOKUP(2,1/(ISNUMBER('Histórico vacunas'!C214:AEF214)),'Histórico vacunas'!C214:AEF214),"")</f>
        <v>208.31</v>
      </c>
      <c r="C214">
        <v>67886004</v>
      </c>
    </row>
    <row r="215" spans="1:3">
      <c r="A215" t="s">
        <v>296</v>
      </c>
      <c r="B215" cm="1">
        <f t="array" ref="B215">IFERROR(LOOKUP(2,1/(ISNUMBER('Histórico vacunas'!C215:AEF215)),'Histórico vacunas'!C215:AEF215),"")</f>
        <v>202.43</v>
      </c>
      <c r="C215">
        <v>331002647</v>
      </c>
    </row>
    <row r="216" spans="1:3">
      <c r="A216" t="s">
        <v>159</v>
      </c>
      <c r="B216" cm="1">
        <f t="array" ref="B216">IFERROR(LOOKUP(2,1/(ISNUMBER('Histórico vacunas'!C216:AEF216)),'Histórico vacunas'!C216:AEF216),"")</f>
        <v>261.37</v>
      </c>
      <c r="C216">
        <v>3473727</v>
      </c>
    </row>
    <row r="217" spans="1:3">
      <c r="A217" t="s">
        <v>91</v>
      </c>
      <c r="B217" cm="1">
        <f t="array" ref="B217">IFERROR(LOOKUP(2,1/(ISNUMBER('Histórico vacunas'!C217:AEF217)),'Histórico vacunas'!C217:AEF217),"")</f>
        <v>125.62</v>
      </c>
      <c r="C217">
        <v>33469199</v>
      </c>
    </row>
    <row r="218" spans="1:3">
      <c r="A218" t="s">
        <v>249</v>
      </c>
      <c r="B218" cm="1">
        <f t="array" ref="B218">IFERROR(LOOKUP(2,1/(ISNUMBER('Histórico vacunas'!C218:AEF218)),'Histórico vacunas'!C218:AEF218),"")</f>
        <v>112.21</v>
      </c>
      <c r="C218">
        <v>307150</v>
      </c>
    </row>
    <row r="219" spans="1:3">
      <c r="A219" t="s">
        <v>377</v>
      </c>
      <c r="B219" t="str" cm="1">
        <f t="array" ref="B219">IFERROR(LOOKUP(2,1/(ISNUMBER('Histórico vacunas'!C219:AEF219)),'Histórico vacunas'!C219:AEF219),"")</f>
        <v/>
      </c>
      <c r="C219">
        <v>809</v>
      </c>
    </row>
    <row r="220" spans="1:3">
      <c r="A220" t="s">
        <v>95</v>
      </c>
      <c r="B220" cm="1">
        <f t="array" ref="B220">IFERROR(LOOKUP(2,1/(ISNUMBER('Histórico vacunas'!C220:AEF220)),'Histórico vacunas'!C220:AEF220),"")</f>
        <v>133.78</v>
      </c>
      <c r="C220">
        <v>28435943</v>
      </c>
    </row>
    <row r="221" spans="1:3">
      <c r="A221" t="s">
        <v>410</v>
      </c>
      <c r="B221" cm="1">
        <f t="array" ref="B221">IFERROR(LOOKUP(2,1/(ISNUMBER('Histórico vacunas'!C221:AEF221)),'Histórico vacunas'!C221:AEF221),"")</f>
        <v>155.72999999999999</v>
      </c>
      <c r="C221">
        <v>97338583</v>
      </c>
    </row>
    <row r="222" spans="1:3">
      <c r="A222" t="s">
        <v>180</v>
      </c>
      <c r="B222" cm="1">
        <f t="array" ref="B222">IFERROR(LOOKUP(2,1/(ISNUMBER('Histórico vacunas'!C222:AEF222)),'Histórico vacunas'!C222:AEF222),"")</f>
        <v>271.13</v>
      </c>
      <c r="C222">
        <v>11246</v>
      </c>
    </row>
    <row r="223" spans="1:3">
      <c r="A223" t="s">
        <v>156</v>
      </c>
      <c r="B223" cm="1">
        <f t="array" ref="B223">IFERROR(LOOKUP(2,1/(ISNUMBER('Histórico vacunas'!C223:AEF223)),'Histórico vacunas'!C223:AEF223),"")</f>
        <v>3.73</v>
      </c>
      <c r="C223">
        <v>29825968</v>
      </c>
    </row>
    <row r="224" spans="1:3">
      <c r="A224" t="s">
        <v>118</v>
      </c>
      <c r="B224" cm="1">
        <f t="array" ref="B224">IFERROR(LOOKUP(2,1/(ISNUMBER('Histórico vacunas'!C224:AEF224)),'Histórico vacunas'!C224:AEF224),"")</f>
        <v>63.56</v>
      </c>
      <c r="C224">
        <v>18383956</v>
      </c>
    </row>
    <row r="225" spans="1:3">
      <c r="A225" t="s">
        <v>399</v>
      </c>
      <c r="B225" cm="1">
        <f t="array" ref="B225">IFERROR(LOOKUP(2,1/(ISNUMBER('Histórico vacunas'!C225:AEF225)),'Histórico vacunas'!C225:AEF225),"")</f>
        <v>79.81</v>
      </c>
      <c r="C225">
        <v>14862927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25"/>
  <sheetViews>
    <sheetView tabSelected="1" workbookViewId="0">
      <selection activeCell="B14" sqref="B14"/>
    </sheetView>
  </sheetViews>
  <sheetFormatPr defaultColWidth="10.6640625" defaultRowHeight="15.5"/>
  <cols>
    <col min="1" max="1" width="28.6640625" customWidth="1"/>
    <col min="2" max="2" width="37.1640625" customWidth="1"/>
  </cols>
  <sheetData>
    <row r="1" spans="1:2">
      <c r="A1" s="20" t="s">
        <v>29</v>
      </c>
      <c r="B1" s="20" t="s">
        <v>388</v>
      </c>
    </row>
    <row r="2" spans="1:2">
      <c r="A2" s="1" t="s">
        <v>313</v>
      </c>
      <c r="B2" cm="1">
        <f t="array" ref="B2">IFERROR(LOOKUP(2,1/(ISNUMBER('Histórico vacunas'!C2:AEF2)),'Histórico vacunas'!C2:AEF2),"")</f>
        <v>36.700000000000003</v>
      </c>
    </row>
    <row r="3" spans="1:2">
      <c r="A3" s="1" t="s">
        <v>121</v>
      </c>
      <c r="B3" cm="1">
        <f t="array" ref="B3">IFERROR(LOOKUP(2,1/(ISNUMBER('Histórico vacunas'!C3:AEF3)),'Histórico vacunas'!C3:AEF3),"")</f>
        <v>97.97</v>
      </c>
    </row>
    <row r="4" spans="1:2">
      <c r="A4" s="1" t="s">
        <v>253</v>
      </c>
      <c r="B4" cm="1">
        <f t="array" ref="B4">IFERROR(LOOKUP(2,1/(ISNUMBER('Histórico vacunas'!C4:AEF4)),'Histórico vacunas'!C4:AEF4),"")</f>
        <v>22.39</v>
      </c>
    </row>
    <row r="5" spans="1:2">
      <c r="A5" s="1" t="s">
        <v>171</v>
      </c>
      <c r="B5" cm="1">
        <f t="array" ref="B5">IFERROR(LOOKUP(2,1/(ISNUMBER('Histórico vacunas'!C5:AEF5)),'Histórico vacunas'!C5:AEF5),"")</f>
        <v>118.63</v>
      </c>
    </row>
    <row r="6" spans="1:2">
      <c r="A6" s="1" t="s">
        <v>163</v>
      </c>
      <c r="B6" cm="1">
        <f t="array" ref="B6">IFERROR(LOOKUP(2,1/(ISNUMBER('Histórico vacunas'!C6:AEF6)),'Histórico vacunas'!C6:AEF6),"")</f>
        <v>42.99</v>
      </c>
    </row>
    <row r="7" spans="1:2">
      <c r="A7" s="1" t="s">
        <v>382</v>
      </c>
      <c r="B7" cm="1">
        <f t="array" ref="B7">IFERROR(LOOKUP(2,1/(ISNUMBER('Histórico vacunas'!C7:AEF7)),'Histórico vacunas'!C7:AEF7),"")</f>
        <v>154.97</v>
      </c>
    </row>
    <row r="8" spans="1:2">
      <c r="A8" s="1" t="s">
        <v>314</v>
      </c>
      <c r="B8" cm="1">
        <f t="array" ref="B8">IFERROR(LOOKUP(2,1/(ISNUMBER('Histórico vacunas'!C8:AEF8)),'Histórico vacunas'!C8:AEF8),"")</f>
        <v>75.599999999999994</v>
      </c>
    </row>
    <row r="9" spans="1:2">
      <c r="A9" s="1" t="s">
        <v>33</v>
      </c>
      <c r="B9" cm="1">
        <f t="array" ref="B9">IFERROR(LOOKUP(2,1/(ISNUMBER('Histórico vacunas'!C9:AEF9)),'Histórico vacunas'!C9:AEF9),"")</f>
        <v>252.6</v>
      </c>
    </row>
    <row r="10" spans="1:2">
      <c r="A10" s="1" t="s">
        <v>79</v>
      </c>
      <c r="B10" cm="1">
        <f t="array" ref="B10">IFERROR(LOOKUP(2,1/(ISNUMBER('Histórico vacunas'!C10:AEF10)),'Histórico vacunas'!C10:AEF10),"")</f>
        <v>22.81</v>
      </c>
    </row>
    <row r="11" spans="1:2">
      <c r="A11" s="1" t="s">
        <v>200</v>
      </c>
      <c r="B11" cm="1">
        <f t="array" ref="B11">IFERROR(LOOKUP(2,1/(ISNUMBER('Histórico vacunas'!C11:AEF11)),'Histórico vacunas'!C11:AEF11),"")</f>
        <v>163.85</v>
      </c>
    </row>
    <row r="12" spans="1:2">
      <c r="A12" s="1" t="s">
        <v>98</v>
      </c>
      <c r="B12" cm="1">
        <f t="array" ref="B12">IFERROR(LOOKUP(2,1/(ISNUMBER('Histórico vacunas'!C12:AEF12)),'Histórico vacunas'!C12:AEF12),"")</f>
        <v>243.27</v>
      </c>
    </row>
    <row r="13" spans="1:2">
      <c r="A13" s="1" t="s">
        <v>93</v>
      </c>
      <c r="B13" cm="1">
        <f t="array" ref="B13">IFERROR(LOOKUP(2,1/(ISNUMBER('Histórico vacunas'!C13:AEF13)),'Histórico vacunas'!C13:AEF13),"")</f>
        <v>226.67</v>
      </c>
    </row>
    <row r="14" spans="1:2">
      <c r="A14" s="1" t="s">
        <v>315</v>
      </c>
      <c r="B14" cm="1">
        <f t="array" ref="B14">IFERROR(LOOKUP(2,1/(ISNUMBER('Histórico vacunas'!C14:AEF14)),'Histórico vacunas'!C14:AEF14),"")</f>
        <v>134.37</v>
      </c>
    </row>
    <row r="15" spans="1:2">
      <c r="A15" s="1" t="s">
        <v>179</v>
      </c>
      <c r="B15" cm="1">
        <f t="array" ref="B15">IFERROR(LOOKUP(2,1/(ISNUMBER('Histórico vacunas'!C15:AEF15)),'Histórico vacunas'!C15:AEF15),"")</f>
        <v>88.98</v>
      </c>
    </row>
    <row r="16" spans="1:2">
      <c r="A16" s="1" t="s">
        <v>392</v>
      </c>
      <c r="B16" cm="1">
        <f t="array" ref="B16">IFERROR(LOOKUP(2,1/(ISNUMBER('Histórico vacunas'!C16:AEF16)),'Histórico vacunas'!C16:AEF16),"")</f>
        <v>236.15</v>
      </c>
    </row>
    <row r="17" spans="1:2">
      <c r="A17" s="1" t="s">
        <v>51</v>
      </c>
      <c r="B17" cm="1">
        <f t="array" ref="B17">IFERROR(LOOKUP(2,1/(ISNUMBER('Histórico vacunas'!C17:AEF17)),'Histórico vacunas'!C17:AEF17),"")</f>
        <v>207.46</v>
      </c>
    </row>
    <row r="18" spans="1:2">
      <c r="A18" s="1" t="s">
        <v>199</v>
      </c>
      <c r="B18" cm="1">
        <f t="array" ref="B18">IFERROR(LOOKUP(2,1/(ISNUMBER('Histórico vacunas'!C18:AEF18)),'Histórico vacunas'!C18:AEF18),"")</f>
        <v>135.5</v>
      </c>
    </row>
    <row r="19" spans="1:2">
      <c r="A19" s="1" t="s">
        <v>316</v>
      </c>
      <c r="B19" cm="1">
        <f t="array" ref="B19">IFERROR(LOOKUP(2,1/(ISNUMBER('Histórico vacunas'!C19:AEF19)),'Histórico vacunas'!C19:AEF19),"")</f>
        <v>30</v>
      </c>
    </row>
    <row r="20" spans="1:2">
      <c r="A20" s="1" t="s">
        <v>254</v>
      </c>
      <c r="B20" cm="1">
        <f t="array" ref="B20">IFERROR(LOOKUP(2,1/(ISNUMBER('Histórico vacunas'!C20:AEF20)),'Histórico vacunas'!C20:AEF20),"")</f>
        <v>254.14</v>
      </c>
    </row>
    <row r="21" spans="1:2">
      <c r="A21" s="1" t="s">
        <v>317</v>
      </c>
      <c r="B21" cm="1">
        <f t="array" ref="B21">IFERROR(LOOKUP(2,1/(ISNUMBER('Histórico vacunas'!C21:AEF21)),'Histórico vacunas'!C21:AEF21),"")</f>
        <v>123.94</v>
      </c>
    </row>
    <row r="22" spans="1:2">
      <c r="A22" s="1" t="s">
        <v>393</v>
      </c>
      <c r="B22" cm="1">
        <f t="array" ref="B22">IFERROR(LOOKUP(2,1/(ISNUMBER('Histórico vacunas'!C22:AEF22)),'Histórico vacunas'!C22:AEF22),"")</f>
        <v>9.19</v>
      </c>
    </row>
    <row r="23" spans="1:2">
      <c r="A23" s="1" t="s">
        <v>379</v>
      </c>
      <c r="B23" cm="1">
        <f t="array" ref="B23">IFERROR(LOOKUP(2,1/(ISNUMBER('Histórico vacunas'!C23:AEF23)),'Histórico vacunas'!C23:AEF23),"")</f>
        <v>211.96</v>
      </c>
    </row>
    <row r="24" spans="1:2">
      <c r="A24" s="1" t="s">
        <v>318</v>
      </c>
      <c r="B24" cm="1">
        <f t="array" ref="B24">IFERROR(LOOKUP(2,1/(ISNUMBER('Histórico vacunas'!C24:AEF24)),'Histórico vacunas'!C24:AEF24),"")</f>
        <v>132.94</v>
      </c>
    </row>
    <row r="25" spans="1:2">
      <c r="A25" s="1" t="s">
        <v>32</v>
      </c>
      <c r="B25" cm="1">
        <f t="array" ref="B25">IFERROR(LOOKUP(2,1/(ISNUMBER('Histórico vacunas'!C25:AEF25)),'Histórico vacunas'!C25:AEF25),"")</f>
        <v>121.62</v>
      </c>
    </row>
    <row r="26" spans="1:2">
      <c r="A26" t="s">
        <v>418</v>
      </c>
      <c r="B26" cm="1">
        <f t="array" ref="B26">IFERROR(LOOKUP(2,1/(ISNUMBER('Histórico vacunas'!C26:AEF26)),'Histórico vacunas'!C26:AEF26),"")</f>
        <v>28.19</v>
      </c>
    </row>
    <row r="27" spans="1:2">
      <c r="A27" s="1" t="s">
        <v>319</v>
      </c>
      <c r="B27" cm="1">
        <f t="array" ref="B27">IFERROR(LOOKUP(2,1/(ISNUMBER('Histórico vacunas'!C27:AEF27)),'Histórico vacunas'!C27:AEF27),"")</f>
        <v>32.49</v>
      </c>
    </row>
    <row r="28" spans="1:2">
      <c r="A28" s="1" t="s">
        <v>176</v>
      </c>
      <c r="B28" cm="1">
        <f t="array" ref="B28">IFERROR(LOOKUP(2,1/(ISNUMBER('Histórico vacunas'!C28:AEF28)),'Histórico vacunas'!C28:AEF28),"")</f>
        <v>60.29</v>
      </c>
    </row>
    <row r="29" spans="1:2">
      <c r="A29" s="1" t="s">
        <v>255</v>
      </c>
      <c r="B29" cm="1">
        <f t="array" ref="B29">IFERROR(LOOKUP(2,1/(ISNUMBER('Histórico vacunas'!C29:AEF29)),'Histórico vacunas'!C29:AEF29),"")</f>
        <v>225.37</v>
      </c>
    </row>
    <row r="30" spans="1:2">
      <c r="A30" s="1" t="s">
        <v>421</v>
      </c>
      <c r="B30" cm="1">
        <f t="array" ref="B30">IFERROR(LOOKUP(2,1/(ISNUMBER('Histórico vacunas'!C30:AEF30)),'Histórico vacunas'!C30:AEF30),"")</f>
        <v>115.02</v>
      </c>
    </row>
    <row r="31" spans="1:2">
      <c r="A31" s="1" t="s">
        <v>198</v>
      </c>
      <c r="B31" cm="1">
        <f t="array" ref="B31">IFERROR(LOOKUP(2,1/(ISNUMBER('Histórico vacunas'!C31:AEF31)),'Histórico vacunas'!C31:AEF31),"")</f>
        <v>179.04</v>
      </c>
    </row>
    <row r="32" spans="1:2">
      <c r="A32" s="1" t="s">
        <v>105</v>
      </c>
      <c r="B32" cm="1">
        <f t="array" ref="B32">IFERROR(LOOKUP(2,1/(ISNUMBER('Histórico vacunas'!C32:AEF32)),'Histórico vacunas'!C32:AEF32),"")</f>
        <v>67.959999999999994</v>
      </c>
    </row>
    <row r="33" spans="1:2">
      <c r="A33" s="1" t="s">
        <v>168</v>
      </c>
      <c r="B33" cm="1">
        <f t="array" ref="B33">IFERROR(LOOKUP(2,1/(ISNUMBER('Histórico vacunas'!C33:AEF33)),'Histórico vacunas'!C33:AEF33),"")</f>
        <v>10.84</v>
      </c>
    </row>
    <row r="34" spans="1:2">
      <c r="A34" s="1" t="s">
        <v>185</v>
      </c>
      <c r="B34" cm="1">
        <f t="array" ref="B34">IFERROR(LOOKUP(2,1/(ISNUMBER('Histórico vacunas'!C34:AEF34)),'Histórico vacunas'!C34:AEF34),"")</f>
        <v>0.1</v>
      </c>
    </row>
    <row r="35" spans="1:2">
      <c r="A35" s="1" t="s">
        <v>320</v>
      </c>
      <c r="B35" cm="1">
        <f t="array" ref="B35">IFERROR(LOOKUP(2,1/(ISNUMBER('Histórico vacunas'!C35:AEF35)),'Histórico vacunas'!C35:AEF35),"")</f>
        <v>226.54</v>
      </c>
    </row>
    <row r="36" spans="1:2">
      <c r="A36" s="1" t="s">
        <v>321</v>
      </c>
      <c r="B36" cm="1">
        <f t="array" ref="B36">IFERROR(LOOKUP(2,1/(ISNUMBER('Histórico vacunas'!C36:AEF36)),'Histórico vacunas'!C36:AEF36),"")</f>
        <v>3.76</v>
      </c>
    </row>
    <row r="37" spans="1:2">
      <c r="A37" s="1" t="s">
        <v>256</v>
      </c>
      <c r="B37" cm="1">
        <f t="array" ref="B37">IFERROR(LOOKUP(2,1/(ISNUMBER('Histórico vacunas'!C37:AEF37)),'Histórico vacunas'!C37:AEF37),"")</f>
        <v>252.13</v>
      </c>
    </row>
    <row r="38" spans="1:2">
      <c r="A38" s="1" t="s">
        <v>141</v>
      </c>
      <c r="B38" cm="1">
        <f t="array" ref="B38">IFERROR(LOOKUP(2,1/(ISNUMBER('Histórico vacunas'!C38:AEF38)),'Histórico vacunas'!C38:AEF38),"")</f>
        <v>129.57</v>
      </c>
    </row>
    <row r="39" spans="1:2">
      <c r="A39" s="1" t="s">
        <v>257</v>
      </c>
      <c r="B39" cm="1">
        <f t="array" ref="B39">IFERROR(LOOKUP(2,1/(ISNUMBER('Histórico vacunas'!C39:AEF39)),'Histórico vacunas'!C39:AEF39),"")</f>
        <v>189.05</v>
      </c>
    </row>
    <row r="40" spans="1:2">
      <c r="A40" s="1" t="s">
        <v>322</v>
      </c>
      <c r="B40" cm="1">
        <f t="array" ref="B40">IFERROR(LOOKUP(2,1/(ISNUMBER('Histórico vacunas'!C40:AEF40)),'Histórico vacunas'!C40:AEF40),"")</f>
        <v>13.25</v>
      </c>
    </row>
    <row r="41" spans="1:2">
      <c r="A41" s="1" t="s">
        <v>170</v>
      </c>
      <c r="B41" cm="1">
        <f t="array" ref="B41">IFERROR(LOOKUP(2,1/(ISNUMBER('Histórico vacunas'!C41:AEF41)),'Histórico vacunas'!C41:AEF41),"")</f>
        <v>2.25</v>
      </c>
    </row>
    <row r="42" spans="1:2">
      <c r="A42" s="1" t="s">
        <v>36</v>
      </c>
      <c r="B42" cm="1">
        <f t="array" ref="B42">IFERROR(LOOKUP(2,1/(ISNUMBER('Histórico vacunas'!C42:AEF42)),'Histórico vacunas'!C42:AEF42),"")</f>
        <v>319.77999999999997</v>
      </c>
    </row>
    <row r="43" spans="1:2">
      <c r="A43" s="1" t="s">
        <v>62</v>
      </c>
      <c r="B43" cm="1">
        <f t="array" ref="B43">IFERROR(LOOKUP(2,1/(ISNUMBER('Histórico vacunas'!C43:AEF43)),'Histórico vacunas'!C43:AEF43),"")</f>
        <v>244.84</v>
      </c>
    </row>
    <row r="44" spans="1:2">
      <c r="A44" s="1" t="s">
        <v>35</v>
      </c>
      <c r="B44" cm="1">
        <f t="array" ref="B44">IFERROR(LOOKUP(2,1/(ISNUMBER('Histórico vacunas'!C44:AEF44)),'Histórico vacunas'!C44:AEF44),"")</f>
        <v>173.9</v>
      </c>
    </row>
    <row r="45" spans="1:2">
      <c r="A45" s="1" t="s">
        <v>424</v>
      </c>
      <c r="B45" cm="1">
        <f t="array" ref="B45">IFERROR(LOOKUP(2,1/(ISNUMBER('Histórico vacunas'!C45:AEF45)),'Histórico vacunas'!C45:AEF45),"")</f>
        <v>239.87</v>
      </c>
    </row>
    <row r="46" spans="1:2">
      <c r="A46" s="1" t="s">
        <v>323</v>
      </c>
      <c r="B46" cm="1">
        <f t="array" ref="B46">IFERROR(LOOKUP(2,1/(ISNUMBER('Histórico vacunas'!C46:AEF46)),'Histórico vacunas'!C46:AEF46),"")</f>
        <v>45.9</v>
      </c>
    </row>
    <row r="47" spans="1:2">
      <c r="A47" s="1" t="s">
        <v>137</v>
      </c>
      <c r="B47" cm="1">
        <f t="array" ref="B47">IFERROR(LOOKUP(2,1/(ISNUMBER('Histórico vacunas'!C47:AEF47)),'Histórico vacunas'!C47:AEF47),"")</f>
        <v>22.9</v>
      </c>
    </row>
    <row r="48" spans="1:2">
      <c r="A48" s="1" t="s">
        <v>96</v>
      </c>
      <c r="B48" cm="1">
        <f t="array" ref="B48">IFERROR(LOOKUP(2,1/(ISNUMBER('Histórico vacunas'!C48:AEF48)),'Histórico vacunas'!C48:AEF48),"")</f>
        <v>214.39</v>
      </c>
    </row>
    <row r="49" spans="1:2">
      <c r="A49" s="1" t="s">
        <v>324</v>
      </c>
      <c r="B49" cm="1">
        <f t="array" ref="B49">IFERROR(LOOKUP(2,1/(ISNUMBER('Histórico vacunas'!C49:AEF49)),'Histórico vacunas'!C49:AEF49),"")</f>
        <v>38.31</v>
      </c>
    </row>
    <row r="50" spans="1:2">
      <c r="A50" s="1" t="s">
        <v>258</v>
      </c>
      <c r="B50" cm="1">
        <f t="array" ref="B50">IFERROR(LOOKUP(2,1/(ISNUMBER('Histórico vacunas'!C50:AEF50)),'Histórico vacunas'!C50:AEF50),"")</f>
        <v>133</v>
      </c>
    </row>
    <row r="51" spans="1:2">
      <c r="A51" s="1" t="s">
        <v>140</v>
      </c>
      <c r="B51" cm="1">
        <f t="array" ref="B51">IFERROR(LOOKUP(2,1/(ISNUMBER('Histórico vacunas'!C51:AEF51)),'Histórico vacunas'!C51:AEF51),"")</f>
        <v>389.64</v>
      </c>
    </row>
    <row r="52" spans="1:2">
      <c r="A52" s="1" t="s">
        <v>400</v>
      </c>
      <c r="B52" cm="1">
        <f t="array" ref="B52">IFERROR(LOOKUP(2,1/(ISNUMBER('Histórico vacunas'!C52:AEF52)),'Histórico vacunas'!C52:AEF52),"")</f>
        <v>133.93</v>
      </c>
    </row>
    <row r="53" spans="1:2">
      <c r="A53" s="1" t="s">
        <v>259</v>
      </c>
      <c r="B53" cm="1">
        <f t="array" ref="B53">IFERROR(LOOKUP(2,1/(ISNUMBER('Histórico vacunas'!C53:AEF53)),'Histórico vacunas'!C53:AEF53),"")</f>
        <v>200.62</v>
      </c>
    </row>
    <row r="54" spans="1:2">
      <c r="A54" s="1" t="s">
        <v>394</v>
      </c>
      <c r="B54" cm="1">
        <f t="array" ref="B54">IFERROR(LOOKUP(2,1/(ISNUMBER('Histórico vacunas'!C54:AEF54)),'Histórico vacunas'!C54:AEF54),"")</f>
        <v>177.42</v>
      </c>
    </row>
    <row r="55" spans="1:2">
      <c r="A55" s="1" t="s">
        <v>326</v>
      </c>
      <c r="B55" cm="1">
        <f t="array" ref="B55">IFERROR(LOOKUP(2,1/(ISNUMBER('Histórico vacunas'!C55:AEF55)),'Histórico vacunas'!C55:AEF55),"")</f>
        <v>0.32</v>
      </c>
    </row>
    <row r="56" spans="1:2">
      <c r="A56" s="1" t="s">
        <v>260</v>
      </c>
      <c r="B56" cm="1">
        <f t="array" ref="B56">IFERROR(LOOKUP(2,1/(ISNUMBER('Histórico vacunas'!C56:AEF56)),'Histórico vacunas'!C56:AEF56),"")</f>
        <v>223.39</v>
      </c>
    </row>
    <row r="57" spans="1:2">
      <c r="A57" s="1" t="s">
        <v>395</v>
      </c>
      <c r="B57" cm="1">
        <f t="array" ref="B57">IFERROR(LOOKUP(2,1/(ISNUMBER('Histórico vacunas'!C57:AEF57)),'Histórico vacunas'!C57:AEF57),"")</f>
        <v>34.31</v>
      </c>
    </row>
    <row r="58" spans="1:2">
      <c r="A58" s="1" t="s">
        <v>214</v>
      </c>
      <c r="B58" cm="1">
        <f t="array" ref="B58">IFERROR(LOOKUP(2,1/(ISNUMBER('Histórico vacunas'!C58:AEF58)),'Histórico vacunas'!C58:AEF58),"")</f>
        <v>93.42</v>
      </c>
    </row>
    <row r="59" spans="1:2">
      <c r="A59" s="1" t="s">
        <v>327</v>
      </c>
      <c r="B59" cm="1">
        <f t="array" ref="B59">IFERROR(LOOKUP(2,1/(ISNUMBER('Histórico vacunas'!C59:AEF59)),'Histórico vacunas'!C59:AEF59),"")</f>
        <v>144.63</v>
      </c>
    </row>
    <row r="60" spans="1:2">
      <c r="A60" s="1" t="s">
        <v>34</v>
      </c>
      <c r="B60" cm="1">
        <f t="array" ref="B60">IFERROR(LOOKUP(2,1/(ISNUMBER('Histórico vacunas'!C60:AEF60)),'Histórico vacunas'!C60:AEF60),"")</f>
        <v>219.55</v>
      </c>
    </row>
    <row r="61" spans="1:2">
      <c r="A61" s="1" t="s">
        <v>261</v>
      </c>
      <c r="B61" cm="1">
        <f t="array" ref="B61">IFERROR(LOOKUP(2,1/(ISNUMBER('Histórico vacunas'!C61:AEF61)),'Histórico vacunas'!C61:AEF61),"")</f>
        <v>91.37</v>
      </c>
    </row>
    <row r="62" spans="1:2">
      <c r="A62" s="1" t="s">
        <v>99</v>
      </c>
      <c r="B62" cm="1">
        <f t="array" ref="B62">IFERROR(LOOKUP(2,1/(ISNUMBER('Histórico vacunas'!C62:AEF62)),'Histórico vacunas'!C62:AEF62),"")</f>
        <v>168.73</v>
      </c>
    </row>
    <row r="63" spans="1:2">
      <c r="A63" s="1" t="s">
        <v>328</v>
      </c>
      <c r="B63" cm="1">
        <f t="array" ref="B63">IFERROR(LOOKUP(2,1/(ISNUMBER('Histórico vacunas'!C63:AEF63)),'Histórico vacunas'!C63:AEF63),"")</f>
        <v>30.94</v>
      </c>
    </row>
    <row r="64" spans="1:2">
      <c r="A64" s="1" t="s">
        <v>191</v>
      </c>
      <c r="B64" t="str" cm="1">
        <f t="array" ref="B64">IFERROR(LOOKUP(2,1/(ISNUMBER('Histórico vacunas'!C64:AEF64)),'Histórico vacunas'!C64:AEF64),"")</f>
        <v/>
      </c>
    </row>
    <row r="65" spans="1:2">
      <c r="A65" s="1" t="s">
        <v>148</v>
      </c>
      <c r="B65" cm="1">
        <f t="array" ref="B65">IFERROR(LOOKUP(2,1/(ISNUMBER('Histórico vacunas'!C65:AEF65)),'Histórico vacunas'!C65:AEF65),"")</f>
        <v>159.07</v>
      </c>
    </row>
    <row r="66" spans="1:2">
      <c r="A66" s="1" t="s">
        <v>139</v>
      </c>
      <c r="B66" cm="1">
        <f t="array" ref="B66">IFERROR(LOOKUP(2,1/(ISNUMBER('Histórico vacunas'!C66:AEF66)),'Histórico vacunas'!C66:AEF66),"")</f>
        <v>37.04</v>
      </c>
    </row>
    <row r="67" spans="1:2">
      <c r="A67" s="1" t="s">
        <v>329</v>
      </c>
      <c r="B67" cm="1">
        <f t="array" ref="B67">IFERROR(LOOKUP(2,1/(ISNUMBER('Histórico vacunas'!C67:AEF67)),'Histórico vacunas'!C67:AEF67),"")</f>
        <v>24.92</v>
      </c>
    </row>
    <row r="68" spans="1:2">
      <c r="A68" s="1" t="s">
        <v>262</v>
      </c>
      <c r="B68" cm="1">
        <f t="array" ref="B68">IFERROR(LOOKUP(2,1/(ISNUMBER('Histórico vacunas'!C68:AEF68)),'Histórico vacunas'!C68:AEF68),"")</f>
        <v>211.8</v>
      </c>
    </row>
    <row r="69" spans="1:2">
      <c r="A69" s="1" t="s">
        <v>384</v>
      </c>
      <c r="B69" cm="1">
        <f t="array" ref="B69">IFERROR(LOOKUP(2,1/(ISNUMBER('Histórico vacunas'!C69:AEF69)),'Histórico vacunas'!C69:AEF69),"")</f>
        <v>126.53</v>
      </c>
    </row>
    <row r="70" spans="1:2">
      <c r="A70" s="1" t="s">
        <v>330</v>
      </c>
      <c r="B70" cm="1">
        <f t="array" ref="B70">IFERROR(LOOKUP(2,1/(ISNUMBER('Histórico vacunas'!C70:AEF70)),'Histórico vacunas'!C70:AEF70),"")</f>
        <v>167.05</v>
      </c>
    </row>
    <row r="71" spans="1:2">
      <c r="A71" s="1" t="s">
        <v>263</v>
      </c>
      <c r="B71" cm="1">
        <f t="array" ref="B71">IFERROR(LOOKUP(2,1/(ISNUMBER('Histórico vacunas'!C71:AEF71)),'Histórico vacunas'!C71:AEF71),"")</f>
        <v>238.25</v>
      </c>
    </row>
    <row r="72" spans="1:2">
      <c r="A72" s="1" t="s">
        <v>264</v>
      </c>
      <c r="B72" cm="1">
        <f t="array" ref="B72">IFERROR(LOOKUP(2,1/(ISNUMBER('Histórico vacunas'!C72:AEF72)),'Histórico vacunas'!C72:AEF72),"")</f>
        <v>227.56</v>
      </c>
    </row>
    <row r="73" spans="1:2">
      <c r="A73" s="1" t="s">
        <v>411</v>
      </c>
      <c r="B73" cm="1">
        <f t="array" ref="B73">IFERROR(LOOKUP(2,1/(ISNUMBER('Histórico vacunas'!C73:AEF73)),'Histórico vacunas'!C73:AEF73),"")</f>
        <v>102.92</v>
      </c>
    </row>
    <row r="74" spans="1:2">
      <c r="A74" s="1" t="s">
        <v>331</v>
      </c>
      <c r="B74" cm="1">
        <f t="array" ref="B74">IFERROR(LOOKUP(2,1/(ISNUMBER('Histórico vacunas'!C74:AEF74)),'Histórico vacunas'!C74:AEF74),"")</f>
        <v>24.84</v>
      </c>
    </row>
    <row r="75" spans="1:2">
      <c r="A75" s="1" t="s">
        <v>182</v>
      </c>
      <c r="B75" cm="1">
        <f t="array" ref="B75">IFERROR(LOOKUP(2,1/(ISNUMBER('Histórico vacunas'!C75:AEF75)),'Histórico vacunas'!C75:AEF75),"")</f>
        <v>13.3</v>
      </c>
    </row>
    <row r="76" spans="1:2">
      <c r="A76" s="1" t="s">
        <v>165</v>
      </c>
      <c r="B76" cm="1">
        <f t="array" ref="B76">IFERROR(LOOKUP(2,1/(ISNUMBER('Histórico vacunas'!C76:AEF76)),'Histórico vacunas'!C76:AEF76),"")</f>
        <v>77.989999999999995</v>
      </c>
    </row>
    <row r="77" spans="1:2">
      <c r="A77" s="1" t="s">
        <v>265</v>
      </c>
      <c r="B77" cm="1">
        <f t="array" ref="B77">IFERROR(LOOKUP(2,1/(ISNUMBER('Histórico vacunas'!C77:AEF77)),'Histórico vacunas'!C77:AEF77),"")</f>
        <v>230.45</v>
      </c>
    </row>
    <row r="78" spans="1:2">
      <c r="A78" s="1" t="s">
        <v>80</v>
      </c>
      <c r="B78" cm="1">
        <f t="array" ref="B78">IFERROR(LOOKUP(2,1/(ISNUMBER('Histórico vacunas'!C78:AEF78)),'Histórico vacunas'!C78:AEF78),"")</f>
        <v>30.26</v>
      </c>
    </row>
    <row r="79" spans="1:2">
      <c r="A79" s="1" t="s">
        <v>195</v>
      </c>
      <c r="B79" cm="1">
        <f t="array" ref="B79">IFERROR(LOOKUP(2,1/(ISNUMBER('Histórico vacunas'!C79:AEF79)),'Histórico vacunas'!C79:AEF79),"")</f>
        <v>354.93</v>
      </c>
    </row>
    <row r="80" spans="1:2">
      <c r="A80" s="1" t="s">
        <v>266</v>
      </c>
      <c r="B80" cm="1">
        <f t="array" ref="B80">IFERROR(LOOKUP(2,1/(ISNUMBER('Histórico vacunas'!C80:AEF80)),'Histórico vacunas'!C80:AEF80),"")</f>
        <v>212.92</v>
      </c>
    </row>
    <row r="81" spans="1:2">
      <c r="A81" s="1" t="s">
        <v>267</v>
      </c>
      <c r="B81" cm="1">
        <f t="array" ref="B81">IFERROR(LOOKUP(2,1/(ISNUMBER('Histórico vacunas'!C81:AEF81)),'Histórico vacunas'!C81:AEF81),"")</f>
        <v>140.22999999999999</v>
      </c>
    </row>
    <row r="82" spans="1:2">
      <c r="A82" s="1" t="s">
        <v>332</v>
      </c>
      <c r="B82" cm="1">
        <f t="array" ref="B82">IFERROR(LOOKUP(2,1/(ISNUMBER('Histórico vacunas'!C82:AEF82)),'Histórico vacunas'!C82:AEF82),"")</f>
        <v>72.430000000000007</v>
      </c>
    </row>
    <row r="83" spans="1:2">
      <c r="A83" s="1" t="s">
        <v>31</v>
      </c>
      <c r="B83" cm="1">
        <f t="array" ref="B83">IFERROR(LOOKUP(2,1/(ISNUMBER('Histórico vacunas'!C83:AEF83)),'Histórico vacunas'!C83:AEF83),"")</f>
        <v>113.44</v>
      </c>
    </row>
    <row r="84" spans="1:2">
      <c r="A84" s="1" t="s">
        <v>251</v>
      </c>
      <c r="B84" cm="1">
        <f t="array" ref="B84">IFERROR(LOOKUP(2,1/(ISNUMBER('Histórico vacunas'!C84:AEF84)),'Histórico vacunas'!C84:AEF84),"")</f>
        <v>281.89999999999998</v>
      </c>
    </row>
    <row r="85" spans="1:2">
      <c r="A85" s="1" t="s">
        <v>116</v>
      </c>
      <c r="B85" cm="1">
        <f t="array" ref="B85">IFERROR(LOOKUP(2,1/(ISNUMBER('Histórico vacunas'!C85:AEF85)),'Histórico vacunas'!C85:AEF85),"")</f>
        <v>18.100000000000001</v>
      </c>
    </row>
    <row r="86" spans="1:2">
      <c r="A86" t="s">
        <v>150</v>
      </c>
      <c r="B86" cm="1">
        <f t="array" ref="B86">IFERROR(LOOKUP(2,1/(ISNUMBER('Histórico vacunas'!C86:AEF86)),'Histórico vacunas'!C86:AEF86),"")</f>
        <v>27.91</v>
      </c>
    </row>
    <row r="87" spans="1:2">
      <c r="A87" t="s">
        <v>184</v>
      </c>
      <c r="B87" cm="1">
        <f t="array" ref="B87">IFERROR(LOOKUP(2,1/(ISNUMBER('Histórico vacunas'!C87:AEF87)),'Histórico vacunas'!C87:AEF87),"")</f>
        <v>117.92</v>
      </c>
    </row>
    <row r="88" spans="1:2">
      <c r="A88" t="s">
        <v>334</v>
      </c>
      <c r="B88" cm="1">
        <f t="array" ref="B88">IFERROR(LOOKUP(2,1/(ISNUMBER('Histórico vacunas'!C88:AEF88)),'Histórico vacunas'!C88:AEF88),"")</f>
        <v>2.11</v>
      </c>
    </row>
    <row r="89" spans="1:2">
      <c r="A89" t="s">
        <v>30</v>
      </c>
      <c r="B89" cm="1">
        <f t="array" ref="B89">IFERROR(LOOKUP(2,1/(ISNUMBER('Histórico vacunas'!C89:AEF89)),'Histórico vacunas'!C89:AEF89),"")</f>
        <v>163.91</v>
      </c>
    </row>
    <row r="90" spans="1:2">
      <c r="A90" t="s">
        <v>133</v>
      </c>
      <c r="B90" cm="1">
        <f t="array" ref="B90">IFERROR(LOOKUP(2,1/(ISNUMBER('Histórico vacunas'!C90:AEF90)),'Histórico vacunas'!C90:AEF90),"")</f>
        <v>276.52999999999997</v>
      </c>
    </row>
    <row r="91" spans="1:2">
      <c r="A91" t="s">
        <v>268</v>
      </c>
      <c r="B91" cm="1">
        <f t="array" ref="B91">IFERROR(LOOKUP(2,1/(ISNUMBER('Histórico vacunas'!C91:AEF91)),'Histórico vacunas'!C91:AEF91),"")</f>
        <v>171.25</v>
      </c>
    </row>
    <row r="92" spans="1:2">
      <c r="A92" t="s">
        <v>269</v>
      </c>
      <c r="B92" cm="1">
        <f t="array" ref="B92">IFERROR(LOOKUP(2,1/(ISNUMBER('Histórico vacunas'!C92:AEF92)),'Histórico vacunas'!C92:AEF92),"")</f>
        <v>218.41</v>
      </c>
    </row>
    <row r="93" spans="1:2">
      <c r="A93" t="s">
        <v>41</v>
      </c>
      <c r="B93" cm="1">
        <f t="array" ref="B93">IFERROR(LOOKUP(2,1/(ISNUMBER('Histórico vacunas'!C93:AEF93)),'Histórico vacunas'!C93:AEF93),"")</f>
        <v>155.69</v>
      </c>
    </row>
    <row r="94" spans="1:2">
      <c r="A94" t="s">
        <v>57</v>
      </c>
      <c r="B94" cm="1">
        <f t="array" ref="B94">IFERROR(LOOKUP(2,1/(ISNUMBER('Histórico vacunas'!C94:AEF94)),'Histórico vacunas'!C94:AEF94),"")</f>
        <v>161.27000000000001</v>
      </c>
    </row>
    <row r="95" spans="1:2">
      <c r="A95" t="s">
        <v>396</v>
      </c>
      <c r="B95" cm="1">
        <f t="array" ref="B95">IFERROR(LOOKUP(2,1/(ISNUMBER('Histórico vacunas'!C95:AEF95)),'Histórico vacunas'!C95:AEF95),"")</f>
        <v>175.05</v>
      </c>
    </row>
    <row r="96" spans="1:2">
      <c r="A96" t="s">
        <v>335</v>
      </c>
      <c r="B96" cm="1">
        <f t="array" ref="B96">IFERROR(LOOKUP(2,1/(ISNUMBER('Histórico vacunas'!C96:AEF96)),'Histórico vacunas'!C96:AEF96),"")</f>
        <v>43.94</v>
      </c>
    </row>
    <row r="97" spans="1:2">
      <c r="A97" t="s">
        <v>270</v>
      </c>
      <c r="B97" cm="1">
        <f t="array" ref="B97">IFERROR(LOOKUP(2,1/(ISNUMBER('Histórico vacunas'!C97:AEF97)),'Histórico vacunas'!C97:AEF97),"")</f>
        <v>221.2</v>
      </c>
    </row>
    <row r="98" spans="1:2">
      <c r="A98" t="s">
        <v>297</v>
      </c>
      <c r="B98" cm="1">
        <f t="array" ref="B98">IFERROR(LOOKUP(2,1/(ISNUMBER('Histórico vacunas'!C98:AEF98)),'Histórico vacunas'!C98:AEF98),"")</f>
        <v>222.45</v>
      </c>
    </row>
    <row r="99" spans="1:2">
      <c r="A99" t="s">
        <v>65</v>
      </c>
      <c r="B99" cm="1">
        <f t="array" ref="B99">IFERROR(LOOKUP(2,1/(ISNUMBER('Histórico vacunas'!C99:AEF99)),'Histórico vacunas'!C99:AEF99),"")</f>
        <v>197.31</v>
      </c>
    </row>
    <row r="100" spans="1:2">
      <c r="A100" t="s">
        <v>271</v>
      </c>
      <c r="B100" cm="1">
        <f t="array" ref="B100">IFERROR(LOOKUP(2,1/(ISNUMBER('Histórico vacunas'!C100:AEF100)),'Histórico vacunas'!C100:AEF100),"")</f>
        <v>243.58</v>
      </c>
    </row>
    <row r="101" spans="1:2">
      <c r="A101" t="s">
        <v>172</v>
      </c>
      <c r="B101" cm="1">
        <f t="array" ref="B101">IFERROR(LOOKUP(2,1/(ISNUMBER('Histórico vacunas'!C101:AEF101)),'Histórico vacunas'!C101:AEF101),"")</f>
        <v>53.68</v>
      </c>
    </row>
    <row r="102" spans="1:2">
      <c r="A102" t="s">
        <v>336</v>
      </c>
      <c r="B102" cm="1">
        <f t="array" ref="B102">IFERROR(LOOKUP(2,1/(ISNUMBER('Histórico vacunas'!C102:AEF102)),'Histórico vacunas'!C102:AEF102),"")</f>
        <v>308.41000000000003</v>
      </c>
    </row>
    <row r="103" spans="1:2">
      <c r="A103" t="s">
        <v>252</v>
      </c>
      <c r="B103" cm="1">
        <f t="array" ref="B103">IFERROR(LOOKUP(2,1/(ISNUMBER('Histórico vacunas'!C103:AEF103)),'Histórico vacunas'!C103:AEF103),"")</f>
        <v>240.94</v>
      </c>
    </row>
    <row r="104" spans="1:2">
      <c r="A104" t="s">
        <v>389</v>
      </c>
      <c r="B104" cm="1">
        <f t="array" ref="B104">IFERROR(LOOKUP(2,1/(ISNUMBER('Histórico vacunas'!C104:AEF104)),'Histórico vacunas'!C104:AEF104),"")</f>
        <v>96.42</v>
      </c>
    </row>
    <row r="105" spans="1:2">
      <c r="A105" t="s">
        <v>338</v>
      </c>
      <c r="B105" cm="1">
        <f t="array" ref="B105">IFERROR(LOOKUP(2,1/(ISNUMBER('Histórico vacunas'!C105:AEF105)),'Histórico vacunas'!C105:AEF105),"")</f>
        <v>110.13</v>
      </c>
    </row>
    <row r="106" spans="1:2">
      <c r="A106" t="s">
        <v>339</v>
      </c>
      <c r="B106" cm="1">
        <f t="array" ref="B106">IFERROR(LOOKUP(2,1/(ISNUMBER('Histórico vacunas'!C106:AEF106)),'Histórico vacunas'!C106:AEF106),"")</f>
        <v>31.51</v>
      </c>
    </row>
    <row r="107" spans="1:2">
      <c r="A107" t="s">
        <v>422</v>
      </c>
      <c r="B107" cm="1">
        <f t="array" ref="B107">IFERROR(LOOKUP(2,1/(ISNUMBER('Histórico vacunas'!C107:AEF107)),'Histórico vacunas'!C107:AEF107),"")</f>
        <v>167.62</v>
      </c>
    </row>
    <row r="108" spans="1:2">
      <c r="A108" t="s">
        <v>307</v>
      </c>
      <c r="B108" cm="1">
        <f t="array" ref="B108">IFERROR(LOOKUP(2,1/(ISNUMBER('Histórico vacunas'!C108:AEF108)),'Histórico vacunas'!C108:AEF108),"")</f>
        <v>103.1</v>
      </c>
    </row>
    <row r="109" spans="1:2">
      <c r="A109" t="s">
        <v>70</v>
      </c>
      <c r="B109" cm="1">
        <f t="array" ref="B109">IFERROR(LOOKUP(2,1/(ISNUMBER('Histórico vacunas'!C109:AEF109)),'Histórico vacunas'!C109:AEF109),"")</f>
        <v>193.46</v>
      </c>
    </row>
    <row r="110" spans="1:2">
      <c r="A110" t="s">
        <v>340</v>
      </c>
      <c r="B110" cm="1">
        <f t="array" ref="B110">IFERROR(LOOKUP(2,1/(ISNUMBER('Histórico vacunas'!C110:AEF110)),'Histórico vacunas'!C110:AEF110),"")</f>
        <v>51.76</v>
      </c>
    </row>
    <row r="111" spans="1:2">
      <c r="A111" t="s">
        <v>213</v>
      </c>
      <c r="B111" cm="1">
        <f t="array" ref="B111">IFERROR(LOOKUP(2,1/(ISNUMBER('Histórico vacunas'!C111:AEF111)),'Histórico vacunas'!C111:AEF111),"")</f>
        <v>149.63999999999999</v>
      </c>
    </row>
    <row r="112" spans="1:2">
      <c r="A112" t="s">
        <v>272</v>
      </c>
      <c r="B112" cm="1">
        <f t="array" ref="B112">IFERROR(LOOKUP(2,1/(ISNUMBER('Histórico vacunas'!C112:AEF112)),'Histórico vacunas'!C112:AEF112),"")</f>
        <v>154.53</v>
      </c>
    </row>
    <row r="113" spans="1:2">
      <c r="A113" t="s">
        <v>341</v>
      </c>
      <c r="B113" cm="1">
        <f t="array" ref="B113">IFERROR(LOOKUP(2,1/(ISNUMBER('Histórico vacunas'!C113:AEF113)),'Histórico vacunas'!C113:AEF113),"")</f>
        <v>105.92</v>
      </c>
    </row>
    <row r="114" spans="1:2">
      <c r="A114" t="s">
        <v>342</v>
      </c>
      <c r="B114" cm="1">
        <f t="array" ref="B114">IFERROR(LOOKUP(2,1/(ISNUMBER('Histórico vacunas'!C114:AEF114)),'Histórico vacunas'!C114:AEF114),"")</f>
        <v>31.87</v>
      </c>
    </row>
    <row r="115" spans="1:2">
      <c r="A115" t="s">
        <v>162</v>
      </c>
      <c r="B115" cm="1">
        <f t="array" ref="B115">IFERROR(LOOKUP(2,1/(ISNUMBER('Histórico vacunas'!C115:AEF115)),'Histórico vacunas'!C115:AEF115),"")</f>
        <v>11.38</v>
      </c>
    </row>
    <row r="116" spans="1:2">
      <c r="A116" t="s">
        <v>343</v>
      </c>
      <c r="B116" cm="1">
        <f t="array" ref="B116">IFERROR(LOOKUP(2,1/(ISNUMBER('Histórico vacunas'!C116:AEF116)),'Histórico vacunas'!C116:AEF116),"")</f>
        <v>54.89</v>
      </c>
    </row>
    <row r="117" spans="1:2">
      <c r="A117" t="s">
        <v>206</v>
      </c>
      <c r="B117" cm="1">
        <f t="array" ref="B117">IFERROR(LOOKUP(2,1/(ISNUMBER('Histórico vacunas'!C117:AEF117)),'Histórico vacunas'!C117:AEF117),"")</f>
        <v>188.76</v>
      </c>
    </row>
    <row r="118" spans="1:2">
      <c r="A118" t="s">
        <v>273</v>
      </c>
      <c r="B118" cm="1">
        <f t="array" ref="B118">IFERROR(LOOKUP(2,1/(ISNUMBER('Histórico vacunas'!C118:AEF118)),'Histórico vacunas'!C118:AEF118),"")</f>
        <v>165.25</v>
      </c>
    </row>
    <row r="119" spans="1:2">
      <c r="A119" t="s">
        <v>274</v>
      </c>
      <c r="B119" cm="1">
        <f t="array" ref="B119">IFERROR(LOOKUP(2,1/(ISNUMBER('Histórico vacunas'!C119:AEF119)),'Histórico vacunas'!C119:AEF119),"")</f>
        <v>212.2</v>
      </c>
    </row>
    <row r="120" spans="1:2">
      <c r="A120" t="s">
        <v>208</v>
      </c>
      <c r="B120" cm="1">
        <f t="array" ref="B120">IFERROR(LOOKUP(2,1/(ISNUMBER('Histórico vacunas'!C120:AEF120)),'Histórico vacunas'!C120:AEF120),"")</f>
        <v>258.69</v>
      </c>
    </row>
    <row r="121" spans="1:2">
      <c r="A121" t="s">
        <v>107</v>
      </c>
      <c r="B121" cm="1">
        <f t="array" ref="B121">IFERROR(LOOKUP(2,1/(ISNUMBER('Histórico vacunas'!C121:AEF121)),'Histórico vacunas'!C121:AEF121),"")</f>
        <v>3.42</v>
      </c>
    </row>
    <row r="122" spans="1:2">
      <c r="A122" t="s">
        <v>128</v>
      </c>
      <c r="B122" cm="1">
        <f t="array" ref="B122">IFERROR(LOOKUP(2,1/(ISNUMBER('Histórico vacunas'!C122:AEF122)),'Histórico vacunas'!C122:AEF122),"")</f>
        <v>9.92</v>
      </c>
    </row>
    <row r="123" spans="1:2">
      <c r="A123" t="s">
        <v>344</v>
      </c>
      <c r="B123" cm="1">
        <f t="array" ref="B123">IFERROR(LOOKUP(2,1/(ISNUMBER('Histórico vacunas'!C123:AEF123)),'Histórico vacunas'!C123:AEF123),"")</f>
        <v>213.87</v>
      </c>
    </row>
    <row r="124" spans="1:2">
      <c r="A124" t="s">
        <v>275</v>
      </c>
      <c r="B124" cm="1">
        <f t="array" ref="B124">IFERROR(LOOKUP(2,1/(ISNUMBER('Histórico vacunas'!C124:AEF124)),'Histórico vacunas'!C124:AEF124),"")</f>
        <v>181.66</v>
      </c>
    </row>
    <row r="125" spans="1:2">
      <c r="A125" t="s">
        <v>142</v>
      </c>
      <c r="B125" cm="1">
        <f t="array" ref="B125">IFERROR(LOOKUP(2,1/(ISNUMBER('Histórico vacunas'!C125:AEF125)),'Histórico vacunas'!C125:AEF125),"")</f>
        <v>8.6999999999999993</v>
      </c>
    </row>
    <row r="126" spans="1:2">
      <c r="A126" t="s">
        <v>174</v>
      </c>
      <c r="B126" cm="1">
        <f t="array" ref="B126">IFERROR(LOOKUP(2,1/(ISNUMBER('Histórico vacunas'!C126:AEF126)),'Histórico vacunas'!C126:AEF126),"")</f>
        <v>258.83</v>
      </c>
    </row>
    <row r="127" spans="1:2">
      <c r="A127" t="s">
        <v>345</v>
      </c>
      <c r="B127" t="str" cm="1">
        <f t="array" ref="B127">IFERROR(LOOKUP(2,1/(ISNUMBER('Histórico vacunas'!C127:AEF127)),'Histórico vacunas'!C127:AEF127),"")</f>
        <v/>
      </c>
    </row>
    <row r="128" spans="1:2">
      <c r="A128" t="s">
        <v>119</v>
      </c>
      <c r="B128" cm="1">
        <f t="array" ref="B128">IFERROR(LOOKUP(2,1/(ISNUMBER('Histórico vacunas'!C128:AEF128)),'Histórico vacunas'!C128:AEF128),"")</f>
        <v>53.93</v>
      </c>
    </row>
    <row r="129" spans="1:2">
      <c r="A129" t="s">
        <v>346</v>
      </c>
      <c r="B129" cm="1">
        <f t="array" ref="B129">IFERROR(LOOKUP(2,1/(ISNUMBER('Histórico vacunas'!C129:AEF129)),'Histórico vacunas'!C129:AEF129),"")</f>
        <v>163.12</v>
      </c>
    </row>
    <row r="130" spans="1:2">
      <c r="A130" t="s">
        <v>276</v>
      </c>
      <c r="B130" cm="1">
        <f t="array" ref="B130">IFERROR(LOOKUP(2,1/(ISNUMBER('Histórico vacunas'!C130:AEF130)),'Histórico vacunas'!C130:AEF130),"")</f>
        <v>175.02</v>
      </c>
    </row>
    <row r="131" spans="1:2">
      <c r="A131" t="s">
        <v>397</v>
      </c>
      <c r="B131" t="str" cm="1">
        <f t="array" ref="B131">IFERROR(LOOKUP(2,1/(ISNUMBER('Histórico vacunas'!C131:AEF131)),'Histórico vacunas'!C131:AEF131),"")</f>
        <v/>
      </c>
    </row>
    <row r="132" spans="1:2">
      <c r="A132" t="s">
        <v>348</v>
      </c>
      <c r="B132" cm="1">
        <f t="array" ref="B132">IFERROR(LOOKUP(2,1/(ISNUMBER('Histórico vacunas'!C132:AEF132)),'Histórico vacunas'!C132:AEF132),"")</f>
        <v>53.82</v>
      </c>
    </row>
    <row r="133" spans="1:2">
      <c r="A133" t="s">
        <v>277</v>
      </c>
      <c r="B133" cm="1">
        <f t="array" ref="B133">IFERROR(LOOKUP(2,1/(ISNUMBER('Histórico vacunas'!C133:AEF133)),'Histórico vacunas'!C133:AEF133),"")</f>
        <v>126.47</v>
      </c>
    </row>
    <row r="134" spans="1:2">
      <c r="A134" t="s">
        <v>190</v>
      </c>
      <c r="B134" cm="1">
        <f t="array" ref="B134">IFERROR(LOOKUP(2,1/(ISNUMBER('Histórico vacunas'!C134:AEF134)),'Histórico vacunas'!C134:AEF134),"")</f>
        <v>164.99</v>
      </c>
    </row>
    <row r="135" spans="1:2">
      <c r="A135" t="s">
        <v>135</v>
      </c>
      <c r="B135" cm="1">
        <f t="array" ref="B135">IFERROR(LOOKUP(2,1/(ISNUMBER('Histórico vacunas'!C135:AEF135)),'Histórico vacunas'!C135:AEF135),"")</f>
        <v>108.17</v>
      </c>
    </row>
    <row r="136" spans="1:2">
      <c r="A136" t="s">
        <v>217</v>
      </c>
      <c r="B136" cm="1">
        <f t="array" ref="B136">IFERROR(LOOKUP(2,1/(ISNUMBER('Histórico vacunas'!C136:AEF136)),'Histórico vacunas'!C136:AEF136),"")</f>
        <v>56.57</v>
      </c>
    </row>
    <row r="137" spans="1:2">
      <c r="A137" t="s">
        <v>278</v>
      </c>
      <c r="B137" cm="1">
        <f t="array" ref="B137">IFERROR(LOOKUP(2,1/(ISNUMBER('Histórico vacunas'!C137:AEF137)),'Histórico vacunas'!C137:AEF137),"")</f>
        <v>147.85</v>
      </c>
    </row>
    <row r="138" spans="1:2">
      <c r="A138" t="s">
        <v>151</v>
      </c>
      <c r="B138" cm="1">
        <f t="array" ref="B138">IFERROR(LOOKUP(2,1/(ISNUMBER('Histórico vacunas'!C138:AEF138)),'Histórico vacunas'!C138:AEF138),"")</f>
        <v>81.510000000000005</v>
      </c>
    </row>
    <row r="139" spans="1:2">
      <c r="A139" t="s">
        <v>187</v>
      </c>
      <c r="B139" cm="1">
        <f t="array" ref="B139">IFERROR(LOOKUP(2,1/(ISNUMBER('Histórico vacunas'!C139:AEF139)),'Histórico vacunas'!C139:AEF139),"")</f>
        <v>101.39</v>
      </c>
    </row>
    <row r="140" spans="1:2">
      <c r="A140" t="s">
        <v>145</v>
      </c>
      <c r="B140" cm="1">
        <f t="array" ref="B140">IFERROR(LOOKUP(2,1/(ISNUMBER('Histórico vacunas'!C140:AEF140)),'Histórico vacunas'!C140:AEF140),"")</f>
        <v>31.98</v>
      </c>
    </row>
    <row r="141" spans="1:2">
      <c r="A141" t="s">
        <v>402</v>
      </c>
      <c r="B141" cm="1">
        <f t="array" ref="B141">IFERROR(LOOKUP(2,1/(ISNUMBER('Histórico vacunas'!C141:AEF141)),'Histórico vacunas'!C141:AEF141),"")</f>
        <v>253.38</v>
      </c>
    </row>
    <row r="142" spans="1:2">
      <c r="A142" t="s">
        <v>94</v>
      </c>
      <c r="B142" cm="1">
        <f t="array" ref="B142">IFERROR(LOOKUP(2,1/(ISNUMBER('Histórico vacunas'!C142:AEF142)),'Histórico vacunas'!C142:AEF142),"")</f>
        <v>199.61</v>
      </c>
    </row>
    <row r="143" spans="1:2">
      <c r="A143" t="s">
        <v>279</v>
      </c>
      <c r="B143" cm="1">
        <f t="array" ref="B143">IFERROR(LOOKUP(2,1/(ISNUMBER('Histórico vacunas'!C143:AEF143)),'Histórico vacunas'!C143:AEF143),"")</f>
        <v>198.09</v>
      </c>
    </row>
    <row r="144" spans="1:2">
      <c r="A144" t="s">
        <v>412</v>
      </c>
      <c r="B144" cm="1">
        <f t="array" ref="B144">IFERROR(LOOKUP(2,1/(ISNUMBER('Histórico vacunas'!C144:AEF144)),'Histórico vacunas'!C144:AEF144),"")</f>
        <v>165.52</v>
      </c>
    </row>
    <row r="145" spans="1:2">
      <c r="A145" t="s">
        <v>349</v>
      </c>
      <c r="B145" cm="1">
        <f t="array" ref="B145">IFERROR(LOOKUP(2,1/(ISNUMBER('Histórico vacunas'!C145:AEF145)),'Histórico vacunas'!C145:AEF145),"")</f>
        <v>231.15</v>
      </c>
    </row>
    <row r="146" spans="1:2">
      <c r="A146" t="s">
        <v>132</v>
      </c>
      <c r="B146" cm="1">
        <f t="array" ref="B146">IFERROR(LOOKUP(2,1/(ISNUMBER('Histórico vacunas'!C146:AEF146)),'Histórico vacunas'!C146:AEF146),"")</f>
        <v>219.2</v>
      </c>
    </row>
    <row r="147" spans="1:2">
      <c r="A147" t="s">
        <v>350</v>
      </c>
      <c r="B147" cm="1">
        <f t="array" ref="B147">IFERROR(LOOKUP(2,1/(ISNUMBER('Histórico vacunas'!C147:AEF147)),'Histórico vacunas'!C147:AEF147),"")</f>
        <v>7.32</v>
      </c>
    </row>
    <row r="148" spans="1:2">
      <c r="A148" t="s">
        <v>77</v>
      </c>
      <c r="B148" cm="1">
        <f t="array" ref="B148">IFERROR(LOOKUP(2,1/(ISNUMBER('Histórico vacunas'!C148:AEF148)),'Histórico vacunas'!C148:AEF148),"")</f>
        <v>14.85</v>
      </c>
    </row>
    <row r="149" spans="1:2">
      <c r="A149" t="s">
        <v>428</v>
      </c>
      <c r="B149" cm="1">
        <f t="array" ref="B149">IFERROR(LOOKUP(2,1/(ISNUMBER('Histórico vacunas'!C149:AEF149)),'Histórico vacunas'!C149:AEF149),"")</f>
        <v>148.69999999999999</v>
      </c>
    </row>
    <row r="150" spans="1:2">
      <c r="A150" t="s">
        <v>351</v>
      </c>
      <c r="B150" cm="1">
        <f t="array" ref="B150">IFERROR(LOOKUP(2,1/(ISNUMBER('Histórico vacunas'!C150:AEF150)),'Histórico vacunas'!C150:AEF150),"")</f>
        <v>79.599999999999994</v>
      </c>
    </row>
    <row r="151" spans="1:2">
      <c r="A151" t="s">
        <v>380</v>
      </c>
      <c r="B151" cm="1">
        <f t="array" ref="B151">IFERROR(LOOKUP(2,1/(ISNUMBER('Histórico vacunas'!C151:AEF151)),'Histórico vacunas'!C151:AEF151),"")</f>
        <v>225.04</v>
      </c>
    </row>
    <row r="152" spans="1:2">
      <c r="A152" t="s">
        <v>280</v>
      </c>
      <c r="B152" cm="1">
        <f t="array" ref="B152">IFERROR(LOOKUP(2,1/(ISNUMBER('Histórico vacunas'!C152:AEF152)),'Histórico vacunas'!C152:AEF152),"")</f>
        <v>223.3</v>
      </c>
    </row>
    <row r="153" spans="1:2">
      <c r="A153" t="s">
        <v>281</v>
      </c>
      <c r="B153" cm="1">
        <f t="array" ref="B153">IFERROR(LOOKUP(2,1/(ISNUMBER('Histórico vacunas'!C153:AEF153)),'Histórico vacunas'!C153:AEF153),"")</f>
        <v>135.31</v>
      </c>
    </row>
    <row r="154" spans="1:2">
      <c r="A154" t="s">
        <v>352</v>
      </c>
      <c r="B154" cm="1">
        <f t="array" ref="B154">IFERROR(LOOKUP(2,1/(ISNUMBER('Histórico vacunas'!C154:AEF154)),'Histórico vacunas'!C154:AEF154),"")</f>
        <v>141.53</v>
      </c>
    </row>
    <row r="155" spans="1:2">
      <c r="A155" t="s">
        <v>436</v>
      </c>
      <c r="B155" t="str" cm="1">
        <f t="array" ref="B155">IFERROR(LOOKUP(2,1/(ISNUMBER('Histórico vacunas'!C155:AEF155)),'Histórico vacunas'!C155:AEF155),"")</f>
        <v/>
      </c>
    </row>
    <row r="156" spans="1:2">
      <c r="A156" t="s">
        <v>353</v>
      </c>
      <c r="B156" cm="1">
        <f t="array" ref="B156">IFERROR(LOOKUP(2,1/(ISNUMBER('Histórico vacunas'!C156:AEF156)),'Histórico vacunas'!C156:AEF156),"")</f>
        <v>71.47</v>
      </c>
    </row>
    <row r="157" spans="1:2">
      <c r="A157" t="s">
        <v>282</v>
      </c>
      <c r="B157" cm="1">
        <f t="array" ref="B157">IFERROR(LOOKUP(2,1/(ISNUMBER('Histórico vacunas'!C157:AEF157)),'Histórico vacunas'!C157:AEF157),"")</f>
        <v>198.63</v>
      </c>
    </row>
    <row r="158" spans="1:2">
      <c r="A158" t="s">
        <v>354</v>
      </c>
      <c r="B158" cm="1">
        <f t="array" ref="B158">IFERROR(LOOKUP(2,1/(ISNUMBER('Histórico vacunas'!C158:AEF158)),'Histórico vacunas'!C158:AEF158),"")</f>
        <v>7.14</v>
      </c>
    </row>
    <row r="159" spans="1:2">
      <c r="A159" t="s">
        <v>120</v>
      </c>
      <c r="B159" cm="1">
        <f t="array" ref="B159">IFERROR(LOOKUP(2,1/(ISNUMBER('Histórico vacunas'!C159:AEF159)),'Histórico vacunas'!C159:AEF159),"")</f>
        <v>141.62</v>
      </c>
    </row>
    <row r="160" spans="1:2">
      <c r="A160" t="s">
        <v>355</v>
      </c>
      <c r="B160" cm="1">
        <f t="array" ref="B160">IFERROR(LOOKUP(2,1/(ISNUMBER('Histórico vacunas'!C160:AEF160)),'Histórico vacunas'!C160:AEF160),"")</f>
        <v>258.49</v>
      </c>
    </row>
    <row r="161" spans="1:2">
      <c r="A161" t="s">
        <v>356</v>
      </c>
      <c r="B161" cm="1">
        <f t="array" ref="B161">IFERROR(LOOKUP(2,1/(ISNUMBER('Histórico vacunas'!C161:AEF161)),'Histórico vacunas'!C161:AEF161),"")</f>
        <v>147.43</v>
      </c>
    </row>
    <row r="162" spans="1:2">
      <c r="A162" t="s">
        <v>425</v>
      </c>
      <c r="B162" cm="1">
        <f t="array" ref="B162">IFERROR(LOOKUP(2,1/(ISNUMBER('Histórico vacunas'!C162:AEF162)),'Histórico vacunas'!C162:AEF162),"")</f>
        <v>248.94</v>
      </c>
    </row>
    <row r="163" spans="1:2">
      <c r="A163" t="s">
        <v>283</v>
      </c>
      <c r="B163" cm="1">
        <f t="array" ref="B163">IFERROR(LOOKUP(2,1/(ISNUMBER('Histórico vacunas'!C163:AEF163)),'Histórico vacunas'!C163:AEF163),"")</f>
        <v>145.31</v>
      </c>
    </row>
    <row r="164" spans="1:2">
      <c r="A164" t="s">
        <v>75</v>
      </c>
      <c r="B164" cm="1">
        <f t="array" ref="B164">IFERROR(LOOKUP(2,1/(ISNUMBER('Histórico vacunas'!C164:AEF164)),'Histórico vacunas'!C164:AEF164),"")</f>
        <v>273.64999999999998</v>
      </c>
    </row>
    <row r="165" spans="1:2">
      <c r="A165" t="s">
        <v>390</v>
      </c>
      <c r="B165" cm="1">
        <f t="array" ref="B165">IFERROR(LOOKUP(2,1/(ISNUMBER('Histórico vacunas'!C165:AEF165)),'Histórico vacunas'!C165:AEF165),"")</f>
        <v>282.23</v>
      </c>
    </row>
    <row r="166" spans="1:2">
      <c r="A166" t="s">
        <v>284</v>
      </c>
      <c r="B166" cm="1">
        <f t="array" ref="B166">IFERROR(LOOKUP(2,1/(ISNUMBER('Histórico vacunas'!C166:AEF166)),'Histórico vacunas'!C166:AEF166),"")</f>
        <v>87.97</v>
      </c>
    </row>
    <row r="167" spans="1:2">
      <c r="A167" t="s">
        <v>285</v>
      </c>
      <c r="B167" cm="1">
        <f t="array" ref="B167">IFERROR(LOOKUP(2,1/(ISNUMBER('Histórico vacunas'!C167:AEF167)),'Histórico vacunas'!C167:AEF167),"")</f>
        <v>128.36000000000001</v>
      </c>
    </row>
    <row r="168" spans="1:2">
      <c r="A168" t="s">
        <v>358</v>
      </c>
      <c r="B168" cm="1">
        <f t="array" ref="B168">IFERROR(LOOKUP(2,1/(ISNUMBER('Histórico vacunas'!C168:AEF168)),'Histórico vacunas'!C168:AEF168),"")</f>
        <v>104.64</v>
      </c>
    </row>
    <row r="169" spans="1:2">
      <c r="A169" t="s">
        <v>391</v>
      </c>
      <c r="B169" cm="1">
        <f t="array" ref="B169">IFERROR(LOOKUP(2,1/(ISNUMBER('Histórico vacunas'!C169:AEF169)),'Histórico vacunas'!C169:AEF169),"")</f>
        <v>130</v>
      </c>
    </row>
    <row r="170" spans="1:2">
      <c r="A170" t="s">
        <v>398</v>
      </c>
      <c r="B170" cm="1">
        <f t="array" ref="B170">IFERROR(LOOKUP(2,1/(ISNUMBER('Histórico vacunas'!C170:AEF170)),'Histórico vacunas'!C170:AEF170),"")</f>
        <v>134.85</v>
      </c>
    </row>
    <row r="171" spans="1:2">
      <c r="A171" t="s">
        <v>360</v>
      </c>
      <c r="B171" cm="1">
        <f t="array" ref="B171">IFERROR(LOOKUP(2,1/(ISNUMBER('Histórico vacunas'!C171:AEF171)),'Histórico vacunas'!C171:AEF171),"")</f>
        <v>68.37</v>
      </c>
    </row>
    <row r="172" spans="1:2">
      <c r="A172" t="s">
        <v>361</v>
      </c>
      <c r="B172" cm="1">
        <f t="array" ref="B172">IFERROR(LOOKUP(2,1/(ISNUMBER('Histórico vacunas'!C172:AEF172)),'Histórico vacunas'!C172:AEF172),"")</f>
        <v>70.58</v>
      </c>
    </row>
    <row r="173" spans="1:2">
      <c r="A173" t="s">
        <v>250</v>
      </c>
      <c r="B173" cm="1">
        <f t="array" ref="B173">IFERROR(LOOKUP(2,1/(ISNUMBER('Histórico vacunas'!C173:AEF173)),'Histórico vacunas'!C173:AEF173),"")</f>
        <v>203.48</v>
      </c>
    </row>
    <row r="174" spans="1:2">
      <c r="A174" t="s">
        <v>178</v>
      </c>
      <c r="B174" cm="1">
        <f t="array" ref="B174">IFERROR(LOOKUP(2,1/(ISNUMBER('Histórico vacunas'!C174:AEF174)),'Histórico vacunas'!C174:AEF174),"")</f>
        <v>138.44</v>
      </c>
    </row>
    <row r="175" spans="1:2">
      <c r="A175" t="s">
        <v>362</v>
      </c>
      <c r="B175" cm="1">
        <f t="array" ref="B175">IFERROR(LOOKUP(2,1/(ISNUMBER('Histórico vacunas'!C175:AEF175)),'Histórico vacunas'!C175:AEF175),"")</f>
        <v>67.62</v>
      </c>
    </row>
    <row r="176" spans="1:2">
      <c r="A176" t="s">
        <v>287</v>
      </c>
      <c r="B176" cm="1">
        <f t="array" ref="B176">IFERROR(LOOKUP(2,1/(ISNUMBER('Histórico vacunas'!C176:AEF176)),'Histórico vacunas'!C176:AEF176),"")</f>
        <v>187.87</v>
      </c>
    </row>
    <row r="177" spans="1:2">
      <c r="A177" t="s">
        <v>109</v>
      </c>
      <c r="B177" cm="1">
        <f t="array" ref="B177">IFERROR(LOOKUP(2,1/(ISNUMBER('Histórico vacunas'!C177:AEF177)),'Histórico vacunas'!C177:AEF177),"")</f>
        <v>11.89</v>
      </c>
    </row>
    <row r="178" spans="1:2">
      <c r="A178" t="s">
        <v>87</v>
      </c>
      <c r="B178" cm="1">
        <f t="array" ref="B178">IFERROR(LOOKUP(2,1/(ISNUMBER('Histórico vacunas'!C178:AEF178)),'Histórico vacunas'!C178:AEF178),"")</f>
        <v>124.2</v>
      </c>
    </row>
    <row r="179" spans="1:2">
      <c r="A179" t="s">
        <v>202</v>
      </c>
      <c r="B179" cm="1">
        <f t="array" ref="B179">IFERROR(LOOKUP(2,1/(ISNUMBER('Histórico vacunas'!C179:AEF179)),'Histórico vacunas'!C179:AEF179),"")</f>
        <v>201.66</v>
      </c>
    </row>
    <row r="180" spans="1:2">
      <c r="A180" t="s">
        <v>363</v>
      </c>
      <c r="B180" cm="1">
        <f t="array" ref="B180">IFERROR(LOOKUP(2,1/(ISNUMBER('Histórico vacunas'!C180:AEF180)),'Histórico vacunas'!C180:AEF180),"")</f>
        <v>11.35</v>
      </c>
    </row>
    <row r="181" spans="1:2">
      <c r="A181" t="s">
        <v>288</v>
      </c>
      <c r="B181" cm="1">
        <f t="array" ref="B181">IFERROR(LOOKUP(2,1/(ISNUMBER('Histórico vacunas'!C181:AEF181)),'Histórico vacunas'!C181:AEF181),"")</f>
        <v>261.70999999999998</v>
      </c>
    </row>
    <row r="182" spans="1:2">
      <c r="A182" t="s">
        <v>419</v>
      </c>
      <c r="B182" cm="1">
        <f t="array" ref="B182">IFERROR(LOOKUP(2,1/(ISNUMBER('Histórico vacunas'!C182:AEF182)),'Histórico vacunas'!C182:AEF182),"")</f>
        <v>109.71</v>
      </c>
    </row>
    <row r="183" spans="1:2">
      <c r="A183" t="s">
        <v>289</v>
      </c>
      <c r="B183" cm="1">
        <f t="array" ref="B183">IFERROR(LOOKUP(2,1/(ISNUMBER('Histórico vacunas'!C183:AEF183)),'Histórico vacunas'!C183:AEF183),"")</f>
        <v>129.84</v>
      </c>
    </row>
    <row r="184" spans="1:2">
      <c r="A184" t="s">
        <v>290</v>
      </c>
      <c r="B184" cm="1">
        <f t="array" ref="B184">IFERROR(LOOKUP(2,1/(ISNUMBER('Histórico vacunas'!C184:AEF184)),'Histórico vacunas'!C184:AEF184),"")</f>
        <v>144.16</v>
      </c>
    </row>
    <row r="185" spans="1:2">
      <c r="A185" t="s">
        <v>364</v>
      </c>
      <c r="B185" cm="1">
        <f t="array" ref="B185">IFERROR(LOOKUP(2,1/(ISNUMBER('Histórico vacunas'!C185:AEF185)),'Histórico vacunas'!C185:AEF185),"")</f>
        <v>86.43</v>
      </c>
    </row>
    <row r="186" spans="1:2">
      <c r="A186" t="s">
        <v>136</v>
      </c>
      <c r="B186" cm="1">
        <f t="array" ref="B186">IFERROR(LOOKUP(2,1/(ISNUMBER('Histórico vacunas'!C186:AEF186)),'Histórico vacunas'!C186:AEF186),"")</f>
        <v>48.42</v>
      </c>
    </row>
    <row r="187" spans="1:2">
      <c r="A187" t="s">
        <v>365</v>
      </c>
      <c r="B187" cm="1">
        <f t="array" ref="B187">IFERROR(LOOKUP(2,1/(ISNUMBER('Histórico vacunas'!C187:AEF187)),'Histórico vacunas'!C187:AEF187),"")</f>
        <v>63.53</v>
      </c>
    </row>
    <row r="188" spans="1:2">
      <c r="A188" t="s">
        <v>366</v>
      </c>
      <c r="B188" cm="1">
        <f t="array" ref="B188">IFERROR(LOOKUP(2,1/(ISNUMBER('Histórico vacunas'!C188:AEF188)),'Histórico vacunas'!C188:AEF188),"")</f>
        <v>250.21</v>
      </c>
    </row>
    <row r="189" spans="1:2">
      <c r="A189" t="s">
        <v>367</v>
      </c>
      <c r="B189" cm="1">
        <f t="array" ref="B189">IFERROR(LOOKUP(2,1/(ISNUMBER('Histórico vacunas'!C189:AEF189)),'Histórico vacunas'!C189:AEF189),"")</f>
        <v>3.01</v>
      </c>
    </row>
    <row r="190" spans="1:2">
      <c r="A190" t="s">
        <v>291</v>
      </c>
      <c r="B190" cm="1">
        <f t="array" ref="B190">IFERROR(LOOKUP(2,1/(ISNUMBER('Histórico vacunas'!C190:AEF190)),'Histórico vacunas'!C190:AEF190),"")</f>
        <v>221.88</v>
      </c>
    </row>
    <row r="191" spans="1:2">
      <c r="A191" t="s">
        <v>138</v>
      </c>
      <c r="B191" cm="1">
        <f t="array" ref="B191">IFERROR(LOOKUP(2,1/(ISNUMBER('Histórico vacunas'!C191:AEF191)),'Histórico vacunas'!C191:AEF191),"")</f>
        <v>184.15</v>
      </c>
    </row>
    <row r="192" spans="1:2">
      <c r="A192" t="s">
        <v>368</v>
      </c>
      <c r="B192" cm="1">
        <f t="array" ref="B192">IFERROR(LOOKUP(2,1/(ISNUMBER('Histórico vacunas'!C192:AEF192)),'Histórico vacunas'!C192:AEF192),"")</f>
        <v>39.31</v>
      </c>
    </row>
    <row r="193" spans="1:2">
      <c r="A193" t="s">
        <v>369</v>
      </c>
      <c r="B193" cm="1">
        <f t="array" ref="B193">IFERROR(LOOKUP(2,1/(ISNUMBER('Histórico vacunas'!C193:AEF193)),'Histórico vacunas'!C193:AEF193),"")</f>
        <v>85.45</v>
      </c>
    </row>
    <row r="194" spans="1:2">
      <c r="A194" t="s">
        <v>292</v>
      </c>
      <c r="B194" cm="1">
        <f t="array" ref="B194">IFERROR(LOOKUP(2,1/(ISNUMBER('Histórico vacunas'!C194:AEF194)),'Histórico vacunas'!C194:AEF194),"")</f>
        <v>243.19</v>
      </c>
    </row>
    <row r="195" spans="1:2">
      <c r="A195" t="s">
        <v>293</v>
      </c>
      <c r="B195" cm="1">
        <f t="array" ref="B195">IFERROR(LOOKUP(2,1/(ISNUMBER('Histórico vacunas'!C195:AEF195)),'Histórico vacunas'!C195:AEF195),"")</f>
        <v>193.65</v>
      </c>
    </row>
    <row r="196" spans="1:2">
      <c r="A196" t="s">
        <v>370</v>
      </c>
      <c r="B196" cm="1">
        <f t="array" ref="B196">IFERROR(LOOKUP(2,1/(ISNUMBER('Histórico vacunas'!C196:AEF196)),'Histórico vacunas'!C196:AEF196),"")</f>
        <v>22.47</v>
      </c>
    </row>
    <row r="197" spans="1:2">
      <c r="A197" t="s">
        <v>371</v>
      </c>
      <c r="B197" cm="1">
        <f t="array" ref="B197">IFERROR(LOOKUP(2,1/(ISNUMBER('Histórico vacunas'!C197:AEF197)),'Histórico vacunas'!C197:AEF197),"")</f>
        <v>281.37</v>
      </c>
    </row>
    <row r="198" spans="1:2">
      <c r="A198" t="s">
        <v>372</v>
      </c>
      <c r="B198" cm="1">
        <f t="array" ref="B198">IFERROR(LOOKUP(2,1/(ISNUMBER('Histórico vacunas'!C198:AEF198)),'Histórico vacunas'!C198:AEF198),"")</f>
        <v>39.72</v>
      </c>
    </row>
    <row r="199" spans="1:2">
      <c r="A199" t="s">
        <v>181</v>
      </c>
      <c r="B199" cm="1">
        <f t="array" ref="B199">IFERROR(LOOKUP(2,1/(ISNUMBER('Histórico vacunas'!C199:AEF199)),'Histórico vacunas'!C199:AEF199),"")</f>
        <v>3.95</v>
      </c>
    </row>
    <row r="200" spans="1:2">
      <c r="A200" t="s">
        <v>373</v>
      </c>
      <c r="B200" cm="1">
        <f t="array" ref="B200">IFERROR(LOOKUP(2,1/(ISNUMBER('Histórico vacunas'!C200:AEF200)),'Histórico vacunas'!C200:AEF200),"")</f>
        <v>199.21</v>
      </c>
    </row>
    <row r="201" spans="1:2">
      <c r="A201" t="s">
        <v>311</v>
      </c>
      <c r="B201" cm="1">
        <f t="array" ref="B201">IFERROR(LOOKUP(2,1/(ISNUMBER('Histórico vacunas'!C201:AEF201)),'Histórico vacunas'!C201:AEF201),"")</f>
        <v>149.97999999999999</v>
      </c>
    </row>
    <row r="202" spans="1:2">
      <c r="A202" t="s">
        <v>169</v>
      </c>
      <c r="B202" cm="1">
        <f t="array" ref="B202">IFERROR(LOOKUP(2,1/(ISNUMBER('Histórico vacunas'!C202:AEF202)),'Histórico vacunas'!C202:AEF202),"")</f>
        <v>16.22</v>
      </c>
    </row>
    <row r="203" spans="1:2">
      <c r="A203" t="s">
        <v>435</v>
      </c>
      <c r="B203" cm="1">
        <f t="array" ref="B203">IFERROR(LOOKUP(2,1/(ISNUMBER('Histórico vacunas'!C203:AEF203)),'Histórico vacunas'!C203:AEF203),"")</f>
        <v>283.89</v>
      </c>
    </row>
    <row r="204" spans="1:2">
      <c r="A204" t="s">
        <v>403</v>
      </c>
      <c r="B204" cm="1">
        <f t="array" ref="B204">IFERROR(LOOKUP(2,1/(ISNUMBER('Histórico vacunas'!C204:AEF204)),'Histórico vacunas'!C204:AEF204),"")</f>
        <v>189.69</v>
      </c>
    </row>
    <row r="205" spans="1:2">
      <c r="A205" t="s">
        <v>374</v>
      </c>
      <c r="B205" cm="1">
        <f t="array" ref="B205">IFERROR(LOOKUP(2,1/(ISNUMBER('Histórico vacunas'!C205:AEF205)),'Histórico vacunas'!C205:AEF205),"")</f>
        <v>103.62</v>
      </c>
    </row>
    <row r="206" spans="1:2">
      <c r="A206" t="s">
        <v>375</v>
      </c>
      <c r="B206" cm="1">
        <f t="array" ref="B206">IFERROR(LOOKUP(2,1/(ISNUMBER('Histórico vacunas'!C206:AEF206)),'Histórico vacunas'!C206:AEF206),"")</f>
        <v>107.19</v>
      </c>
    </row>
    <row r="207" spans="1:2">
      <c r="A207" t="s">
        <v>386</v>
      </c>
      <c r="B207" cm="1">
        <f t="array" ref="B207">IFERROR(LOOKUP(2,1/(ISNUMBER('Histórico vacunas'!C207:AEF207)),'Histórico vacunas'!C207:AEF207),"")</f>
        <v>178.66</v>
      </c>
    </row>
    <row r="208" spans="1:2">
      <c r="A208" t="s">
        <v>385</v>
      </c>
      <c r="B208" cm="1">
        <f t="array" ref="B208">IFERROR(LOOKUP(2,1/(ISNUMBER('Histórico vacunas'!C208:AEF208)),'Histórico vacunas'!C208:AEF208),"")</f>
        <v>0.7</v>
      </c>
    </row>
    <row r="209" spans="1:2">
      <c r="A209" t="s">
        <v>416</v>
      </c>
      <c r="B209" cm="1">
        <f t="array" ref="B209">IFERROR(LOOKUP(2,1/(ISNUMBER('Histórico vacunas'!C209:AEF209)),'Histórico vacunas'!C209:AEF209),"")</f>
        <v>126.83</v>
      </c>
    </row>
    <row r="210" spans="1:2">
      <c r="A210" t="s">
        <v>409</v>
      </c>
      <c r="B210" cm="1">
        <f t="array" ref="B210">IFERROR(LOOKUP(2,1/(ISNUMBER('Histórico vacunas'!C210:AEF210)),'Histórico vacunas'!C210:AEF210),"")</f>
        <v>40.47</v>
      </c>
    </row>
    <row r="211" spans="1:2">
      <c r="A211" t="s">
        <v>164</v>
      </c>
      <c r="B211" cm="1">
        <f t="array" ref="B211">IFERROR(LOOKUP(2,1/(ISNUMBER('Histórico vacunas'!C211:AEF211)),'Histórico vacunas'!C211:AEF211),"")</f>
        <v>31.77</v>
      </c>
    </row>
    <row r="212" spans="1:2">
      <c r="A212" t="s">
        <v>376</v>
      </c>
      <c r="B212" cm="1">
        <f t="array" ref="B212">IFERROR(LOOKUP(2,1/(ISNUMBER('Histórico vacunas'!C212:AEF212)),'Histórico vacunas'!C212:AEF212),"")</f>
        <v>72.89</v>
      </c>
    </row>
    <row r="213" spans="1:2">
      <c r="A213" t="s">
        <v>294</v>
      </c>
      <c r="B213" cm="1">
        <f t="array" ref="B213">IFERROR(LOOKUP(2,1/(ISNUMBER('Histórico vacunas'!C213:AEF213)),'Histórico vacunas'!C213:AEF213),"")</f>
        <v>249.44</v>
      </c>
    </row>
    <row r="214" spans="1:2">
      <c r="A214" t="s">
        <v>295</v>
      </c>
      <c r="B214" cm="1">
        <f t="array" ref="B214">IFERROR(LOOKUP(2,1/(ISNUMBER('Histórico vacunas'!C214:AEF214)),'Histórico vacunas'!C214:AEF214),"")</f>
        <v>208.31</v>
      </c>
    </row>
    <row r="215" spans="1:2">
      <c r="A215" t="s">
        <v>296</v>
      </c>
      <c r="B215" cm="1">
        <f t="array" ref="B215">IFERROR(LOOKUP(2,1/(ISNUMBER('Histórico vacunas'!C215:AEF215)),'Histórico vacunas'!C215:AEF215),"")</f>
        <v>202.43</v>
      </c>
    </row>
    <row r="216" spans="1:2">
      <c r="A216" t="s">
        <v>159</v>
      </c>
      <c r="B216" cm="1">
        <f t="array" ref="B216">IFERROR(LOOKUP(2,1/(ISNUMBER('Histórico vacunas'!C216:AEF216)),'Histórico vacunas'!C216:AEF216),"")</f>
        <v>261.37</v>
      </c>
    </row>
    <row r="217" spans="1:2">
      <c r="A217" t="s">
        <v>91</v>
      </c>
      <c r="B217" cm="1">
        <f t="array" ref="B217">IFERROR(LOOKUP(2,1/(ISNUMBER('Histórico vacunas'!C217:AEF217)),'Histórico vacunas'!C217:AEF217),"")</f>
        <v>125.62</v>
      </c>
    </row>
    <row r="218" spans="1:2">
      <c r="A218" t="s">
        <v>249</v>
      </c>
      <c r="B218" cm="1">
        <f t="array" ref="B218">IFERROR(LOOKUP(2,1/(ISNUMBER('Histórico vacunas'!C218:AEF218)),'Histórico vacunas'!C218:AEF218),"")</f>
        <v>112.21</v>
      </c>
    </row>
    <row r="219" spans="1:2">
      <c r="A219" t="s">
        <v>377</v>
      </c>
      <c r="B219" t="str" cm="1">
        <f t="array" ref="B219">IFERROR(LOOKUP(2,1/(ISNUMBER('Histórico vacunas'!C219:AEF219)),'Histórico vacunas'!C219:AEF219),"")</f>
        <v/>
      </c>
    </row>
    <row r="220" spans="1:2">
      <c r="A220" t="s">
        <v>95</v>
      </c>
      <c r="B220" cm="1">
        <f t="array" ref="B220">IFERROR(LOOKUP(2,1/(ISNUMBER('Histórico vacunas'!C220:AEF220)),'Histórico vacunas'!C220:AEF220),"")</f>
        <v>133.78</v>
      </c>
    </row>
    <row r="221" spans="1:2">
      <c r="A221" t="s">
        <v>410</v>
      </c>
      <c r="B221" cm="1">
        <f t="array" ref="B221">IFERROR(LOOKUP(2,1/(ISNUMBER('Histórico vacunas'!C221:AEF221)),'Histórico vacunas'!C221:AEF221),"")</f>
        <v>155.72999999999999</v>
      </c>
    </row>
    <row r="222" spans="1:2">
      <c r="A222" t="s">
        <v>180</v>
      </c>
      <c r="B222" cm="1">
        <f t="array" ref="B222">IFERROR(LOOKUP(2,1/(ISNUMBER('Histórico vacunas'!C222:AEF222)),'Histórico vacunas'!C222:AEF222),"")</f>
        <v>271.13</v>
      </c>
    </row>
    <row r="223" spans="1:2">
      <c r="A223" t="s">
        <v>156</v>
      </c>
      <c r="B223" cm="1">
        <f t="array" ref="B223">IFERROR(LOOKUP(2,1/(ISNUMBER('Histórico vacunas'!C223:AEF223)),'Histórico vacunas'!C223:AEF223),"")</f>
        <v>3.73</v>
      </c>
    </row>
    <row r="224" spans="1:2">
      <c r="A224" t="s">
        <v>118</v>
      </c>
      <c r="B224" cm="1">
        <f t="array" ref="B224">IFERROR(LOOKUP(2,1/(ISNUMBER('Histórico vacunas'!C224:AEF224)),'Histórico vacunas'!C224:AEF224),"")</f>
        <v>63.56</v>
      </c>
    </row>
    <row r="225" spans="1:2">
      <c r="A225" t="s">
        <v>399</v>
      </c>
      <c r="B225" cm="1">
        <f t="array" ref="B225">IFERROR(LOOKUP(2,1/(ISNUMBER('Histórico vacunas'!C225:AEF225)),'Histórico vacunas'!C225:AEF225),"")</f>
        <v>79.81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F225"/>
  <sheetViews>
    <sheetView zoomScale="75" zoomScaleNormal="70" workbookViewId="0">
      <pane xSplit="1" topLeftCell="ADV1" activePane="topRight" state="frozen"/>
      <selection activeCell="B20" sqref="B20"/>
      <selection pane="topRight" activeCell="AEF2" sqref="AEF2"/>
    </sheetView>
  </sheetViews>
  <sheetFormatPr defaultColWidth="10.6640625" defaultRowHeight="15.5"/>
  <cols>
    <col min="1" max="1" width="28.1640625" customWidth="1"/>
    <col min="2" max="2" width="28.6640625" customWidth="1"/>
    <col min="58" max="59" width="18.5" customWidth="1"/>
    <col min="74" max="75" width="11.1640625" customWidth="1"/>
    <col min="80" max="80" width="28.1640625" customWidth="1"/>
    <col min="81" max="82" width="11.1640625" customWidth="1"/>
    <col min="296" max="296" width="11.5" customWidth="1"/>
    <col min="299" max="299" width="10.83203125" customWidth="1"/>
    <col min="416" max="416" width="10.83203125" customWidth="1"/>
  </cols>
  <sheetData>
    <row r="1" spans="1:812" ht="31.5" customHeight="1">
      <c r="A1" t="s">
        <v>437</v>
      </c>
      <c r="C1" s="38">
        <v>44175</v>
      </c>
      <c r="D1" s="38">
        <v>44176</v>
      </c>
      <c r="E1" s="38">
        <v>44177</v>
      </c>
      <c r="F1" s="38">
        <v>44178</v>
      </c>
      <c r="G1" s="38">
        <v>44179</v>
      </c>
      <c r="H1" s="38">
        <v>44180</v>
      </c>
      <c r="I1" s="38">
        <v>44181</v>
      </c>
      <c r="J1" s="38">
        <v>44182</v>
      </c>
      <c r="K1" s="38">
        <v>44183</v>
      </c>
      <c r="L1" s="38">
        <v>44184</v>
      </c>
      <c r="M1" s="38">
        <v>44185</v>
      </c>
      <c r="N1" s="38">
        <v>44186</v>
      </c>
      <c r="O1" s="38">
        <v>44187</v>
      </c>
      <c r="P1" s="38">
        <v>44188</v>
      </c>
      <c r="Q1" s="38">
        <v>44189</v>
      </c>
      <c r="R1" s="38">
        <v>44190</v>
      </c>
      <c r="S1" s="38">
        <v>44191</v>
      </c>
      <c r="T1" s="38">
        <v>44192</v>
      </c>
      <c r="U1" s="38">
        <v>44193</v>
      </c>
      <c r="V1" s="38">
        <v>44194</v>
      </c>
      <c r="W1" s="38">
        <v>44195</v>
      </c>
      <c r="X1" s="38">
        <v>44196</v>
      </c>
      <c r="Y1" s="38">
        <v>44197</v>
      </c>
      <c r="Z1" s="38">
        <v>44198</v>
      </c>
      <c r="AA1" s="38">
        <v>44199</v>
      </c>
      <c r="AB1" s="38">
        <v>44200</v>
      </c>
      <c r="AC1" s="38">
        <v>44201</v>
      </c>
      <c r="AD1" s="38">
        <v>44202</v>
      </c>
      <c r="AE1" s="38">
        <v>44203</v>
      </c>
      <c r="AF1" s="38">
        <v>44204</v>
      </c>
      <c r="AG1" s="38">
        <v>44205</v>
      </c>
      <c r="AH1" s="38">
        <v>44206</v>
      </c>
      <c r="AI1" s="38">
        <v>44207</v>
      </c>
      <c r="AJ1" s="38">
        <v>44208</v>
      </c>
      <c r="AK1" s="38">
        <v>44209</v>
      </c>
      <c r="AL1" s="38">
        <v>44210</v>
      </c>
      <c r="AM1" s="38">
        <v>44211</v>
      </c>
      <c r="AN1" s="38">
        <v>44212</v>
      </c>
      <c r="AO1" s="38">
        <v>44213</v>
      </c>
      <c r="AP1" s="38">
        <v>44214</v>
      </c>
      <c r="AQ1" s="38">
        <v>44215</v>
      </c>
      <c r="AR1" s="38">
        <v>44216</v>
      </c>
      <c r="AS1" s="38">
        <v>44217</v>
      </c>
      <c r="AT1" s="38">
        <v>44218</v>
      </c>
      <c r="AU1" s="38">
        <v>44219</v>
      </c>
      <c r="AV1" s="38">
        <v>44220</v>
      </c>
      <c r="AW1" s="38">
        <v>44221</v>
      </c>
      <c r="AX1" s="38">
        <v>44222</v>
      </c>
      <c r="AY1" s="38">
        <v>44223</v>
      </c>
      <c r="AZ1" s="38">
        <v>44224</v>
      </c>
      <c r="BA1" s="38">
        <v>44225</v>
      </c>
      <c r="BB1" s="38">
        <v>44226</v>
      </c>
      <c r="BC1" s="38">
        <v>44227</v>
      </c>
      <c r="BD1" s="38">
        <v>44228</v>
      </c>
      <c r="BE1" s="38">
        <v>44229</v>
      </c>
      <c r="BF1" s="38">
        <v>44230</v>
      </c>
      <c r="BG1" s="38">
        <v>44231</v>
      </c>
      <c r="BH1" s="38">
        <v>44232</v>
      </c>
      <c r="BI1" s="38">
        <v>44233</v>
      </c>
      <c r="BJ1" s="38">
        <v>44234</v>
      </c>
      <c r="BK1" s="38">
        <v>44235</v>
      </c>
      <c r="BL1" s="38">
        <v>44236</v>
      </c>
      <c r="BM1" s="38">
        <v>44237</v>
      </c>
      <c r="BN1" s="38">
        <v>44238</v>
      </c>
      <c r="BO1" s="38">
        <v>44239</v>
      </c>
      <c r="BP1" s="38">
        <v>44240</v>
      </c>
      <c r="BQ1" s="38">
        <v>44241</v>
      </c>
      <c r="BR1" s="38">
        <v>44242</v>
      </c>
      <c r="BS1" s="38">
        <v>44243</v>
      </c>
      <c r="BT1" s="38">
        <v>44244</v>
      </c>
      <c r="BU1" s="38">
        <v>44245</v>
      </c>
      <c r="BV1" s="38">
        <v>44246</v>
      </c>
      <c r="BW1" s="38">
        <v>44247</v>
      </c>
      <c r="BX1" s="38">
        <v>44248</v>
      </c>
      <c r="BY1" s="38">
        <v>44249</v>
      </c>
      <c r="BZ1" s="38">
        <v>44250</v>
      </c>
      <c r="CA1" s="38">
        <v>44251</v>
      </c>
      <c r="CB1" s="38">
        <v>44252</v>
      </c>
      <c r="CC1" s="38">
        <v>44253</v>
      </c>
      <c r="CD1" s="38">
        <v>44254</v>
      </c>
      <c r="CE1" s="38">
        <v>44255</v>
      </c>
      <c r="CF1" s="38">
        <v>44256</v>
      </c>
      <c r="CG1" s="38">
        <v>44257</v>
      </c>
      <c r="CH1" s="38">
        <v>44258</v>
      </c>
      <c r="CI1" s="38">
        <v>44259</v>
      </c>
      <c r="CJ1" s="38">
        <v>44260</v>
      </c>
      <c r="CK1" s="38">
        <v>44261</v>
      </c>
      <c r="CL1" s="38">
        <v>44262</v>
      </c>
      <c r="CM1" s="38">
        <v>44263</v>
      </c>
      <c r="CN1" s="38">
        <v>44264</v>
      </c>
      <c r="CO1" s="38">
        <v>44265</v>
      </c>
      <c r="CP1" s="38">
        <v>44266</v>
      </c>
      <c r="CQ1" s="38">
        <v>44267</v>
      </c>
      <c r="CR1" s="38">
        <v>44268</v>
      </c>
      <c r="CS1" s="38">
        <v>44269</v>
      </c>
      <c r="CT1" s="38">
        <v>44270</v>
      </c>
      <c r="CU1" s="38">
        <v>44271</v>
      </c>
      <c r="CV1" s="38">
        <v>44272</v>
      </c>
      <c r="CW1" s="38">
        <v>44273</v>
      </c>
      <c r="CX1" s="38">
        <v>44274</v>
      </c>
      <c r="CY1" s="38">
        <v>44275</v>
      </c>
      <c r="CZ1" s="38">
        <v>44276</v>
      </c>
      <c r="DA1" s="38">
        <v>44277</v>
      </c>
      <c r="DB1" s="38">
        <v>44278</v>
      </c>
      <c r="DC1" s="38">
        <v>44279</v>
      </c>
      <c r="DD1" s="38">
        <v>44280</v>
      </c>
      <c r="DE1" s="38">
        <v>44281</v>
      </c>
      <c r="DF1" s="38">
        <v>44282</v>
      </c>
      <c r="DG1" s="38">
        <v>44283</v>
      </c>
      <c r="DH1" s="38">
        <v>44284</v>
      </c>
      <c r="DI1" s="38">
        <v>44285</v>
      </c>
      <c r="DJ1" s="38">
        <v>44286</v>
      </c>
      <c r="DK1" s="38">
        <v>44287</v>
      </c>
      <c r="DL1" s="38">
        <v>44288</v>
      </c>
      <c r="DM1" s="38">
        <v>44289</v>
      </c>
      <c r="DN1" s="38">
        <v>44290</v>
      </c>
      <c r="DO1" s="38">
        <v>44291</v>
      </c>
      <c r="DP1" s="38">
        <v>44292</v>
      </c>
      <c r="DQ1" s="38">
        <v>44293</v>
      </c>
      <c r="DR1" s="38">
        <v>44294</v>
      </c>
      <c r="DS1" s="38">
        <v>44295</v>
      </c>
      <c r="DT1" s="38">
        <v>44296</v>
      </c>
      <c r="DU1" s="38">
        <v>44297</v>
      </c>
      <c r="DV1" s="38">
        <v>44298</v>
      </c>
      <c r="DW1" s="38">
        <v>44299</v>
      </c>
      <c r="DX1" s="38">
        <v>44300</v>
      </c>
      <c r="DY1" s="38">
        <v>44301</v>
      </c>
      <c r="DZ1" s="38">
        <v>44302</v>
      </c>
      <c r="EA1" s="38">
        <v>44303</v>
      </c>
      <c r="EB1" s="38">
        <v>44304</v>
      </c>
      <c r="EC1" s="38">
        <v>44305</v>
      </c>
      <c r="ED1" s="38">
        <v>44306</v>
      </c>
      <c r="EE1" s="38">
        <v>44307</v>
      </c>
      <c r="EF1" s="38">
        <v>44308</v>
      </c>
      <c r="EG1" s="38">
        <v>44309</v>
      </c>
      <c r="EH1" s="38">
        <v>44310</v>
      </c>
      <c r="EI1" s="38">
        <v>44311</v>
      </c>
      <c r="EJ1" s="38">
        <v>44312</v>
      </c>
      <c r="EK1" s="38">
        <v>44313</v>
      </c>
      <c r="EL1" s="38">
        <v>44314</v>
      </c>
      <c r="EM1" s="38">
        <v>44315</v>
      </c>
      <c r="EN1" s="38">
        <v>44316</v>
      </c>
      <c r="EO1" s="38">
        <v>44317</v>
      </c>
      <c r="EP1" s="38">
        <v>44318</v>
      </c>
      <c r="EQ1" s="38">
        <v>44319</v>
      </c>
      <c r="ER1" s="38">
        <v>44320</v>
      </c>
      <c r="ES1" s="38">
        <v>44321</v>
      </c>
      <c r="ET1" s="38">
        <v>44322</v>
      </c>
      <c r="EU1" s="38">
        <v>44323</v>
      </c>
      <c r="EV1" s="38">
        <v>44324</v>
      </c>
      <c r="EW1" s="38">
        <v>44325</v>
      </c>
      <c r="EX1" s="38">
        <v>44326</v>
      </c>
      <c r="EY1" s="38">
        <v>44327</v>
      </c>
      <c r="EZ1" s="38">
        <v>44328</v>
      </c>
      <c r="FA1" s="38">
        <v>44329</v>
      </c>
      <c r="FB1" s="38">
        <v>44330</v>
      </c>
      <c r="FC1" s="38">
        <v>44331</v>
      </c>
      <c r="FD1" s="38">
        <v>44332</v>
      </c>
      <c r="FE1" s="38">
        <v>44333</v>
      </c>
      <c r="FF1" s="38">
        <v>44334</v>
      </c>
      <c r="FG1" s="38">
        <v>44335</v>
      </c>
      <c r="FH1" s="38">
        <v>44336</v>
      </c>
      <c r="FI1" s="38">
        <v>44337</v>
      </c>
      <c r="FJ1" s="38">
        <v>44338</v>
      </c>
      <c r="FK1" s="38">
        <v>44339</v>
      </c>
      <c r="FL1" s="38">
        <v>44340</v>
      </c>
      <c r="FM1" s="38">
        <v>44341</v>
      </c>
      <c r="FN1" s="38">
        <v>44342</v>
      </c>
      <c r="FO1" s="38">
        <v>44343</v>
      </c>
      <c r="FP1" s="38">
        <v>44344</v>
      </c>
      <c r="FQ1" s="38">
        <v>44345</v>
      </c>
      <c r="FR1" s="38">
        <v>44346</v>
      </c>
      <c r="FS1" s="38">
        <v>44347</v>
      </c>
      <c r="FT1" s="38">
        <v>44348</v>
      </c>
      <c r="FU1" s="38">
        <v>44349</v>
      </c>
      <c r="FV1" s="38">
        <v>44350</v>
      </c>
      <c r="FW1" s="38">
        <v>44351</v>
      </c>
      <c r="FX1" s="38">
        <v>44352</v>
      </c>
      <c r="FY1" s="38">
        <v>44353</v>
      </c>
      <c r="FZ1" s="38">
        <v>44354</v>
      </c>
      <c r="GA1" s="38">
        <v>44355</v>
      </c>
      <c r="GB1" s="38">
        <v>44356</v>
      </c>
      <c r="GC1" s="38">
        <v>44357</v>
      </c>
      <c r="GD1" s="38">
        <v>44358</v>
      </c>
      <c r="GE1" s="38">
        <v>44359</v>
      </c>
      <c r="GF1" s="38">
        <v>44360</v>
      </c>
      <c r="GG1" s="38">
        <v>44361</v>
      </c>
      <c r="GH1" s="38">
        <v>44362</v>
      </c>
      <c r="GI1" s="38">
        <v>44363</v>
      </c>
      <c r="GJ1" s="38">
        <v>44364</v>
      </c>
      <c r="GK1" s="38">
        <v>44365</v>
      </c>
      <c r="GL1" s="38">
        <v>44366</v>
      </c>
      <c r="GM1" s="38">
        <v>44367</v>
      </c>
      <c r="GN1" s="38">
        <v>44368</v>
      </c>
      <c r="GO1" s="38">
        <v>44369</v>
      </c>
      <c r="GP1" s="38">
        <v>44370</v>
      </c>
      <c r="GQ1" s="38">
        <v>44371</v>
      </c>
      <c r="GR1" s="38">
        <v>44372</v>
      </c>
      <c r="GS1" s="38">
        <v>44373</v>
      </c>
      <c r="GT1" s="38">
        <v>44374</v>
      </c>
      <c r="GU1" s="38">
        <v>44375</v>
      </c>
      <c r="GV1" s="38">
        <v>44376</v>
      </c>
      <c r="GW1" s="38">
        <v>44377</v>
      </c>
      <c r="GX1" s="38">
        <v>44378</v>
      </c>
      <c r="GY1" s="38">
        <v>44379</v>
      </c>
      <c r="GZ1" s="38">
        <v>44380</v>
      </c>
      <c r="HA1" s="38">
        <v>44381</v>
      </c>
      <c r="HB1" s="38">
        <v>44382</v>
      </c>
      <c r="HC1" s="38">
        <v>44383</v>
      </c>
      <c r="HD1" s="38">
        <v>44384</v>
      </c>
      <c r="HE1" s="38">
        <v>44385</v>
      </c>
      <c r="HF1" s="38">
        <v>44386</v>
      </c>
      <c r="HG1" s="38">
        <v>44387</v>
      </c>
      <c r="HH1" s="38">
        <v>44388</v>
      </c>
      <c r="HI1" s="38">
        <v>44389</v>
      </c>
      <c r="HJ1" s="38">
        <v>44390</v>
      </c>
      <c r="HK1" s="38">
        <v>44391</v>
      </c>
      <c r="HL1" s="38">
        <v>44392</v>
      </c>
      <c r="HM1" s="38">
        <v>44393</v>
      </c>
      <c r="HN1" s="38">
        <v>44394</v>
      </c>
      <c r="HO1" s="38">
        <v>44395</v>
      </c>
      <c r="HP1" s="38">
        <v>44396</v>
      </c>
      <c r="HQ1" s="38">
        <v>44397</v>
      </c>
      <c r="HR1" s="38">
        <v>44398</v>
      </c>
      <c r="HS1" s="38">
        <v>44399</v>
      </c>
      <c r="HT1" s="38">
        <v>44400</v>
      </c>
      <c r="HU1" s="38">
        <v>44401</v>
      </c>
      <c r="HV1" s="38">
        <v>44402</v>
      </c>
      <c r="HW1" s="38">
        <v>44403</v>
      </c>
      <c r="HX1" s="38">
        <v>44404</v>
      </c>
      <c r="HY1" s="38">
        <v>44405</v>
      </c>
      <c r="HZ1" s="38">
        <v>44406</v>
      </c>
      <c r="IA1" s="38">
        <v>44407</v>
      </c>
      <c r="IB1" s="38">
        <v>44408</v>
      </c>
      <c r="IC1" s="38">
        <v>44409</v>
      </c>
      <c r="ID1" s="38">
        <v>44410</v>
      </c>
      <c r="IE1" s="38">
        <v>44411</v>
      </c>
      <c r="IF1" s="38">
        <v>44412</v>
      </c>
      <c r="IG1" s="38">
        <v>44413</v>
      </c>
      <c r="IH1" s="38">
        <v>44414</v>
      </c>
      <c r="II1" s="38">
        <v>44415</v>
      </c>
      <c r="IJ1" s="38">
        <v>44416</v>
      </c>
      <c r="IK1" s="38">
        <v>44417</v>
      </c>
      <c r="IL1" s="38">
        <v>44418</v>
      </c>
      <c r="IM1" s="38">
        <v>44419</v>
      </c>
      <c r="IN1" s="38">
        <v>44420</v>
      </c>
      <c r="IO1" s="38">
        <v>44421</v>
      </c>
      <c r="IP1" s="38">
        <v>44422</v>
      </c>
      <c r="IQ1" s="38">
        <v>44423</v>
      </c>
      <c r="IR1" s="38">
        <v>44424</v>
      </c>
      <c r="IS1" s="38">
        <v>44425</v>
      </c>
      <c r="IT1" s="38">
        <v>44426</v>
      </c>
      <c r="IU1" s="38">
        <v>44427</v>
      </c>
      <c r="IV1" s="38">
        <v>44428</v>
      </c>
      <c r="IW1" s="38">
        <v>44429</v>
      </c>
      <c r="IX1" s="38">
        <v>44430</v>
      </c>
      <c r="IY1" s="38">
        <v>44431</v>
      </c>
      <c r="IZ1" s="38">
        <v>44432</v>
      </c>
      <c r="JA1" s="38">
        <v>44433</v>
      </c>
      <c r="JB1" s="38">
        <v>44434</v>
      </c>
      <c r="JC1" s="38">
        <v>44435</v>
      </c>
      <c r="JD1" s="38">
        <v>44436</v>
      </c>
      <c r="JE1" s="38">
        <v>44437</v>
      </c>
      <c r="JF1" s="38">
        <v>44438</v>
      </c>
      <c r="JG1" s="38">
        <v>44439</v>
      </c>
      <c r="JH1" s="38">
        <v>44440</v>
      </c>
      <c r="JI1" s="38">
        <v>44441</v>
      </c>
      <c r="JJ1" s="38">
        <v>44442</v>
      </c>
      <c r="JK1" s="38">
        <v>44443</v>
      </c>
      <c r="JL1" s="38">
        <v>44444</v>
      </c>
      <c r="JM1" s="38">
        <v>44445</v>
      </c>
      <c r="JN1" s="38">
        <v>44446</v>
      </c>
      <c r="JO1" s="38">
        <v>44447</v>
      </c>
      <c r="JP1" s="38">
        <v>44448</v>
      </c>
      <c r="JQ1" s="38">
        <v>44449</v>
      </c>
      <c r="JR1" s="38">
        <v>44450</v>
      </c>
      <c r="JS1" s="38">
        <v>44451</v>
      </c>
      <c r="JT1" s="38">
        <v>44452</v>
      </c>
      <c r="JU1" s="38">
        <v>44453</v>
      </c>
      <c r="JV1" s="38">
        <v>44454</v>
      </c>
      <c r="JW1" s="38">
        <v>44455</v>
      </c>
      <c r="JX1" s="38">
        <v>44456</v>
      </c>
      <c r="JY1" s="38">
        <v>44457</v>
      </c>
      <c r="JZ1" s="38">
        <v>44458</v>
      </c>
      <c r="KA1" s="38">
        <v>44459</v>
      </c>
      <c r="KB1" s="38">
        <v>44460</v>
      </c>
      <c r="KC1" s="38">
        <v>44461</v>
      </c>
      <c r="KD1" s="38">
        <v>44462</v>
      </c>
      <c r="KE1" s="38">
        <v>44463</v>
      </c>
      <c r="KF1" s="38">
        <v>44464</v>
      </c>
      <c r="KG1" s="38">
        <v>44465</v>
      </c>
      <c r="KH1" s="38">
        <v>44466</v>
      </c>
      <c r="KI1" s="38">
        <v>44467</v>
      </c>
      <c r="KJ1" s="38">
        <v>44468</v>
      </c>
      <c r="KK1" s="38">
        <v>44469</v>
      </c>
      <c r="KL1" s="38">
        <v>44470</v>
      </c>
      <c r="KM1" s="38">
        <v>44471</v>
      </c>
      <c r="KN1" s="38">
        <v>44472</v>
      </c>
      <c r="KO1" s="38">
        <v>44473</v>
      </c>
      <c r="KP1" s="38">
        <v>44474</v>
      </c>
      <c r="KQ1" s="38">
        <v>44475</v>
      </c>
      <c r="KR1" s="38">
        <v>44476</v>
      </c>
      <c r="KS1" s="38">
        <v>44477</v>
      </c>
      <c r="KT1" s="38">
        <v>44478</v>
      </c>
      <c r="KU1" s="38">
        <v>44479</v>
      </c>
      <c r="KV1" s="38">
        <v>44480</v>
      </c>
      <c r="KW1" s="38">
        <v>44481</v>
      </c>
      <c r="KX1" s="38">
        <v>44482</v>
      </c>
      <c r="KY1" s="38">
        <v>44483</v>
      </c>
      <c r="KZ1" s="38">
        <v>44484</v>
      </c>
      <c r="LA1" s="38">
        <v>44485</v>
      </c>
      <c r="LB1" s="38">
        <v>44486</v>
      </c>
      <c r="LC1" s="38">
        <v>44487</v>
      </c>
      <c r="LD1" s="38">
        <v>44488</v>
      </c>
      <c r="LE1" s="38">
        <v>44489</v>
      </c>
      <c r="LF1" s="38">
        <v>44490</v>
      </c>
      <c r="LG1" s="38">
        <v>44491</v>
      </c>
      <c r="LH1" s="38">
        <v>44492</v>
      </c>
      <c r="LI1" s="38">
        <v>44493</v>
      </c>
      <c r="LJ1" s="38">
        <v>44494</v>
      </c>
      <c r="LK1" s="38">
        <v>44495</v>
      </c>
      <c r="LL1" s="38">
        <v>44496</v>
      </c>
      <c r="LM1" s="38">
        <v>44497</v>
      </c>
      <c r="LN1" s="38">
        <v>44498</v>
      </c>
      <c r="LO1" s="38">
        <v>44499</v>
      </c>
      <c r="LP1" s="38">
        <v>44500</v>
      </c>
      <c r="LQ1" s="38">
        <v>44501</v>
      </c>
      <c r="LR1" s="38">
        <v>44502</v>
      </c>
      <c r="LS1" s="38">
        <v>44503</v>
      </c>
      <c r="LT1" s="38">
        <v>44504</v>
      </c>
      <c r="LU1" s="38">
        <v>44505</v>
      </c>
      <c r="LV1" s="38">
        <v>44506</v>
      </c>
      <c r="LW1" s="38">
        <v>44507</v>
      </c>
      <c r="LX1" s="38">
        <v>44508</v>
      </c>
      <c r="LY1" s="38">
        <v>44509</v>
      </c>
      <c r="LZ1" s="38">
        <v>44510</v>
      </c>
      <c r="MA1" s="38">
        <v>44511</v>
      </c>
      <c r="MB1" s="38">
        <v>44512</v>
      </c>
      <c r="MC1" s="38">
        <v>44513</v>
      </c>
      <c r="MD1" s="38">
        <v>44514</v>
      </c>
      <c r="ME1" s="38">
        <v>44515</v>
      </c>
      <c r="MF1" s="38">
        <v>44516</v>
      </c>
      <c r="MG1" s="38">
        <v>44517</v>
      </c>
      <c r="MH1" s="38">
        <v>44518</v>
      </c>
      <c r="MI1" s="38">
        <v>44519</v>
      </c>
      <c r="MJ1" s="38">
        <v>44520</v>
      </c>
      <c r="MK1" s="38">
        <v>44521</v>
      </c>
      <c r="ML1" s="38">
        <v>44522</v>
      </c>
      <c r="MM1" s="38">
        <v>44523</v>
      </c>
      <c r="MN1" s="38">
        <v>44524</v>
      </c>
      <c r="MO1" s="38">
        <v>44525</v>
      </c>
      <c r="MP1" s="38">
        <v>44526</v>
      </c>
      <c r="MQ1" s="38">
        <v>44527</v>
      </c>
      <c r="MR1" s="38">
        <v>44528</v>
      </c>
      <c r="MS1" s="38">
        <v>44529</v>
      </c>
      <c r="MT1" s="38">
        <v>44530</v>
      </c>
      <c r="MU1" s="38">
        <v>44531</v>
      </c>
      <c r="MV1" s="38">
        <v>44532</v>
      </c>
      <c r="MW1" s="38">
        <v>44533</v>
      </c>
      <c r="MX1" s="38">
        <v>44534</v>
      </c>
      <c r="MY1" s="38">
        <v>44535</v>
      </c>
      <c r="MZ1" s="38">
        <v>44536</v>
      </c>
      <c r="NA1" s="38">
        <v>44537</v>
      </c>
      <c r="NB1" s="38">
        <v>44538</v>
      </c>
      <c r="NC1" s="38">
        <v>44539</v>
      </c>
      <c r="ND1" s="38">
        <v>44540</v>
      </c>
      <c r="NE1" s="38">
        <v>44541</v>
      </c>
      <c r="NF1" s="38">
        <v>44542</v>
      </c>
      <c r="NG1" s="38">
        <v>44543</v>
      </c>
      <c r="NH1" s="38">
        <v>44544</v>
      </c>
      <c r="NI1" s="38">
        <v>44545</v>
      </c>
      <c r="NJ1" s="38">
        <v>44546</v>
      </c>
      <c r="NK1" s="38">
        <v>44547</v>
      </c>
      <c r="NL1" s="38">
        <v>44548</v>
      </c>
      <c r="NM1" s="38">
        <v>44549</v>
      </c>
      <c r="NN1" s="38">
        <v>44550</v>
      </c>
      <c r="NO1" s="38">
        <v>44551</v>
      </c>
      <c r="NP1" s="38">
        <v>44552</v>
      </c>
      <c r="NQ1" s="38">
        <v>44553</v>
      </c>
      <c r="NR1" s="38">
        <v>44554</v>
      </c>
      <c r="NS1" s="38">
        <v>44555</v>
      </c>
      <c r="NT1" s="38">
        <v>44556</v>
      </c>
      <c r="NU1" s="38">
        <v>44557</v>
      </c>
      <c r="NV1" s="38">
        <v>44558</v>
      </c>
      <c r="NW1" s="38">
        <v>44559</v>
      </c>
      <c r="NX1" s="38">
        <v>44560</v>
      </c>
      <c r="NY1" s="38">
        <v>44561</v>
      </c>
      <c r="NZ1" s="38">
        <v>44562</v>
      </c>
      <c r="OA1" s="38">
        <v>44563</v>
      </c>
      <c r="OB1" s="38">
        <v>44564</v>
      </c>
      <c r="OC1" s="38">
        <v>44565</v>
      </c>
      <c r="OD1" s="38">
        <v>44566</v>
      </c>
      <c r="OE1" s="38">
        <v>44567</v>
      </c>
      <c r="OF1" s="38">
        <v>44568</v>
      </c>
      <c r="OG1" s="38">
        <v>44569</v>
      </c>
      <c r="OH1" s="38">
        <v>44570</v>
      </c>
      <c r="OI1" s="38">
        <v>44571</v>
      </c>
      <c r="OJ1" s="38">
        <v>44572</v>
      </c>
      <c r="OK1" s="38">
        <v>44573</v>
      </c>
      <c r="OL1" s="38">
        <v>44574</v>
      </c>
      <c r="OM1" s="38">
        <v>44575</v>
      </c>
      <c r="ON1" s="38">
        <v>44576</v>
      </c>
      <c r="OO1" s="38">
        <v>44577</v>
      </c>
      <c r="OP1" s="38">
        <v>44578</v>
      </c>
      <c r="OQ1" s="38">
        <v>44579</v>
      </c>
      <c r="OR1" s="38">
        <v>44580</v>
      </c>
      <c r="OS1" s="38">
        <v>44581</v>
      </c>
      <c r="OT1" s="38">
        <v>44582</v>
      </c>
      <c r="OU1" s="38">
        <v>44583</v>
      </c>
      <c r="OV1" s="38">
        <v>44584</v>
      </c>
      <c r="OW1" s="38">
        <v>44585</v>
      </c>
      <c r="OX1" s="38">
        <v>44586</v>
      </c>
      <c r="OY1" s="38">
        <v>44587</v>
      </c>
      <c r="OZ1" s="38">
        <v>44588</v>
      </c>
      <c r="PA1" s="38">
        <v>44589</v>
      </c>
      <c r="PB1" s="38">
        <v>44590</v>
      </c>
      <c r="PC1" s="38">
        <v>44591</v>
      </c>
      <c r="PD1" s="38">
        <v>44592</v>
      </c>
      <c r="PE1" s="38">
        <v>44593</v>
      </c>
      <c r="PF1" s="38">
        <v>44594</v>
      </c>
      <c r="PG1" s="38">
        <v>44595</v>
      </c>
      <c r="PH1" s="38">
        <v>44596</v>
      </c>
      <c r="PI1" s="38">
        <v>44597</v>
      </c>
      <c r="PJ1" s="38">
        <v>44598</v>
      </c>
      <c r="PK1" s="38">
        <v>44599</v>
      </c>
      <c r="PL1" s="38">
        <v>44600</v>
      </c>
      <c r="PM1" s="38">
        <v>44601</v>
      </c>
      <c r="PN1" s="38">
        <v>44602</v>
      </c>
      <c r="PO1" s="38">
        <v>44603</v>
      </c>
      <c r="PP1" s="38">
        <v>44604</v>
      </c>
      <c r="PQ1" s="38">
        <v>44605</v>
      </c>
      <c r="PR1" s="38">
        <v>44606</v>
      </c>
      <c r="PS1" s="38">
        <v>44607</v>
      </c>
      <c r="PT1" s="38">
        <v>44608</v>
      </c>
      <c r="PU1" s="38">
        <v>44609</v>
      </c>
      <c r="PV1" s="38">
        <v>44610</v>
      </c>
      <c r="PW1" s="38">
        <v>44611</v>
      </c>
      <c r="PX1" s="38">
        <v>44612</v>
      </c>
      <c r="PY1" s="38">
        <v>44613</v>
      </c>
      <c r="PZ1" s="38">
        <v>44614</v>
      </c>
      <c r="QA1" s="38">
        <v>44615</v>
      </c>
      <c r="QB1" s="38">
        <v>44616</v>
      </c>
      <c r="QC1" s="38">
        <v>44617</v>
      </c>
      <c r="QD1" s="38">
        <v>44618</v>
      </c>
      <c r="QE1" s="38">
        <v>44619</v>
      </c>
      <c r="QF1" s="38">
        <v>44620</v>
      </c>
      <c r="QG1" s="38">
        <v>44621</v>
      </c>
      <c r="QH1" s="38">
        <v>44622</v>
      </c>
      <c r="QI1" s="38">
        <v>44623</v>
      </c>
      <c r="QJ1" s="38">
        <v>44624</v>
      </c>
      <c r="QK1" s="38">
        <v>44625</v>
      </c>
      <c r="QL1" s="38">
        <v>44626</v>
      </c>
      <c r="QM1" s="38">
        <v>44627</v>
      </c>
      <c r="QN1" s="38">
        <v>44628</v>
      </c>
      <c r="QO1" s="38">
        <v>44629</v>
      </c>
      <c r="QP1" s="38">
        <v>44630</v>
      </c>
      <c r="QQ1" s="38">
        <v>44631</v>
      </c>
      <c r="QR1" s="38">
        <v>44632</v>
      </c>
      <c r="QS1" s="38">
        <v>44633</v>
      </c>
      <c r="QT1" s="38">
        <v>44634</v>
      </c>
      <c r="QU1" s="38">
        <v>44635</v>
      </c>
      <c r="QV1" s="38">
        <v>44636</v>
      </c>
      <c r="QW1" s="38">
        <v>44637</v>
      </c>
      <c r="QX1" s="38">
        <v>44638</v>
      </c>
      <c r="QY1" s="38">
        <v>44639</v>
      </c>
      <c r="QZ1" s="38">
        <v>44640</v>
      </c>
      <c r="RA1" s="38">
        <v>44641</v>
      </c>
      <c r="RB1" s="38">
        <v>44642</v>
      </c>
      <c r="RC1" s="38">
        <v>44643</v>
      </c>
      <c r="RD1" s="38">
        <v>44644</v>
      </c>
      <c r="RE1" s="38">
        <v>44645</v>
      </c>
      <c r="RF1" s="38">
        <v>44646</v>
      </c>
      <c r="RG1" s="38">
        <v>44647</v>
      </c>
      <c r="RH1" s="38">
        <v>44648</v>
      </c>
      <c r="RI1" s="38">
        <v>44649</v>
      </c>
      <c r="RJ1" s="38">
        <v>44650</v>
      </c>
      <c r="RK1" s="38">
        <v>44651</v>
      </c>
      <c r="RL1" s="38">
        <v>44654</v>
      </c>
      <c r="RM1" s="38">
        <v>44655</v>
      </c>
      <c r="RN1" s="38">
        <v>44656</v>
      </c>
      <c r="RO1" s="38">
        <v>44657</v>
      </c>
      <c r="RP1" s="38">
        <v>44658</v>
      </c>
      <c r="RQ1" s="38">
        <v>44661</v>
      </c>
      <c r="RR1" s="38">
        <v>44662</v>
      </c>
      <c r="RS1" s="38">
        <v>44663</v>
      </c>
      <c r="RT1" s="38">
        <v>44664</v>
      </c>
      <c r="RU1" s="38">
        <v>44665</v>
      </c>
      <c r="RV1" s="38">
        <v>44668</v>
      </c>
      <c r="RW1" s="38">
        <v>44669</v>
      </c>
      <c r="RX1" s="38">
        <v>44670</v>
      </c>
      <c r="RY1" s="38">
        <v>44671</v>
      </c>
      <c r="RZ1" s="38">
        <v>44672</v>
      </c>
      <c r="SA1" s="38">
        <v>44673</v>
      </c>
      <c r="SB1" s="38">
        <v>44674</v>
      </c>
      <c r="SC1" s="38">
        <v>44675</v>
      </c>
      <c r="SD1" s="38">
        <v>44676</v>
      </c>
      <c r="SE1" s="38">
        <v>44677</v>
      </c>
      <c r="SF1" s="38">
        <v>44678</v>
      </c>
      <c r="SG1" s="38">
        <v>44679</v>
      </c>
      <c r="SH1" s="38">
        <v>44680</v>
      </c>
      <c r="SI1" s="38">
        <v>44681</v>
      </c>
      <c r="SJ1" s="38">
        <v>44682</v>
      </c>
      <c r="SK1" s="38">
        <v>44683</v>
      </c>
      <c r="SL1" s="38">
        <v>44684</v>
      </c>
      <c r="SM1" s="38">
        <v>44685</v>
      </c>
      <c r="SN1" s="38">
        <v>44686</v>
      </c>
      <c r="SO1" s="38">
        <v>44687</v>
      </c>
      <c r="SP1" s="38">
        <v>44688</v>
      </c>
      <c r="SQ1" s="38">
        <v>44689</v>
      </c>
      <c r="SR1" s="38">
        <v>44690</v>
      </c>
      <c r="SS1" s="38">
        <v>44691</v>
      </c>
      <c r="ST1" s="38">
        <v>44692</v>
      </c>
      <c r="SU1" s="38">
        <v>44693</v>
      </c>
      <c r="SV1" s="38">
        <v>44694</v>
      </c>
      <c r="SW1" s="38">
        <v>44695</v>
      </c>
      <c r="SX1" s="38">
        <v>44696</v>
      </c>
      <c r="SY1" s="38">
        <v>44697</v>
      </c>
      <c r="SZ1" s="38">
        <v>44698</v>
      </c>
      <c r="TA1" s="38">
        <v>44699</v>
      </c>
      <c r="TB1" s="38">
        <v>44700</v>
      </c>
      <c r="TC1" s="38">
        <v>44701</v>
      </c>
      <c r="TD1" s="38">
        <v>44702</v>
      </c>
      <c r="TE1" s="38">
        <v>44703</v>
      </c>
      <c r="TF1" s="38">
        <v>44704</v>
      </c>
      <c r="TG1" s="38">
        <v>44705</v>
      </c>
      <c r="TH1" s="38">
        <v>44706</v>
      </c>
      <c r="TI1" s="38">
        <v>44707</v>
      </c>
      <c r="TJ1" s="38">
        <v>44708</v>
      </c>
      <c r="TK1" s="38">
        <v>44709</v>
      </c>
      <c r="TL1" s="38">
        <v>44710</v>
      </c>
      <c r="TM1" s="38">
        <v>44711</v>
      </c>
      <c r="TN1" s="38">
        <v>44712</v>
      </c>
      <c r="TO1" s="38">
        <v>44713</v>
      </c>
      <c r="TP1" s="38">
        <v>44714</v>
      </c>
      <c r="TQ1" s="38">
        <v>44715</v>
      </c>
      <c r="TR1" s="38">
        <v>44716</v>
      </c>
      <c r="TS1" s="38">
        <v>44717</v>
      </c>
      <c r="TT1" s="38">
        <v>44718</v>
      </c>
      <c r="TU1" s="38">
        <v>44719</v>
      </c>
      <c r="TV1" s="38">
        <v>44720</v>
      </c>
      <c r="TW1" s="38">
        <v>44721</v>
      </c>
      <c r="TX1" s="38">
        <v>44722</v>
      </c>
      <c r="TY1" s="38">
        <v>44723</v>
      </c>
      <c r="TZ1" s="38">
        <v>44724</v>
      </c>
      <c r="UA1" s="38">
        <v>44725</v>
      </c>
      <c r="UB1" s="38">
        <v>44726</v>
      </c>
      <c r="UC1" s="38">
        <v>44727</v>
      </c>
      <c r="UD1" s="38">
        <v>44728</v>
      </c>
      <c r="UE1" s="38">
        <v>44729</v>
      </c>
      <c r="UF1" s="38">
        <v>44730</v>
      </c>
      <c r="UG1" s="38">
        <v>44731</v>
      </c>
      <c r="UH1" s="38">
        <v>44732</v>
      </c>
      <c r="UI1" s="38">
        <v>44733</v>
      </c>
      <c r="UJ1" s="38">
        <v>44734</v>
      </c>
      <c r="UK1" s="38">
        <v>44735</v>
      </c>
      <c r="UL1" s="38">
        <v>44736</v>
      </c>
      <c r="UM1" s="38">
        <v>44737</v>
      </c>
      <c r="UN1" s="38">
        <v>44738</v>
      </c>
      <c r="UO1" s="38">
        <v>44739</v>
      </c>
      <c r="UP1" s="38">
        <v>44740</v>
      </c>
      <c r="UQ1" s="38">
        <v>44741</v>
      </c>
      <c r="UR1" s="38">
        <v>44742</v>
      </c>
      <c r="US1" s="38">
        <v>44743</v>
      </c>
      <c r="UT1" s="38">
        <v>44744</v>
      </c>
      <c r="UU1" s="38">
        <v>44745</v>
      </c>
      <c r="UV1" s="38">
        <v>44746</v>
      </c>
      <c r="UW1" s="38">
        <v>44747</v>
      </c>
      <c r="UX1" s="38">
        <v>44748</v>
      </c>
      <c r="UY1" s="38">
        <v>44749</v>
      </c>
      <c r="UZ1" s="38">
        <v>44750</v>
      </c>
      <c r="VA1" s="38">
        <v>44751</v>
      </c>
      <c r="VB1" s="38">
        <v>44752</v>
      </c>
      <c r="VC1" s="38">
        <v>44753</v>
      </c>
      <c r="VD1" s="38">
        <v>44754</v>
      </c>
      <c r="VE1" s="38">
        <v>44755</v>
      </c>
      <c r="VF1" s="38">
        <v>44756</v>
      </c>
      <c r="VG1" s="38">
        <v>44757</v>
      </c>
      <c r="VH1" s="38">
        <v>44758</v>
      </c>
      <c r="VI1" s="38">
        <v>44759</v>
      </c>
      <c r="VJ1" s="38">
        <v>44760</v>
      </c>
      <c r="VK1" s="38">
        <v>44761</v>
      </c>
      <c r="VL1" s="38">
        <v>44762</v>
      </c>
      <c r="VM1" s="38">
        <v>44763</v>
      </c>
      <c r="VN1" s="38">
        <v>44764</v>
      </c>
      <c r="VO1" s="38">
        <v>44765</v>
      </c>
      <c r="VP1" s="38">
        <v>44766</v>
      </c>
      <c r="VQ1" s="38">
        <v>44767</v>
      </c>
      <c r="VR1" s="38">
        <v>44768</v>
      </c>
      <c r="VS1" s="38">
        <v>44769</v>
      </c>
      <c r="VT1" s="38">
        <v>44770</v>
      </c>
      <c r="VU1" s="38">
        <v>44771</v>
      </c>
      <c r="VV1" s="38">
        <v>44772</v>
      </c>
      <c r="VW1" s="38">
        <v>44774</v>
      </c>
      <c r="VX1" s="38">
        <v>44775</v>
      </c>
      <c r="VY1" s="38">
        <v>44776</v>
      </c>
      <c r="VZ1" s="38">
        <v>44777</v>
      </c>
      <c r="WA1" s="38">
        <v>44778</v>
      </c>
      <c r="WB1" s="38">
        <v>44779</v>
      </c>
      <c r="WC1" s="38">
        <v>44780</v>
      </c>
      <c r="WD1" s="38">
        <v>44781</v>
      </c>
      <c r="WE1" s="38">
        <v>44782</v>
      </c>
      <c r="WF1" s="38">
        <v>44783</v>
      </c>
      <c r="WG1" s="38">
        <v>44784</v>
      </c>
      <c r="WH1" s="38">
        <v>44785</v>
      </c>
      <c r="WI1" s="38">
        <v>44786</v>
      </c>
      <c r="WJ1" s="38">
        <v>44787</v>
      </c>
      <c r="WK1" s="38">
        <v>44788</v>
      </c>
      <c r="WL1" s="38">
        <v>44789</v>
      </c>
      <c r="WM1" s="38">
        <v>44790</v>
      </c>
      <c r="WN1" s="38">
        <v>44791</v>
      </c>
      <c r="WO1" s="38">
        <v>44792</v>
      </c>
      <c r="WP1" s="38">
        <v>44793</v>
      </c>
      <c r="WQ1" s="38">
        <v>44794</v>
      </c>
      <c r="WR1" s="38">
        <v>44795</v>
      </c>
      <c r="WS1" s="38">
        <v>44796</v>
      </c>
      <c r="WT1" s="38">
        <v>44797</v>
      </c>
      <c r="WU1" s="38">
        <v>44798</v>
      </c>
      <c r="WV1" s="38">
        <v>44799</v>
      </c>
      <c r="WW1" s="38">
        <v>44800</v>
      </c>
      <c r="WX1" s="38">
        <v>44801</v>
      </c>
      <c r="WY1" s="38">
        <v>44802</v>
      </c>
      <c r="WZ1" s="38">
        <v>44803</v>
      </c>
      <c r="XA1" s="38">
        <v>44804</v>
      </c>
      <c r="XB1" s="38">
        <v>44805</v>
      </c>
      <c r="XC1" s="38">
        <v>44806</v>
      </c>
      <c r="XD1" s="38">
        <v>44807</v>
      </c>
      <c r="XE1" s="38">
        <v>44808</v>
      </c>
      <c r="XF1" s="38">
        <v>44809</v>
      </c>
      <c r="XG1" s="38">
        <v>44810</v>
      </c>
      <c r="XH1" s="38">
        <v>44811</v>
      </c>
      <c r="XI1" s="38">
        <v>44812</v>
      </c>
      <c r="XJ1" s="38">
        <v>44813</v>
      </c>
      <c r="XK1" s="38">
        <v>44814</v>
      </c>
      <c r="XL1" s="38">
        <v>44815</v>
      </c>
      <c r="XM1" s="38">
        <v>44816</v>
      </c>
      <c r="XN1" s="38">
        <v>44817</v>
      </c>
      <c r="XO1" s="38">
        <v>44818</v>
      </c>
      <c r="XP1" s="38">
        <v>44819</v>
      </c>
      <c r="XQ1" s="38">
        <v>44820</v>
      </c>
      <c r="XR1" s="38">
        <v>44821</v>
      </c>
      <c r="XS1" s="38">
        <v>44822</v>
      </c>
      <c r="XT1" s="38">
        <v>44823</v>
      </c>
      <c r="XU1" s="38">
        <v>44824</v>
      </c>
      <c r="XV1" s="38">
        <v>44825</v>
      </c>
      <c r="XW1" s="38">
        <v>44826</v>
      </c>
      <c r="XX1" s="38">
        <v>44827</v>
      </c>
      <c r="XY1" s="38">
        <v>44828</v>
      </c>
      <c r="XZ1" s="38">
        <v>44829</v>
      </c>
      <c r="YA1" s="38">
        <v>44830</v>
      </c>
      <c r="YB1" s="38">
        <v>44831</v>
      </c>
      <c r="YC1" s="38">
        <v>44832</v>
      </c>
      <c r="YD1" s="38">
        <v>44833</v>
      </c>
      <c r="YE1" s="38">
        <v>44834</v>
      </c>
      <c r="YF1" s="38">
        <v>44835</v>
      </c>
      <c r="YG1" s="38">
        <v>44836</v>
      </c>
      <c r="YH1" s="38">
        <v>44837</v>
      </c>
      <c r="YI1" s="38">
        <v>44838</v>
      </c>
      <c r="YJ1" s="38">
        <v>44839</v>
      </c>
      <c r="YK1" s="38">
        <v>44840</v>
      </c>
      <c r="YL1" s="38">
        <v>44841</v>
      </c>
      <c r="YM1" s="38">
        <v>44842</v>
      </c>
      <c r="YN1" s="38">
        <v>44843</v>
      </c>
      <c r="YO1" s="38">
        <v>44844</v>
      </c>
      <c r="YP1" s="38">
        <v>44845</v>
      </c>
      <c r="YQ1" s="38">
        <v>44846</v>
      </c>
      <c r="YR1" s="38">
        <v>44847</v>
      </c>
      <c r="YS1" s="38">
        <v>44848</v>
      </c>
      <c r="YT1" s="38">
        <v>44849</v>
      </c>
      <c r="YU1" s="38">
        <v>44850</v>
      </c>
      <c r="YV1" s="38">
        <v>44851</v>
      </c>
      <c r="YW1" s="38">
        <v>44852</v>
      </c>
      <c r="YX1" s="38">
        <v>44853</v>
      </c>
      <c r="YY1" s="38">
        <v>44854</v>
      </c>
      <c r="YZ1" s="38">
        <v>44855</v>
      </c>
      <c r="ZA1" s="38">
        <v>44856</v>
      </c>
      <c r="ZB1" s="38">
        <v>44857</v>
      </c>
      <c r="ZC1" s="38">
        <v>44858</v>
      </c>
      <c r="ZD1" s="38">
        <v>44859</v>
      </c>
      <c r="ZE1" s="38">
        <v>44860</v>
      </c>
      <c r="ZF1" s="38">
        <v>44861</v>
      </c>
      <c r="ZG1" s="38">
        <v>44862</v>
      </c>
      <c r="ZH1" s="38">
        <v>44863</v>
      </c>
      <c r="ZI1" s="38">
        <v>44864</v>
      </c>
      <c r="ZJ1" s="38">
        <v>44865</v>
      </c>
      <c r="ZK1" s="38">
        <v>44866</v>
      </c>
      <c r="ZL1" s="38">
        <v>44867</v>
      </c>
      <c r="ZM1" s="38">
        <v>44868</v>
      </c>
      <c r="ZN1" s="38">
        <v>44869</v>
      </c>
      <c r="ZO1" s="38">
        <v>44870</v>
      </c>
      <c r="ZP1" s="38">
        <v>44871</v>
      </c>
      <c r="ZQ1" s="38">
        <v>44872</v>
      </c>
      <c r="ZR1" s="38">
        <v>44873</v>
      </c>
      <c r="ZS1" s="38">
        <v>44874</v>
      </c>
      <c r="ZT1" s="38">
        <v>44875</v>
      </c>
      <c r="ZU1" s="38">
        <v>44876</v>
      </c>
      <c r="ZV1" s="38">
        <v>44877</v>
      </c>
      <c r="ZW1" s="38">
        <v>44878</v>
      </c>
      <c r="ZX1" s="38">
        <v>44879</v>
      </c>
      <c r="ZY1" s="38">
        <v>44880</v>
      </c>
      <c r="ZZ1" s="38">
        <v>44881</v>
      </c>
      <c r="AAA1" s="38">
        <v>44882</v>
      </c>
      <c r="AAB1" s="38">
        <v>44883</v>
      </c>
      <c r="AAC1" s="38">
        <v>44884</v>
      </c>
      <c r="AAD1" s="38">
        <v>44885</v>
      </c>
      <c r="AAE1" s="38">
        <v>44886</v>
      </c>
      <c r="AAF1" s="38">
        <v>44887</v>
      </c>
      <c r="AAG1" s="38">
        <v>44888</v>
      </c>
      <c r="AAH1" s="38">
        <v>44889</v>
      </c>
      <c r="AAI1" s="38">
        <v>44890</v>
      </c>
      <c r="AAJ1" s="38">
        <v>44891</v>
      </c>
      <c r="AAK1" s="38">
        <v>44892</v>
      </c>
      <c r="AAL1" s="38">
        <v>44893</v>
      </c>
      <c r="AAM1" s="38">
        <v>44894</v>
      </c>
      <c r="AAN1" s="38">
        <v>44895</v>
      </c>
      <c r="AAO1" s="38">
        <v>44896</v>
      </c>
      <c r="AAP1" s="38">
        <v>44897</v>
      </c>
      <c r="AAQ1" s="38">
        <v>44898</v>
      </c>
      <c r="AAR1" s="38">
        <v>44899</v>
      </c>
      <c r="AAS1" s="38">
        <v>44900</v>
      </c>
      <c r="AAT1" s="38">
        <v>44901</v>
      </c>
      <c r="AAU1" s="38">
        <v>44902</v>
      </c>
      <c r="AAV1" s="38">
        <v>44903</v>
      </c>
      <c r="AAW1" s="38">
        <v>44904</v>
      </c>
      <c r="AAX1" s="38">
        <v>44905</v>
      </c>
      <c r="AAY1" s="38">
        <v>44906</v>
      </c>
      <c r="AAZ1" s="38">
        <v>44907</v>
      </c>
      <c r="ABA1" s="38">
        <v>44908</v>
      </c>
      <c r="ABB1" s="38">
        <v>44909</v>
      </c>
      <c r="ABC1" s="38">
        <v>44910</v>
      </c>
      <c r="ABD1" s="38">
        <v>44911</v>
      </c>
      <c r="ABE1" s="38">
        <v>44912</v>
      </c>
      <c r="ABF1" s="38">
        <v>44913</v>
      </c>
      <c r="ABG1" s="38">
        <v>44914</v>
      </c>
      <c r="ABH1" s="38">
        <v>44915</v>
      </c>
      <c r="ABI1" s="38">
        <v>44916</v>
      </c>
      <c r="ABJ1" s="38">
        <v>44917</v>
      </c>
      <c r="ABK1" s="38">
        <v>44918</v>
      </c>
      <c r="ABL1" s="38">
        <v>44919</v>
      </c>
      <c r="ABM1" s="38">
        <v>44920</v>
      </c>
      <c r="ABN1" s="38">
        <v>44921</v>
      </c>
      <c r="ABO1" s="38">
        <v>44922</v>
      </c>
      <c r="ABP1" s="38">
        <v>44923</v>
      </c>
      <c r="ABQ1" s="38">
        <v>44924</v>
      </c>
      <c r="ABR1" s="38">
        <v>44925</v>
      </c>
      <c r="ABS1" s="38">
        <v>44926</v>
      </c>
      <c r="ABT1" s="38">
        <v>44927</v>
      </c>
      <c r="ABU1" s="38">
        <v>44928</v>
      </c>
      <c r="ABV1" s="38">
        <v>44929</v>
      </c>
      <c r="ABW1" s="38">
        <v>44930</v>
      </c>
      <c r="ABX1" s="38">
        <v>44931</v>
      </c>
      <c r="ABY1" s="38">
        <v>44932</v>
      </c>
      <c r="ABZ1" s="38">
        <v>44933</v>
      </c>
      <c r="ACA1" s="38">
        <v>44934</v>
      </c>
      <c r="ACB1" s="38">
        <v>44935</v>
      </c>
      <c r="ACC1" s="38">
        <v>44936</v>
      </c>
      <c r="ACD1" s="38">
        <v>44937</v>
      </c>
      <c r="ACE1" s="38">
        <v>44938</v>
      </c>
      <c r="ACF1" s="38">
        <v>44939</v>
      </c>
      <c r="ACG1" s="38">
        <v>44940</v>
      </c>
      <c r="ACH1" s="38">
        <v>44941</v>
      </c>
      <c r="ACI1" s="38">
        <v>44942</v>
      </c>
      <c r="ACJ1" s="38">
        <v>44943</v>
      </c>
      <c r="ACK1" s="38">
        <v>41292</v>
      </c>
      <c r="ACL1" s="38">
        <v>44945</v>
      </c>
      <c r="ACM1" s="38">
        <v>44946</v>
      </c>
      <c r="ACN1" s="38">
        <v>44947</v>
      </c>
      <c r="ACO1" s="38">
        <v>44948</v>
      </c>
      <c r="ACP1" s="38">
        <v>44949</v>
      </c>
      <c r="ACQ1" s="38">
        <v>44950</v>
      </c>
      <c r="ACR1" s="38">
        <v>44951</v>
      </c>
      <c r="ACS1" s="38">
        <v>44952</v>
      </c>
      <c r="ACT1" s="38">
        <v>44953</v>
      </c>
      <c r="ACU1" s="38">
        <v>44954</v>
      </c>
      <c r="ACV1" s="38">
        <v>44955</v>
      </c>
      <c r="ACW1" s="38">
        <v>44956</v>
      </c>
      <c r="ACX1" s="38">
        <v>44957</v>
      </c>
      <c r="ACY1" s="38">
        <v>44958</v>
      </c>
      <c r="ACZ1" s="38">
        <v>44959</v>
      </c>
      <c r="ADA1" s="38">
        <v>44960</v>
      </c>
      <c r="ADB1" s="38">
        <v>44961</v>
      </c>
      <c r="ADC1" s="38">
        <v>44962</v>
      </c>
      <c r="ADD1" s="38">
        <v>44963</v>
      </c>
      <c r="ADE1" s="38">
        <v>44964</v>
      </c>
      <c r="ADF1" s="38">
        <v>44965</v>
      </c>
      <c r="ADG1" s="38">
        <v>44966</v>
      </c>
      <c r="ADH1" s="38">
        <v>44967</v>
      </c>
      <c r="ADI1" s="38">
        <v>44968</v>
      </c>
      <c r="ADJ1" s="38">
        <v>44969</v>
      </c>
      <c r="ADK1" s="38">
        <v>44970</v>
      </c>
      <c r="ADL1" s="38">
        <v>44971</v>
      </c>
      <c r="ADM1" s="38">
        <v>44972</v>
      </c>
      <c r="ADN1" s="38">
        <v>44973</v>
      </c>
      <c r="ADO1" s="38">
        <v>44974</v>
      </c>
      <c r="ADP1" s="38">
        <v>44975</v>
      </c>
      <c r="ADQ1" s="38">
        <v>44976</v>
      </c>
      <c r="ADR1" s="38">
        <v>44977</v>
      </c>
      <c r="ADS1" s="38">
        <v>44978</v>
      </c>
      <c r="ADT1" s="38">
        <v>44979</v>
      </c>
      <c r="ADU1" s="38">
        <v>44980</v>
      </c>
      <c r="ADV1" s="38">
        <v>44981</v>
      </c>
      <c r="ADW1" s="38">
        <v>44982</v>
      </c>
      <c r="ADX1" s="38">
        <v>44983</v>
      </c>
      <c r="ADY1" s="38">
        <v>44984</v>
      </c>
      <c r="ADZ1" s="38">
        <v>44985</v>
      </c>
      <c r="AEA1" s="38">
        <v>44986</v>
      </c>
      <c r="AEB1" s="38">
        <v>44987</v>
      </c>
      <c r="AEC1" s="38">
        <v>44988</v>
      </c>
      <c r="AED1" s="38">
        <v>44989</v>
      </c>
      <c r="AEE1" s="38">
        <v>44990</v>
      </c>
      <c r="AEF1" s="49">
        <v>44991</v>
      </c>
    </row>
    <row r="2" spans="1:812">
      <c r="A2" s="1" t="s">
        <v>82</v>
      </c>
      <c r="B2" s="1" t="s">
        <v>313</v>
      </c>
      <c r="BY2">
        <v>0</v>
      </c>
      <c r="CE2">
        <v>0.02</v>
      </c>
      <c r="CU2">
        <v>0.14000000000000001</v>
      </c>
      <c r="DQ2">
        <v>0.31</v>
      </c>
      <c r="EF2">
        <v>0.62</v>
      </c>
      <c r="EY2">
        <v>1.3</v>
      </c>
      <c r="FH2">
        <v>1.41</v>
      </c>
      <c r="FL2">
        <v>1.47</v>
      </c>
      <c r="FN2">
        <v>1.52</v>
      </c>
      <c r="FO2">
        <v>1.52</v>
      </c>
      <c r="FR2">
        <v>1.54</v>
      </c>
      <c r="FU2">
        <v>1.61</v>
      </c>
      <c r="FV2">
        <v>1.62</v>
      </c>
      <c r="GA2">
        <v>1.65</v>
      </c>
      <c r="GG2">
        <v>1.7</v>
      </c>
      <c r="GO2">
        <v>1.97</v>
      </c>
      <c r="GT2">
        <v>2.15</v>
      </c>
      <c r="GW2">
        <v>2.2799999999999998</v>
      </c>
      <c r="HB2">
        <v>2.35</v>
      </c>
      <c r="HD2">
        <v>2.4</v>
      </c>
      <c r="HH2">
        <v>2.4700000000000002</v>
      </c>
      <c r="HK2">
        <v>2.63</v>
      </c>
      <c r="HO2">
        <v>2.81</v>
      </c>
      <c r="HU2">
        <v>3.01</v>
      </c>
      <c r="HX2">
        <v>3.28</v>
      </c>
      <c r="HZ2">
        <v>3.55</v>
      </c>
      <c r="IC2">
        <v>3.7</v>
      </c>
      <c r="IK2">
        <v>4.54</v>
      </c>
      <c r="IM2">
        <v>4.6500000000000004</v>
      </c>
      <c r="IV2">
        <v>3.02</v>
      </c>
      <c r="JG2">
        <v>4.97</v>
      </c>
      <c r="OH2">
        <v>12.31</v>
      </c>
      <c r="OJ2">
        <v>12.36</v>
      </c>
      <c r="OP2">
        <v>12.51</v>
      </c>
      <c r="OR2">
        <v>12.56</v>
      </c>
      <c r="OW2">
        <v>12.67</v>
      </c>
      <c r="OY2">
        <v>12.74</v>
      </c>
      <c r="PD2">
        <v>12.87</v>
      </c>
      <c r="PF2">
        <v>12.93</v>
      </c>
      <c r="PR2">
        <v>13.36</v>
      </c>
      <c r="QE2">
        <v>13.9</v>
      </c>
      <c r="QL2">
        <v>14.05</v>
      </c>
      <c r="RM2">
        <v>14.74</v>
      </c>
      <c r="RU2">
        <v>14.91</v>
      </c>
      <c r="RW2">
        <v>14.93</v>
      </c>
      <c r="SE2">
        <v>15.03</v>
      </c>
      <c r="SF2">
        <v>15.03</v>
      </c>
      <c r="SN2">
        <v>15.12</v>
      </c>
      <c r="TF2">
        <v>15.36</v>
      </c>
      <c r="UC2">
        <v>15.8</v>
      </c>
      <c r="UI2">
        <v>15.96</v>
      </c>
      <c r="UR2">
        <v>16.18</v>
      </c>
      <c r="ZL2">
        <v>29.52</v>
      </c>
      <c r="AAS2">
        <v>29.92</v>
      </c>
      <c r="ABJ2">
        <v>30.27</v>
      </c>
      <c r="ACI2">
        <v>30.64</v>
      </c>
      <c r="ACV2">
        <v>30.84</v>
      </c>
      <c r="ADJ2">
        <v>31.05</v>
      </c>
      <c r="ADL2">
        <v>31.09</v>
      </c>
      <c r="ADU2">
        <v>33.82</v>
      </c>
      <c r="ADZ2">
        <v>36.700000000000003</v>
      </c>
    </row>
    <row r="3" spans="1:812">
      <c r="A3" s="1" t="s">
        <v>121</v>
      </c>
      <c r="B3" s="1" t="s">
        <v>121</v>
      </c>
      <c r="AH3">
        <v>0</v>
      </c>
      <c r="AJ3">
        <v>0</v>
      </c>
      <c r="AK3">
        <v>0.01</v>
      </c>
      <c r="AL3">
        <v>0.01</v>
      </c>
      <c r="AM3">
        <v>0.01</v>
      </c>
      <c r="AN3">
        <v>0.01</v>
      </c>
      <c r="AO3">
        <v>0.01</v>
      </c>
      <c r="AP3">
        <v>0.02</v>
      </c>
      <c r="AQ3">
        <v>0.02</v>
      </c>
      <c r="AR3">
        <v>0.02</v>
      </c>
      <c r="AS3">
        <v>0.02</v>
      </c>
      <c r="BE3">
        <v>0.02</v>
      </c>
      <c r="BL3">
        <v>0.04</v>
      </c>
      <c r="BT3">
        <v>0.06</v>
      </c>
      <c r="BU3">
        <v>0.11</v>
      </c>
      <c r="BV3">
        <v>0.15</v>
      </c>
      <c r="BY3">
        <v>0.23</v>
      </c>
      <c r="CB3">
        <v>0.35</v>
      </c>
      <c r="CF3">
        <v>0.5</v>
      </c>
      <c r="CH3">
        <v>0.55000000000000004</v>
      </c>
      <c r="CO3">
        <v>0.75</v>
      </c>
      <c r="CQ3">
        <v>0.82</v>
      </c>
      <c r="CV3">
        <v>1.1599999999999999</v>
      </c>
      <c r="DA3">
        <v>1.68</v>
      </c>
      <c r="DB3">
        <v>1.8</v>
      </c>
      <c r="DC3">
        <v>1.88</v>
      </c>
      <c r="DD3">
        <v>2.06</v>
      </c>
      <c r="DE3">
        <v>2.16</v>
      </c>
      <c r="DF3">
        <v>2.23</v>
      </c>
      <c r="DG3">
        <v>2.71</v>
      </c>
      <c r="DI3">
        <v>4.1500000000000004</v>
      </c>
      <c r="DJ3">
        <v>4.82</v>
      </c>
      <c r="DK3">
        <v>5.4</v>
      </c>
      <c r="DL3">
        <v>5.99</v>
      </c>
      <c r="DM3">
        <v>6.45</v>
      </c>
      <c r="DN3">
        <v>6.7</v>
      </c>
      <c r="DO3">
        <v>7.18</v>
      </c>
      <c r="DP3">
        <v>7.7</v>
      </c>
      <c r="DQ3">
        <v>8.07</v>
      </c>
      <c r="DR3">
        <v>8.43</v>
      </c>
      <c r="DS3">
        <v>8.7100000000000009</v>
      </c>
      <c r="DT3">
        <v>8.92</v>
      </c>
      <c r="DV3">
        <v>9.3000000000000007</v>
      </c>
      <c r="DW3">
        <v>9.77</v>
      </c>
      <c r="DY3">
        <v>10.58</v>
      </c>
      <c r="DZ3">
        <v>10.93</v>
      </c>
      <c r="EA3">
        <v>11.29</v>
      </c>
      <c r="EB3">
        <v>11.57</v>
      </c>
      <c r="EC3">
        <v>12.02</v>
      </c>
      <c r="ED3">
        <v>12.16</v>
      </c>
      <c r="EE3">
        <v>12.93</v>
      </c>
      <c r="EF3">
        <v>13.31</v>
      </c>
      <c r="EG3">
        <v>13.6</v>
      </c>
      <c r="EH3">
        <v>13.9</v>
      </c>
      <c r="EJ3">
        <v>14.2</v>
      </c>
      <c r="EK3">
        <v>14.49</v>
      </c>
      <c r="EL3">
        <v>15.07</v>
      </c>
      <c r="EM3">
        <v>15.75</v>
      </c>
      <c r="EN3">
        <v>16.57</v>
      </c>
      <c r="EO3">
        <v>17.170000000000002</v>
      </c>
      <c r="EQ3">
        <v>17.98</v>
      </c>
      <c r="ER3">
        <v>18.670000000000002</v>
      </c>
      <c r="ES3">
        <v>19.34</v>
      </c>
      <c r="ET3">
        <v>19.88</v>
      </c>
      <c r="EU3">
        <v>20.350000000000001</v>
      </c>
      <c r="EV3">
        <v>20.74</v>
      </c>
      <c r="EW3">
        <v>20.85</v>
      </c>
      <c r="EX3">
        <v>21.3</v>
      </c>
      <c r="EY3">
        <v>21.63</v>
      </c>
      <c r="EZ3">
        <v>21.98</v>
      </c>
      <c r="FA3">
        <v>22.18</v>
      </c>
      <c r="FB3">
        <v>22.7</v>
      </c>
      <c r="FE3">
        <v>23.63</v>
      </c>
      <c r="FF3">
        <v>23.94</v>
      </c>
      <c r="FG3">
        <v>24.25</v>
      </c>
      <c r="FH3">
        <v>24.45</v>
      </c>
      <c r="FI3">
        <v>24.63</v>
      </c>
      <c r="FK3">
        <v>24.9</v>
      </c>
      <c r="FL3">
        <v>25.2</v>
      </c>
      <c r="FN3">
        <v>26.03</v>
      </c>
      <c r="FO3">
        <v>26.38</v>
      </c>
      <c r="FR3">
        <v>26.83</v>
      </c>
      <c r="FS3">
        <v>26.98</v>
      </c>
      <c r="FT3">
        <v>27.12</v>
      </c>
      <c r="FV3">
        <v>27.36</v>
      </c>
      <c r="FY3">
        <v>27.75</v>
      </c>
      <c r="FZ3">
        <v>27.93</v>
      </c>
      <c r="GA3">
        <v>28.15</v>
      </c>
      <c r="GB3">
        <v>28.37</v>
      </c>
      <c r="GC3">
        <v>28.6</v>
      </c>
      <c r="GD3">
        <v>28.85</v>
      </c>
      <c r="GE3">
        <v>29.01</v>
      </c>
      <c r="GF3">
        <v>29.06</v>
      </c>
      <c r="GG3">
        <v>29.28</v>
      </c>
      <c r="GH3">
        <v>29.48</v>
      </c>
      <c r="GI3">
        <v>29.68</v>
      </c>
      <c r="GJ3">
        <v>29.98</v>
      </c>
      <c r="GM3">
        <v>30.61</v>
      </c>
      <c r="GN3">
        <v>30.93</v>
      </c>
      <c r="GO3">
        <v>31.32</v>
      </c>
      <c r="GP3">
        <v>31.72</v>
      </c>
      <c r="GQ3">
        <v>32.07</v>
      </c>
      <c r="GU3">
        <v>32.78</v>
      </c>
      <c r="GV3">
        <v>33.200000000000003</v>
      </c>
      <c r="GW3">
        <v>33.64</v>
      </c>
      <c r="GX3">
        <v>33.86</v>
      </c>
      <c r="GY3">
        <v>34.11</v>
      </c>
      <c r="HA3">
        <v>34.35</v>
      </c>
      <c r="HB3">
        <v>34.54</v>
      </c>
      <c r="HC3">
        <v>34.75</v>
      </c>
      <c r="HD3">
        <v>34.950000000000003</v>
      </c>
      <c r="HE3">
        <v>35.14</v>
      </c>
      <c r="HF3">
        <v>35.32</v>
      </c>
      <c r="HG3">
        <v>35.49</v>
      </c>
      <c r="HH3">
        <v>35.54</v>
      </c>
      <c r="HI3">
        <v>35.76</v>
      </c>
      <c r="HJ3">
        <v>35.99</v>
      </c>
      <c r="HK3">
        <v>36.26</v>
      </c>
      <c r="HL3">
        <v>36.56</v>
      </c>
      <c r="HM3">
        <v>36.840000000000003</v>
      </c>
      <c r="HN3">
        <v>37.08</v>
      </c>
      <c r="HO3">
        <v>37.159999999999997</v>
      </c>
      <c r="HQ3">
        <v>37.61</v>
      </c>
      <c r="HR3">
        <v>38.07</v>
      </c>
      <c r="HS3">
        <v>38.56</v>
      </c>
      <c r="HV3">
        <v>39.57</v>
      </c>
      <c r="HZ3">
        <v>41</v>
      </c>
      <c r="IA3">
        <v>41.38</v>
      </c>
      <c r="IB3">
        <v>41.66</v>
      </c>
      <c r="IC3">
        <v>41.81</v>
      </c>
      <c r="ID3">
        <v>42.14</v>
      </c>
      <c r="IE3">
        <v>42.45</v>
      </c>
      <c r="IF3">
        <v>42.72</v>
      </c>
      <c r="IG3">
        <v>43.02</v>
      </c>
      <c r="IJ3">
        <v>43.78</v>
      </c>
      <c r="IL3">
        <v>44.49</v>
      </c>
      <c r="IO3">
        <v>45.52</v>
      </c>
      <c r="IQ3">
        <v>45.91</v>
      </c>
      <c r="IR3">
        <v>46.24</v>
      </c>
      <c r="IS3">
        <v>46.58</v>
      </c>
      <c r="IW3">
        <v>47.8</v>
      </c>
      <c r="IX3">
        <v>47.92</v>
      </c>
      <c r="IY3">
        <v>48.27</v>
      </c>
      <c r="IZ3">
        <v>48.61</v>
      </c>
      <c r="JA3">
        <v>48.93</v>
      </c>
      <c r="JB3">
        <v>49.28</v>
      </c>
      <c r="JC3">
        <v>49.7</v>
      </c>
      <c r="JE3">
        <v>50.29</v>
      </c>
      <c r="JF3">
        <v>50.75</v>
      </c>
      <c r="JG3">
        <v>51.25</v>
      </c>
      <c r="JI3">
        <v>52.21</v>
      </c>
      <c r="JM3">
        <v>53.58</v>
      </c>
      <c r="JN3">
        <v>54.08</v>
      </c>
      <c r="JO3">
        <v>54.55</v>
      </c>
      <c r="JQ3">
        <v>55.33</v>
      </c>
      <c r="JS3">
        <v>55.75</v>
      </c>
      <c r="JT3">
        <v>56.05</v>
      </c>
      <c r="JU3">
        <v>56.32</v>
      </c>
      <c r="JV3">
        <v>56.58</v>
      </c>
      <c r="JW3">
        <v>56.84</v>
      </c>
      <c r="JZ3">
        <v>57.43</v>
      </c>
      <c r="KB3">
        <v>57.98</v>
      </c>
      <c r="KC3">
        <v>58.27</v>
      </c>
      <c r="KD3">
        <v>58.6</v>
      </c>
      <c r="KE3">
        <v>58.95</v>
      </c>
      <c r="KH3">
        <v>59.7</v>
      </c>
      <c r="KI3">
        <v>60.01</v>
      </c>
      <c r="KP3">
        <v>61.66</v>
      </c>
      <c r="KW3">
        <v>63.02</v>
      </c>
      <c r="LM3">
        <v>66.02</v>
      </c>
      <c r="LN3">
        <v>66.2</v>
      </c>
      <c r="LR3">
        <v>66.569999999999993</v>
      </c>
      <c r="MD3">
        <v>69.62</v>
      </c>
      <c r="MK3">
        <v>71.37</v>
      </c>
      <c r="NG3">
        <v>76.790000000000006</v>
      </c>
      <c r="NH3">
        <v>77.150000000000006</v>
      </c>
      <c r="QP3">
        <v>95.02</v>
      </c>
      <c r="RR3">
        <v>97.02</v>
      </c>
      <c r="RU3">
        <v>97.23</v>
      </c>
      <c r="RY3">
        <v>97.51</v>
      </c>
      <c r="SE3">
        <v>97.97</v>
      </c>
    </row>
    <row r="4" spans="1:812">
      <c r="A4" s="1" t="s">
        <v>86</v>
      </c>
      <c r="B4" s="1" t="s">
        <v>253</v>
      </c>
      <c r="BA4">
        <v>0</v>
      </c>
      <c r="BB4">
        <v>0</v>
      </c>
      <c r="BV4">
        <v>0.17</v>
      </c>
      <c r="FY4">
        <v>5.7</v>
      </c>
      <c r="HZ4">
        <v>9.4499999999999993</v>
      </c>
      <c r="IV4">
        <v>9.2899999999999991</v>
      </c>
      <c r="JK4">
        <v>17.93</v>
      </c>
      <c r="JS4">
        <v>22.39</v>
      </c>
    </row>
    <row r="5" spans="1:812">
      <c r="A5" s="1" t="s">
        <v>171</v>
      </c>
      <c r="B5" s="1" t="s">
        <v>171</v>
      </c>
      <c r="AW5">
        <v>0.75</v>
      </c>
      <c r="BD5">
        <v>1.34</v>
      </c>
      <c r="BM5">
        <v>1.67</v>
      </c>
      <c r="BO5">
        <v>2.1</v>
      </c>
      <c r="BV5">
        <v>2.77</v>
      </c>
      <c r="CA5">
        <v>3.09</v>
      </c>
      <c r="CC5">
        <v>3.27</v>
      </c>
      <c r="CM5">
        <v>4.67</v>
      </c>
      <c r="CO5">
        <v>6.36</v>
      </c>
      <c r="CT5">
        <v>10.82</v>
      </c>
      <c r="CX5">
        <v>12.02</v>
      </c>
      <c r="DN5">
        <v>16.100000000000001</v>
      </c>
      <c r="DO5">
        <v>19.760000000000002</v>
      </c>
      <c r="DU5">
        <v>22.12</v>
      </c>
      <c r="DV5">
        <v>24.67</v>
      </c>
      <c r="EC5">
        <v>34.19</v>
      </c>
      <c r="EJ5">
        <v>36.89</v>
      </c>
      <c r="EQ5">
        <v>37.380000000000003</v>
      </c>
      <c r="EX5">
        <v>40.94</v>
      </c>
      <c r="FE5">
        <v>41.83</v>
      </c>
      <c r="FS5">
        <v>46.48</v>
      </c>
      <c r="FZ5">
        <v>53.68</v>
      </c>
      <c r="GG5">
        <v>66.150000000000006</v>
      </c>
      <c r="GN5">
        <v>81.88</v>
      </c>
      <c r="GU5">
        <v>88.43</v>
      </c>
      <c r="HI5">
        <v>90.62</v>
      </c>
      <c r="HP5">
        <v>106.58</v>
      </c>
      <c r="IC5">
        <v>111.72</v>
      </c>
      <c r="IQ5">
        <v>118.63</v>
      </c>
    </row>
    <row r="6" spans="1:812">
      <c r="A6" s="1" t="s">
        <v>163</v>
      </c>
      <c r="B6" s="1" t="s">
        <v>163</v>
      </c>
      <c r="CF6">
        <v>0</v>
      </c>
      <c r="CM6">
        <v>0.02</v>
      </c>
      <c r="CW6">
        <v>0.15</v>
      </c>
      <c r="DC6">
        <v>0.26</v>
      </c>
      <c r="DH6">
        <v>0.4</v>
      </c>
      <c r="DP6">
        <v>0.55000000000000004</v>
      </c>
      <c r="DU6">
        <v>0.75</v>
      </c>
      <c r="EC6">
        <v>1.2</v>
      </c>
      <c r="EG6">
        <v>1.39</v>
      </c>
      <c r="EZ6">
        <v>1.91</v>
      </c>
      <c r="FF6">
        <v>2.0699999999999998</v>
      </c>
      <c r="FI6">
        <v>2.2999999999999998</v>
      </c>
      <c r="FN6">
        <v>2.62</v>
      </c>
      <c r="FS6">
        <v>2.77</v>
      </c>
      <c r="GA6">
        <v>3.4</v>
      </c>
      <c r="GC6">
        <v>3.72</v>
      </c>
      <c r="GH6">
        <v>4</v>
      </c>
      <c r="GM6">
        <v>4.2</v>
      </c>
      <c r="GQ6">
        <v>4.3600000000000003</v>
      </c>
      <c r="GU6">
        <v>4.53</v>
      </c>
      <c r="HB6">
        <v>4.5999999999999996</v>
      </c>
      <c r="HI6">
        <v>4.74</v>
      </c>
      <c r="HP6">
        <v>4.8499999999999996</v>
      </c>
      <c r="IE6">
        <v>5.1100000000000003</v>
      </c>
      <c r="IK6">
        <v>5.16</v>
      </c>
      <c r="IR6">
        <v>5.26</v>
      </c>
      <c r="IV6">
        <v>5.17</v>
      </c>
      <c r="JA6">
        <v>5.43</v>
      </c>
      <c r="JH6">
        <v>6.15</v>
      </c>
      <c r="JZ6">
        <v>8.31</v>
      </c>
      <c r="KY6">
        <v>13.11</v>
      </c>
      <c r="LC6">
        <v>15.4</v>
      </c>
      <c r="MH6">
        <v>24.26</v>
      </c>
      <c r="MN6">
        <v>26.6</v>
      </c>
      <c r="MV6">
        <v>29.02</v>
      </c>
      <c r="MZ6">
        <v>29.52</v>
      </c>
      <c r="NC6">
        <v>30.41</v>
      </c>
      <c r="NI6">
        <v>31.84</v>
      </c>
      <c r="NQ6">
        <v>32.9</v>
      </c>
      <c r="NX6">
        <v>34.229999999999997</v>
      </c>
      <c r="OE6">
        <v>34.770000000000003</v>
      </c>
      <c r="OK6">
        <v>36.47</v>
      </c>
      <c r="OM6">
        <v>37.4</v>
      </c>
      <c r="PA6">
        <v>42.99</v>
      </c>
    </row>
    <row r="7" spans="1:812">
      <c r="A7" s="1" t="s">
        <v>220</v>
      </c>
      <c r="B7" s="1" t="s">
        <v>382</v>
      </c>
      <c r="BG7">
        <v>0</v>
      </c>
      <c r="BP7">
        <v>8.94</v>
      </c>
      <c r="BQ7">
        <v>18.41</v>
      </c>
      <c r="CC7">
        <v>26.19</v>
      </c>
      <c r="CN7">
        <v>31.33</v>
      </c>
      <c r="CR7">
        <v>33.33</v>
      </c>
      <c r="CX7">
        <v>35.65</v>
      </c>
      <c r="DV7">
        <v>38.89</v>
      </c>
      <c r="EF7">
        <v>45.98</v>
      </c>
      <c r="FE7">
        <v>88.22</v>
      </c>
      <c r="FP7">
        <v>96.27</v>
      </c>
      <c r="FW7">
        <v>97.03</v>
      </c>
      <c r="GD7">
        <v>99.57</v>
      </c>
      <c r="GK7">
        <v>101.31</v>
      </c>
      <c r="GR7">
        <v>105.25</v>
      </c>
      <c r="GY7">
        <v>109.72</v>
      </c>
      <c r="HF7">
        <v>112.99</v>
      </c>
      <c r="HM7">
        <v>118.7</v>
      </c>
      <c r="HT7">
        <v>119.99</v>
      </c>
      <c r="IA7">
        <v>121.27</v>
      </c>
      <c r="IH7">
        <v>123.03</v>
      </c>
      <c r="IV7">
        <v>122.04</v>
      </c>
      <c r="JX7">
        <v>122.74</v>
      </c>
      <c r="KE7">
        <v>122.87</v>
      </c>
      <c r="KL7">
        <v>123.66</v>
      </c>
      <c r="KZ7">
        <v>123.67</v>
      </c>
      <c r="LU7">
        <v>123.68</v>
      </c>
      <c r="MB7">
        <v>124.18</v>
      </c>
      <c r="MI7">
        <v>126.06</v>
      </c>
      <c r="MS7">
        <v>130.44999999999999</v>
      </c>
      <c r="MU7">
        <v>131.66</v>
      </c>
      <c r="NB7">
        <v>134.11000000000001</v>
      </c>
      <c r="OM7">
        <v>139.15</v>
      </c>
      <c r="OT7">
        <v>140.54</v>
      </c>
      <c r="PA7">
        <v>141.81</v>
      </c>
      <c r="PF7">
        <v>142.88999999999999</v>
      </c>
      <c r="PM7">
        <v>144.02000000000001</v>
      </c>
      <c r="PT7">
        <v>145.41</v>
      </c>
      <c r="QC7">
        <v>146.55000000000001</v>
      </c>
      <c r="QH7">
        <v>147.94999999999999</v>
      </c>
      <c r="QO7">
        <v>148.22999999999999</v>
      </c>
      <c r="QX7">
        <v>149.68</v>
      </c>
      <c r="RC7">
        <v>150.18</v>
      </c>
      <c r="SO7">
        <v>154.57</v>
      </c>
      <c r="SV7">
        <v>155.32</v>
      </c>
      <c r="TJ7">
        <v>156.04</v>
      </c>
      <c r="TX7">
        <v>156.6</v>
      </c>
      <c r="UC7">
        <v>157.04</v>
      </c>
      <c r="UL7">
        <v>158.19</v>
      </c>
      <c r="XX7">
        <v>153.25</v>
      </c>
      <c r="YE7">
        <v>154.94</v>
      </c>
      <c r="YL7">
        <v>154.97</v>
      </c>
      <c r="AAP7">
        <v>153.94</v>
      </c>
      <c r="AAW7">
        <v>153.94</v>
      </c>
      <c r="ABV7">
        <v>154.15</v>
      </c>
      <c r="ACM7">
        <v>154.15</v>
      </c>
      <c r="ADH7">
        <v>154.24</v>
      </c>
      <c r="AEC7">
        <v>154.97</v>
      </c>
    </row>
    <row r="8" spans="1:812">
      <c r="A8" s="1" t="s">
        <v>205</v>
      </c>
      <c r="B8" s="1" t="s">
        <v>314</v>
      </c>
      <c r="BS8">
        <v>0</v>
      </c>
      <c r="CT8">
        <v>24.68</v>
      </c>
      <c r="CX8">
        <v>26.22</v>
      </c>
      <c r="DD8">
        <v>26.98</v>
      </c>
      <c r="DJ8">
        <v>27.4</v>
      </c>
      <c r="DM8">
        <v>27.6</v>
      </c>
      <c r="DX8">
        <v>28.18</v>
      </c>
      <c r="DZ8">
        <v>29.02</v>
      </c>
      <c r="EA8">
        <v>29.24</v>
      </c>
      <c r="EF8">
        <v>30.38</v>
      </c>
      <c r="EU8">
        <v>31.74</v>
      </c>
      <c r="EY8">
        <v>31.92</v>
      </c>
      <c r="FE8">
        <v>35.17</v>
      </c>
      <c r="FI8">
        <v>40.36</v>
      </c>
      <c r="FM8">
        <v>42.9</v>
      </c>
      <c r="FN8">
        <v>45.17</v>
      </c>
      <c r="FO8">
        <v>46.91</v>
      </c>
      <c r="FQ8">
        <v>49.37</v>
      </c>
      <c r="FS8">
        <v>51.39</v>
      </c>
      <c r="FV8">
        <v>52.91</v>
      </c>
      <c r="FY8">
        <v>56.75</v>
      </c>
      <c r="FZ8">
        <v>58.48</v>
      </c>
      <c r="GB8">
        <v>59.3</v>
      </c>
      <c r="GE8">
        <v>59.97</v>
      </c>
      <c r="GH8">
        <v>60.84</v>
      </c>
      <c r="GJ8">
        <v>63.52</v>
      </c>
      <c r="GM8">
        <v>64.14</v>
      </c>
      <c r="GV8">
        <v>65.349999999999994</v>
      </c>
      <c r="GX8">
        <v>65.819999999999993</v>
      </c>
      <c r="HA8">
        <v>66.06</v>
      </c>
      <c r="HC8">
        <v>66.19</v>
      </c>
      <c r="HE8">
        <v>66.45</v>
      </c>
      <c r="HF8">
        <v>66.72</v>
      </c>
      <c r="HJ8">
        <v>67.05</v>
      </c>
      <c r="HL8">
        <v>67.150000000000006</v>
      </c>
      <c r="HO8">
        <v>67.52</v>
      </c>
      <c r="HQ8">
        <v>67.81</v>
      </c>
      <c r="HR8">
        <v>67.930000000000007</v>
      </c>
      <c r="HS8">
        <v>69.28</v>
      </c>
      <c r="HV8">
        <v>69.72</v>
      </c>
      <c r="HY8">
        <v>70.17</v>
      </c>
      <c r="HZ8">
        <v>70.31</v>
      </c>
      <c r="ID8">
        <v>70.760000000000005</v>
      </c>
      <c r="IF8">
        <v>70.989999999999995</v>
      </c>
      <c r="II8">
        <v>71.38</v>
      </c>
      <c r="IL8">
        <v>71.5</v>
      </c>
      <c r="IP8">
        <v>72.569999999999993</v>
      </c>
      <c r="IR8">
        <v>72.95</v>
      </c>
      <c r="IX8">
        <v>73.209999999999994</v>
      </c>
      <c r="IZ8">
        <v>73.84</v>
      </c>
      <c r="JF8">
        <v>75.599999999999994</v>
      </c>
    </row>
    <row r="9" spans="1:812">
      <c r="A9" s="1" t="s">
        <v>33</v>
      </c>
      <c r="B9" s="1" t="s">
        <v>33</v>
      </c>
      <c r="V9">
        <v>0</v>
      </c>
      <c r="X9">
        <v>7.0000000000000007E-2</v>
      </c>
      <c r="AB9">
        <v>0.09</v>
      </c>
      <c r="AF9">
        <v>0.24</v>
      </c>
      <c r="AK9">
        <v>0.37</v>
      </c>
      <c r="AM9">
        <v>0.44</v>
      </c>
      <c r="AR9">
        <v>0.55000000000000004</v>
      </c>
      <c r="AS9">
        <v>0.59</v>
      </c>
      <c r="AT9">
        <v>0.62</v>
      </c>
      <c r="AU9">
        <v>0.64</v>
      </c>
      <c r="AV9">
        <v>0.65</v>
      </c>
      <c r="AW9">
        <v>0.65</v>
      </c>
      <c r="AX9">
        <v>0.68</v>
      </c>
      <c r="AY9">
        <v>0.7</v>
      </c>
      <c r="AZ9">
        <v>0.73</v>
      </c>
      <c r="BA9">
        <v>0.76</v>
      </c>
      <c r="BB9">
        <v>0.81</v>
      </c>
      <c r="BD9">
        <v>0.83</v>
      </c>
      <c r="BF9">
        <v>0.88</v>
      </c>
      <c r="BG9">
        <v>0.98</v>
      </c>
      <c r="BI9">
        <v>1.04</v>
      </c>
      <c r="BJ9">
        <v>1.1100000000000001</v>
      </c>
      <c r="BK9">
        <v>1.1299999999999999</v>
      </c>
      <c r="BL9">
        <v>1.1399999999999999</v>
      </c>
      <c r="BM9">
        <v>1.18</v>
      </c>
      <c r="BN9">
        <v>1.27</v>
      </c>
      <c r="BO9">
        <v>1.31</v>
      </c>
      <c r="BP9">
        <v>1.34</v>
      </c>
      <c r="BQ9">
        <v>1.35</v>
      </c>
      <c r="BR9">
        <v>1.35</v>
      </c>
      <c r="BS9">
        <v>1.35</v>
      </c>
      <c r="BT9">
        <v>1.35</v>
      </c>
      <c r="BU9">
        <v>1.41</v>
      </c>
      <c r="BV9">
        <v>1.48</v>
      </c>
      <c r="BW9">
        <v>1.56</v>
      </c>
      <c r="BX9">
        <v>1.59</v>
      </c>
      <c r="BY9">
        <v>1.6</v>
      </c>
      <c r="BZ9">
        <v>1.65</v>
      </c>
      <c r="CA9">
        <v>1.73</v>
      </c>
      <c r="CB9">
        <v>1.84</v>
      </c>
      <c r="CC9">
        <v>2</v>
      </c>
      <c r="CD9">
        <v>2.1800000000000002</v>
      </c>
      <c r="CE9">
        <v>2.27</v>
      </c>
      <c r="CF9">
        <v>2.3199999999999998</v>
      </c>
      <c r="CG9">
        <v>2.4900000000000002</v>
      </c>
      <c r="CH9">
        <v>2.61</v>
      </c>
      <c r="CI9">
        <v>2.77</v>
      </c>
      <c r="CJ9">
        <v>3</v>
      </c>
      <c r="CL9">
        <v>3.38</v>
      </c>
      <c r="CM9">
        <v>3.42</v>
      </c>
      <c r="CN9">
        <v>3.65</v>
      </c>
      <c r="CO9">
        <v>3.93</v>
      </c>
      <c r="CP9">
        <v>4.25</v>
      </c>
      <c r="CQ9">
        <v>4.6399999999999997</v>
      </c>
      <c r="CR9">
        <v>5.08</v>
      </c>
      <c r="CS9">
        <v>5.27</v>
      </c>
      <c r="CT9">
        <v>5.32</v>
      </c>
      <c r="CU9">
        <v>5.62</v>
      </c>
      <c r="CV9">
        <v>5.9</v>
      </c>
      <c r="CW9">
        <v>6.21</v>
      </c>
      <c r="CX9">
        <v>6.5</v>
      </c>
      <c r="CY9">
        <v>6.78</v>
      </c>
      <c r="CZ9">
        <v>6.9</v>
      </c>
      <c r="DA9">
        <v>6.95</v>
      </c>
      <c r="DB9">
        <v>7.17</v>
      </c>
      <c r="DC9">
        <v>7.37</v>
      </c>
      <c r="DD9">
        <v>7.45</v>
      </c>
      <c r="DE9">
        <v>7.69</v>
      </c>
      <c r="DF9">
        <v>7.9</v>
      </c>
      <c r="DG9">
        <v>8.02</v>
      </c>
      <c r="DH9">
        <v>8.07</v>
      </c>
      <c r="DI9">
        <v>8.2899999999999991</v>
      </c>
      <c r="DJ9">
        <v>8.61</v>
      </c>
      <c r="DK9">
        <v>8.9</v>
      </c>
      <c r="DL9">
        <v>9.1199999999999992</v>
      </c>
      <c r="DM9">
        <v>9.25</v>
      </c>
      <c r="DN9">
        <v>9.3699999999999992</v>
      </c>
      <c r="DO9">
        <v>9.43</v>
      </c>
      <c r="DP9">
        <v>9.74</v>
      </c>
      <c r="DQ9">
        <v>10.119999999999999</v>
      </c>
      <c r="DR9">
        <v>10.56</v>
      </c>
      <c r="DS9">
        <v>10.97</v>
      </c>
      <c r="DT9">
        <v>11.51</v>
      </c>
      <c r="DU9">
        <v>11.76</v>
      </c>
      <c r="DV9">
        <v>11.93</v>
      </c>
      <c r="DW9">
        <v>12.33</v>
      </c>
      <c r="DX9">
        <v>12.73</v>
      </c>
      <c r="DY9">
        <v>13.13</v>
      </c>
      <c r="DZ9">
        <v>13.48</v>
      </c>
      <c r="EA9">
        <v>13.78</v>
      </c>
      <c r="EB9">
        <v>13.91</v>
      </c>
      <c r="EC9">
        <v>14.02</v>
      </c>
      <c r="ED9">
        <v>14.23</v>
      </c>
      <c r="EE9">
        <v>14.49</v>
      </c>
      <c r="EF9">
        <v>14.81</v>
      </c>
      <c r="EG9">
        <v>15.06</v>
      </c>
      <c r="EH9">
        <v>15.53</v>
      </c>
      <c r="EI9">
        <v>15.79</v>
      </c>
      <c r="EJ9">
        <v>15.96</v>
      </c>
      <c r="EK9">
        <v>16.34</v>
      </c>
      <c r="EL9">
        <v>16.72</v>
      </c>
      <c r="EM9">
        <v>17.07</v>
      </c>
      <c r="EN9">
        <v>17.399999999999999</v>
      </c>
      <c r="EO9">
        <v>17.64</v>
      </c>
      <c r="EP9">
        <v>17.7</v>
      </c>
      <c r="EQ9">
        <v>17.79</v>
      </c>
      <c r="ER9">
        <v>18.14</v>
      </c>
      <c r="ES9">
        <v>18.57</v>
      </c>
      <c r="ET9">
        <v>19.010000000000002</v>
      </c>
      <c r="EU9">
        <v>19.52</v>
      </c>
      <c r="EV9">
        <v>19.920000000000002</v>
      </c>
      <c r="EW9">
        <v>20.100000000000001</v>
      </c>
      <c r="EX9">
        <v>20.18</v>
      </c>
      <c r="EY9">
        <v>20.440000000000001</v>
      </c>
      <c r="EZ9">
        <v>20.76</v>
      </c>
      <c r="FA9">
        <v>21.11</v>
      </c>
      <c r="FB9">
        <v>21.47</v>
      </c>
      <c r="FC9">
        <v>21.82</v>
      </c>
      <c r="FD9">
        <v>21.97</v>
      </c>
      <c r="FE9">
        <v>22.13</v>
      </c>
      <c r="FF9">
        <v>22.55</v>
      </c>
      <c r="FG9">
        <v>22.98</v>
      </c>
      <c r="FH9">
        <v>23.34</v>
      </c>
      <c r="FI9">
        <v>23.8</v>
      </c>
      <c r="FJ9">
        <v>24.25</v>
      </c>
      <c r="FK9">
        <v>24.49</v>
      </c>
      <c r="FL9">
        <v>24.67</v>
      </c>
      <c r="FM9">
        <v>24.87</v>
      </c>
      <c r="FN9">
        <v>25.07</v>
      </c>
      <c r="FO9">
        <v>25.45</v>
      </c>
      <c r="FP9">
        <v>25.84</v>
      </c>
      <c r="FQ9">
        <v>26.34</v>
      </c>
      <c r="FR9">
        <v>26.82</v>
      </c>
      <c r="FS9">
        <v>27.12</v>
      </c>
      <c r="FT9">
        <v>27.65</v>
      </c>
      <c r="FU9">
        <v>28.32</v>
      </c>
      <c r="FV9">
        <v>28.94</v>
      </c>
      <c r="FW9">
        <v>29.59</v>
      </c>
      <c r="FX9">
        <v>30.38</v>
      </c>
      <c r="FY9">
        <v>31.18</v>
      </c>
      <c r="FZ9">
        <v>31.72</v>
      </c>
      <c r="GA9">
        <v>32.450000000000003</v>
      </c>
      <c r="GB9">
        <v>33.22</v>
      </c>
      <c r="GC9">
        <v>33.97</v>
      </c>
      <c r="GD9">
        <v>34.799999999999997</v>
      </c>
      <c r="GE9">
        <v>35.630000000000003</v>
      </c>
      <c r="GF9">
        <v>36.04</v>
      </c>
      <c r="GG9">
        <v>36.25</v>
      </c>
      <c r="GH9">
        <v>36.83</v>
      </c>
      <c r="GI9">
        <v>37.340000000000003</v>
      </c>
      <c r="GJ9">
        <v>38</v>
      </c>
      <c r="GK9">
        <v>38.67</v>
      </c>
      <c r="GL9">
        <v>39.47</v>
      </c>
      <c r="GM9">
        <v>40.020000000000003</v>
      </c>
      <c r="GN9">
        <v>40.270000000000003</v>
      </c>
      <c r="GO9">
        <v>40.67</v>
      </c>
      <c r="GP9">
        <v>41.26</v>
      </c>
      <c r="GQ9">
        <v>41.87</v>
      </c>
      <c r="GR9">
        <v>42.49</v>
      </c>
      <c r="GS9">
        <v>43.14</v>
      </c>
      <c r="GT9">
        <v>43.7</v>
      </c>
      <c r="GU9">
        <v>44.14</v>
      </c>
      <c r="GV9">
        <v>44.74</v>
      </c>
      <c r="GW9">
        <v>45.45</v>
      </c>
      <c r="GX9">
        <v>46.26</v>
      </c>
      <c r="GY9">
        <v>47.15</v>
      </c>
      <c r="GZ9">
        <v>48.19</v>
      </c>
      <c r="HA9">
        <v>49.08</v>
      </c>
      <c r="HB9">
        <v>49.66</v>
      </c>
      <c r="HC9">
        <v>50.48</v>
      </c>
      <c r="HD9">
        <v>51.59</v>
      </c>
      <c r="HE9">
        <v>52.49</v>
      </c>
      <c r="HF9">
        <v>53.21</v>
      </c>
      <c r="HG9">
        <v>54.25</v>
      </c>
      <c r="HH9">
        <v>54.47</v>
      </c>
      <c r="HI9">
        <v>55.01</v>
      </c>
      <c r="HJ9">
        <v>55.88</v>
      </c>
      <c r="HK9">
        <v>56.9</v>
      </c>
      <c r="HL9">
        <v>57.83</v>
      </c>
      <c r="HM9">
        <v>58.66</v>
      </c>
      <c r="HN9">
        <v>59.59</v>
      </c>
      <c r="HO9">
        <v>60.18</v>
      </c>
      <c r="HP9">
        <v>60.69</v>
      </c>
      <c r="HQ9">
        <v>61.57</v>
      </c>
      <c r="HR9">
        <v>62.54</v>
      </c>
      <c r="HS9">
        <v>63.44</v>
      </c>
      <c r="HT9">
        <v>64.33</v>
      </c>
      <c r="HU9">
        <v>65.13</v>
      </c>
      <c r="HV9">
        <v>65.77</v>
      </c>
      <c r="HW9">
        <v>66.11</v>
      </c>
      <c r="HX9">
        <v>66.89</v>
      </c>
      <c r="HY9">
        <v>67.83</v>
      </c>
      <c r="HZ9">
        <v>68.760000000000005</v>
      </c>
      <c r="IA9">
        <v>69.63</v>
      </c>
      <c r="IB9">
        <v>70.53</v>
      </c>
      <c r="IC9">
        <v>71.13</v>
      </c>
      <c r="ID9">
        <v>71.55</v>
      </c>
      <c r="IE9">
        <v>72.34</v>
      </c>
      <c r="IF9">
        <v>73.760000000000005</v>
      </c>
      <c r="IG9">
        <v>74.64</v>
      </c>
      <c r="IH9">
        <v>75.53</v>
      </c>
      <c r="II9">
        <v>76.180000000000007</v>
      </c>
      <c r="IJ9">
        <v>76.61</v>
      </c>
      <c r="IK9">
        <v>77.23</v>
      </c>
      <c r="IL9">
        <v>77.989999999999995</v>
      </c>
      <c r="IN9">
        <v>79.13</v>
      </c>
      <c r="IO9">
        <v>79.739999999999995</v>
      </c>
      <c r="IP9">
        <v>80.510000000000005</v>
      </c>
      <c r="IQ9">
        <v>81.069999999999993</v>
      </c>
      <c r="IR9">
        <v>81.44</v>
      </c>
      <c r="IS9">
        <v>81.739999999999995</v>
      </c>
      <c r="IT9">
        <v>82.38</v>
      </c>
      <c r="IU9">
        <v>83.39</v>
      </c>
      <c r="IV9">
        <v>83.64</v>
      </c>
      <c r="IW9">
        <v>84.6</v>
      </c>
      <c r="IX9">
        <v>85.31</v>
      </c>
      <c r="IY9">
        <v>85.81</v>
      </c>
      <c r="IZ9">
        <v>86.63</v>
      </c>
      <c r="JA9">
        <v>87.6</v>
      </c>
      <c r="JB9">
        <v>88.6</v>
      </c>
      <c r="JC9">
        <v>89.58</v>
      </c>
      <c r="JD9">
        <v>90.57</v>
      </c>
      <c r="JE9">
        <v>91.27</v>
      </c>
      <c r="JF9">
        <v>91.94</v>
      </c>
      <c r="JG9">
        <v>92.66</v>
      </c>
      <c r="JH9">
        <v>93.83</v>
      </c>
      <c r="JI9">
        <v>94.77</v>
      </c>
      <c r="JJ9">
        <v>95.81</v>
      </c>
      <c r="JK9">
        <v>96.59</v>
      </c>
      <c r="JL9">
        <v>97.36</v>
      </c>
      <c r="JM9">
        <v>97.94</v>
      </c>
      <c r="JN9">
        <v>99.06</v>
      </c>
      <c r="JO9">
        <v>99.82</v>
      </c>
      <c r="JP9">
        <v>100.68</v>
      </c>
      <c r="JQ9">
        <v>101.52</v>
      </c>
      <c r="JR9">
        <v>102.38</v>
      </c>
      <c r="JS9">
        <v>102.83</v>
      </c>
      <c r="JT9">
        <v>103.05</v>
      </c>
      <c r="JU9">
        <v>103.59</v>
      </c>
      <c r="JV9">
        <v>104.25</v>
      </c>
      <c r="JW9">
        <v>105.11</v>
      </c>
      <c r="JX9">
        <v>105.93</v>
      </c>
      <c r="JY9">
        <v>106.51</v>
      </c>
      <c r="JZ9">
        <v>107.07</v>
      </c>
      <c r="KA9">
        <v>107.48</v>
      </c>
      <c r="KB9">
        <v>108.17</v>
      </c>
      <c r="KC9">
        <v>109.04</v>
      </c>
      <c r="KD9">
        <v>109.66</v>
      </c>
      <c r="KE9">
        <v>110.24</v>
      </c>
      <c r="KF9">
        <v>110.9</v>
      </c>
      <c r="KG9">
        <v>111.29</v>
      </c>
      <c r="KH9">
        <v>111.63</v>
      </c>
      <c r="KI9">
        <v>112.16</v>
      </c>
      <c r="KJ9">
        <v>112.81</v>
      </c>
      <c r="KK9">
        <v>113.39</v>
      </c>
      <c r="KL9">
        <v>114.06</v>
      </c>
      <c r="KM9">
        <v>114.76</v>
      </c>
      <c r="KN9">
        <v>115.2</v>
      </c>
      <c r="KO9">
        <v>115.53</v>
      </c>
      <c r="KP9">
        <v>115.95</v>
      </c>
      <c r="KQ9">
        <v>116.51</v>
      </c>
      <c r="KR9">
        <v>117.06</v>
      </c>
      <c r="KS9">
        <v>117.66</v>
      </c>
      <c r="KT9">
        <v>118.01</v>
      </c>
      <c r="KU9">
        <v>118.36</v>
      </c>
      <c r="KV9">
        <v>118.66</v>
      </c>
      <c r="KX9">
        <v>119.18</v>
      </c>
      <c r="KY9">
        <v>119.97</v>
      </c>
      <c r="KZ9">
        <v>120.83</v>
      </c>
      <c r="LA9">
        <v>121.93</v>
      </c>
      <c r="LD9">
        <v>123.27</v>
      </c>
      <c r="LE9">
        <v>124.38</v>
      </c>
      <c r="LF9">
        <v>124.83</v>
      </c>
      <c r="LG9">
        <v>125.71</v>
      </c>
      <c r="LH9">
        <v>126.62</v>
      </c>
      <c r="LI9">
        <v>127.29</v>
      </c>
      <c r="LJ9">
        <v>127.46</v>
      </c>
      <c r="LK9">
        <v>128.38999999999999</v>
      </c>
      <c r="LL9">
        <v>129.12</v>
      </c>
      <c r="LM9">
        <v>129.86000000000001</v>
      </c>
      <c r="LN9">
        <v>130.80000000000001</v>
      </c>
      <c r="LO9">
        <v>131.24</v>
      </c>
      <c r="LP9">
        <v>131.68</v>
      </c>
      <c r="LQ9">
        <v>132.01</v>
      </c>
      <c r="LR9">
        <v>132.47</v>
      </c>
      <c r="LS9">
        <v>132.63</v>
      </c>
      <c r="LT9">
        <v>133.84</v>
      </c>
      <c r="LV9">
        <v>134.38999999999999</v>
      </c>
      <c r="LW9">
        <v>135.19</v>
      </c>
      <c r="LX9">
        <v>135.56</v>
      </c>
      <c r="LY9">
        <v>135.86000000000001</v>
      </c>
      <c r="LZ9">
        <v>136.30000000000001</v>
      </c>
      <c r="MA9">
        <v>136.83000000000001</v>
      </c>
      <c r="MB9">
        <v>137.26</v>
      </c>
      <c r="MC9">
        <v>137.69</v>
      </c>
      <c r="MD9">
        <v>138.18</v>
      </c>
      <c r="ME9">
        <v>141.02000000000001</v>
      </c>
      <c r="MG9">
        <v>142.44999999999999</v>
      </c>
      <c r="MI9">
        <v>143.97999999999999</v>
      </c>
      <c r="MJ9">
        <v>144.44999999999999</v>
      </c>
      <c r="MK9">
        <v>144.69999999999999</v>
      </c>
      <c r="ML9">
        <v>144.99</v>
      </c>
      <c r="MM9">
        <v>145.65</v>
      </c>
      <c r="MO9">
        <v>147.13999999999999</v>
      </c>
      <c r="MQ9">
        <v>148.30000000000001</v>
      </c>
      <c r="MR9">
        <v>148.62</v>
      </c>
      <c r="MS9">
        <v>149.4</v>
      </c>
      <c r="MT9">
        <v>150.19999999999999</v>
      </c>
      <c r="MU9">
        <v>151.02000000000001</v>
      </c>
      <c r="MV9">
        <v>151.88999999999999</v>
      </c>
      <c r="MW9">
        <v>152.6</v>
      </c>
      <c r="MX9">
        <v>153.01</v>
      </c>
      <c r="MY9">
        <v>153.25</v>
      </c>
      <c r="NA9">
        <v>153.87</v>
      </c>
      <c r="NB9">
        <v>154.93</v>
      </c>
      <c r="ND9">
        <v>156.16</v>
      </c>
      <c r="NE9">
        <v>156.55000000000001</v>
      </c>
      <c r="NF9">
        <v>156.80000000000001</v>
      </c>
      <c r="NG9">
        <v>157.43</v>
      </c>
      <c r="NH9">
        <v>158.16</v>
      </c>
      <c r="NI9">
        <v>158.97</v>
      </c>
      <c r="NJ9">
        <v>159.66</v>
      </c>
      <c r="NK9">
        <v>160.31</v>
      </c>
      <c r="NL9">
        <v>160.69</v>
      </c>
      <c r="NM9">
        <v>160.94999999999999</v>
      </c>
      <c r="NN9">
        <v>161.61000000000001</v>
      </c>
      <c r="NP9">
        <v>162.37</v>
      </c>
      <c r="NQ9">
        <v>163.12</v>
      </c>
      <c r="NR9">
        <v>163.68</v>
      </c>
      <c r="NT9">
        <v>163.82</v>
      </c>
      <c r="NU9">
        <v>163.98</v>
      </c>
      <c r="NV9">
        <v>165.87</v>
      </c>
      <c r="NX9">
        <v>167.8</v>
      </c>
      <c r="NY9">
        <v>167.98</v>
      </c>
      <c r="NZ9">
        <v>168.03</v>
      </c>
      <c r="OA9">
        <v>168.31</v>
      </c>
      <c r="OC9">
        <v>170.41</v>
      </c>
      <c r="OE9">
        <v>172.64</v>
      </c>
      <c r="OG9">
        <v>173.7</v>
      </c>
      <c r="OH9">
        <v>174.81</v>
      </c>
      <c r="OI9">
        <v>175.74</v>
      </c>
      <c r="OJ9">
        <v>176.79</v>
      </c>
      <c r="OL9">
        <v>178.86</v>
      </c>
      <c r="OM9">
        <v>179.86</v>
      </c>
      <c r="ON9">
        <v>180.39</v>
      </c>
      <c r="OO9">
        <v>180.76</v>
      </c>
      <c r="OQ9">
        <v>181.74</v>
      </c>
      <c r="OR9">
        <v>182.73</v>
      </c>
      <c r="OS9">
        <v>184.67</v>
      </c>
      <c r="OT9">
        <v>185.53</v>
      </c>
      <c r="OU9">
        <v>186.01</v>
      </c>
      <c r="OX9">
        <v>187.17</v>
      </c>
      <c r="OZ9">
        <v>188.91</v>
      </c>
      <c r="PA9">
        <v>189.72</v>
      </c>
      <c r="PB9">
        <v>190.54</v>
      </c>
      <c r="PC9">
        <v>191.23</v>
      </c>
      <c r="PD9">
        <v>192.03</v>
      </c>
      <c r="PE9">
        <v>192.84</v>
      </c>
      <c r="PF9">
        <v>193.59</v>
      </c>
      <c r="PG9">
        <v>194.28</v>
      </c>
      <c r="PH9">
        <v>194.9</v>
      </c>
      <c r="PI9">
        <v>195.18</v>
      </c>
      <c r="PK9">
        <v>195.42</v>
      </c>
      <c r="PL9">
        <v>196.13</v>
      </c>
      <c r="PM9">
        <v>196.82</v>
      </c>
      <c r="PN9">
        <v>197.67</v>
      </c>
      <c r="PO9">
        <v>198.39</v>
      </c>
      <c r="PP9">
        <v>198.97</v>
      </c>
      <c r="PQ9">
        <v>199.32</v>
      </c>
      <c r="PR9">
        <v>199.52</v>
      </c>
      <c r="PS9">
        <v>200.03</v>
      </c>
      <c r="PT9">
        <v>200.55</v>
      </c>
      <c r="PU9">
        <v>201.07</v>
      </c>
      <c r="PV9">
        <v>202.09</v>
      </c>
      <c r="PW9">
        <v>202.33</v>
      </c>
      <c r="PY9">
        <v>202.48</v>
      </c>
      <c r="PZ9">
        <v>202.94</v>
      </c>
      <c r="QA9">
        <v>203.46</v>
      </c>
      <c r="QB9">
        <v>203.94</v>
      </c>
      <c r="QC9">
        <v>204.33</v>
      </c>
      <c r="QD9">
        <v>204.83</v>
      </c>
      <c r="QE9">
        <v>205.03</v>
      </c>
      <c r="QF9">
        <v>205.12</v>
      </c>
      <c r="QG9">
        <v>205.24</v>
      </c>
      <c r="QH9">
        <v>205.66</v>
      </c>
      <c r="QI9">
        <v>205.98</v>
      </c>
      <c r="QJ9">
        <v>206.29</v>
      </c>
      <c r="QM9">
        <v>206.58</v>
      </c>
      <c r="QN9">
        <v>206.93</v>
      </c>
      <c r="QO9">
        <v>207.2</v>
      </c>
      <c r="QP9">
        <v>207.81</v>
      </c>
      <c r="QR9">
        <v>208.15</v>
      </c>
      <c r="QS9">
        <v>208.43</v>
      </c>
      <c r="QU9">
        <v>208.99</v>
      </c>
      <c r="QW9">
        <v>209.25</v>
      </c>
      <c r="QX9">
        <v>209.52</v>
      </c>
      <c r="QY9">
        <v>209.99</v>
      </c>
      <c r="QZ9">
        <v>210.07</v>
      </c>
      <c r="RA9">
        <v>210.07</v>
      </c>
      <c r="RB9">
        <v>210.34</v>
      </c>
      <c r="RC9">
        <v>210.6</v>
      </c>
      <c r="RE9">
        <v>210.96</v>
      </c>
      <c r="RH9">
        <v>211.38</v>
      </c>
      <c r="RI9">
        <v>211.61</v>
      </c>
      <c r="RJ9">
        <v>211.83</v>
      </c>
      <c r="RK9">
        <v>212.05</v>
      </c>
      <c r="RL9">
        <v>212.57</v>
      </c>
      <c r="RM9">
        <v>212.61</v>
      </c>
      <c r="RN9">
        <v>212.78</v>
      </c>
      <c r="RO9">
        <v>212.95</v>
      </c>
      <c r="RP9">
        <v>213.09</v>
      </c>
      <c r="RQ9">
        <v>213.48</v>
      </c>
      <c r="RR9">
        <v>213.64</v>
      </c>
      <c r="RS9">
        <v>213.64</v>
      </c>
      <c r="RU9">
        <v>213.96</v>
      </c>
      <c r="RW9">
        <v>214.31</v>
      </c>
      <c r="RX9">
        <v>214.31</v>
      </c>
      <c r="RY9">
        <v>214.73</v>
      </c>
      <c r="RZ9">
        <v>214.73</v>
      </c>
      <c r="SA9">
        <v>215.17</v>
      </c>
      <c r="SB9">
        <v>215.17</v>
      </c>
      <c r="SC9">
        <v>215.31</v>
      </c>
      <c r="SD9">
        <v>215.31</v>
      </c>
      <c r="SE9">
        <v>215.73</v>
      </c>
      <c r="SF9">
        <v>215.73</v>
      </c>
      <c r="SG9">
        <v>215.95</v>
      </c>
      <c r="SH9">
        <v>216.19</v>
      </c>
      <c r="SI9">
        <v>216.62</v>
      </c>
      <c r="SJ9">
        <v>216.62</v>
      </c>
      <c r="SK9">
        <v>216.62</v>
      </c>
      <c r="SL9">
        <v>216.83</v>
      </c>
      <c r="SN9">
        <v>217.65</v>
      </c>
      <c r="SP9">
        <v>218.13</v>
      </c>
      <c r="SQ9">
        <v>218.13</v>
      </c>
      <c r="ST9">
        <v>219.47</v>
      </c>
      <c r="SV9">
        <v>220.28</v>
      </c>
      <c r="SW9">
        <v>220.46</v>
      </c>
      <c r="SX9">
        <v>220.46</v>
      </c>
      <c r="SZ9">
        <v>220.92</v>
      </c>
      <c r="TC9">
        <v>221.79</v>
      </c>
      <c r="TF9">
        <v>223.12</v>
      </c>
      <c r="TG9">
        <v>223.49</v>
      </c>
      <c r="TH9">
        <v>223.49</v>
      </c>
      <c r="TJ9">
        <v>224.64</v>
      </c>
      <c r="TK9">
        <v>224.86</v>
      </c>
      <c r="TL9">
        <v>224.86</v>
      </c>
      <c r="TM9">
        <v>225.41</v>
      </c>
      <c r="TP9">
        <v>139.02000000000001</v>
      </c>
      <c r="TQ9">
        <v>139.19999999999999</v>
      </c>
      <c r="TR9">
        <v>139.25</v>
      </c>
      <c r="TU9">
        <v>227.78</v>
      </c>
      <c r="TV9">
        <v>228.04</v>
      </c>
      <c r="TW9">
        <v>228.29</v>
      </c>
      <c r="TX9">
        <v>228.54</v>
      </c>
      <c r="TY9">
        <v>228.54</v>
      </c>
      <c r="UB9">
        <v>229.47</v>
      </c>
      <c r="UC9">
        <v>229.73</v>
      </c>
      <c r="UD9">
        <v>230</v>
      </c>
      <c r="UE9">
        <v>230.05</v>
      </c>
      <c r="UG9">
        <v>230.33</v>
      </c>
      <c r="UH9">
        <v>230.36</v>
      </c>
      <c r="UI9">
        <v>230.6</v>
      </c>
      <c r="UJ9">
        <v>230.81</v>
      </c>
      <c r="UK9">
        <v>231.02</v>
      </c>
      <c r="UL9">
        <v>231.23</v>
      </c>
      <c r="UM9">
        <v>231.29</v>
      </c>
      <c r="UN9">
        <v>231.29</v>
      </c>
      <c r="UP9">
        <v>231.76</v>
      </c>
      <c r="UQ9">
        <v>231.76</v>
      </c>
      <c r="UR9">
        <v>232.24</v>
      </c>
      <c r="US9">
        <v>232.24</v>
      </c>
      <c r="UT9">
        <v>232.61</v>
      </c>
      <c r="UU9">
        <v>232.69</v>
      </c>
      <c r="UV9">
        <v>232.86</v>
      </c>
      <c r="UW9">
        <v>233.03</v>
      </c>
      <c r="UX9">
        <v>233.03</v>
      </c>
      <c r="UZ9">
        <v>233.47</v>
      </c>
      <c r="VD9">
        <v>235.86</v>
      </c>
      <c r="VE9">
        <v>235.86</v>
      </c>
      <c r="VF9">
        <v>236.23</v>
      </c>
      <c r="VG9">
        <v>236.23</v>
      </c>
      <c r="VH9">
        <v>236.44</v>
      </c>
      <c r="VI9">
        <v>236.44</v>
      </c>
      <c r="VJ9">
        <v>236.62</v>
      </c>
      <c r="VK9">
        <v>236.62</v>
      </c>
      <c r="VL9">
        <v>236.99</v>
      </c>
      <c r="VM9">
        <v>237.12</v>
      </c>
      <c r="VN9">
        <v>237.25</v>
      </c>
      <c r="VO9">
        <v>237.28</v>
      </c>
      <c r="VQ9">
        <v>237.44</v>
      </c>
      <c r="VR9">
        <v>237.44</v>
      </c>
      <c r="VS9">
        <v>237.74</v>
      </c>
      <c r="VT9">
        <v>237.74</v>
      </c>
      <c r="VU9">
        <v>238.12</v>
      </c>
      <c r="VV9">
        <v>238.14</v>
      </c>
      <c r="VW9">
        <v>238.28</v>
      </c>
      <c r="VX9">
        <v>238.28</v>
      </c>
      <c r="WA9">
        <v>238.64</v>
      </c>
      <c r="WD9">
        <v>238.82</v>
      </c>
      <c r="WF9">
        <v>239.05</v>
      </c>
      <c r="WH9">
        <v>239.28</v>
      </c>
      <c r="WL9">
        <v>239.45</v>
      </c>
      <c r="WM9">
        <v>239.56</v>
      </c>
      <c r="WN9">
        <v>239.67</v>
      </c>
      <c r="WO9">
        <v>239.77</v>
      </c>
      <c r="WR9">
        <v>239.9</v>
      </c>
      <c r="WS9">
        <v>240</v>
      </c>
      <c r="WT9">
        <v>240.1</v>
      </c>
      <c r="WU9">
        <v>240.2</v>
      </c>
      <c r="WV9">
        <v>240.28</v>
      </c>
      <c r="XA9">
        <v>240.57</v>
      </c>
      <c r="XB9">
        <v>240.65</v>
      </c>
      <c r="XF9">
        <v>240.76</v>
      </c>
      <c r="XG9">
        <v>240.83</v>
      </c>
      <c r="XN9">
        <v>241.19</v>
      </c>
      <c r="XX9">
        <v>241.72</v>
      </c>
      <c r="XY9">
        <v>241.78</v>
      </c>
      <c r="YF9">
        <v>242.04</v>
      </c>
      <c r="YG9">
        <v>242.04</v>
      </c>
      <c r="YJ9">
        <v>242.13</v>
      </c>
      <c r="YL9">
        <v>242.24</v>
      </c>
      <c r="YM9">
        <v>242.24</v>
      </c>
      <c r="YQ9">
        <v>242.34</v>
      </c>
      <c r="YR9">
        <v>242.36</v>
      </c>
      <c r="YS9">
        <v>242.39</v>
      </c>
      <c r="YT9">
        <v>242.39</v>
      </c>
      <c r="YZ9">
        <v>242.56</v>
      </c>
      <c r="ZA9">
        <v>242.57</v>
      </c>
      <c r="ZC9">
        <v>242.6</v>
      </c>
      <c r="ZE9">
        <v>241.41</v>
      </c>
      <c r="ZG9">
        <v>241.48</v>
      </c>
      <c r="ZH9">
        <v>241.48</v>
      </c>
      <c r="ZJ9">
        <v>241.52</v>
      </c>
      <c r="ZL9">
        <v>241.58</v>
      </c>
      <c r="ZM9">
        <v>241.62</v>
      </c>
      <c r="ZN9">
        <v>241.67</v>
      </c>
      <c r="ZO9">
        <v>241.67</v>
      </c>
      <c r="ZP9">
        <v>241.67</v>
      </c>
      <c r="ZR9">
        <v>241.74</v>
      </c>
      <c r="ZS9">
        <v>241.85</v>
      </c>
      <c r="ZT9">
        <v>241.85</v>
      </c>
      <c r="ZU9">
        <v>241.97</v>
      </c>
      <c r="ZV9">
        <v>241.98</v>
      </c>
      <c r="ZX9">
        <v>242.05</v>
      </c>
      <c r="ZY9">
        <v>242.1</v>
      </c>
      <c r="ZZ9">
        <v>242.1</v>
      </c>
      <c r="AAA9">
        <v>242.22</v>
      </c>
      <c r="AAB9">
        <v>242.27</v>
      </c>
      <c r="AAC9">
        <v>242.28</v>
      </c>
      <c r="AAD9">
        <v>242.28</v>
      </c>
      <c r="AAE9">
        <v>242.28</v>
      </c>
      <c r="AAG9">
        <v>242.4</v>
      </c>
      <c r="AAH9">
        <v>242.45</v>
      </c>
      <c r="AAI9">
        <v>242.51</v>
      </c>
      <c r="AAJ9">
        <v>242.52</v>
      </c>
      <c r="AAL9">
        <v>242.61</v>
      </c>
      <c r="AAM9">
        <v>242.61</v>
      </c>
      <c r="AAN9">
        <v>242.91</v>
      </c>
      <c r="AAO9">
        <v>243.04</v>
      </c>
      <c r="AAP9">
        <v>243.18</v>
      </c>
      <c r="AAQ9">
        <v>243.21</v>
      </c>
      <c r="AAS9">
        <v>243.49</v>
      </c>
      <c r="AAT9">
        <v>243.72</v>
      </c>
      <c r="AAU9">
        <v>243.91</v>
      </c>
      <c r="AAV9">
        <v>243.94</v>
      </c>
      <c r="AAW9">
        <v>243.97</v>
      </c>
      <c r="AAX9">
        <v>244.01</v>
      </c>
      <c r="AAY9">
        <v>244.01</v>
      </c>
      <c r="AAZ9">
        <v>244.39</v>
      </c>
      <c r="ABA9">
        <v>244.61</v>
      </c>
      <c r="ABB9">
        <v>244.84</v>
      </c>
      <c r="ABC9">
        <v>245.07</v>
      </c>
      <c r="ABD9">
        <v>245.29</v>
      </c>
      <c r="ABE9">
        <v>245.33</v>
      </c>
      <c r="ABG9">
        <v>245.84</v>
      </c>
      <c r="ABH9">
        <v>245.91</v>
      </c>
      <c r="ABI9">
        <v>246.12</v>
      </c>
      <c r="ABJ9">
        <v>246.31</v>
      </c>
      <c r="ABK9">
        <v>246.37</v>
      </c>
      <c r="ABL9">
        <v>246.37</v>
      </c>
      <c r="ABM9">
        <v>246.38</v>
      </c>
      <c r="ABN9">
        <v>246.59</v>
      </c>
      <c r="ABO9">
        <v>246.84</v>
      </c>
      <c r="ABP9">
        <v>247.07</v>
      </c>
      <c r="ABQ9">
        <v>247.23</v>
      </c>
      <c r="ABR9">
        <v>247.27</v>
      </c>
      <c r="ABT9">
        <v>247.51</v>
      </c>
      <c r="ABU9">
        <v>247.69</v>
      </c>
      <c r="ABV9">
        <v>247.89</v>
      </c>
      <c r="ABW9">
        <v>248.1</v>
      </c>
      <c r="ABX9">
        <v>248.3</v>
      </c>
      <c r="ABY9">
        <v>248.46</v>
      </c>
      <c r="ABZ9">
        <v>248.49</v>
      </c>
      <c r="ACA9">
        <v>248.5</v>
      </c>
      <c r="ACB9">
        <v>248.5</v>
      </c>
      <c r="ACC9">
        <v>249.04</v>
      </c>
      <c r="ACD9">
        <v>249.2</v>
      </c>
      <c r="ACE9">
        <v>249.35</v>
      </c>
      <c r="ACF9">
        <v>249.48</v>
      </c>
      <c r="ACG9">
        <v>249.51</v>
      </c>
      <c r="ACI9">
        <v>249.92</v>
      </c>
      <c r="ACJ9">
        <v>250.02</v>
      </c>
      <c r="ACK9">
        <v>250.13</v>
      </c>
      <c r="ACL9">
        <v>250.21</v>
      </c>
      <c r="ACM9">
        <v>250.3</v>
      </c>
      <c r="ACN9">
        <v>250.32</v>
      </c>
      <c r="ACO9">
        <v>250.32</v>
      </c>
      <c r="ACP9">
        <v>250.64</v>
      </c>
      <c r="ACQ9">
        <v>250.73</v>
      </c>
      <c r="ACR9">
        <v>250.81</v>
      </c>
      <c r="ACS9">
        <v>250.9</v>
      </c>
      <c r="ACT9">
        <v>250.98</v>
      </c>
      <c r="ACU9">
        <v>251</v>
      </c>
      <c r="ACV9">
        <v>251.01</v>
      </c>
      <c r="ACW9">
        <v>251.08</v>
      </c>
      <c r="ACX9">
        <v>251.14</v>
      </c>
      <c r="ACY9">
        <v>251.21</v>
      </c>
      <c r="ACZ9">
        <v>251.26</v>
      </c>
      <c r="ADA9">
        <v>251.32</v>
      </c>
      <c r="ADB9">
        <v>251.32</v>
      </c>
      <c r="ADD9">
        <v>251.48</v>
      </c>
      <c r="ADE9">
        <v>251.53</v>
      </c>
      <c r="ADF9">
        <v>251.59</v>
      </c>
      <c r="ADG9">
        <v>251.65</v>
      </c>
      <c r="ADH9">
        <v>251.7</v>
      </c>
      <c r="ADI9">
        <v>251.7</v>
      </c>
      <c r="ADR9">
        <v>252.16</v>
      </c>
      <c r="ADS9">
        <v>252.16</v>
      </c>
      <c r="ADT9">
        <v>252.21</v>
      </c>
      <c r="ADU9">
        <v>252.25</v>
      </c>
      <c r="ADV9">
        <v>252.3</v>
      </c>
      <c r="ADW9">
        <v>252.31</v>
      </c>
      <c r="ADX9">
        <v>252.31</v>
      </c>
      <c r="ADZ9">
        <v>252.51</v>
      </c>
      <c r="AEA9">
        <v>252.54</v>
      </c>
      <c r="AEB9">
        <v>252.57</v>
      </c>
      <c r="AEC9">
        <v>252.59</v>
      </c>
      <c r="AED9">
        <v>252.6</v>
      </c>
      <c r="AEE9">
        <v>252.6</v>
      </c>
    </row>
    <row r="10" spans="1:812">
      <c r="A10" s="1" t="s">
        <v>79</v>
      </c>
      <c r="B10" s="1" t="s">
        <v>79</v>
      </c>
      <c r="DJ10">
        <v>0.02</v>
      </c>
      <c r="EW10">
        <v>0.36</v>
      </c>
      <c r="FD10">
        <v>0.65</v>
      </c>
      <c r="FK10">
        <v>0.9</v>
      </c>
      <c r="FR10">
        <v>1.1299999999999999</v>
      </c>
      <c r="FY10">
        <v>1.57</v>
      </c>
      <c r="GG10">
        <v>1.87</v>
      </c>
      <c r="GM10">
        <v>2.17</v>
      </c>
      <c r="GT10">
        <v>2.52</v>
      </c>
      <c r="HH10">
        <v>3.65</v>
      </c>
      <c r="HO10">
        <v>4.42</v>
      </c>
      <c r="HV10">
        <v>5.15</v>
      </c>
      <c r="IC10">
        <v>5.8</v>
      </c>
      <c r="IJ10">
        <v>6.58</v>
      </c>
      <c r="IQ10">
        <v>7.43</v>
      </c>
      <c r="IX10">
        <v>8.06</v>
      </c>
      <c r="JE10">
        <v>9.27</v>
      </c>
      <c r="JS10">
        <v>11.31</v>
      </c>
      <c r="JZ10">
        <v>12.36</v>
      </c>
      <c r="KG10">
        <v>13.76</v>
      </c>
      <c r="KV10">
        <v>17.329999999999998</v>
      </c>
      <c r="LI10">
        <v>22.81</v>
      </c>
    </row>
    <row r="11" spans="1:812">
      <c r="A11" s="1" t="s">
        <v>200</v>
      </c>
      <c r="B11" s="1" t="s">
        <v>200</v>
      </c>
      <c r="DT11">
        <v>38.49</v>
      </c>
      <c r="DV11">
        <v>40.340000000000003</v>
      </c>
      <c r="DW11">
        <v>42.7</v>
      </c>
      <c r="DX11">
        <v>45.15</v>
      </c>
      <c r="DY11">
        <v>47.34</v>
      </c>
      <c r="DZ11">
        <v>49.6</v>
      </c>
      <c r="EA11">
        <v>52.06</v>
      </c>
      <c r="EB11">
        <v>52.12</v>
      </c>
      <c r="EC11">
        <v>54.49</v>
      </c>
      <c r="ED11">
        <v>56.55</v>
      </c>
      <c r="EE11">
        <v>58.39</v>
      </c>
      <c r="EF11">
        <v>60.21</v>
      </c>
      <c r="EG11">
        <v>63.64</v>
      </c>
      <c r="EH11">
        <v>64.89</v>
      </c>
      <c r="EI11">
        <v>68.47</v>
      </c>
      <c r="EJ11">
        <v>68.709999999999994</v>
      </c>
      <c r="EL11">
        <v>69.94</v>
      </c>
      <c r="EM11">
        <v>71.040000000000006</v>
      </c>
      <c r="EN11">
        <v>71.989999999999995</v>
      </c>
      <c r="EQ11">
        <v>72.8</v>
      </c>
      <c r="ER11">
        <v>73.95</v>
      </c>
      <c r="ES11">
        <v>74.459999999999994</v>
      </c>
      <c r="ET11">
        <v>74.510000000000005</v>
      </c>
      <c r="EU11">
        <v>75.17</v>
      </c>
      <c r="EV11">
        <v>75.58</v>
      </c>
      <c r="EX11">
        <v>76.44</v>
      </c>
      <c r="EY11">
        <v>77.62</v>
      </c>
      <c r="EZ11">
        <v>78.900000000000006</v>
      </c>
      <c r="FA11">
        <v>80.03</v>
      </c>
      <c r="FB11">
        <v>81.99</v>
      </c>
      <c r="FC11">
        <v>82.99</v>
      </c>
      <c r="FE11">
        <v>85.24</v>
      </c>
      <c r="FF11">
        <v>87.79</v>
      </c>
      <c r="FG11">
        <v>89.92</v>
      </c>
      <c r="FH11">
        <v>91.72</v>
      </c>
      <c r="FI11">
        <v>93.67</v>
      </c>
      <c r="FJ11">
        <v>96.84</v>
      </c>
      <c r="FK11">
        <v>101.6</v>
      </c>
      <c r="FL11">
        <v>102.8</v>
      </c>
      <c r="FM11">
        <v>104.32</v>
      </c>
      <c r="FN11">
        <v>104.59</v>
      </c>
      <c r="FO11">
        <v>105.2</v>
      </c>
      <c r="FP11">
        <v>105.93</v>
      </c>
      <c r="FQ11">
        <v>106.46</v>
      </c>
      <c r="FS11">
        <v>106.92</v>
      </c>
      <c r="FT11">
        <v>107.37</v>
      </c>
      <c r="FU11">
        <v>107.85</v>
      </c>
      <c r="FV11">
        <v>109.18</v>
      </c>
      <c r="FW11">
        <v>109.19</v>
      </c>
      <c r="FY11">
        <v>109.19</v>
      </c>
      <c r="FZ11">
        <v>109.62</v>
      </c>
      <c r="GA11">
        <v>110.24</v>
      </c>
      <c r="GB11">
        <v>110.82</v>
      </c>
      <c r="GC11">
        <v>111.34</v>
      </c>
      <c r="GD11">
        <v>111.83</v>
      </c>
      <c r="GE11">
        <v>113.77</v>
      </c>
      <c r="GG11">
        <v>114.15</v>
      </c>
      <c r="GH11">
        <v>114.52</v>
      </c>
      <c r="GI11">
        <v>114.91</v>
      </c>
      <c r="GJ11">
        <v>115.31</v>
      </c>
      <c r="GK11">
        <v>115.74</v>
      </c>
      <c r="GM11">
        <v>116.04</v>
      </c>
      <c r="GN11">
        <v>116.44</v>
      </c>
      <c r="GO11">
        <v>116.45</v>
      </c>
      <c r="GP11">
        <v>116.94</v>
      </c>
      <c r="GQ11">
        <v>117.35</v>
      </c>
      <c r="GT11">
        <v>117.35</v>
      </c>
      <c r="GU11">
        <v>117.9</v>
      </c>
      <c r="GV11">
        <v>118.38</v>
      </c>
      <c r="GW11">
        <v>119.19</v>
      </c>
      <c r="GX11">
        <v>119.34</v>
      </c>
      <c r="GY11">
        <v>119.87</v>
      </c>
      <c r="HB11">
        <v>120.43</v>
      </c>
      <c r="HC11">
        <v>120.98</v>
      </c>
      <c r="HD11">
        <v>121.43</v>
      </c>
      <c r="HE11">
        <v>121.87</v>
      </c>
      <c r="HF11">
        <v>122.39</v>
      </c>
      <c r="HG11">
        <v>123.57</v>
      </c>
      <c r="HI11">
        <v>123.96</v>
      </c>
      <c r="HJ11">
        <v>124.3</v>
      </c>
      <c r="HK11">
        <v>124.74</v>
      </c>
      <c r="HL11">
        <v>125.25</v>
      </c>
      <c r="HM11">
        <v>125.27</v>
      </c>
      <c r="HP11">
        <v>125.99</v>
      </c>
      <c r="HQ11">
        <v>126</v>
      </c>
      <c r="HR11">
        <v>126.43</v>
      </c>
      <c r="HS11">
        <v>126.87</v>
      </c>
      <c r="HT11">
        <v>126.92</v>
      </c>
      <c r="HW11">
        <v>127.37</v>
      </c>
      <c r="HX11">
        <v>127.85</v>
      </c>
      <c r="HY11">
        <v>128.22999999999999</v>
      </c>
      <c r="HZ11">
        <v>128.6</v>
      </c>
      <c r="IA11">
        <v>128.88</v>
      </c>
      <c r="IB11">
        <v>129.72999999999999</v>
      </c>
      <c r="IC11">
        <v>129.74</v>
      </c>
      <c r="ID11">
        <v>129.9</v>
      </c>
      <c r="IE11">
        <v>130.22999999999999</v>
      </c>
      <c r="IF11">
        <v>130.31</v>
      </c>
      <c r="IG11">
        <v>130.47999999999999</v>
      </c>
      <c r="IH11">
        <v>130.72</v>
      </c>
      <c r="IK11">
        <v>131.02000000000001</v>
      </c>
      <c r="IL11">
        <v>131.41</v>
      </c>
      <c r="IM11">
        <v>131.97</v>
      </c>
      <c r="IN11">
        <v>132.16999999999999</v>
      </c>
      <c r="IO11">
        <v>132.63999999999999</v>
      </c>
      <c r="IR11">
        <v>133.03</v>
      </c>
      <c r="IS11">
        <v>133.57</v>
      </c>
      <c r="IT11">
        <v>133.97</v>
      </c>
      <c r="IU11">
        <v>134.31</v>
      </c>
      <c r="IV11">
        <v>134.02000000000001</v>
      </c>
      <c r="IX11">
        <v>136.13999999999999</v>
      </c>
      <c r="IY11">
        <v>136.44</v>
      </c>
      <c r="IZ11">
        <v>136.66</v>
      </c>
      <c r="JA11">
        <v>136.94</v>
      </c>
      <c r="JB11">
        <v>137.21</v>
      </c>
      <c r="JC11">
        <v>137.47</v>
      </c>
      <c r="JE11">
        <v>137.66999999999999</v>
      </c>
      <c r="JF11">
        <v>137.74</v>
      </c>
      <c r="JG11">
        <v>138.28</v>
      </c>
      <c r="JH11">
        <v>138.44999999999999</v>
      </c>
      <c r="JI11">
        <v>138.87</v>
      </c>
      <c r="JJ11">
        <v>139.04</v>
      </c>
      <c r="JM11">
        <v>139.55000000000001</v>
      </c>
      <c r="JN11">
        <v>139.63999999999999</v>
      </c>
      <c r="JO11">
        <v>139.91</v>
      </c>
      <c r="JP11">
        <v>140.13</v>
      </c>
      <c r="JQ11">
        <v>140.37</v>
      </c>
      <c r="JR11">
        <v>141.13</v>
      </c>
      <c r="JS11">
        <v>142.91</v>
      </c>
      <c r="JT11">
        <v>142.91</v>
      </c>
      <c r="JU11">
        <v>143.29</v>
      </c>
      <c r="JV11">
        <v>143.72</v>
      </c>
      <c r="JW11">
        <v>144.08000000000001</v>
      </c>
      <c r="KA11">
        <v>144.32</v>
      </c>
      <c r="KB11">
        <v>144.68</v>
      </c>
      <c r="KC11">
        <v>144.71</v>
      </c>
      <c r="KD11">
        <v>144.91</v>
      </c>
      <c r="KE11">
        <v>145.06</v>
      </c>
      <c r="KF11">
        <v>145.16</v>
      </c>
      <c r="KG11">
        <v>145.21</v>
      </c>
      <c r="KH11">
        <v>145.30000000000001</v>
      </c>
      <c r="KI11">
        <v>145.44</v>
      </c>
      <c r="KJ11">
        <v>145.59</v>
      </c>
      <c r="KK11">
        <v>145.69999999999999</v>
      </c>
      <c r="KL11">
        <v>145.86000000000001</v>
      </c>
      <c r="KM11">
        <v>145.86000000000001</v>
      </c>
      <c r="KO11">
        <v>146.05000000000001</v>
      </c>
      <c r="KP11">
        <v>146.24</v>
      </c>
      <c r="KQ11">
        <v>146.47</v>
      </c>
      <c r="KR11">
        <v>146.66</v>
      </c>
      <c r="KS11">
        <v>146.79</v>
      </c>
      <c r="KT11">
        <v>146.79</v>
      </c>
      <c r="KW11">
        <v>147.08000000000001</v>
      </c>
      <c r="KX11">
        <v>147.27000000000001</v>
      </c>
      <c r="KY11">
        <v>147.35</v>
      </c>
      <c r="KZ11">
        <v>147.44999999999999</v>
      </c>
      <c r="LC11">
        <v>147.6</v>
      </c>
      <c r="LD11">
        <v>147.71</v>
      </c>
      <c r="LE11">
        <v>147.91</v>
      </c>
      <c r="LF11">
        <v>148.02000000000001</v>
      </c>
      <c r="LG11">
        <v>148.16</v>
      </c>
      <c r="LJ11">
        <v>148.25</v>
      </c>
      <c r="LK11">
        <v>148.34</v>
      </c>
      <c r="LL11">
        <v>148.49</v>
      </c>
      <c r="LM11">
        <v>148.56</v>
      </c>
      <c r="LN11">
        <v>148.71</v>
      </c>
      <c r="LQ11">
        <v>148.83000000000001</v>
      </c>
      <c r="LR11">
        <v>148.91999999999999</v>
      </c>
      <c r="LS11">
        <v>149.04</v>
      </c>
      <c r="LU11">
        <v>149.27000000000001</v>
      </c>
      <c r="LX11">
        <v>149.35</v>
      </c>
      <c r="LY11">
        <v>149.41999999999999</v>
      </c>
      <c r="LZ11">
        <v>149.57</v>
      </c>
      <c r="MA11">
        <v>149.66999999999999</v>
      </c>
      <c r="MB11">
        <v>149.78</v>
      </c>
      <c r="ME11">
        <v>149.88</v>
      </c>
      <c r="MF11">
        <v>149.96</v>
      </c>
      <c r="MG11">
        <v>150.07</v>
      </c>
      <c r="MH11">
        <v>150.15</v>
      </c>
      <c r="MI11">
        <v>150.30000000000001</v>
      </c>
      <c r="MJ11">
        <v>150.30000000000001</v>
      </c>
      <c r="MK11">
        <v>150.31</v>
      </c>
      <c r="ML11">
        <v>150.38999999999999</v>
      </c>
      <c r="MM11">
        <v>150.51</v>
      </c>
      <c r="MN11">
        <v>150.57</v>
      </c>
      <c r="MO11">
        <v>150.66</v>
      </c>
      <c r="MP11">
        <v>150.75</v>
      </c>
      <c r="MQ11">
        <v>150.76</v>
      </c>
      <c r="MR11">
        <v>150.79</v>
      </c>
      <c r="MS11">
        <v>150.79</v>
      </c>
      <c r="MT11">
        <v>150.79</v>
      </c>
      <c r="MU11">
        <v>150.80000000000001</v>
      </c>
      <c r="MV11">
        <v>150.91999999999999</v>
      </c>
      <c r="MW11">
        <v>151.05000000000001</v>
      </c>
      <c r="MZ11">
        <v>151.13999999999999</v>
      </c>
      <c r="NA11">
        <v>151.24</v>
      </c>
      <c r="NB11">
        <v>151.31</v>
      </c>
      <c r="NC11">
        <v>151.38</v>
      </c>
      <c r="ND11">
        <v>151.44999999999999</v>
      </c>
      <c r="NG11">
        <v>151.54</v>
      </c>
      <c r="NH11">
        <v>151.58000000000001</v>
      </c>
      <c r="NI11">
        <v>151.65</v>
      </c>
      <c r="NJ11">
        <v>151.71</v>
      </c>
      <c r="NK11">
        <v>151.88999999999999</v>
      </c>
      <c r="NN11">
        <v>152</v>
      </c>
      <c r="NP11">
        <v>152.22999999999999</v>
      </c>
      <c r="NQ11">
        <v>152.36000000000001</v>
      </c>
      <c r="NR11">
        <v>152.36000000000001</v>
      </c>
      <c r="NU11">
        <v>152.47</v>
      </c>
      <c r="NV11">
        <v>152.56</v>
      </c>
      <c r="NX11">
        <v>152.77000000000001</v>
      </c>
      <c r="OC11">
        <v>152.85</v>
      </c>
      <c r="OD11">
        <v>152.94999999999999</v>
      </c>
      <c r="OE11">
        <v>153.09</v>
      </c>
      <c r="OF11">
        <v>153.15</v>
      </c>
      <c r="OI11">
        <v>153.22999999999999</v>
      </c>
      <c r="OJ11">
        <v>153.32</v>
      </c>
      <c r="OK11">
        <v>153.4</v>
      </c>
      <c r="OL11">
        <v>153.5</v>
      </c>
      <c r="OM11">
        <v>153.58000000000001</v>
      </c>
      <c r="ON11">
        <v>153.58000000000001</v>
      </c>
      <c r="OP11">
        <v>153.66999999999999</v>
      </c>
      <c r="OQ11">
        <v>153.77000000000001</v>
      </c>
      <c r="OR11">
        <v>153.86000000000001</v>
      </c>
      <c r="OS11">
        <v>153.94</v>
      </c>
      <c r="OT11">
        <v>154.1</v>
      </c>
      <c r="OU11">
        <v>154.58000000000001</v>
      </c>
      <c r="OV11">
        <v>154.86000000000001</v>
      </c>
      <c r="OZ11">
        <v>155.08000000000001</v>
      </c>
      <c r="PA11">
        <v>155.18</v>
      </c>
      <c r="PD11">
        <v>155.27000000000001</v>
      </c>
      <c r="PE11">
        <v>155.35</v>
      </c>
      <c r="PF11">
        <v>155.43</v>
      </c>
      <c r="PG11">
        <v>155.5</v>
      </c>
      <c r="PH11">
        <v>155.59</v>
      </c>
      <c r="PK11">
        <v>155.66</v>
      </c>
      <c r="PL11">
        <v>155.72999999999999</v>
      </c>
      <c r="PM11">
        <v>155.83000000000001</v>
      </c>
      <c r="PN11">
        <v>155.9</v>
      </c>
      <c r="PO11">
        <v>155.97999999999999</v>
      </c>
      <c r="PR11">
        <v>156.04</v>
      </c>
      <c r="PS11">
        <v>156.08000000000001</v>
      </c>
      <c r="PT11">
        <v>156.16</v>
      </c>
      <c r="PU11">
        <v>156.22999999999999</v>
      </c>
      <c r="PV11">
        <v>156.33000000000001</v>
      </c>
      <c r="PY11">
        <v>156.38</v>
      </c>
      <c r="PZ11">
        <v>156.43</v>
      </c>
      <c r="QA11">
        <v>156.46</v>
      </c>
      <c r="QB11">
        <v>156.5</v>
      </c>
      <c r="QC11">
        <v>156.56</v>
      </c>
      <c r="QG11">
        <v>156.63</v>
      </c>
      <c r="QH11">
        <v>156.68</v>
      </c>
      <c r="QI11">
        <v>156.72</v>
      </c>
      <c r="QJ11">
        <v>156.76</v>
      </c>
      <c r="QL11">
        <v>156.76</v>
      </c>
      <c r="QM11">
        <v>156.81</v>
      </c>
      <c r="QN11">
        <v>156.86000000000001</v>
      </c>
      <c r="QO11">
        <v>156.91</v>
      </c>
      <c r="QP11">
        <v>156.97</v>
      </c>
      <c r="QR11">
        <v>157.02000000000001</v>
      </c>
      <c r="QT11">
        <v>157.06</v>
      </c>
      <c r="QU11">
        <v>157.1</v>
      </c>
      <c r="QV11">
        <v>157.13999999999999</v>
      </c>
      <c r="QW11">
        <v>157.19</v>
      </c>
      <c r="RA11">
        <v>157.28</v>
      </c>
      <c r="RB11">
        <v>157.37</v>
      </c>
      <c r="RC11">
        <v>157.47</v>
      </c>
      <c r="RD11">
        <v>157.55000000000001</v>
      </c>
      <c r="RE11">
        <v>157.66999999999999</v>
      </c>
      <c r="RF11">
        <v>157.66999999999999</v>
      </c>
      <c r="RH11">
        <v>157.78</v>
      </c>
      <c r="RI11">
        <v>157.87</v>
      </c>
      <c r="RJ11">
        <v>157.93</v>
      </c>
      <c r="RK11">
        <v>157.97</v>
      </c>
      <c r="RL11">
        <v>158.05000000000001</v>
      </c>
      <c r="RM11">
        <v>158.09</v>
      </c>
      <c r="RN11">
        <v>158.13999999999999</v>
      </c>
      <c r="RO11">
        <v>158.18</v>
      </c>
      <c r="RP11">
        <v>158.21</v>
      </c>
      <c r="RR11">
        <v>158.34</v>
      </c>
      <c r="RS11">
        <v>158.38999999999999</v>
      </c>
      <c r="RT11">
        <v>158.43</v>
      </c>
      <c r="RU11">
        <v>158.47999999999999</v>
      </c>
      <c r="RX11">
        <v>158.55000000000001</v>
      </c>
      <c r="RY11">
        <v>158.6</v>
      </c>
      <c r="RZ11">
        <v>158.66999999999999</v>
      </c>
      <c r="SA11">
        <v>158.72999999999999</v>
      </c>
      <c r="SD11">
        <v>158.78</v>
      </c>
      <c r="SE11">
        <v>158.82</v>
      </c>
      <c r="SF11">
        <v>158.83000000000001</v>
      </c>
      <c r="SG11">
        <v>158.86000000000001</v>
      </c>
      <c r="SH11">
        <v>158.88999999999999</v>
      </c>
      <c r="SL11">
        <v>158.94</v>
      </c>
      <c r="SM11">
        <v>158.97999999999999</v>
      </c>
      <c r="SN11">
        <v>159.02000000000001</v>
      </c>
      <c r="SO11">
        <v>159.06</v>
      </c>
      <c r="SR11">
        <v>159.09</v>
      </c>
      <c r="SS11">
        <v>159.13</v>
      </c>
      <c r="ST11">
        <v>159.16999999999999</v>
      </c>
      <c r="SU11">
        <v>159.21</v>
      </c>
      <c r="SV11">
        <v>159.27000000000001</v>
      </c>
      <c r="SY11">
        <v>159.31</v>
      </c>
      <c r="SZ11">
        <v>159.35</v>
      </c>
      <c r="TA11">
        <v>159.38999999999999</v>
      </c>
      <c r="TB11">
        <v>159.41999999999999</v>
      </c>
      <c r="TC11">
        <v>159.46</v>
      </c>
      <c r="TF11">
        <v>159.5</v>
      </c>
      <c r="TG11">
        <v>159.54</v>
      </c>
      <c r="TH11">
        <v>159.58000000000001</v>
      </c>
      <c r="TM11">
        <v>159.62</v>
      </c>
      <c r="TN11">
        <v>159.66999999999999</v>
      </c>
      <c r="TO11">
        <v>159.69999999999999</v>
      </c>
      <c r="TP11">
        <v>159.74</v>
      </c>
      <c r="TQ11">
        <v>159.85</v>
      </c>
      <c r="TT11">
        <v>159.91999999999999</v>
      </c>
      <c r="TU11">
        <v>159.94999999999999</v>
      </c>
      <c r="TV11">
        <v>160</v>
      </c>
      <c r="TW11">
        <v>160.01</v>
      </c>
      <c r="TX11">
        <v>160.07</v>
      </c>
      <c r="UA11">
        <v>160.12</v>
      </c>
      <c r="UB11">
        <v>160.16</v>
      </c>
      <c r="UC11">
        <v>160.18</v>
      </c>
      <c r="UD11">
        <v>160.21</v>
      </c>
      <c r="UE11">
        <v>160.24</v>
      </c>
      <c r="UH11">
        <v>160.28</v>
      </c>
      <c r="UI11">
        <v>160.32</v>
      </c>
      <c r="UJ11">
        <v>160.34</v>
      </c>
      <c r="UK11">
        <v>160.36000000000001</v>
      </c>
      <c r="UL11">
        <v>160.41</v>
      </c>
      <c r="UO11">
        <v>160.44</v>
      </c>
      <c r="UP11">
        <v>160.47</v>
      </c>
      <c r="US11">
        <v>160.5</v>
      </c>
      <c r="UU11">
        <v>160.5</v>
      </c>
      <c r="UV11">
        <v>160.54</v>
      </c>
      <c r="UW11">
        <v>160.57</v>
      </c>
      <c r="UX11">
        <v>160.6</v>
      </c>
      <c r="UY11">
        <v>160.62</v>
      </c>
      <c r="UZ11">
        <v>160.66</v>
      </c>
      <c r="VC11">
        <v>161.69</v>
      </c>
      <c r="VD11">
        <v>161.72999999999999</v>
      </c>
      <c r="VE11">
        <v>161.75</v>
      </c>
      <c r="VF11">
        <v>161.79</v>
      </c>
      <c r="VG11">
        <v>161.83000000000001</v>
      </c>
      <c r="VJ11">
        <v>161.86000000000001</v>
      </c>
      <c r="VK11">
        <v>161.88</v>
      </c>
      <c r="VL11">
        <v>161.88999999999999</v>
      </c>
      <c r="VM11">
        <v>161.91999999999999</v>
      </c>
      <c r="VN11">
        <v>161.94999999999999</v>
      </c>
      <c r="VQ11">
        <v>161.99</v>
      </c>
      <c r="VR11">
        <v>162.02000000000001</v>
      </c>
      <c r="VS11">
        <v>162.04</v>
      </c>
      <c r="VT11">
        <v>162.06</v>
      </c>
      <c r="VU11">
        <v>162.07</v>
      </c>
      <c r="VW11">
        <v>162.11000000000001</v>
      </c>
      <c r="VX11">
        <v>162.13999999999999</v>
      </c>
      <c r="VY11">
        <v>162.16</v>
      </c>
      <c r="VZ11">
        <v>162.18</v>
      </c>
      <c r="WA11">
        <v>162.21</v>
      </c>
      <c r="WD11">
        <v>162.22999999999999</v>
      </c>
      <c r="WE11">
        <v>162.25</v>
      </c>
      <c r="WF11">
        <v>162.26</v>
      </c>
      <c r="WG11">
        <v>162.29</v>
      </c>
      <c r="WH11">
        <v>162.31</v>
      </c>
      <c r="WL11">
        <v>162.35</v>
      </c>
      <c r="WM11">
        <v>162.37</v>
      </c>
      <c r="WN11">
        <v>162.38</v>
      </c>
      <c r="WO11">
        <v>162.38999999999999</v>
      </c>
      <c r="WR11">
        <v>162.4</v>
      </c>
      <c r="WS11">
        <v>162.41</v>
      </c>
      <c r="WT11">
        <v>162.41999999999999</v>
      </c>
      <c r="WU11">
        <v>162.44</v>
      </c>
      <c r="WV11">
        <v>162.46</v>
      </c>
      <c r="WY11">
        <v>162.47999999999999</v>
      </c>
      <c r="WZ11">
        <v>162.49</v>
      </c>
      <c r="XA11">
        <v>162.5</v>
      </c>
      <c r="XB11">
        <v>162.51</v>
      </c>
      <c r="XC11">
        <v>162.52000000000001</v>
      </c>
      <c r="XF11">
        <v>162.54</v>
      </c>
      <c r="XG11">
        <v>162.57</v>
      </c>
      <c r="XH11">
        <v>162.58000000000001</v>
      </c>
      <c r="XI11">
        <v>162.6</v>
      </c>
      <c r="XJ11">
        <v>162.62</v>
      </c>
      <c r="XM11">
        <v>162.63</v>
      </c>
      <c r="XN11">
        <v>162.63999999999999</v>
      </c>
      <c r="XO11">
        <v>162.65</v>
      </c>
      <c r="XP11">
        <v>162.66999999999999</v>
      </c>
      <c r="XQ11">
        <v>162.69999999999999</v>
      </c>
      <c r="XT11">
        <v>162.72</v>
      </c>
      <c r="XU11">
        <v>162.72999999999999</v>
      </c>
      <c r="XV11">
        <v>162.74</v>
      </c>
      <c r="XW11">
        <v>162.74</v>
      </c>
      <c r="XX11">
        <v>162.75</v>
      </c>
      <c r="YA11">
        <v>162.76</v>
      </c>
      <c r="YB11">
        <v>162.77000000000001</v>
      </c>
      <c r="YC11">
        <v>162.78</v>
      </c>
      <c r="YD11">
        <v>162.78</v>
      </c>
      <c r="YE11">
        <v>162.80000000000001</v>
      </c>
      <c r="YH11">
        <v>162.82</v>
      </c>
      <c r="YI11">
        <v>162.84</v>
      </c>
      <c r="YJ11">
        <v>162.85</v>
      </c>
      <c r="YK11">
        <v>162.86000000000001</v>
      </c>
      <c r="YL11">
        <v>162.88</v>
      </c>
      <c r="YO11">
        <v>162.9</v>
      </c>
      <c r="YP11">
        <v>162.9</v>
      </c>
      <c r="YR11">
        <v>162.93</v>
      </c>
      <c r="YS11">
        <v>162.94</v>
      </c>
      <c r="YV11">
        <v>162.96</v>
      </c>
      <c r="YW11">
        <v>162.97</v>
      </c>
      <c r="YX11">
        <v>162.97999999999999</v>
      </c>
      <c r="YZ11">
        <v>163</v>
      </c>
      <c r="ZC11">
        <v>163.01</v>
      </c>
      <c r="ZD11">
        <v>163.02000000000001</v>
      </c>
      <c r="ZE11">
        <v>163.16999999999999</v>
      </c>
      <c r="ZF11">
        <v>163.18</v>
      </c>
      <c r="ZG11">
        <v>163.19999999999999</v>
      </c>
      <c r="ZJ11">
        <v>163.21</v>
      </c>
      <c r="ZL11">
        <v>163.22999999999999</v>
      </c>
      <c r="ZM11">
        <v>163.24</v>
      </c>
      <c r="ZN11">
        <v>163.25</v>
      </c>
      <c r="ZQ11">
        <v>163.26</v>
      </c>
      <c r="ZR11">
        <v>163.27000000000001</v>
      </c>
      <c r="ZS11">
        <v>163.27000000000001</v>
      </c>
      <c r="ZT11">
        <v>163.28</v>
      </c>
      <c r="ZU11">
        <v>163.29</v>
      </c>
      <c r="ZX11">
        <v>163.30000000000001</v>
      </c>
      <c r="ZY11">
        <v>163.32</v>
      </c>
      <c r="ZZ11">
        <v>163.34</v>
      </c>
      <c r="AAA11">
        <v>163.35</v>
      </c>
      <c r="AAB11">
        <v>163.35</v>
      </c>
      <c r="AAE11">
        <v>163.38</v>
      </c>
      <c r="AAF11">
        <v>163.38999999999999</v>
      </c>
      <c r="AAG11">
        <v>163.38999999999999</v>
      </c>
      <c r="AAH11">
        <v>163.4</v>
      </c>
      <c r="AAI11">
        <v>163.4</v>
      </c>
      <c r="AAL11">
        <v>163.41</v>
      </c>
      <c r="AAM11">
        <v>163.41999999999999</v>
      </c>
      <c r="AAN11">
        <v>163.43</v>
      </c>
      <c r="AAO11">
        <v>163.44</v>
      </c>
      <c r="AAP11">
        <v>163.44999999999999</v>
      </c>
      <c r="AAS11">
        <v>163.46</v>
      </c>
      <c r="AAT11">
        <v>163.47</v>
      </c>
      <c r="AAU11">
        <v>163.47999999999999</v>
      </c>
      <c r="AAV11">
        <v>163.47999999999999</v>
      </c>
      <c r="AAW11">
        <v>163.49</v>
      </c>
      <c r="AAY11">
        <v>163.49</v>
      </c>
      <c r="AAZ11">
        <v>163.5</v>
      </c>
      <c r="ABA11">
        <v>163.51</v>
      </c>
      <c r="ABC11">
        <v>163.51</v>
      </c>
      <c r="ABD11">
        <v>163.52000000000001</v>
      </c>
      <c r="ABG11">
        <v>163.53</v>
      </c>
      <c r="ABH11">
        <v>163.54</v>
      </c>
      <c r="ABI11">
        <v>163.55000000000001</v>
      </c>
      <c r="ABJ11">
        <v>163.55000000000001</v>
      </c>
      <c r="ABL11">
        <v>163.55000000000001</v>
      </c>
      <c r="ABN11">
        <v>163.55000000000001</v>
      </c>
      <c r="ABO11">
        <v>163.57</v>
      </c>
      <c r="ABP11">
        <v>163.57</v>
      </c>
      <c r="ABQ11">
        <v>163.57</v>
      </c>
      <c r="ABV11">
        <v>163.58000000000001</v>
      </c>
      <c r="ABW11">
        <v>163.58000000000001</v>
      </c>
      <c r="ABX11">
        <v>163.59</v>
      </c>
      <c r="ABY11">
        <v>163.6</v>
      </c>
      <c r="ACB11">
        <v>163.62</v>
      </c>
      <c r="ACC11">
        <v>163.63</v>
      </c>
      <c r="ACD11">
        <v>163.63</v>
      </c>
      <c r="ACE11">
        <v>163.63</v>
      </c>
      <c r="ACF11">
        <v>163.65</v>
      </c>
      <c r="ACI11">
        <v>163.65</v>
      </c>
      <c r="ACJ11">
        <v>163.66</v>
      </c>
      <c r="ACK11">
        <v>163.66999999999999</v>
      </c>
      <c r="ACL11">
        <v>163.66999999999999</v>
      </c>
      <c r="ACM11">
        <v>163.68</v>
      </c>
      <c r="ACP11">
        <v>163.68</v>
      </c>
      <c r="ACQ11">
        <v>163.69</v>
      </c>
      <c r="ACR11">
        <v>163.69</v>
      </c>
      <c r="ACS11">
        <v>163.69999999999999</v>
      </c>
      <c r="ACT11">
        <v>163.69999999999999</v>
      </c>
      <c r="ACW11">
        <v>163.71</v>
      </c>
      <c r="ACX11">
        <v>163.72</v>
      </c>
      <c r="ACY11">
        <v>163.72</v>
      </c>
      <c r="ACZ11">
        <v>163.72999999999999</v>
      </c>
      <c r="ADA11">
        <v>163.74</v>
      </c>
      <c r="ADD11">
        <v>163.75</v>
      </c>
      <c r="ADE11">
        <v>163.75</v>
      </c>
      <c r="ADG11">
        <v>163.76</v>
      </c>
      <c r="ADH11">
        <v>163.76</v>
      </c>
      <c r="ADK11">
        <v>163.76</v>
      </c>
      <c r="ADL11">
        <v>163.77000000000001</v>
      </c>
      <c r="ADM11">
        <v>163.77000000000001</v>
      </c>
      <c r="ADN11">
        <v>163.78</v>
      </c>
      <c r="ADO11">
        <v>163.79</v>
      </c>
      <c r="ADS11">
        <v>163.79</v>
      </c>
      <c r="ADT11">
        <v>163.80000000000001</v>
      </c>
      <c r="ADU11">
        <v>163.80000000000001</v>
      </c>
      <c r="ADV11">
        <v>163.81</v>
      </c>
      <c r="ADY11">
        <v>163.82</v>
      </c>
      <c r="ADZ11">
        <v>163.83000000000001</v>
      </c>
      <c r="AEA11">
        <v>163.83000000000001</v>
      </c>
      <c r="AEB11">
        <v>163.83000000000001</v>
      </c>
      <c r="AEC11">
        <v>163.84</v>
      </c>
      <c r="AEF11">
        <v>163.85</v>
      </c>
    </row>
    <row r="12" spans="1:812">
      <c r="A12" s="1" t="s">
        <v>98</v>
      </c>
      <c r="B12" s="1" t="s">
        <v>98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0.01</v>
      </c>
      <c r="CA12">
        <v>0.03</v>
      </c>
      <c r="CB12">
        <v>7.0000000000000007E-2</v>
      </c>
      <c r="CC12">
        <v>0.1</v>
      </c>
      <c r="CD12">
        <v>0.12</v>
      </c>
      <c r="CE12">
        <v>0.13</v>
      </c>
      <c r="CF12">
        <v>0.13</v>
      </c>
      <c r="CG12">
        <v>0.16</v>
      </c>
      <c r="CH12">
        <v>0.2</v>
      </c>
      <c r="CI12">
        <v>0.24</v>
      </c>
      <c r="CJ12">
        <v>0.28000000000000003</v>
      </c>
      <c r="CK12">
        <v>0.3</v>
      </c>
      <c r="CL12">
        <v>0.32</v>
      </c>
      <c r="CM12">
        <v>0.34</v>
      </c>
      <c r="CN12">
        <v>0.37</v>
      </c>
      <c r="CO12">
        <v>0.42</v>
      </c>
      <c r="CP12">
        <v>0.49</v>
      </c>
      <c r="CQ12">
        <v>0.53</v>
      </c>
      <c r="CR12">
        <v>0.62</v>
      </c>
      <c r="CS12">
        <v>0.64</v>
      </c>
      <c r="CT12">
        <v>0.65</v>
      </c>
      <c r="CU12">
        <v>0.72</v>
      </c>
      <c r="CV12">
        <v>0.8</v>
      </c>
      <c r="CW12">
        <v>0.89</v>
      </c>
      <c r="CX12">
        <v>0.94</v>
      </c>
      <c r="CY12">
        <v>1</v>
      </c>
      <c r="CZ12">
        <v>1.01</v>
      </c>
      <c r="DA12">
        <v>1.1100000000000001</v>
      </c>
      <c r="DB12">
        <v>1.21</v>
      </c>
      <c r="DC12">
        <v>1.39</v>
      </c>
      <c r="DD12">
        <v>1.6</v>
      </c>
      <c r="DE12">
        <v>1.8</v>
      </c>
      <c r="DF12">
        <v>1.99</v>
      </c>
      <c r="DG12">
        <v>2.0099999999999998</v>
      </c>
      <c r="DH12">
        <v>2.12</v>
      </c>
      <c r="DI12">
        <v>2.34</v>
      </c>
      <c r="DJ12">
        <v>2.63</v>
      </c>
      <c r="DK12">
        <v>2.92</v>
      </c>
      <c r="DL12">
        <v>3.23</v>
      </c>
      <c r="DM12">
        <v>3.25</v>
      </c>
      <c r="DN12">
        <v>3.31</v>
      </c>
      <c r="DO12">
        <v>3.31</v>
      </c>
      <c r="DP12">
        <v>3.35</v>
      </c>
      <c r="DQ12">
        <v>3.61</v>
      </c>
      <c r="DR12">
        <v>3.91</v>
      </c>
      <c r="DS12">
        <v>4.2300000000000004</v>
      </c>
      <c r="DT12">
        <v>4.47</v>
      </c>
      <c r="DU12">
        <v>4.57</v>
      </c>
      <c r="DV12">
        <v>4.62</v>
      </c>
      <c r="DW12">
        <v>4.84</v>
      </c>
      <c r="DX12">
        <v>5.08</v>
      </c>
      <c r="DY12">
        <v>5.33</v>
      </c>
      <c r="DZ12">
        <v>5.57</v>
      </c>
      <c r="EA12">
        <v>5.78</v>
      </c>
      <c r="EB12">
        <v>5.87</v>
      </c>
      <c r="EC12">
        <v>6.22</v>
      </c>
      <c r="ED12">
        <v>6.48</v>
      </c>
      <c r="EE12">
        <v>6.74</v>
      </c>
      <c r="EF12">
        <v>7</v>
      </c>
      <c r="EG12">
        <v>7.28</v>
      </c>
      <c r="EH12">
        <v>7.51</v>
      </c>
      <c r="EI12">
        <v>7.58</v>
      </c>
      <c r="EJ12">
        <v>7.6</v>
      </c>
      <c r="EK12">
        <v>7.72</v>
      </c>
      <c r="EL12">
        <v>7.96</v>
      </c>
      <c r="EM12">
        <v>8.2799999999999994</v>
      </c>
      <c r="EN12">
        <v>8.5500000000000007</v>
      </c>
      <c r="EO12">
        <v>8.76</v>
      </c>
      <c r="EP12">
        <v>8.84</v>
      </c>
      <c r="EQ12">
        <v>8.8699999999999992</v>
      </c>
      <c r="ER12">
        <v>9.09</v>
      </c>
      <c r="ES12">
        <v>9.4</v>
      </c>
      <c r="ET12">
        <v>9.6999999999999993</v>
      </c>
      <c r="EU12">
        <v>10.02</v>
      </c>
      <c r="EV12">
        <v>10.3</v>
      </c>
      <c r="EW12">
        <v>10.41</v>
      </c>
      <c r="EX12">
        <v>10.44</v>
      </c>
      <c r="EY12">
        <v>10.73</v>
      </c>
      <c r="EZ12">
        <v>11.03</v>
      </c>
      <c r="FA12">
        <v>11.35</v>
      </c>
      <c r="FB12">
        <v>11.68</v>
      </c>
      <c r="FC12">
        <v>11.99</v>
      </c>
      <c r="FD12">
        <v>12.11</v>
      </c>
      <c r="FE12">
        <v>12.16</v>
      </c>
      <c r="FF12">
        <v>12.48</v>
      </c>
      <c r="FG12">
        <v>12.86</v>
      </c>
      <c r="FH12">
        <v>13.22</v>
      </c>
      <c r="FI12">
        <v>13.62</v>
      </c>
      <c r="FJ12">
        <v>13.97</v>
      </c>
      <c r="FK12">
        <v>14.12</v>
      </c>
      <c r="FL12">
        <v>14.17</v>
      </c>
      <c r="FM12">
        <v>14.47</v>
      </c>
      <c r="FN12">
        <v>14.88</v>
      </c>
      <c r="FO12">
        <v>15.32</v>
      </c>
      <c r="FP12">
        <v>15.81</v>
      </c>
      <c r="FQ12">
        <v>16.29</v>
      </c>
      <c r="FR12">
        <v>16.52</v>
      </c>
      <c r="FS12">
        <v>16.64</v>
      </c>
      <c r="FT12">
        <v>17.11</v>
      </c>
      <c r="FU12">
        <v>17.649999999999999</v>
      </c>
      <c r="FV12">
        <v>18.21</v>
      </c>
      <c r="FW12">
        <v>18.77</v>
      </c>
      <c r="FX12">
        <v>19.32</v>
      </c>
      <c r="FY12">
        <v>19.670000000000002</v>
      </c>
      <c r="FZ12">
        <v>19.91</v>
      </c>
      <c r="GA12">
        <v>20.41</v>
      </c>
      <c r="GB12">
        <v>20.96</v>
      </c>
      <c r="GC12">
        <v>21.52</v>
      </c>
      <c r="GD12">
        <v>22.12</v>
      </c>
      <c r="GE12">
        <v>22.64</v>
      </c>
      <c r="GF12">
        <v>22.88</v>
      </c>
      <c r="GG12">
        <v>23.01</v>
      </c>
      <c r="GH12">
        <v>23.26</v>
      </c>
      <c r="GI12">
        <v>23.86</v>
      </c>
      <c r="GJ12">
        <v>24.39</v>
      </c>
      <c r="GK12">
        <v>24.94</v>
      </c>
      <c r="GL12">
        <v>25.46</v>
      </c>
      <c r="GM12">
        <v>25.71</v>
      </c>
      <c r="GN12">
        <v>25.85</v>
      </c>
      <c r="GP12">
        <v>26.9</v>
      </c>
      <c r="GQ12">
        <v>27.45</v>
      </c>
      <c r="GR12">
        <v>27.99</v>
      </c>
      <c r="GS12">
        <v>28.46</v>
      </c>
      <c r="GT12">
        <v>28.73</v>
      </c>
      <c r="GU12">
        <v>28.92</v>
      </c>
      <c r="GY12">
        <v>31.26</v>
      </c>
      <c r="GZ12">
        <v>31.85</v>
      </c>
      <c r="HA12">
        <v>32.159999999999997</v>
      </c>
      <c r="HB12">
        <v>32.369999999999997</v>
      </c>
      <c r="HC12">
        <v>32.950000000000003</v>
      </c>
      <c r="HD12">
        <v>33.6</v>
      </c>
      <c r="HE12">
        <v>34.14</v>
      </c>
      <c r="HF12">
        <v>34.79</v>
      </c>
      <c r="HG12">
        <v>35.35</v>
      </c>
      <c r="HH12">
        <v>35.68</v>
      </c>
      <c r="HI12">
        <v>35.880000000000003</v>
      </c>
      <c r="HJ12">
        <v>36.49</v>
      </c>
      <c r="HK12">
        <v>37.130000000000003</v>
      </c>
      <c r="HL12">
        <v>37.770000000000003</v>
      </c>
      <c r="HM12">
        <v>38.46</v>
      </c>
      <c r="HN12">
        <v>39.1</v>
      </c>
      <c r="HO12">
        <v>39.479999999999997</v>
      </c>
      <c r="HP12">
        <v>39.71</v>
      </c>
      <c r="HQ12">
        <v>40.369999999999997</v>
      </c>
      <c r="HR12">
        <v>41.06</v>
      </c>
      <c r="HS12">
        <v>41.78</v>
      </c>
      <c r="HT12">
        <v>42.55</v>
      </c>
      <c r="HU12">
        <v>43.27</v>
      </c>
      <c r="HV12">
        <v>43.69</v>
      </c>
      <c r="HW12">
        <v>43.97</v>
      </c>
      <c r="HX12">
        <v>44.69</v>
      </c>
      <c r="HY12">
        <v>45.47</v>
      </c>
      <c r="HZ12">
        <v>46.26</v>
      </c>
      <c r="IA12">
        <v>47.08</v>
      </c>
      <c r="IB12">
        <v>47.87</v>
      </c>
      <c r="IC12">
        <v>48.31</v>
      </c>
      <c r="ID12">
        <v>48.6</v>
      </c>
      <c r="IE12">
        <v>49.39</v>
      </c>
      <c r="IF12">
        <v>50.23</v>
      </c>
      <c r="IG12">
        <v>51.1</v>
      </c>
      <c r="IH12">
        <v>52.04</v>
      </c>
      <c r="II12">
        <v>52.93</v>
      </c>
      <c r="IJ12">
        <v>53.48</v>
      </c>
      <c r="IK12">
        <v>53.82</v>
      </c>
      <c r="IL12">
        <v>54.74</v>
      </c>
      <c r="IM12">
        <v>55.74</v>
      </c>
      <c r="IN12">
        <v>56.77</v>
      </c>
      <c r="IO12">
        <v>57.83</v>
      </c>
      <c r="IP12">
        <v>58.87</v>
      </c>
      <c r="IQ12">
        <v>59.51</v>
      </c>
      <c r="IR12">
        <v>60.15</v>
      </c>
      <c r="IS12">
        <v>61.25</v>
      </c>
      <c r="IT12">
        <v>62.32</v>
      </c>
      <c r="IU12">
        <v>63.53</v>
      </c>
      <c r="IV12">
        <v>64</v>
      </c>
      <c r="IW12">
        <v>65.2</v>
      </c>
      <c r="IX12">
        <v>65.959999999999994</v>
      </c>
      <c r="IY12">
        <v>66.510000000000005</v>
      </c>
      <c r="IZ12">
        <v>67.63</v>
      </c>
      <c r="JA12">
        <v>68.819999999999993</v>
      </c>
      <c r="JB12">
        <v>70.12</v>
      </c>
      <c r="JC12">
        <v>71.31</v>
      </c>
      <c r="JD12">
        <v>72.540000000000006</v>
      </c>
      <c r="JE12">
        <v>73.400000000000006</v>
      </c>
      <c r="JF12">
        <v>74.010000000000005</v>
      </c>
      <c r="JG12">
        <v>75.08</v>
      </c>
      <c r="JH12">
        <v>76.38</v>
      </c>
      <c r="JI12">
        <v>77.66</v>
      </c>
      <c r="JJ12">
        <v>78.83</v>
      </c>
      <c r="JK12">
        <v>80.040000000000006</v>
      </c>
      <c r="JL12">
        <v>80.87</v>
      </c>
      <c r="JM12">
        <v>81.38</v>
      </c>
      <c r="JN12">
        <v>82.38</v>
      </c>
      <c r="JO12">
        <v>83.52</v>
      </c>
      <c r="JP12">
        <v>84.73</v>
      </c>
      <c r="JQ12">
        <v>85.97</v>
      </c>
      <c r="JR12">
        <v>87.15</v>
      </c>
      <c r="JS12">
        <v>87.91</v>
      </c>
      <c r="JT12">
        <v>88.42</v>
      </c>
      <c r="JU12">
        <v>89.49</v>
      </c>
      <c r="JV12">
        <v>90.59</v>
      </c>
      <c r="JW12">
        <v>92.1</v>
      </c>
      <c r="JX12">
        <v>93.28</v>
      </c>
      <c r="JY12">
        <v>94.59</v>
      </c>
      <c r="JZ12">
        <v>95.47</v>
      </c>
      <c r="KA12">
        <v>96.14</v>
      </c>
      <c r="KB12">
        <v>97.38</v>
      </c>
      <c r="KC12">
        <v>98.67</v>
      </c>
      <c r="KD12">
        <v>99.98</v>
      </c>
      <c r="KE12">
        <v>101.33</v>
      </c>
      <c r="KF12">
        <v>102.53</v>
      </c>
      <c r="KG12">
        <v>103.38</v>
      </c>
      <c r="KH12">
        <v>103.95</v>
      </c>
      <c r="KI12">
        <v>105.12</v>
      </c>
      <c r="KJ12">
        <v>106.41</v>
      </c>
      <c r="KK12">
        <v>107.61</v>
      </c>
      <c r="KL12">
        <v>110.2</v>
      </c>
      <c r="KM12">
        <v>111.02</v>
      </c>
      <c r="KN12">
        <v>111.56</v>
      </c>
      <c r="KO12">
        <v>112.28</v>
      </c>
      <c r="KP12">
        <v>113.64</v>
      </c>
      <c r="KQ12">
        <v>114.95</v>
      </c>
      <c r="KR12">
        <v>116.23</v>
      </c>
      <c r="KS12">
        <v>117.51</v>
      </c>
      <c r="KT12">
        <v>118.43</v>
      </c>
      <c r="KU12">
        <v>119.07</v>
      </c>
      <c r="KV12">
        <v>120.29</v>
      </c>
      <c r="KW12">
        <v>121.6</v>
      </c>
      <c r="KX12">
        <v>122.84</v>
      </c>
      <c r="KY12">
        <v>124.07</v>
      </c>
      <c r="KZ12">
        <v>125.24</v>
      </c>
      <c r="LA12">
        <v>126</v>
      </c>
      <c r="LB12">
        <v>126.62</v>
      </c>
      <c r="LC12">
        <v>127.71</v>
      </c>
      <c r="LD12">
        <v>128.79</v>
      </c>
      <c r="LE12">
        <v>129.86000000000001</v>
      </c>
      <c r="LF12">
        <v>130.94999999999999</v>
      </c>
      <c r="LG12">
        <v>132.01</v>
      </c>
      <c r="LH12">
        <v>132.77000000000001</v>
      </c>
      <c r="LI12">
        <v>133.26</v>
      </c>
      <c r="LJ12">
        <v>134.16999999999999</v>
      </c>
      <c r="LK12">
        <v>135.06</v>
      </c>
      <c r="LL12">
        <v>135.91</v>
      </c>
      <c r="LM12">
        <v>136.80000000000001</v>
      </c>
      <c r="LN12">
        <v>137.61000000000001</v>
      </c>
      <c r="LO12">
        <v>138.16</v>
      </c>
      <c r="LP12">
        <v>138.5</v>
      </c>
      <c r="LQ12">
        <v>139.22</v>
      </c>
      <c r="LR12">
        <v>139.31</v>
      </c>
      <c r="LS12">
        <v>140.31</v>
      </c>
      <c r="LT12">
        <v>141.02000000000001</v>
      </c>
      <c r="LU12">
        <v>141.83000000000001</v>
      </c>
      <c r="LV12">
        <v>142.24</v>
      </c>
      <c r="LW12">
        <v>142.56</v>
      </c>
      <c r="LX12">
        <v>143.16</v>
      </c>
      <c r="LY12">
        <v>143.74</v>
      </c>
      <c r="LZ12">
        <v>144.34</v>
      </c>
      <c r="MA12">
        <v>144.97</v>
      </c>
      <c r="MB12">
        <v>145.59</v>
      </c>
      <c r="MC12">
        <v>145.94</v>
      </c>
      <c r="MD12">
        <v>146.16999999999999</v>
      </c>
      <c r="ME12">
        <v>146.72</v>
      </c>
      <c r="MF12">
        <v>147.25</v>
      </c>
      <c r="MG12">
        <v>147.74</v>
      </c>
      <c r="MH12">
        <v>148.24</v>
      </c>
      <c r="MI12">
        <v>148.71</v>
      </c>
      <c r="MJ12">
        <v>148.99</v>
      </c>
      <c r="MK12">
        <v>149.08000000000001</v>
      </c>
      <c r="ML12">
        <v>149.63</v>
      </c>
      <c r="MM12">
        <v>150.05000000000001</v>
      </c>
      <c r="MN12">
        <v>150.46</v>
      </c>
      <c r="MO12">
        <v>150.87</v>
      </c>
      <c r="MP12">
        <v>151.28</v>
      </c>
      <c r="MQ12">
        <v>151.47999999999999</v>
      </c>
      <c r="MR12">
        <v>151.6</v>
      </c>
      <c r="MS12">
        <v>151.97</v>
      </c>
      <c r="MT12">
        <v>152.33000000000001</v>
      </c>
      <c r="MU12">
        <v>152.69</v>
      </c>
      <c r="MV12">
        <v>153.07</v>
      </c>
      <c r="MW12">
        <v>153.44999999999999</v>
      </c>
      <c r="MX12">
        <v>153.63999999999999</v>
      </c>
      <c r="MY12">
        <v>153.76</v>
      </c>
      <c r="MZ12">
        <v>154.1</v>
      </c>
      <c r="NA12">
        <v>154.44</v>
      </c>
      <c r="NB12">
        <v>154.81</v>
      </c>
      <c r="NC12">
        <v>155.18</v>
      </c>
      <c r="ND12">
        <v>155.52000000000001</v>
      </c>
      <c r="NE12">
        <v>155.71</v>
      </c>
      <c r="NF12">
        <v>155.80000000000001</v>
      </c>
      <c r="NG12">
        <v>156.38999999999999</v>
      </c>
      <c r="NH12">
        <v>157.02000000000001</v>
      </c>
      <c r="NI12">
        <v>157.72999999999999</v>
      </c>
      <c r="NJ12">
        <v>158.5</v>
      </c>
      <c r="NK12">
        <v>159.31</v>
      </c>
      <c r="NL12">
        <v>159.72</v>
      </c>
      <c r="NM12">
        <v>159.96</v>
      </c>
      <c r="NN12">
        <v>160.72</v>
      </c>
      <c r="NO12">
        <v>161.52000000000001</v>
      </c>
      <c r="NP12">
        <v>162.35</v>
      </c>
      <c r="NQ12">
        <v>163.1</v>
      </c>
      <c r="NR12">
        <v>163.1</v>
      </c>
      <c r="NS12">
        <v>163.1</v>
      </c>
      <c r="NT12">
        <v>163.66</v>
      </c>
      <c r="NU12">
        <v>163.78</v>
      </c>
      <c r="NV12">
        <v>163.92</v>
      </c>
      <c r="NW12">
        <v>163.92</v>
      </c>
      <c r="NX12">
        <v>165.12</v>
      </c>
      <c r="NY12">
        <v>165.12</v>
      </c>
      <c r="NZ12">
        <v>165.12</v>
      </c>
      <c r="OA12">
        <v>165.84</v>
      </c>
      <c r="OB12">
        <v>166.02</v>
      </c>
      <c r="OC12">
        <v>166.84</v>
      </c>
      <c r="OD12">
        <v>167.85</v>
      </c>
      <c r="OE12">
        <v>168.91</v>
      </c>
      <c r="OF12">
        <v>169.94</v>
      </c>
      <c r="OG12">
        <v>170.57</v>
      </c>
      <c r="OH12">
        <v>170.96</v>
      </c>
      <c r="OI12">
        <v>172.07</v>
      </c>
      <c r="OJ12">
        <v>172.07</v>
      </c>
      <c r="OK12">
        <v>174.68</v>
      </c>
      <c r="OL12">
        <v>176.02</v>
      </c>
      <c r="OM12">
        <v>177.33</v>
      </c>
      <c r="ON12">
        <v>178.06</v>
      </c>
      <c r="OO12">
        <v>178.51</v>
      </c>
      <c r="OP12">
        <v>179.78</v>
      </c>
      <c r="OQ12">
        <v>181.02</v>
      </c>
      <c r="OR12">
        <v>182.31</v>
      </c>
      <c r="OS12">
        <v>183.67</v>
      </c>
      <c r="OT12">
        <v>184.96</v>
      </c>
      <c r="OU12">
        <v>185.7</v>
      </c>
      <c r="OV12">
        <v>186.17</v>
      </c>
      <c r="OW12">
        <v>187.41</v>
      </c>
      <c r="OX12">
        <v>188.66</v>
      </c>
      <c r="OY12">
        <v>188.98</v>
      </c>
      <c r="OZ12">
        <v>190.15</v>
      </c>
      <c r="PA12">
        <v>191.34</v>
      </c>
      <c r="PB12">
        <v>192.01</v>
      </c>
      <c r="PC12">
        <v>192.36</v>
      </c>
      <c r="PD12">
        <v>193.37</v>
      </c>
      <c r="PE12">
        <v>194.4</v>
      </c>
      <c r="PF12">
        <v>195.44</v>
      </c>
      <c r="PG12">
        <v>196.42</v>
      </c>
      <c r="PH12">
        <v>197.38</v>
      </c>
      <c r="PI12">
        <v>197.87</v>
      </c>
      <c r="PK12">
        <v>198.98</v>
      </c>
      <c r="PL12">
        <v>199.83</v>
      </c>
      <c r="PM12">
        <v>200.66</v>
      </c>
      <c r="PN12">
        <v>201.44</v>
      </c>
      <c r="PO12">
        <v>202.23</v>
      </c>
      <c r="PP12">
        <v>202.65</v>
      </c>
      <c r="PQ12">
        <v>202.65</v>
      </c>
      <c r="PR12">
        <v>203.48</v>
      </c>
      <c r="PS12">
        <v>204.11</v>
      </c>
      <c r="PT12">
        <v>204.71</v>
      </c>
      <c r="PU12">
        <v>205.29</v>
      </c>
      <c r="PV12">
        <v>205.89</v>
      </c>
      <c r="PW12">
        <v>206.23</v>
      </c>
      <c r="PX12">
        <v>206.39</v>
      </c>
      <c r="PY12">
        <v>206.94</v>
      </c>
      <c r="PZ12">
        <v>207.45</v>
      </c>
      <c r="QA12">
        <v>207.93</v>
      </c>
      <c r="QB12">
        <v>208.41</v>
      </c>
      <c r="QC12">
        <v>208.88</v>
      </c>
      <c r="QD12">
        <v>209.14</v>
      </c>
      <c r="QF12">
        <v>209.65</v>
      </c>
      <c r="QG12">
        <v>210</v>
      </c>
      <c r="QH12">
        <v>210.34</v>
      </c>
      <c r="QI12">
        <v>210.67</v>
      </c>
      <c r="QJ12">
        <v>211.02</v>
      </c>
      <c r="QK12">
        <v>211.22</v>
      </c>
      <c r="QL12">
        <v>211.31</v>
      </c>
      <c r="QM12">
        <v>211.31</v>
      </c>
      <c r="QN12">
        <v>211.95</v>
      </c>
      <c r="QO12">
        <v>212.3</v>
      </c>
      <c r="QP12">
        <v>212.66</v>
      </c>
      <c r="QQ12">
        <v>213.08</v>
      </c>
      <c r="QR12">
        <v>213.36</v>
      </c>
      <c r="QS12">
        <v>213.49</v>
      </c>
      <c r="QT12">
        <v>213.77</v>
      </c>
      <c r="QU12">
        <v>214.15</v>
      </c>
      <c r="QV12">
        <v>214.5</v>
      </c>
      <c r="QW12">
        <v>214.86</v>
      </c>
      <c r="QX12">
        <v>215.24</v>
      </c>
      <c r="QY12">
        <v>215.52</v>
      </c>
      <c r="QZ12">
        <v>215.66</v>
      </c>
      <c r="RA12">
        <v>215.66</v>
      </c>
      <c r="RB12">
        <v>215.99</v>
      </c>
      <c r="RD12">
        <v>216.89</v>
      </c>
      <c r="RF12">
        <v>217.45</v>
      </c>
      <c r="RG12">
        <v>217.57</v>
      </c>
      <c r="RI12">
        <v>218.1</v>
      </c>
      <c r="RJ12">
        <v>218.1</v>
      </c>
      <c r="RK12">
        <v>218.56</v>
      </c>
      <c r="RM12">
        <v>219.02</v>
      </c>
      <c r="RN12">
        <v>219.22</v>
      </c>
      <c r="RO12">
        <v>219.57</v>
      </c>
      <c r="RP12">
        <v>219.75</v>
      </c>
      <c r="RR12">
        <v>220.28</v>
      </c>
      <c r="RS12">
        <v>220.44</v>
      </c>
      <c r="RT12">
        <v>220.59</v>
      </c>
      <c r="RV12">
        <v>220.81</v>
      </c>
      <c r="RW12">
        <v>220.83</v>
      </c>
      <c r="RX12">
        <v>220.96</v>
      </c>
      <c r="RY12">
        <v>221.09</v>
      </c>
      <c r="RZ12">
        <v>221.22</v>
      </c>
      <c r="SA12">
        <v>221.35</v>
      </c>
      <c r="SC12">
        <v>221.46</v>
      </c>
      <c r="SE12">
        <v>221.58</v>
      </c>
      <c r="SF12">
        <v>221.68</v>
      </c>
      <c r="SG12">
        <v>221.77</v>
      </c>
      <c r="SH12">
        <v>221.87</v>
      </c>
      <c r="SI12">
        <v>221.92</v>
      </c>
      <c r="SJ12">
        <v>221.94</v>
      </c>
      <c r="SL12">
        <v>222.09</v>
      </c>
      <c r="SN12">
        <v>222.24</v>
      </c>
      <c r="SP12">
        <v>222.35</v>
      </c>
      <c r="SR12">
        <v>222.43</v>
      </c>
      <c r="SS12">
        <v>222.5</v>
      </c>
      <c r="ST12">
        <v>222.56</v>
      </c>
      <c r="SY12">
        <v>222.81</v>
      </c>
      <c r="SZ12">
        <v>222.87</v>
      </c>
      <c r="TC12">
        <v>223.05</v>
      </c>
      <c r="TD12">
        <v>223.08</v>
      </c>
      <c r="TE12">
        <v>223.1</v>
      </c>
      <c r="TF12">
        <v>223.15</v>
      </c>
      <c r="TG12">
        <v>223.21</v>
      </c>
      <c r="TH12">
        <v>223.26</v>
      </c>
      <c r="TJ12">
        <v>223.37</v>
      </c>
      <c r="TL12">
        <v>223.42</v>
      </c>
      <c r="TM12">
        <v>223.47</v>
      </c>
      <c r="TN12">
        <v>223.52</v>
      </c>
      <c r="TO12">
        <v>223.58</v>
      </c>
      <c r="TP12">
        <v>223.63</v>
      </c>
      <c r="TQ12">
        <v>223.68</v>
      </c>
      <c r="TS12">
        <v>223.72</v>
      </c>
      <c r="TT12">
        <v>223.76</v>
      </c>
      <c r="TU12">
        <v>223.8</v>
      </c>
      <c r="TV12">
        <v>223.85</v>
      </c>
      <c r="TW12">
        <v>223.9</v>
      </c>
      <c r="TX12">
        <v>223.94</v>
      </c>
      <c r="TY12">
        <v>223.96</v>
      </c>
      <c r="UB12">
        <v>224.04</v>
      </c>
      <c r="UC12">
        <v>224.08</v>
      </c>
      <c r="UD12">
        <v>224.1</v>
      </c>
      <c r="UE12">
        <v>224.16</v>
      </c>
      <c r="UF12">
        <v>224.18</v>
      </c>
      <c r="UH12">
        <v>224.23</v>
      </c>
      <c r="UI12">
        <v>224.27</v>
      </c>
      <c r="UJ12">
        <v>224.31</v>
      </c>
      <c r="UK12">
        <v>224.35</v>
      </c>
      <c r="UL12">
        <v>224.39</v>
      </c>
      <c r="UP12">
        <v>224.5</v>
      </c>
      <c r="UQ12">
        <v>224.54</v>
      </c>
      <c r="UR12">
        <v>224.58</v>
      </c>
      <c r="US12">
        <v>224.61</v>
      </c>
      <c r="UT12">
        <v>224.63</v>
      </c>
      <c r="UV12">
        <v>224.67</v>
      </c>
      <c r="UW12">
        <v>224.72</v>
      </c>
      <c r="UX12">
        <v>224.76</v>
      </c>
      <c r="UY12">
        <v>224.81</v>
      </c>
      <c r="UZ12">
        <v>224.86</v>
      </c>
      <c r="VA12">
        <v>224.88</v>
      </c>
      <c r="VB12">
        <v>223.74</v>
      </c>
      <c r="VC12">
        <v>223.79</v>
      </c>
      <c r="VD12">
        <v>223.84</v>
      </c>
      <c r="VF12">
        <v>223.95</v>
      </c>
      <c r="VG12">
        <v>224.01</v>
      </c>
      <c r="VH12">
        <v>224.04</v>
      </c>
      <c r="VJ12">
        <v>224.1</v>
      </c>
      <c r="VK12">
        <v>224.16</v>
      </c>
      <c r="VL12">
        <v>224.21</v>
      </c>
      <c r="VM12">
        <v>224.26</v>
      </c>
      <c r="VN12">
        <v>224.32</v>
      </c>
      <c r="VO12">
        <v>224.35</v>
      </c>
      <c r="VQ12">
        <v>224.39</v>
      </c>
      <c r="VS12">
        <v>224.5</v>
      </c>
      <c r="VT12">
        <v>224.54</v>
      </c>
      <c r="VU12">
        <v>224.59</v>
      </c>
      <c r="VV12">
        <v>224.61</v>
      </c>
      <c r="VW12">
        <v>224.66</v>
      </c>
      <c r="VX12">
        <v>224.69</v>
      </c>
      <c r="VZ12">
        <v>224.76</v>
      </c>
      <c r="WG12">
        <v>224.93</v>
      </c>
      <c r="WN12">
        <v>225.08</v>
      </c>
      <c r="WQ12">
        <v>225.12</v>
      </c>
      <c r="WR12">
        <v>225.14</v>
      </c>
      <c r="WT12">
        <v>225.18</v>
      </c>
      <c r="WU12">
        <v>225.2</v>
      </c>
      <c r="WZ12">
        <v>225.27</v>
      </c>
      <c r="XA12">
        <v>225.29</v>
      </c>
      <c r="XB12">
        <v>225.31</v>
      </c>
      <c r="XE12">
        <v>225.34</v>
      </c>
      <c r="XG12">
        <v>225.37</v>
      </c>
      <c r="XH12">
        <v>225.39</v>
      </c>
      <c r="XI12">
        <v>225.41</v>
      </c>
      <c r="XW12">
        <v>225.57</v>
      </c>
      <c r="AAH12">
        <v>242.22</v>
      </c>
      <c r="AAO12">
        <v>242.42</v>
      </c>
      <c r="AAV12">
        <v>242.6</v>
      </c>
      <c r="ABC12">
        <v>242.76</v>
      </c>
      <c r="ABJ12">
        <v>242.89</v>
      </c>
      <c r="ABX12">
        <v>243</v>
      </c>
      <c r="ACE12">
        <v>243.09</v>
      </c>
      <c r="ACL12">
        <v>243.17</v>
      </c>
      <c r="ACS12">
        <v>243.22</v>
      </c>
      <c r="ACZ12">
        <v>243.27</v>
      </c>
    </row>
    <row r="13" spans="1:812">
      <c r="A13" s="1" t="s">
        <v>93</v>
      </c>
      <c r="B13" s="1" t="s">
        <v>93</v>
      </c>
      <c r="AA13">
        <v>0.06</v>
      </c>
      <c r="AB13">
        <v>0.06</v>
      </c>
      <c r="AC13">
        <v>0.08</v>
      </c>
      <c r="AD13">
        <v>0.09</v>
      </c>
      <c r="AE13">
        <v>0.12</v>
      </c>
      <c r="AF13">
        <v>0.26</v>
      </c>
      <c r="AG13">
        <v>0.31</v>
      </c>
      <c r="AH13">
        <v>0.34</v>
      </c>
      <c r="AI13">
        <v>0.4</v>
      </c>
      <c r="AJ13">
        <v>0.56000000000000005</v>
      </c>
      <c r="AK13">
        <v>0.72</v>
      </c>
      <c r="AL13">
        <v>0.91</v>
      </c>
      <c r="AM13">
        <v>1.1000000000000001</v>
      </c>
      <c r="AN13">
        <v>1.18</v>
      </c>
      <c r="AO13">
        <v>1.24</v>
      </c>
      <c r="AP13">
        <v>1.36</v>
      </c>
      <c r="AQ13">
        <v>1.65</v>
      </c>
      <c r="AR13">
        <v>1.91</v>
      </c>
      <c r="AS13">
        <v>2.12</v>
      </c>
      <c r="AT13">
        <v>2.25</v>
      </c>
      <c r="AU13">
        <v>2.29</v>
      </c>
      <c r="AV13">
        <v>2.2999999999999998</v>
      </c>
      <c r="AW13">
        <v>2.3199999999999998</v>
      </c>
      <c r="AX13">
        <v>2.41</v>
      </c>
      <c r="AY13">
        <v>2.5</v>
      </c>
      <c r="AZ13">
        <v>2.61</v>
      </c>
      <c r="BA13">
        <v>2.77</v>
      </c>
      <c r="BB13">
        <v>2.81</v>
      </c>
      <c r="BC13">
        <v>2.83</v>
      </c>
      <c r="BD13">
        <v>2.88</v>
      </c>
      <c r="BE13">
        <v>3.06</v>
      </c>
      <c r="BF13">
        <v>3.26</v>
      </c>
      <c r="BG13">
        <v>3.48</v>
      </c>
      <c r="BH13">
        <v>3.71</v>
      </c>
      <c r="BI13">
        <v>3.81</v>
      </c>
      <c r="BJ13">
        <v>3.86</v>
      </c>
      <c r="BK13">
        <v>3.97</v>
      </c>
      <c r="BL13">
        <v>4.18</v>
      </c>
      <c r="BM13">
        <v>4.41</v>
      </c>
      <c r="BN13">
        <v>4.68</v>
      </c>
      <c r="BO13">
        <v>4.97</v>
      </c>
      <c r="BP13">
        <v>5.09</v>
      </c>
      <c r="BQ13">
        <v>5.1100000000000003</v>
      </c>
      <c r="BR13">
        <v>5.19</v>
      </c>
      <c r="BS13">
        <v>5.35</v>
      </c>
      <c r="BT13">
        <v>5.56</v>
      </c>
      <c r="BU13">
        <v>5.77</v>
      </c>
      <c r="BV13">
        <v>6.01</v>
      </c>
      <c r="BW13">
        <v>6.15</v>
      </c>
      <c r="BX13">
        <v>6.22</v>
      </c>
      <c r="BY13">
        <v>6.29</v>
      </c>
      <c r="BZ13">
        <v>6.45</v>
      </c>
      <c r="CA13">
        <v>6.67</v>
      </c>
      <c r="CB13">
        <v>6.89</v>
      </c>
      <c r="CC13">
        <v>7.2</v>
      </c>
      <c r="CD13">
        <v>7.47</v>
      </c>
      <c r="CE13">
        <v>7.58</v>
      </c>
      <c r="CF13">
        <v>7.75</v>
      </c>
      <c r="CG13">
        <v>8.0299999999999994</v>
      </c>
      <c r="CH13">
        <v>8.33</v>
      </c>
      <c r="CI13">
        <v>8.6300000000000008</v>
      </c>
      <c r="CJ13">
        <v>9.0399999999999991</v>
      </c>
      <c r="CK13">
        <v>9.35</v>
      </c>
      <c r="CL13">
        <v>9.48</v>
      </c>
      <c r="CM13">
        <v>9.6</v>
      </c>
      <c r="CN13">
        <v>9.91</v>
      </c>
      <c r="CO13">
        <v>10.23</v>
      </c>
      <c r="CP13">
        <v>10.73</v>
      </c>
      <c r="CQ13">
        <v>11.37</v>
      </c>
      <c r="CR13">
        <v>11.95</v>
      </c>
      <c r="CS13">
        <v>12.27</v>
      </c>
      <c r="CT13">
        <v>12.5</v>
      </c>
      <c r="CU13">
        <v>12.82</v>
      </c>
      <c r="CV13">
        <v>13.19</v>
      </c>
      <c r="CW13">
        <v>13.57</v>
      </c>
      <c r="CX13">
        <v>14.17</v>
      </c>
      <c r="CY13">
        <v>14.69</v>
      </c>
      <c r="CZ13">
        <v>14.86</v>
      </c>
      <c r="DA13">
        <v>15.03</v>
      </c>
      <c r="DB13">
        <v>15.42</v>
      </c>
      <c r="DC13">
        <v>15.85</v>
      </c>
      <c r="DD13">
        <v>16.350000000000001</v>
      </c>
      <c r="DE13">
        <v>16.899999999999999</v>
      </c>
      <c r="DF13">
        <v>17.350000000000001</v>
      </c>
      <c r="DG13">
        <v>17.510000000000002</v>
      </c>
      <c r="DH13">
        <v>17.8</v>
      </c>
      <c r="DI13">
        <v>18.25</v>
      </c>
      <c r="DJ13">
        <v>18.64</v>
      </c>
      <c r="DK13">
        <v>19.399999999999999</v>
      </c>
      <c r="DL13">
        <v>19.89</v>
      </c>
      <c r="DM13">
        <v>20.13</v>
      </c>
      <c r="DN13">
        <v>20.239999999999998</v>
      </c>
      <c r="DO13">
        <v>20.38</v>
      </c>
      <c r="DP13">
        <v>20.81</v>
      </c>
      <c r="DQ13">
        <v>21.43</v>
      </c>
      <c r="DR13">
        <v>22.23</v>
      </c>
      <c r="DS13">
        <v>23.1</v>
      </c>
      <c r="DT13">
        <v>23.83</v>
      </c>
      <c r="DU13">
        <v>24.11</v>
      </c>
      <c r="DV13">
        <v>24.5</v>
      </c>
      <c r="DW13">
        <v>25</v>
      </c>
      <c r="DX13">
        <v>25.75</v>
      </c>
      <c r="DY13">
        <v>26.57</v>
      </c>
      <c r="DZ13">
        <v>27.35</v>
      </c>
      <c r="EA13">
        <v>27.99</v>
      </c>
      <c r="EB13">
        <v>28.2</v>
      </c>
      <c r="EC13">
        <v>28.55</v>
      </c>
      <c r="ED13">
        <v>29.05</v>
      </c>
      <c r="EE13">
        <v>29.75</v>
      </c>
      <c r="EF13">
        <v>30.54</v>
      </c>
      <c r="EG13">
        <v>31.3</v>
      </c>
      <c r="EH13">
        <v>31.74</v>
      </c>
      <c r="EI13">
        <v>32.049999999999997</v>
      </c>
      <c r="EJ13">
        <v>32.39</v>
      </c>
      <c r="EK13">
        <v>32.92</v>
      </c>
      <c r="EL13">
        <v>33.56</v>
      </c>
      <c r="EM13">
        <v>34.409999999999997</v>
      </c>
      <c r="EN13">
        <v>35.299999999999997</v>
      </c>
      <c r="EO13">
        <v>35.96</v>
      </c>
      <c r="EP13">
        <v>36.14</v>
      </c>
      <c r="EQ13">
        <v>36.47</v>
      </c>
      <c r="ER13">
        <v>37.15</v>
      </c>
      <c r="ES13">
        <v>38.020000000000003</v>
      </c>
      <c r="ET13">
        <v>39.1</v>
      </c>
      <c r="EU13">
        <v>40.31</v>
      </c>
      <c r="EV13">
        <v>40.9</v>
      </c>
      <c r="EW13">
        <v>41.1</v>
      </c>
      <c r="EX13">
        <v>41.59</v>
      </c>
      <c r="EY13">
        <v>42.32</v>
      </c>
      <c r="EZ13">
        <v>43.44</v>
      </c>
      <c r="FA13">
        <v>43.82</v>
      </c>
      <c r="FB13">
        <v>44.82</v>
      </c>
      <c r="FC13">
        <v>45.49</v>
      </c>
      <c r="FD13">
        <v>45.76</v>
      </c>
      <c r="FE13">
        <v>46.28</v>
      </c>
      <c r="FF13">
        <v>47.06</v>
      </c>
      <c r="FG13">
        <v>48.23</v>
      </c>
      <c r="FH13">
        <v>49.47</v>
      </c>
      <c r="FI13">
        <v>50.71</v>
      </c>
      <c r="FJ13">
        <v>51.36</v>
      </c>
      <c r="FK13">
        <v>51.69</v>
      </c>
      <c r="FL13">
        <v>51.96</v>
      </c>
      <c r="FM13">
        <v>52.58</v>
      </c>
      <c r="FN13">
        <v>53.6</v>
      </c>
      <c r="FO13">
        <v>54.71</v>
      </c>
      <c r="FP13">
        <v>55.93</v>
      </c>
      <c r="FQ13">
        <v>56.62</v>
      </c>
      <c r="FR13">
        <v>57.04</v>
      </c>
      <c r="FS13">
        <v>57.53</v>
      </c>
      <c r="FT13">
        <v>58.53</v>
      </c>
      <c r="FU13">
        <v>60.12</v>
      </c>
      <c r="FV13">
        <v>60.87</v>
      </c>
      <c r="FW13">
        <v>62.08</v>
      </c>
      <c r="FX13">
        <v>62.78</v>
      </c>
      <c r="FY13">
        <v>63.37</v>
      </c>
      <c r="FZ13">
        <v>64</v>
      </c>
      <c r="GA13">
        <v>65.02</v>
      </c>
      <c r="GB13">
        <v>66.31</v>
      </c>
      <c r="GC13">
        <v>67.650000000000006</v>
      </c>
      <c r="GD13">
        <v>69.099999999999994</v>
      </c>
      <c r="GE13">
        <v>69.86</v>
      </c>
      <c r="GF13">
        <v>70.28</v>
      </c>
      <c r="GG13">
        <v>70.819999999999993</v>
      </c>
      <c r="GH13">
        <v>71.78</v>
      </c>
      <c r="GI13">
        <v>73.099999999999994</v>
      </c>
      <c r="GJ13">
        <v>74.37</v>
      </c>
      <c r="GK13">
        <v>75.61</v>
      </c>
      <c r="GL13">
        <v>76.349999999999994</v>
      </c>
      <c r="GM13">
        <v>76.75</v>
      </c>
      <c r="GN13">
        <v>77.319999999999993</v>
      </c>
      <c r="GO13">
        <v>78.33</v>
      </c>
      <c r="GP13">
        <v>79.569999999999993</v>
      </c>
      <c r="GQ13">
        <v>80.77</v>
      </c>
      <c r="GR13">
        <v>82.12</v>
      </c>
      <c r="GS13">
        <v>82.97</v>
      </c>
      <c r="GT13">
        <v>83.42</v>
      </c>
      <c r="GU13">
        <v>83.98</v>
      </c>
      <c r="GV13">
        <v>84.99</v>
      </c>
      <c r="GW13">
        <v>86.25</v>
      </c>
      <c r="GX13">
        <v>87.96</v>
      </c>
      <c r="GY13">
        <v>89.23</v>
      </c>
      <c r="GZ13">
        <v>90.01</v>
      </c>
      <c r="HA13">
        <v>90.61</v>
      </c>
      <c r="HB13">
        <v>91.12</v>
      </c>
      <c r="HC13">
        <v>92.03</v>
      </c>
      <c r="HD13">
        <v>93.08</v>
      </c>
      <c r="HE13">
        <v>94.15</v>
      </c>
      <c r="HF13">
        <v>95.14</v>
      </c>
      <c r="HG13">
        <v>95.71</v>
      </c>
      <c r="HH13">
        <v>96.05</v>
      </c>
      <c r="HI13">
        <v>96.45</v>
      </c>
      <c r="HJ13">
        <v>97.28</v>
      </c>
      <c r="HK13">
        <v>98.17</v>
      </c>
      <c r="HL13">
        <v>98.88</v>
      </c>
      <c r="HM13">
        <v>99.77</v>
      </c>
      <c r="HN13">
        <v>100.34</v>
      </c>
      <c r="HO13">
        <v>100.65</v>
      </c>
      <c r="HP13">
        <v>101</v>
      </c>
      <c r="HQ13">
        <v>101.52</v>
      </c>
      <c r="HR13">
        <v>102.26</v>
      </c>
      <c r="HS13">
        <v>103.02</v>
      </c>
      <c r="HT13">
        <v>103.8</v>
      </c>
      <c r="HU13">
        <v>104.36</v>
      </c>
      <c r="HV13">
        <v>104.7</v>
      </c>
      <c r="HW13">
        <v>105.03</v>
      </c>
      <c r="HX13">
        <v>105.62</v>
      </c>
      <c r="HY13">
        <v>106.24</v>
      </c>
      <c r="HZ13">
        <v>106.72</v>
      </c>
      <c r="IA13">
        <v>107.33</v>
      </c>
      <c r="IB13">
        <v>107.72</v>
      </c>
      <c r="IC13">
        <v>108.26</v>
      </c>
      <c r="ID13">
        <v>108.56</v>
      </c>
      <c r="IE13">
        <v>109.08</v>
      </c>
      <c r="IF13">
        <v>109.58</v>
      </c>
      <c r="IG13">
        <v>110.03</v>
      </c>
      <c r="IH13">
        <v>110.53</v>
      </c>
      <c r="II13">
        <v>110.86</v>
      </c>
      <c r="IJ13">
        <v>111.13</v>
      </c>
      <c r="IK13">
        <v>111.3</v>
      </c>
      <c r="IL13">
        <v>111.73</v>
      </c>
      <c r="IM13">
        <v>112.16</v>
      </c>
      <c r="IN13">
        <v>112.5</v>
      </c>
      <c r="IO13">
        <v>112.78</v>
      </c>
      <c r="IP13">
        <v>112.98</v>
      </c>
      <c r="IQ13">
        <v>113.09</v>
      </c>
      <c r="IR13">
        <v>113.33</v>
      </c>
      <c r="IS13">
        <v>113.6</v>
      </c>
      <c r="IT13">
        <v>113.87</v>
      </c>
      <c r="IU13">
        <v>114.14</v>
      </c>
      <c r="IV13">
        <v>114.05</v>
      </c>
      <c r="IW13">
        <v>114.23</v>
      </c>
      <c r="IX13">
        <v>114.31</v>
      </c>
      <c r="IY13">
        <v>114.4</v>
      </c>
      <c r="IZ13">
        <v>114.61</v>
      </c>
      <c r="JA13">
        <v>114.77</v>
      </c>
      <c r="JB13">
        <v>114.99</v>
      </c>
      <c r="JC13">
        <v>115.18</v>
      </c>
      <c r="JD13">
        <v>115.28</v>
      </c>
      <c r="JE13">
        <v>115.36</v>
      </c>
      <c r="JF13">
        <v>115.46</v>
      </c>
      <c r="JG13">
        <v>115.65</v>
      </c>
      <c r="JH13">
        <v>115.77</v>
      </c>
      <c r="JI13">
        <v>115.96</v>
      </c>
      <c r="JJ13">
        <v>116.14</v>
      </c>
      <c r="JK13">
        <v>116.3</v>
      </c>
      <c r="JL13">
        <v>116.32</v>
      </c>
      <c r="JM13">
        <v>116.44</v>
      </c>
      <c r="JN13">
        <v>116.59</v>
      </c>
      <c r="JO13">
        <v>116.74</v>
      </c>
      <c r="JP13">
        <v>117.13</v>
      </c>
      <c r="JQ13">
        <v>117.33</v>
      </c>
      <c r="JR13">
        <v>117.46</v>
      </c>
      <c r="JS13">
        <v>117.52</v>
      </c>
      <c r="JT13">
        <v>117.62</v>
      </c>
      <c r="JU13">
        <v>117.83</v>
      </c>
      <c r="JV13">
        <v>118</v>
      </c>
      <c r="JW13">
        <v>118.16</v>
      </c>
      <c r="JX13">
        <v>118.4</v>
      </c>
      <c r="JZ13">
        <v>118.6</v>
      </c>
      <c r="KA13">
        <v>118.7</v>
      </c>
      <c r="KB13">
        <v>118.65</v>
      </c>
      <c r="KC13">
        <v>118.85</v>
      </c>
      <c r="KD13">
        <v>119</v>
      </c>
      <c r="KE13">
        <v>119.23</v>
      </c>
      <c r="KF13">
        <v>119.33</v>
      </c>
      <c r="KG13">
        <v>119.35</v>
      </c>
      <c r="KH13">
        <v>119.45</v>
      </c>
      <c r="KI13">
        <v>119.63</v>
      </c>
      <c r="KJ13">
        <v>119.77</v>
      </c>
      <c r="KK13">
        <v>119.92</v>
      </c>
      <c r="KL13">
        <v>120.12</v>
      </c>
      <c r="KM13">
        <v>120.22</v>
      </c>
      <c r="KN13">
        <v>120.24</v>
      </c>
      <c r="KO13">
        <v>120.33</v>
      </c>
      <c r="KP13">
        <v>120.48</v>
      </c>
      <c r="KQ13">
        <v>120.64</v>
      </c>
      <c r="KR13">
        <v>120.77</v>
      </c>
      <c r="KS13">
        <v>120.98</v>
      </c>
      <c r="KT13">
        <v>121.07</v>
      </c>
      <c r="KU13">
        <v>121.09</v>
      </c>
      <c r="KV13">
        <v>121.17</v>
      </c>
      <c r="KW13">
        <v>121.3</v>
      </c>
      <c r="KX13">
        <v>121.44</v>
      </c>
      <c r="KY13">
        <v>121.58</v>
      </c>
      <c r="LC13">
        <v>124.28</v>
      </c>
      <c r="LD13">
        <v>124.54</v>
      </c>
      <c r="LF13">
        <v>125.21</v>
      </c>
      <c r="LH13">
        <v>125.78</v>
      </c>
      <c r="LI13">
        <v>125.82</v>
      </c>
      <c r="LJ13">
        <v>126.01</v>
      </c>
      <c r="LL13">
        <v>126.44</v>
      </c>
      <c r="LM13">
        <v>126.77</v>
      </c>
      <c r="LN13">
        <v>127.18</v>
      </c>
      <c r="LO13">
        <v>127.37</v>
      </c>
      <c r="LP13">
        <v>127.41</v>
      </c>
      <c r="LR13">
        <v>127.8</v>
      </c>
      <c r="MA13">
        <v>133.22</v>
      </c>
      <c r="MB13">
        <v>134.4</v>
      </c>
      <c r="MC13">
        <v>135</v>
      </c>
      <c r="MD13">
        <v>135.47999999999999</v>
      </c>
      <c r="ME13">
        <v>136.26</v>
      </c>
      <c r="MF13">
        <v>137.35</v>
      </c>
      <c r="MG13">
        <v>138.57</v>
      </c>
      <c r="MI13">
        <v>141.32</v>
      </c>
      <c r="MJ13">
        <v>142.35</v>
      </c>
      <c r="MK13">
        <v>143.06</v>
      </c>
      <c r="ML13">
        <v>144.09</v>
      </c>
      <c r="MM13">
        <v>145.36000000000001</v>
      </c>
      <c r="MN13">
        <v>146.85</v>
      </c>
      <c r="MO13">
        <v>148.32</v>
      </c>
      <c r="MQ13">
        <v>151.16999999999999</v>
      </c>
      <c r="MR13">
        <v>151.88</v>
      </c>
      <c r="MS13">
        <v>152.85</v>
      </c>
      <c r="MT13">
        <v>154.13999999999999</v>
      </c>
      <c r="MU13">
        <v>155.54</v>
      </c>
      <c r="MV13">
        <v>156.87</v>
      </c>
      <c r="MW13">
        <v>158.44</v>
      </c>
      <c r="MX13">
        <v>159.44</v>
      </c>
      <c r="MY13">
        <v>159.87</v>
      </c>
      <c r="NB13">
        <v>163.47</v>
      </c>
      <c r="ND13">
        <v>166.57</v>
      </c>
      <c r="NE13">
        <v>167.43</v>
      </c>
      <c r="NF13">
        <v>167.92</v>
      </c>
      <c r="NG13">
        <v>168.87</v>
      </c>
      <c r="NH13">
        <v>170.13</v>
      </c>
      <c r="NI13">
        <v>171.33</v>
      </c>
      <c r="NJ13">
        <v>172.69</v>
      </c>
      <c r="NK13">
        <v>174.24</v>
      </c>
      <c r="NL13">
        <v>174.99</v>
      </c>
      <c r="NM13">
        <v>175.43</v>
      </c>
      <c r="NN13">
        <v>176.35</v>
      </c>
      <c r="NV13">
        <v>180.51</v>
      </c>
      <c r="NX13">
        <v>181.54</v>
      </c>
      <c r="NY13">
        <v>181.66</v>
      </c>
      <c r="NZ13">
        <v>181.7</v>
      </c>
      <c r="OA13">
        <v>181.9</v>
      </c>
      <c r="OB13">
        <v>182.4</v>
      </c>
      <c r="OC13">
        <v>182.96</v>
      </c>
      <c r="OE13">
        <v>183.79</v>
      </c>
      <c r="OG13">
        <v>185.01</v>
      </c>
      <c r="OH13">
        <v>185.22</v>
      </c>
      <c r="OI13">
        <v>185.7</v>
      </c>
      <c r="OJ13">
        <v>186.35</v>
      </c>
      <c r="OK13">
        <v>187.03</v>
      </c>
      <c r="OL13">
        <v>187.71</v>
      </c>
      <c r="OM13">
        <v>188.48</v>
      </c>
      <c r="ON13">
        <v>188.86</v>
      </c>
      <c r="OO13">
        <v>189.06</v>
      </c>
      <c r="OP13">
        <v>189.5</v>
      </c>
      <c r="OQ13">
        <v>189.96</v>
      </c>
      <c r="OR13">
        <v>190.46</v>
      </c>
      <c r="OS13">
        <v>190.95</v>
      </c>
      <c r="OT13">
        <v>191.5</v>
      </c>
      <c r="OU13">
        <v>191.78</v>
      </c>
      <c r="PF13">
        <v>195.47</v>
      </c>
      <c r="PG13">
        <v>195.83</v>
      </c>
      <c r="PO13">
        <v>185.87</v>
      </c>
      <c r="QG13">
        <v>199.34</v>
      </c>
      <c r="QN13">
        <v>199.77</v>
      </c>
      <c r="QQ13">
        <v>199.97</v>
      </c>
      <c r="QU13">
        <v>200.16</v>
      </c>
      <c r="QX13">
        <v>200.28</v>
      </c>
      <c r="RB13">
        <v>200.45</v>
      </c>
      <c r="RE13">
        <v>200.5</v>
      </c>
      <c r="SA13">
        <v>201.73</v>
      </c>
      <c r="SH13">
        <v>202</v>
      </c>
      <c r="SV13">
        <v>202.51</v>
      </c>
      <c r="SZ13">
        <v>202.68</v>
      </c>
      <c r="TC13">
        <v>202.76</v>
      </c>
      <c r="UE13">
        <v>203.45</v>
      </c>
      <c r="US13">
        <v>203.67</v>
      </c>
      <c r="WD13">
        <v>212.06</v>
      </c>
      <c r="WU13">
        <v>213.3</v>
      </c>
      <c r="YF13">
        <v>217</v>
      </c>
      <c r="YL13">
        <v>218.18</v>
      </c>
      <c r="YM13">
        <v>218.29</v>
      </c>
      <c r="YO13">
        <v>218.7</v>
      </c>
      <c r="YP13">
        <v>218.7</v>
      </c>
      <c r="YQ13">
        <v>218.97</v>
      </c>
      <c r="YR13">
        <v>219.22</v>
      </c>
      <c r="YZ13">
        <v>220.92</v>
      </c>
      <c r="ZA13">
        <v>221.02</v>
      </c>
      <c r="ZC13">
        <v>221.18</v>
      </c>
      <c r="ZE13">
        <v>220.99</v>
      </c>
      <c r="ZF13">
        <v>221.14</v>
      </c>
      <c r="ZG13">
        <v>221.34</v>
      </c>
      <c r="ZL13">
        <v>221.7</v>
      </c>
      <c r="ZM13">
        <v>221.9</v>
      </c>
      <c r="ZN13">
        <v>222.15</v>
      </c>
      <c r="ZO13">
        <v>222.23</v>
      </c>
      <c r="ZS13">
        <v>222.74</v>
      </c>
      <c r="ZX13">
        <v>223.4</v>
      </c>
      <c r="ZY13">
        <v>223.56</v>
      </c>
      <c r="AAA13">
        <v>223.94</v>
      </c>
      <c r="AAB13">
        <v>224.16</v>
      </c>
      <c r="AAC13">
        <v>224.24</v>
      </c>
      <c r="AAD13">
        <v>224.24</v>
      </c>
      <c r="AAG13">
        <v>224.66</v>
      </c>
      <c r="AAH13">
        <v>224.82</v>
      </c>
      <c r="AAN13">
        <v>225.49</v>
      </c>
      <c r="AAO13">
        <v>225.65</v>
      </c>
      <c r="AAS13">
        <v>226.01</v>
      </c>
      <c r="AAT13">
        <v>226.13</v>
      </c>
      <c r="AAU13">
        <v>226.26</v>
      </c>
      <c r="AAV13">
        <v>226.29</v>
      </c>
      <c r="AAZ13">
        <v>226.56</v>
      </c>
      <c r="ABA13">
        <v>226.67</v>
      </c>
    </row>
    <row r="14" spans="1:812">
      <c r="A14" s="1" t="s">
        <v>85</v>
      </c>
      <c r="B14" s="1" t="s">
        <v>315</v>
      </c>
      <c r="AO14">
        <v>0</v>
      </c>
      <c r="BI14">
        <v>0.64</v>
      </c>
      <c r="CF14">
        <v>2.89</v>
      </c>
      <c r="CH14">
        <v>3.33</v>
      </c>
      <c r="CN14">
        <v>4.0599999999999996</v>
      </c>
      <c r="CO14">
        <v>4.2300000000000004</v>
      </c>
      <c r="CP14">
        <v>4.3099999999999996</v>
      </c>
      <c r="CQ14">
        <v>4.38</v>
      </c>
      <c r="CR14">
        <v>4.4400000000000004</v>
      </c>
      <c r="CS14">
        <v>4.47</v>
      </c>
      <c r="CY14">
        <v>4.76</v>
      </c>
      <c r="DE14">
        <v>5.03</v>
      </c>
      <c r="DK14">
        <v>8.4499999999999993</v>
      </c>
      <c r="DL14">
        <v>8.77</v>
      </c>
      <c r="DM14">
        <v>9.1199999999999992</v>
      </c>
      <c r="DN14">
        <v>9.35</v>
      </c>
      <c r="DO14">
        <v>9.35</v>
      </c>
      <c r="DP14">
        <v>9.69</v>
      </c>
      <c r="DQ14">
        <v>10.119999999999999</v>
      </c>
      <c r="DR14">
        <v>10.55</v>
      </c>
      <c r="DS14">
        <v>10.96</v>
      </c>
      <c r="DT14">
        <v>11.38</v>
      </c>
      <c r="DU14">
        <v>11.61</v>
      </c>
      <c r="DV14">
        <v>11.61</v>
      </c>
      <c r="DW14">
        <v>11.96</v>
      </c>
      <c r="DX14">
        <v>12.26</v>
      </c>
      <c r="DY14">
        <v>12.54</v>
      </c>
      <c r="DZ14">
        <v>12.81</v>
      </c>
      <c r="EA14">
        <v>13.07</v>
      </c>
      <c r="EB14">
        <v>13.19</v>
      </c>
      <c r="EC14">
        <v>13.19</v>
      </c>
      <c r="ED14">
        <v>13.34</v>
      </c>
      <c r="EE14">
        <v>13.48</v>
      </c>
      <c r="EF14">
        <v>13.63</v>
      </c>
      <c r="EG14">
        <v>13.77</v>
      </c>
      <c r="EH14">
        <v>13.93</v>
      </c>
      <c r="EI14">
        <v>14.04</v>
      </c>
      <c r="EJ14">
        <v>14.04</v>
      </c>
      <c r="EK14">
        <v>14.2</v>
      </c>
      <c r="EL14">
        <v>14.36</v>
      </c>
      <c r="EM14">
        <v>14.51</v>
      </c>
      <c r="EN14">
        <v>14.68</v>
      </c>
      <c r="EO14">
        <v>14.85</v>
      </c>
      <c r="EP14">
        <v>14.96</v>
      </c>
      <c r="ER14">
        <v>15.15</v>
      </c>
      <c r="ES14">
        <v>15.45</v>
      </c>
      <c r="ET14">
        <v>15.72</v>
      </c>
      <c r="EU14">
        <v>16.05</v>
      </c>
      <c r="EV14">
        <v>16.39</v>
      </c>
      <c r="EW14">
        <v>16.64</v>
      </c>
      <c r="EX14">
        <v>16.64</v>
      </c>
      <c r="EY14">
        <v>16.82</v>
      </c>
      <c r="EZ14">
        <v>17.04</v>
      </c>
      <c r="FA14">
        <v>17.25</v>
      </c>
      <c r="FB14">
        <v>17.37</v>
      </c>
      <c r="FC14">
        <v>17.53</v>
      </c>
      <c r="FD14">
        <v>17.7</v>
      </c>
      <c r="FF14">
        <v>18.09</v>
      </c>
      <c r="FG14">
        <v>18.38</v>
      </c>
      <c r="FH14">
        <v>18.66</v>
      </c>
      <c r="FI14">
        <v>18.98</v>
      </c>
      <c r="FJ14">
        <v>19.350000000000001</v>
      </c>
      <c r="FK14">
        <v>19.600000000000001</v>
      </c>
      <c r="FL14">
        <v>19.600000000000001</v>
      </c>
      <c r="FM14">
        <v>19.940000000000001</v>
      </c>
      <c r="FN14">
        <v>20.28</v>
      </c>
      <c r="FO14">
        <v>20.78</v>
      </c>
      <c r="FP14">
        <v>21.39</v>
      </c>
      <c r="FQ14">
        <v>21.78</v>
      </c>
      <c r="FR14">
        <v>22.22</v>
      </c>
      <c r="FS14">
        <v>22.22</v>
      </c>
      <c r="FT14">
        <v>22.81</v>
      </c>
      <c r="FU14">
        <v>23.35</v>
      </c>
      <c r="FV14">
        <v>23.85</v>
      </c>
      <c r="FW14">
        <v>24.32</v>
      </c>
      <c r="FX14">
        <v>24.79</v>
      </c>
      <c r="FY14">
        <v>25.11</v>
      </c>
      <c r="FZ14">
        <v>25.12</v>
      </c>
      <c r="GA14">
        <v>25.51</v>
      </c>
      <c r="GB14">
        <v>25.89</v>
      </c>
      <c r="GC14">
        <v>26.25</v>
      </c>
      <c r="GD14">
        <v>26.65</v>
      </c>
      <c r="GE14">
        <v>27.05</v>
      </c>
      <c r="GF14">
        <v>27.37</v>
      </c>
      <c r="GG14">
        <v>27.38</v>
      </c>
      <c r="GH14">
        <v>27.78</v>
      </c>
      <c r="GI14">
        <v>28</v>
      </c>
      <c r="GJ14">
        <v>28.38</v>
      </c>
      <c r="GK14">
        <v>28.76</v>
      </c>
      <c r="GM14">
        <v>29.48</v>
      </c>
      <c r="GN14">
        <v>29.49</v>
      </c>
      <c r="GO14">
        <v>29.91</v>
      </c>
      <c r="GP14">
        <v>30.38</v>
      </c>
      <c r="GQ14">
        <v>31.03</v>
      </c>
      <c r="GR14">
        <v>31.74</v>
      </c>
      <c r="GS14">
        <v>32.49</v>
      </c>
      <c r="GT14">
        <v>33.020000000000003</v>
      </c>
      <c r="GU14">
        <v>33.03</v>
      </c>
      <c r="GV14">
        <v>33.75</v>
      </c>
      <c r="GW14">
        <v>34.630000000000003</v>
      </c>
      <c r="GX14">
        <v>35.479999999999997</v>
      </c>
      <c r="GY14">
        <v>36.200000000000003</v>
      </c>
      <c r="GZ14">
        <v>36.89</v>
      </c>
      <c r="HA14">
        <v>37.409999999999997</v>
      </c>
      <c r="HB14">
        <v>37.409999999999997</v>
      </c>
      <c r="HC14">
        <v>38.03</v>
      </c>
      <c r="HD14">
        <v>38.57</v>
      </c>
      <c r="HE14">
        <v>39.1</v>
      </c>
      <c r="HF14">
        <v>39.6</v>
      </c>
      <c r="HG14">
        <v>40.130000000000003</v>
      </c>
      <c r="HH14">
        <v>40.520000000000003</v>
      </c>
      <c r="HI14">
        <v>40.520000000000003</v>
      </c>
      <c r="HJ14">
        <v>41.02</v>
      </c>
      <c r="HK14">
        <v>41.43</v>
      </c>
      <c r="HL14">
        <v>41.84</v>
      </c>
      <c r="HM14">
        <v>42.25</v>
      </c>
      <c r="HN14">
        <v>42.64</v>
      </c>
      <c r="HO14">
        <v>42.98</v>
      </c>
      <c r="HP14">
        <v>42.98</v>
      </c>
      <c r="HQ14">
        <v>43.24</v>
      </c>
      <c r="HR14">
        <v>43.39</v>
      </c>
      <c r="HS14">
        <v>43.55</v>
      </c>
      <c r="HU14">
        <v>44.55</v>
      </c>
      <c r="HV14">
        <v>45.01</v>
      </c>
      <c r="HW14">
        <v>45.02</v>
      </c>
      <c r="HX14">
        <v>45.69</v>
      </c>
      <c r="HY14">
        <v>46.49</v>
      </c>
      <c r="HZ14">
        <v>47.32</v>
      </c>
      <c r="IA14">
        <v>48.19</v>
      </c>
      <c r="IB14">
        <v>49.04</v>
      </c>
      <c r="IC14">
        <v>49.72</v>
      </c>
      <c r="ID14">
        <v>49.72</v>
      </c>
      <c r="IE14">
        <v>50.49</v>
      </c>
      <c r="IF14">
        <v>51.16</v>
      </c>
      <c r="IG14">
        <v>51.79</v>
      </c>
      <c r="II14">
        <v>52.97</v>
      </c>
      <c r="IJ14">
        <v>53.44</v>
      </c>
      <c r="IK14">
        <v>53.44</v>
      </c>
      <c r="IL14">
        <v>54.03</v>
      </c>
      <c r="IM14">
        <v>54.67</v>
      </c>
      <c r="IN14">
        <v>55.31</v>
      </c>
      <c r="IO14">
        <v>55.93</v>
      </c>
      <c r="IP14">
        <v>56.61</v>
      </c>
      <c r="IQ14">
        <v>57.15</v>
      </c>
      <c r="IR14">
        <v>57.15</v>
      </c>
      <c r="IS14">
        <v>57.86</v>
      </c>
      <c r="IT14">
        <v>58.51</v>
      </c>
      <c r="IU14">
        <v>59.09</v>
      </c>
      <c r="IV14">
        <v>59.13</v>
      </c>
      <c r="IW14">
        <v>59.77</v>
      </c>
      <c r="IX14">
        <v>60.36</v>
      </c>
      <c r="IY14">
        <v>60.36</v>
      </c>
      <c r="IZ14">
        <v>61.13</v>
      </c>
      <c r="JA14">
        <v>61.97</v>
      </c>
      <c r="JB14">
        <v>62.79</v>
      </c>
      <c r="JC14">
        <v>63.52</v>
      </c>
      <c r="JE14">
        <v>65.42</v>
      </c>
      <c r="JF14">
        <v>65.430000000000007</v>
      </c>
      <c r="JG14">
        <v>66.569999999999993</v>
      </c>
      <c r="JH14">
        <v>67.599999999999994</v>
      </c>
      <c r="JI14">
        <v>68.569999999999993</v>
      </c>
      <c r="JJ14">
        <v>69.41</v>
      </c>
      <c r="JK14">
        <v>70.180000000000007</v>
      </c>
      <c r="JL14">
        <v>70.77</v>
      </c>
      <c r="JM14">
        <v>70.78</v>
      </c>
      <c r="JN14">
        <v>71.48</v>
      </c>
      <c r="JP14">
        <v>72.680000000000007</v>
      </c>
      <c r="JQ14">
        <v>73.290000000000006</v>
      </c>
      <c r="JS14">
        <v>74.44</v>
      </c>
      <c r="JT14">
        <v>74.45</v>
      </c>
      <c r="JU14">
        <v>75.13</v>
      </c>
      <c r="JV14">
        <v>75.77</v>
      </c>
      <c r="JW14">
        <v>76.36</v>
      </c>
      <c r="JZ14">
        <v>78.02</v>
      </c>
      <c r="KA14">
        <v>78.03</v>
      </c>
      <c r="KB14">
        <v>78.680000000000007</v>
      </c>
      <c r="KC14">
        <v>79.3</v>
      </c>
      <c r="KD14">
        <v>79.91</v>
      </c>
      <c r="KE14">
        <v>80.48</v>
      </c>
      <c r="KF14">
        <v>81.12</v>
      </c>
      <c r="KG14">
        <v>81.680000000000007</v>
      </c>
      <c r="KH14">
        <v>81.680000000000007</v>
      </c>
      <c r="KJ14">
        <v>83.01</v>
      </c>
      <c r="KK14">
        <v>83.68</v>
      </c>
      <c r="KL14">
        <v>84.35</v>
      </c>
      <c r="KM14">
        <v>84.94</v>
      </c>
      <c r="KN14">
        <v>85.46</v>
      </c>
      <c r="KO14">
        <v>85.47</v>
      </c>
      <c r="KP14">
        <v>86.03</v>
      </c>
      <c r="KQ14">
        <v>86.48</v>
      </c>
      <c r="KS14">
        <v>87.28</v>
      </c>
      <c r="KT14">
        <v>87.67</v>
      </c>
      <c r="KU14">
        <v>88</v>
      </c>
      <c r="KV14">
        <v>88.01</v>
      </c>
      <c r="KW14">
        <v>88.4</v>
      </c>
      <c r="KY14">
        <v>89.08</v>
      </c>
      <c r="KZ14">
        <v>89.39</v>
      </c>
      <c r="LB14">
        <v>89.94</v>
      </c>
      <c r="LC14">
        <v>89.94</v>
      </c>
      <c r="LD14">
        <v>90.25</v>
      </c>
      <c r="LE14">
        <v>90.55</v>
      </c>
      <c r="LF14">
        <v>90.87</v>
      </c>
      <c r="LG14">
        <v>91.17</v>
      </c>
      <c r="LH14">
        <v>91.49</v>
      </c>
      <c r="LI14">
        <v>91.78</v>
      </c>
      <c r="LJ14">
        <v>91.79</v>
      </c>
      <c r="LK14">
        <v>92.19</v>
      </c>
      <c r="LL14">
        <v>92.63</v>
      </c>
      <c r="LM14">
        <v>93.11</v>
      </c>
      <c r="LN14">
        <v>93.59</v>
      </c>
      <c r="LO14">
        <v>94.08</v>
      </c>
      <c r="LP14">
        <v>94.5</v>
      </c>
      <c r="LQ14">
        <v>94.5</v>
      </c>
      <c r="LR14">
        <v>94.96</v>
      </c>
      <c r="LX14">
        <v>97.01</v>
      </c>
      <c r="LY14">
        <v>97.12</v>
      </c>
      <c r="LZ14">
        <v>97.24</v>
      </c>
      <c r="MA14">
        <v>97.65</v>
      </c>
      <c r="MB14">
        <v>98.03</v>
      </c>
      <c r="MC14">
        <v>98.42</v>
      </c>
      <c r="MD14">
        <v>98.72</v>
      </c>
      <c r="ME14">
        <v>98.72</v>
      </c>
      <c r="MF14">
        <v>99.11</v>
      </c>
      <c r="MG14">
        <v>99.44</v>
      </c>
      <c r="MH14">
        <v>99.79</v>
      </c>
      <c r="MI14">
        <v>100.11</v>
      </c>
      <c r="MJ14">
        <v>100.43</v>
      </c>
      <c r="MK14">
        <v>100.68</v>
      </c>
      <c r="ML14">
        <v>100.68</v>
      </c>
      <c r="MM14">
        <v>101.03</v>
      </c>
      <c r="MN14">
        <v>101.37</v>
      </c>
      <c r="MO14">
        <v>101.69</v>
      </c>
      <c r="MP14">
        <v>101.99</v>
      </c>
      <c r="MQ14">
        <v>102.32</v>
      </c>
      <c r="MR14">
        <v>102.58</v>
      </c>
      <c r="MS14">
        <v>102.58</v>
      </c>
      <c r="MT14">
        <v>102.98</v>
      </c>
      <c r="MU14">
        <v>103.37</v>
      </c>
      <c r="MV14">
        <v>103.73</v>
      </c>
      <c r="MW14">
        <v>104.07</v>
      </c>
      <c r="MX14">
        <v>104.42</v>
      </c>
      <c r="MY14">
        <v>104.69</v>
      </c>
      <c r="MZ14">
        <v>104.69</v>
      </c>
      <c r="NA14">
        <v>105.04</v>
      </c>
      <c r="NB14">
        <v>105.37</v>
      </c>
      <c r="NC14">
        <v>105.7</v>
      </c>
      <c r="ND14">
        <v>106.01</v>
      </c>
      <c r="NE14">
        <v>106.32</v>
      </c>
      <c r="NF14">
        <v>106.56</v>
      </c>
      <c r="NG14">
        <v>106.56</v>
      </c>
      <c r="NH14">
        <v>106.9</v>
      </c>
      <c r="NI14">
        <v>107.21</v>
      </c>
      <c r="NJ14">
        <v>107.5</v>
      </c>
      <c r="NK14">
        <v>107.77</v>
      </c>
      <c r="NL14">
        <v>108.05</v>
      </c>
      <c r="NM14">
        <v>108.25</v>
      </c>
      <c r="NN14">
        <v>108.25</v>
      </c>
      <c r="NO14">
        <v>108.55</v>
      </c>
      <c r="NP14">
        <v>108.82</v>
      </c>
      <c r="NQ14">
        <v>109.09</v>
      </c>
      <c r="NR14">
        <v>109.33</v>
      </c>
      <c r="NS14">
        <v>109.59</v>
      </c>
      <c r="NU14">
        <v>109.79</v>
      </c>
      <c r="NV14">
        <v>110.1</v>
      </c>
      <c r="NW14">
        <v>110.39</v>
      </c>
      <c r="NX14">
        <v>110.71</v>
      </c>
      <c r="NY14">
        <v>110.98</v>
      </c>
      <c r="NZ14">
        <v>110.98</v>
      </c>
      <c r="OA14">
        <v>110.98</v>
      </c>
      <c r="OB14">
        <v>110.98</v>
      </c>
      <c r="OC14">
        <v>110.99</v>
      </c>
      <c r="OD14">
        <v>111.25</v>
      </c>
      <c r="OE14">
        <v>111.58</v>
      </c>
      <c r="OF14">
        <v>111.89</v>
      </c>
      <c r="OG14">
        <v>112.21</v>
      </c>
      <c r="OH14">
        <v>112.47</v>
      </c>
      <c r="OI14">
        <v>112.47</v>
      </c>
      <c r="OJ14">
        <v>112.79</v>
      </c>
      <c r="OK14">
        <v>113.1</v>
      </c>
      <c r="OL14">
        <v>113.39</v>
      </c>
      <c r="ON14">
        <v>113.94</v>
      </c>
      <c r="OO14">
        <v>114.17</v>
      </c>
      <c r="OP14">
        <v>114.17</v>
      </c>
      <c r="OQ14">
        <v>114.46</v>
      </c>
      <c r="OR14">
        <v>114.74</v>
      </c>
      <c r="OS14">
        <v>115</v>
      </c>
      <c r="OT14">
        <v>115.08</v>
      </c>
      <c r="OU14">
        <v>115.34</v>
      </c>
      <c r="OV14">
        <v>115.56</v>
      </c>
      <c r="OW14">
        <v>115.56</v>
      </c>
      <c r="OX14">
        <v>115.87</v>
      </c>
      <c r="OY14">
        <v>116.17</v>
      </c>
      <c r="OZ14">
        <v>116.45</v>
      </c>
      <c r="PA14">
        <v>116.76</v>
      </c>
      <c r="PB14">
        <v>117.09</v>
      </c>
      <c r="PC14">
        <v>117.39</v>
      </c>
      <c r="PD14">
        <v>117.39</v>
      </c>
      <c r="PE14">
        <v>117.76</v>
      </c>
      <c r="PF14">
        <v>118.12</v>
      </c>
      <c r="PG14">
        <v>118.5</v>
      </c>
      <c r="PH14">
        <v>118.84</v>
      </c>
      <c r="PI14">
        <v>119.2</v>
      </c>
      <c r="PJ14">
        <v>119.52</v>
      </c>
      <c r="PK14">
        <v>119.52</v>
      </c>
      <c r="PL14">
        <v>119.94</v>
      </c>
      <c r="PM14">
        <v>120.37</v>
      </c>
      <c r="PN14">
        <v>120.79</v>
      </c>
      <c r="PO14">
        <v>121.2</v>
      </c>
      <c r="PP14">
        <v>121.63</v>
      </c>
      <c r="PQ14">
        <v>122.06</v>
      </c>
      <c r="PR14">
        <v>122.06</v>
      </c>
      <c r="PS14">
        <v>122.76</v>
      </c>
      <c r="PT14">
        <v>123.52</v>
      </c>
      <c r="QM14">
        <v>128.72</v>
      </c>
      <c r="QN14">
        <v>128.88999999999999</v>
      </c>
      <c r="QO14">
        <v>128.88999999999999</v>
      </c>
      <c r="QP14">
        <v>129.13999999999999</v>
      </c>
      <c r="QQ14">
        <v>129.36000000000001</v>
      </c>
      <c r="QR14">
        <v>129.58000000000001</v>
      </c>
      <c r="QS14">
        <v>129.74</v>
      </c>
      <c r="QT14">
        <v>129.74</v>
      </c>
      <c r="QU14">
        <v>129.96</v>
      </c>
      <c r="QV14">
        <v>130.13</v>
      </c>
      <c r="QW14">
        <v>130.29</v>
      </c>
      <c r="QX14">
        <v>130.47</v>
      </c>
      <c r="QY14">
        <v>130.63999999999999</v>
      </c>
      <c r="QZ14">
        <v>130.76</v>
      </c>
      <c r="RA14">
        <v>130.76</v>
      </c>
      <c r="RB14">
        <v>130.77000000000001</v>
      </c>
      <c r="RC14">
        <v>130.83000000000001</v>
      </c>
      <c r="RD14">
        <v>130.9</v>
      </c>
      <c r="RE14">
        <v>130.96</v>
      </c>
      <c r="RF14">
        <v>131.03</v>
      </c>
      <c r="RG14">
        <v>131.13</v>
      </c>
      <c r="RH14">
        <v>131.13</v>
      </c>
      <c r="RI14">
        <v>131.32</v>
      </c>
      <c r="RJ14">
        <v>131.47999999999999</v>
      </c>
      <c r="RK14">
        <v>131.62</v>
      </c>
      <c r="RL14">
        <v>131.97</v>
      </c>
      <c r="RM14">
        <v>131.97</v>
      </c>
      <c r="RN14">
        <v>132.09</v>
      </c>
      <c r="RO14">
        <v>132.19</v>
      </c>
      <c r="RP14">
        <v>132.28</v>
      </c>
      <c r="RQ14">
        <v>132.53</v>
      </c>
      <c r="RR14">
        <v>132.53</v>
      </c>
      <c r="RS14">
        <v>132.63</v>
      </c>
      <c r="RT14">
        <v>132.71</v>
      </c>
      <c r="RU14">
        <v>132.78</v>
      </c>
      <c r="RV14">
        <v>132.97999999999999</v>
      </c>
      <c r="RX14">
        <v>133.05000000000001</v>
      </c>
      <c r="RY14">
        <v>133.11000000000001</v>
      </c>
      <c r="RZ14">
        <v>133.16999999999999</v>
      </c>
      <c r="SB14">
        <v>133.26</v>
      </c>
      <c r="SC14">
        <v>133.30000000000001</v>
      </c>
      <c r="SH14">
        <v>133.47999999999999</v>
      </c>
      <c r="SI14">
        <v>133.52000000000001</v>
      </c>
      <c r="SK14">
        <v>133.55000000000001</v>
      </c>
      <c r="SL14">
        <v>133.55000000000001</v>
      </c>
      <c r="SM14">
        <v>133.55000000000001</v>
      </c>
      <c r="SN14">
        <v>133.6</v>
      </c>
      <c r="SO14">
        <v>133.65</v>
      </c>
      <c r="SP14">
        <v>133.68</v>
      </c>
      <c r="SQ14">
        <v>133.71</v>
      </c>
      <c r="SS14">
        <v>133.71</v>
      </c>
      <c r="SZ14">
        <v>133.91999999999999</v>
      </c>
      <c r="TA14">
        <v>133.96</v>
      </c>
      <c r="TB14">
        <v>133.99</v>
      </c>
      <c r="TF14">
        <v>134.08000000000001</v>
      </c>
      <c r="TJ14">
        <v>134.19</v>
      </c>
      <c r="TK14">
        <v>134.21</v>
      </c>
      <c r="TL14">
        <v>134.22</v>
      </c>
      <c r="TN14">
        <v>134.24</v>
      </c>
      <c r="TO14">
        <v>134.26</v>
      </c>
      <c r="TP14">
        <v>134.28</v>
      </c>
      <c r="UE14">
        <v>134.5</v>
      </c>
      <c r="UF14">
        <v>134.52000000000001</v>
      </c>
      <c r="UG14">
        <v>134.53</v>
      </c>
      <c r="UI14">
        <v>134.54</v>
      </c>
      <c r="UJ14">
        <v>134.56</v>
      </c>
      <c r="UK14">
        <v>134.57</v>
      </c>
      <c r="UL14">
        <v>134.59</v>
      </c>
      <c r="UM14">
        <v>134.6</v>
      </c>
      <c r="UN14">
        <v>134.61000000000001</v>
      </c>
      <c r="US14">
        <v>134.68</v>
      </c>
      <c r="UT14">
        <v>134.69999999999999</v>
      </c>
      <c r="UU14">
        <v>134.72</v>
      </c>
      <c r="UV14">
        <v>134.72</v>
      </c>
      <c r="VJ14">
        <v>133.72999999999999</v>
      </c>
      <c r="VK14">
        <v>133.75</v>
      </c>
      <c r="VL14">
        <v>133.78</v>
      </c>
      <c r="VM14">
        <v>133.80000000000001</v>
      </c>
      <c r="VN14">
        <v>133.82</v>
      </c>
      <c r="VO14">
        <v>133.84</v>
      </c>
      <c r="VP14">
        <v>133.86000000000001</v>
      </c>
      <c r="VQ14">
        <v>133.86000000000001</v>
      </c>
      <c r="VR14">
        <v>133.88999999999999</v>
      </c>
      <c r="VS14">
        <v>133.91</v>
      </c>
      <c r="VT14">
        <v>133.93</v>
      </c>
      <c r="VU14">
        <v>133.94999999999999</v>
      </c>
      <c r="VV14">
        <v>133.97</v>
      </c>
      <c r="VW14">
        <v>133.99</v>
      </c>
      <c r="VX14">
        <v>134.01</v>
      </c>
      <c r="VY14">
        <v>134.03</v>
      </c>
      <c r="VZ14">
        <v>134.04</v>
      </c>
      <c r="WA14">
        <v>134.06</v>
      </c>
      <c r="WB14">
        <v>134.08000000000001</v>
      </c>
      <c r="WC14">
        <v>134.09</v>
      </c>
      <c r="WD14">
        <v>134.09</v>
      </c>
      <c r="WF14">
        <v>134.13</v>
      </c>
      <c r="WG14">
        <v>134.13999999999999</v>
      </c>
      <c r="WH14">
        <v>134.16</v>
      </c>
      <c r="WI14">
        <v>134.18</v>
      </c>
      <c r="WJ14">
        <v>134.18</v>
      </c>
      <c r="WK14">
        <v>134.18</v>
      </c>
      <c r="WL14">
        <v>134.18</v>
      </c>
      <c r="WU14">
        <v>134.33000000000001</v>
      </c>
      <c r="WX14">
        <v>134.37</v>
      </c>
    </row>
    <row r="15" spans="1:812">
      <c r="A15" s="1" t="s">
        <v>179</v>
      </c>
      <c r="B15" s="1" t="s">
        <v>179</v>
      </c>
      <c r="CV15">
        <v>0.03</v>
      </c>
      <c r="CW15">
        <v>1.78</v>
      </c>
      <c r="DQ15">
        <v>2.54</v>
      </c>
      <c r="DU15">
        <v>3.81</v>
      </c>
      <c r="ED15">
        <v>5.57</v>
      </c>
      <c r="EK15">
        <v>6.53</v>
      </c>
      <c r="EW15">
        <v>9.15</v>
      </c>
      <c r="FI15">
        <v>12.78</v>
      </c>
      <c r="FQ15">
        <v>14</v>
      </c>
      <c r="FX15">
        <v>15.81</v>
      </c>
      <c r="GD15">
        <v>17.32</v>
      </c>
      <c r="GL15">
        <v>20.149999999999999</v>
      </c>
      <c r="GS15">
        <v>23.16</v>
      </c>
      <c r="GY15">
        <v>24.41</v>
      </c>
      <c r="HG15">
        <v>24.92</v>
      </c>
      <c r="HN15">
        <v>25.37</v>
      </c>
      <c r="HU15">
        <v>26.23</v>
      </c>
      <c r="IA15">
        <v>26.58</v>
      </c>
      <c r="IB15">
        <v>27.18</v>
      </c>
      <c r="IH15">
        <v>27.62</v>
      </c>
      <c r="IK15">
        <v>28.08</v>
      </c>
      <c r="IV15">
        <v>30.1</v>
      </c>
      <c r="IX15">
        <v>32.51</v>
      </c>
      <c r="KE15">
        <v>46.47</v>
      </c>
      <c r="KL15">
        <v>52.35</v>
      </c>
      <c r="KS15">
        <v>56.57</v>
      </c>
      <c r="KZ15">
        <v>60.07</v>
      </c>
      <c r="LG15">
        <v>61.53</v>
      </c>
      <c r="LN15">
        <v>64.27</v>
      </c>
      <c r="LU15">
        <v>66.459999999999994</v>
      </c>
      <c r="MI15">
        <v>69.16</v>
      </c>
      <c r="MS15">
        <v>70.59</v>
      </c>
      <c r="ND15">
        <v>72.56</v>
      </c>
      <c r="NI15">
        <v>73.88</v>
      </c>
      <c r="NP15">
        <v>73.930000000000007</v>
      </c>
      <c r="OD15">
        <v>77.66</v>
      </c>
      <c r="OK15">
        <v>78.819999999999993</v>
      </c>
      <c r="OY15">
        <v>80.349999999999994</v>
      </c>
      <c r="PM15">
        <v>81.47</v>
      </c>
      <c r="PT15">
        <v>82.06</v>
      </c>
      <c r="QO15">
        <v>83.43</v>
      </c>
      <c r="QV15">
        <v>83.78</v>
      </c>
      <c r="RE15">
        <v>84.19</v>
      </c>
      <c r="RJ15">
        <v>84.58</v>
      </c>
      <c r="SA15">
        <v>85.55</v>
      </c>
      <c r="SH15">
        <v>85.88</v>
      </c>
      <c r="VE15">
        <v>84.89</v>
      </c>
      <c r="WA15">
        <v>87.1</v>
      </c>
      <c r="WV15">
        <v>87.54</v>
      </c>
      <c r="XC15">
        <v>87.7</v>
      </c>
      <c r="XJ15">
        <v>87.81</v>
      </c>
      <c r="XX15">
        <v>88.66</v>
      </c>
      <c r="YE15">
        <v>88.77</v>
      </c>
      <c r="YZ15">
        <v>88.98</v>
      </c>
    </row>
    <row r="16" spans="1:812">
      <c r="A16" s="1" t="s">
        <v>78</v>
      </c>
      <c r="B16" s="1" t="s">
        <v>383</v>
      </c>
      <c r="P16">
        <v>2.29</v>
      </c>
      <c r="Q16">
        <v>2.94</v>
      </c>
      <c r="R16">
        <v>2.97</v>
      </c>
      <c r="S16">
        <v>3.03</v>
      </c>
      <c r="T16">
        <v>3.15</v>
      </c>
      <c r="U16">
        <v>3.23</v>
      </c>
      <c r="V16">
        <v>3.29</v>
      </c>
      <c r="W16">
        <v>3.37</v>
      </c>
      <c r="X16">
        <v>3.45</v>
      </c>
      <c r="Y16">
        <v>3.49</v>
      </c>
      <c r="Z16">
        <v>3.53</v>
      </c>
      <c r="AA16">
        <v>3.57</v>
      </c>
      <c r="AB16">
        <v>3.62</v>
      </c>
      <c r="AC16">
        <v>3.75</v>
      </c>
      <c r="AD16">
        <v>4.0199999999999996</v>
      </c>
      <c r="AE16">
        <v>4.25</v>
      </c>
      <c r="AF16">
        <v>4.5999999999999996</v>
      </c>
      <c r="AG16">
        <v>4.95</v>
      </c>
      <c r="AH16">
        <v>5.25</v>
      </c>
      <c r="AI16">
        <v>5.44</v>
      </c>
      <c r="AJ16">
        <v>5.75</v>
      </c>
      <c r="CK16">
        <v>29.77</v>
      </c>
      <c r="CL16">
        <v>29.97</v>
      </c>
      <c r="CM16">
        <v>30.11</v>
      </c>
      <c r="CN16">
        <v>30.24</v>
      </c>
      <c r="CO16">
        <v>30.44</v>
      </c>
      <c r="CP16">
        <v>30.58</v>
      </c>
      <c r="CQ16">
        <v>30.7</v>
      </c>
      <c r="CR16">
        <v>31.42</v>
      </c>
      <c r="CS16">
        <v>32.39</v>
      </c>
      <c r="CT16">
        <v>33.31</v>
      </c>
      <c r="CU16">
        <v>34.119999999999997</v>
      </c>
      <c r="CV16">
        <v>35.11</v>
      </c>
      <c r="CW16">
        <v>36.08</v>
      </c>
      <c r="CX16">
        <v>36.83</v>
      </c>
      <c r="CY16">
        <v>37.619999999999997</v>
      </c>
      <c r="CZ16">
        <v>38.39</v>
      </c>
      <c r="DA16">
        <v>39.21</v>
      </c>
      <c r="DB16">
        <v>39.97</v>
      </c>
      <c r="DC16">
        <v>40.83</v>
      </c>
      <c r="DD16">
        <v>41.61</v>
      </c>
      <c r="DE16">
        <v>42.16</v>
      </c>
      <c r="DF16">
        <v>42.55</v>
      </c>
      <c r="DG16">
        <v>43.24</v>
      </c>
      <c r="DH16">
        <v>43.9</v>
      </c>
      <c r="DI16">
        <v>44.4</v>
      </c>
      <c r="DJ16">
        <v>45.04</v>
      </c>
      <c r="DK16">
        <v>45.56</v>
      </c>
      <c r="DL16">
        <v>45.99</v>
      </c>
      <c r="DM16">
        <v>46.89</v>
      </c>
      <c r="DN16">
        <v>48.04</v>
      </c>
      <c r="DO16">
        <v>49.18</v>
      </c>
      <c r="DP16">
        <v>50.33</v>
      </c>
      <c r="DQ16">
        <v>51.71</v>
      </c>
      <c r="DR16">
        <v>52.94</v>
      </c>
      <c r="DS16">
        <v>54.02</v>
      </c>
      <c r="DT16">
        <v>55.19</v>
      </c>
      <c r="DU16">
        <v>56.21</v>
      </c>
      <c r="DV16">
        <v>57.24</v>
      </c>
      <c r="DW16">
        <v>58.14</v>
      </c>
      <c r="DX16">
        <v>59.28</v>
      </c>
      <c r="DY16">
        <v>60.43</v>
      </c>
      <c r="DZ16">
        <v>61.26</v>
      </c>
      <c r="EA16">
        <v>62</v>
      </c>
      <c r="EB16">
        <v>63.32</v>
      </c>
      <c r="EC16">
        <v>64.489999999999995</v>
      </c>
      <c r="ED16">
        <v>65.73</v>
      </c>
      <c r="EE16">
        <v>66.849999999999994</v>
      </c>
      <c r="EF16">
        <v>67.56</v>
      </c>
      <c r="EG16">
        <v>67.98</v>
      </c>
      <c r="EH16">
        <v>68.680000000000007</v>
      </c>
      <c r="EI16">
        <v>69.39</v>
      </c>
      <c r="EJ16">
        <v>70.11</v>
      </c>
      <c r="EK16">
        <v>70.92</v>
      </c>
      <c r="EL16">
        <v>71.48</v>
      </c>
      <c r="EM16">
        <v>71.94</v>
      </c>
      <c r="EN16">
        <v>72.59</v>
      </c>
      <c r="EO16">
        <v>73.239999999999995</v>
      </c>
      <c r="EP16">
        <v>74.290000000000006</v>
      </c>
      <c r="EQ16">
        <v>75.42</v>
      </c>
      <c r="ER16">
        <v>76.5</v>
      </c>
      <c r="ES16">
        <v>77.489999999999995</v>
      </c>
      <c r="ET16">
        <v>78.44</v>
      </c>
      <c r="EU16">
        <v>79.17</v>
      </c>
      <c r="EV16">
        <v>79.8</v>
      </c>
      <c r="EW16">
        <v>80.86</v>
      </c>
      <c r="EX16">
        <v>81.98</v>
      </c>
      <c r="EY16">
        <v>83.22</v>
      </c>
      <c r="EZ16">
        <v>84.28</v>
      </c>
      <c r="FA16">
        <v>84.66</v>
      </c>
      <c r="FB16">
        <v>85.1</v>
      </c>
      <c r="FC16">
        <v>85.59</v>
      </c>
      <c r="FD16">
        <v>86.56</v>
      </c>
      <c r="FE16">
        <v>87.56</v>
      </c>
      <c r="FF16">
        <v>88.56</v>
      </c>
      <c r="FG16">
        <v>89.29</v>
      </c>
      <c r="FH16">
        <v>90.01</v>
      </c>
      <c r="FI16">
        <v>90.81</v>
      </c>
      <c r="FJ16">
        <v>91.66</v>
      </c>
      <c r="FK16">
        <v>92.86</v>
      </c>
      <c r="FL16">
        <v>94.13</v>
      </c>
      <c r="FM16">
        <v>95.28</v>
      </c>
      <c r="FN16">
        <v>96.27</v>
      </c>
      <c r="FO16">
        <v>97.31</v>
      </c>
      <c r="FP16">
        <v>98.24</v>
      </c>
      <c r="FQ16">
        <v>99.02</v>
      </c>
      <c r="FR16">
        <v>100.31</v>
      </c>
      <c r="FS16">
        <v>101.83</v>
      </c>
      <c r="FT16">
        <v>103.17</v>
      </c>
      <c r="FU16">
        <v>104.32</v>
      </c>
      <c r="FV16">
        <v>105.14</v>
      </c>
      <c r="FW16">
        <v>106.06</v>
      </c>
      <c r="FX16">
        <v>106.59</v>
      </c>
      <c r="FY16">
        <v>107.34</v>
      </c>
      <c r="FZ16">
        <v>108.05</v>
      </c>
      <c r="GA16">
        <v>108.71</v>
      </c>
      <c r="GB16">
        <v>109.29</v>
      </c>
      <c r="GC16">
        <v>109.89</v>
      </c>
      <c r="GD16">
        <v>110.28</v>
      </c>
      <c r="GE16">
        <v>110.7</v>
      </c>
      <c r="GF16">
        <v>111.17</v>
      </c>
      <c r="GG16">
        <v>111.63</v>
      </c>
      <c r="GH16">
        <v>111.97</v>
      </c>
      <c r="GI16">
        <v>112.31</v>
      </c>
      <c r="GJ16">
        <v>112.68</v>
      </c>
      <c r="GK16">
        <v>113.16</v>
      </c>
      <c r="GL16">
        <v>113.57</v>
      </c>
      <c r="GM16">
        <v>114.21</v>
      </c>
      <c r="GN16">
        <v>114.94</v>
      </c>
      <c r="GO16">
        <v>115.67</v>
      </c>
      <c r="GP16">
        <v>116.29</v>
      </c>
      <c r="GQ16">
        <v>117.15</v>
      </c>
      <c r="GR16">
        <v>118.11</v>
      </c>
      <c r="GS16">
        <v>118.67</v>
      </c>
      <c r="GT16">
        <v>119.18</v>
      </c>
      <c r="GU16">
        <v>123.99</v>
      </c>
      <c r="GV16">
        <v>124.38</v>
      </c>
      <c r="GW16">
        <v>124.72</v>
      </c>
      <c r="GX16">
        <v>125.08</v>
      </c>
      <c r="GY16">
        <v>125.4</v>
      </c>
      <c r="GZ16">
        <v>125.75</v>
      </c>
      <c r="HA16">
        <v>126.19</v>
      </c>
      <c r="HB16">
        <v>126.59</v>
      </c>
      <c r="HC16">
        <v>126.9</v>
      </c>
      <c r="HD16">
        <v>127.31</v>
      </c>
      <c r="HE16">
        <v>127.73</v>
      </c>
      <c r="HF16">
        <v>128.13</v>
      </c>
      <c r="HG16">
        <v>128.5</v>
      </c>
      <c r="HH16">
        <v>128.88999999999999</v>
      </c>
      <c r="HI16">
        <v>129.35</v>
      </c>
      <c r="HJ16">
        <v>129.81</v>
      </c>
      <c r="HK16">
        <v>130.22999999999999</v>
      </c>
      <c r="HL16">
        <v>130.76</v>
      </c>
      <c r="HM16">
        <v>131.07</v>
      </c>
      <c r="HN16">
        <v>131.36000000000001</v>
      </c>
      <c r="HO16">
        <v>131.72999999999999</v>
      </c>
      <c r="HP16">
        <v>131.94999999999999</v>
      </c>
      <c r="HQ16">
        <v>132.13999999999999</v>
      </c>
      <c r="HR16">
        <v>132.37</v>
      </c>
      <c r="HS16">
        <v>132.66</v>
      </c>
      <c r="HT16">
        <v>132.97999999999999</v>
      </c>
      <c r="HU16">
        <v>133.19</v>
      </c>
      <c r="HV16">
        <v>133.66999999999999</v>
      </c>
      <c r="HW16">
        <v>133.93</v>
      </c>
      <c r="HX16">
        <v>134.21</v>
      </c>
      <c r="HY16">
        <v>134.44</v>
      </c>
      <c r="HZ16">
        <v>134.66999999999999</v>
      </c>
      <c r="IA16">
        <v>135.03</v>
      </c>
      <c r="IB16">
        <v>135.47999999999999</v>
      </c>
      <c r="IC16">
        <v>136.04</v>
      </c>
      <c r="ID16">
        <v>136.52000000000001</v>
      </c>
      <c r="IE16">
        <v>137.19999999999999</v>
      </c>
      <c r="IF16">
        <v>137.62</v>
      </c>
      <c r="IG16">
        <v>138.19999999999999</v>
      </c>
      <c r="IH16">
        <v>138.55000000000001</v>
      </c>
      <c r="II16">
        <v>138.88999999999999</v>
      </c>
      <c r="IJ16">
        <v>139.44</v>
      </c>
      <c r="IK16">
        <v>139.84</v>
      </c>
      <c r="IL16">
        <v>140.35</v>
      </c>
      <c r="IM16">
        <v>140.94999999999999</v>
      </c>
      <c r="IN16">
        <v>141.49</v>
      </c>
      <c r="IO16">
        <v>141.79</v>
      </c>
      <c r="IP16">
        <v>142.12</v>
      </c>
      <c r="IQ16">
        <v>142.51</v>
      </c>
      <c r="IR16">
        <v>142.81</v>
      </c>
      <c r="IS16">
        <v>143.04</v>
      </c>
      <c r="IT16">
        <v>143.18</v>
      </c>
      <c r="IU16">
        <v>143.30000000000001</v>
      </c>
      <c r="IV16">
        <v>139.62</v>
      </c>
      <c r="IW16">
        <v>139.79</v>
      </c>
      <c r="IX16">
        <v>140.11000000000001</v>
      </c>
      <c r="IY16">
        <v>140.53</v>
      </c>
      <c r="IZ16">
        <v>140.82</v>
      </c>
      <c r="JA16">
        <v>141.05000000000001</v>
      </c>
      <c r="JB16">
        <v>141.32</v>
      </c>
      <c r="JC16">
        <v>141.47999999999999</v>
      </c>
      <c r="JD16">
        <v>141.68</v>
      </c>
      <c r="JE16">
        <v>141.96</v>
      </c>
      <c r="JF16">
        <v>142.16999999999999</v>
      </c>
      <c r="JG16">
        <v>142.37</v>
      </c>
      <c r="JH16">
        <v>142.58000000000001</v>
      </c>
      <c r="JI16">
        <v>142.85</v>
      </c>
      <c r="JJ16">
        <v>142.97999999999999</v>
      </c>
      <c r="JK16">
        <v>143.11000000000001</v>
      </c>
      <c r="JL16">
        <v>143.31</v>
      </c>
      <c r="JM16">
        <v>143.51</v>
      </c>
      <c r="JN16">
        <v>143.66</v>
      </c>
      <c r="JO16">
        <v>143.80000000000001</v>
      </c>
      <c r="JP16">
        <v>143.88999999999999</v>
      </c>
      <c r="JQ16">
        <v>144.01</v>
      </c>
      <c r="JR16">
        <v>144.09</v>
      </c>
      <c r="JS16">
        <v>144.26</v>
      </c>
      <c r="JT16">
        <v>144.44</v>
      </c>
      <c r="JU16">
        <v>144.59</v>
      </c>
      <c r="JV16">
        <v>144.74</v>
      </c>
      <c r="JW16">
        <v>144.88</v>
      </c>
      <c r="JX16">
        <v>144.96</v>
      </c>
      <c r="JY16">
        <v>145.05000000000001</v>
      </c>
      <c r="JZ16">
        <v>145.19</v>
      </c>
      <c r="KA16">
        <v>145.30000000000001</v>
      </c>
      <c r="KB16">
        <v>145.32</v>
      </c>
      <c r="KC16">
        <v>145.5</v>
      </c>
      <c r="KD16">
        <v>145.62</v>
      </c>
      <c r="KE16">
        <v>145.82</v>
      </c>
      <c r="KF16">
        <v>146.07</v>
      </c>
      <c r="KG16">
        <v>146.53</v>
      </c>
      <c r="KH16">
        <v>146.9</v>
      </c>
      <c r="KI16">
        <v>147.26</v>
      </c>
      <c r="KJ16">
        <v>147.69999999999999</v>
      </c>
      <c r="KK16">
        <v>148.15</v>
      </c>
      <c r="KL16">
        <v>148.41</v>
      </c>
      <c r="KM16">
        <v>148.77000000000001</v>
      </c>
      <c r="KN16">
        <v>149.15</v>
      </c>
      <c r="KO16">
        <v>149.63</v>
      </c>
      <c r="KP16">
        <v>150.07</v>
      </c>
      <c r="KQ16">
        <v>150.47</v>
      </c>
      <c r="KR16">
        <v>150.99</v>
      </c>
      <c r="KS16">
        <v>151.32</v>
      </c>
      <c r="KT16">
        <v>151.66999999999999</v>
      </c>
      <c r="KU16">
        <v>152.18</v>
      </c>
      <c r="KV16">
        <v>152.69999999999999</v>
      </c>
      <c r="KW16">
        <v>153.12</v>
      </c>
      <c r="KX16">
        <v>153.54</v>
      </c>
      <c r="KY16">
        <v>153.94999999999999</v>
      </c>
      <c r="KZ16">
        <v>154.19</v>
      </c>
      <c r="LA16">
        <v>154.44</v>
      </c>
      <c r="LB16">
        <v>154.9</v>
      </c>
      <c r="LC16">
        <v>155.08000000000001</v>
      </c>
      <c r="LD16">
        <v>155.41999999999999</v>
      </c>
      <c r="LE16">
        <v>155.78</v>
      </c>
      <c r="LF16">
        <v>156.13999999999999</v>
      </c>
      <c r="LG16">
        <v>156.32</v>
      </c>
      <c r="LH16">
        <v>156.49</v>
      </c>
      <c r="LI16">
        <v>156.81</v>
      </c>
      <c r="LJ16">
        <v>157.09</v>
      </c>
      <c r="LK16">
        <v>157.33000000000001</v>
      </c>
      <c r="LL16">
        <v>157.57</v>
      </c>
      <c r="LM16">
        <v>157.88999999999999</v>
      </c>
      <c r="LN16">
        <v>158.08000000000001</v>
      </c>
      <c r="LO16">
        <v>158.22999999999999</v>
      </c>
      <c r="LP16">
        <v>158.52000000000001</v>
      </c>
      <c r="LQ16">
        <v>158.72</v>
      </c>
      <c r="LR16">
        <v>159.06</v>
      </c>
      <c r="LS16">
        <v>159.30000000000001</v>
      </c>
      <c r="LT16">
        <v>159.57</v>
      </c>
      <c r="LU16">
        <v>159.77000000000001</v>
      </c>
      <c r="LV16">
        <v>159.91999999999999</v>
      </c>
      <c r="LW16">
        <v>160.19</v>
      </c>
      <c r="LX16">
        <v>160.4</v>
      </c>
      <c r="LY16">
        <v>160.62</v>
      </c>
      <c r="LZ16">
        <v>160.83000000000001</v>
      </c>
      <c r="MA16">
        <v>161.15</v>
      </c>
      <c r="MB16">
        <v>161.32</v>
      </c>
      <c r="MC16">
        <v>161.46</v>
      </c>
      <c r="MD16">
        <v>161.72999999999999</v>
      </c>
      <c r="ME16">
        <v>161.96</v>
      </c>
      <c r="MF16">
        <v>162.18</v>
      </c>
      <c r="MG16">
        <v>162.43</v>
      </c>
      <c r="MH16">
        <v>162.72999999999999</v>
      </c>
      <c r="MI16">
        <v>162.9</v>
      </c>
      <c r="MJ16">
        <v>163.1</v>
      </c>
      <c r="MK16">
        <v>163.47</v>
      </c>
      <c r="ML16">
        <v>163.85</v>
      </c>
      <c r="MM16">
        <v>164.25</v>
      </c>
      <c r="MN16">
        <v>164.66</v>
      </c>
      <c r="MO16">
        <v>165.17</v>
      </c>
      <c r="MP16">
        <v>165.56</v>
      </c>
      <c r="MQ16">
        <v>165.85</v>
      </c>
      <c r="MR16">
        <v>166.39</v>
      </c>
      <c r="MS16">
        <v>166.97</v>
      </c>
      <c r="MT16">
        <v>167.49</v>
      </c>
      <c r="MU16">
        <v>167.95</v>
      </c>
      <c r="MV16">
        <v>168.67</v>
      </c>
      <c r="MW16">
        <v>169.32</v>
      </c>
      <c r="MX16">
        <v>169.88</v>
      </c>
      <c r="MY16">
        <v>170.57</v>
      </c>
      <c r="MZ16">
        <v>171.22</v>
      </c>
      <c r="NA16">
        <v>171.79</v>
      </c>
      <c r="NB16">
        <v>172.36</v>
      </c>
      <c r="NC16">
        <v>172.99</v>
      </c>
      <c r="ND16">
        <v>173.37</v>
      </c>
      <c r="NE16">
        <v>173.71</v>
      </c>
      <c r="NF16">
        <v>174.3</v>
      </c>
      <c r="NG16">
        <v>174.79</v>
      </c>
      <c r="NH16">
        <v>175.36</v>
      </c>
      <c r="NI16">
        <v>176.09</v>
      </c>
      <c r="NJ16">
        <v>176.52</v>
      </c>
      <c r="NK16">
        <v>176.83</v>
      </c>
      <c r="NL16">
        <v>177.17</v>
      </c>
      <c r="NM16">
        <v>177.7</v>
      </c>
      <c r="NN16">
        <v>178.58</v>
      </c>
      <c r="NO16">
        <v>179.41</v>
      </c>
      <c r="NP16">
        <v>180.09</v>
      </c>
      <c r="NQ16">
        <v>180.76</v>
      </c>
      <c r="NR16">
        <v>181.12</v>
      </c>
      <c r="NS16">
        <v>181.52</v>
      </c>
      <c r="NT16">
        <v>182.16</v>
      </c>
      <c r="NU16">
        <v>182.75</v>
      </c>
      <c r="NV16">
        <v>183.28</v>
      </c>
      <c r="NW16">
        <v>183.75</v>
      </c>
      <c r="NX16">
        <v>184.27</v>
      </c>
      <c r="NY16">
        <v>184.53</v>
      </c>
      <c r="NZ16">
        <v>184.75</v>
      </c>
      <c r="OA16">
        <v>185</v>
      </c>
      <c r="OB16">
        <v>185.45</v>
      </c>
      <c r="OC16">
        <v>185.81</v>
      </c>
      <c r="OD16">
        <v>186.16</v>
      </c>
      <c r="OE16">
        <v>186.56</v>
      </c>
      <c r="OF16">
        <v>186.74</v>
      </c>
      <c r="OG16">
        <v>186.95</v>
      </c>
      <c r="OH16">
        <v>187.32</v>
      </c>
      <c r="OI16">
        <v>187.63</v>
      </c>
      <c r="OJ16">
        <v>187.92</v>
      </c>
      <c r="OK16">
        <v>188.23</v>
      </c>
      <c r="OL16">
        <v>188.57</v>
      </c>
      <c r="OM16">
        <v>188.74</v>
      </c>
      <c r="ON16">
        <v>188.91</v>
      </c>
      <c r="OO16">
        <v>189.12</v>
      </c>
      <c r="OP16">
        <v>189.43</v>
      </c>
      <c r="OQ16">
        <v>189.66</v>
      </c>
      <c r="OR16">
        <v>189.83</v>
      </c>
      <c r="OS16">
        <v>190.03</v>
      </c>
      <c r="OT16">
        <v>190.11</v>
      </c>
      <c r="OU16">
        <v>190.16</v>
      </c>
      <c r="OV16">
        <v>190.45</v>
      </c>
      <c r="OW16">
        <v>190.62</v>
      </c>
      <c r="OX16">
        <v>191.12</v>
      </c>
      <c r="OY16">
        <v>191.27</v>
      </c>
      <c r="OZ16">
        <v>191.43</v>
      </c>
      <c r="PA16">
        <v>191.55</v>
      </c>
      <c r="PB16">
        <v>191.65</v>
      </c>
      <c r="PC16">
        <v>191.89</v>
      </c>
      <c r="PD16">
        <v>192.02</v>
      </c>
      <c r="PE16">
        <v>192.15</v>
      </c>
      <c r="PF16">
        <v>192.28</v>
      </c>
      <c r="PG16">
        <v>192.45</v>
      </c>
      <c r="PH16">
        <v>192.52</v>
      </c>
      <c r="PI16">
        <v>192.6</v>
      </c>
      <c r="PJ16">
        <v>192.75</v>
      </c>
      <c r="PK16">
        <v>192.86</v>
      </c>
      <c r="PL16">
        <v>192.97</v>
      </c>
      <c r="PM16">
        <v>193.07</v>
      </c>
      <c r="RU16">
        <v>196.14</v>
      </c>
      <c r="RW16">
        <v>196.21</v>
      </c>
      <c r="SE16">
        <v>196.37</v>
      </c>
      <c r="SF16">
        <v>196.4</v>
      </c>
      <c r="SN16">
        <v>196.53</v>
      </c>
      <c r="TF16">
        <v>196.89</v>
      </c>
      <c r="TJ16">
        <v>196.97</v>
      </c>
      <c r="TK16">
        <v>196.98</v>
      </c>
      <c r="TL16">
        <v>197.01</v>
      </c>
      <c r="TM16">
        <v>197.02</v>
      </c>
      <c r="TN16">
        <v>197.04</v>
      </c>
      <c r="TO16">
        <v>197.06</v>
      </c>
      <c r="TP16">
        <v>197.08</v>
      </c>
      <c r="TQ16">
        <v>197.09</v>
      </c>
      <c r="TR16">
        <v>197.11</v>
      </c>
      <c r="TS16">
        <v>197.13</v>
      </c>
      <c r="TT16">
        <v>197.15</v>
      </c>
      <c r="TU16">
        <v>197.16</v>
      </c>
      <c r="TV16">
        <v>197.17</v>
      </c>
      <c r="TW16">
        <v>197.2</v>
      </c>
      <c r="TX16">
        <v>197.21</v>
      </c>
      <c r="TY16">
        <v>197.23</v>
      </c>
      <c r="TZ16">
        <v>197.25</v>
      </c>
      <c r="UA16">
        <v>197.26</v>
      </c>
      <c r="UB16">
        <v>197.28</v>
      </c>
      <c r="UD16">
        <v>197.32</v>
      </c>
      <c r="UE16">
        <v>197.34</v>
      </c>
      <c r="UF16">
        <v>197.35</v>
      </c>
      <c r="UG16">
        <v>197.37</v>
      </c>
      <c r="UH16">
        <v>197.39</v>
      </c>
      <c r="UJ16">
        <v>197.43</v>
      </c>
      <c r="UK16">
        <v>197.45</v>
      </c>
      <c r="UL16">
        <v>197.46</v>
      </c>
      <c r="UM16">
        <v>197.48</v>
      </c>
      <c r="UN16">
        <v>197.5</v>
      </c>
      <c r="UO16">
        <v>197.52</v>
      </c>
      <c r="UP16">
        <v>197.53</v>
      </c>
      <c r="UQ16">
        <v>197.54</v>
      </c>
      <c r="US16">
        <v>197.58</v>
      </c>
      <c r="UT16">
        <v>197.59</v>
      </c>
      <c r="UU16">
        <v>197.61</v>
      </c>
      <c r="UV16">
        <v>197.63</v>
      </c>
      <c r="UW16">
        <v>197.65</v>
      </c>
      <c r="UX16">
        <v>197.66</v>
      </c>
      <c r="UY16">
        <v>197.68</v>
      </c>
      <c r="UZ16">
        <v>197.69</v>
      </c>
      <c r="VA16">
        <v>197.7</v>
      </c>
      <c r="VC16">
        <v>236.22</v>
      </c>
      <c r="VD16">
        <v>236.23</v>
      </c>
      <c r="VE16">
        <v>236.25</v>
      </c>
      <c r="VF16">
        <v>236.27</v>
      </c>
      <c r="VG16">
        <v>236.29</v>
      </c>
      <c r="VH16">
        <v>236.3</v>
      </c>
      <c r="VI16">
        <v>236.3</v>
      </c>
      <c r="VJ16">
        <v>236.34</v>
      </c>
      <c r="VK16">
        <v>236.34</v>
      </c>
      <c r="VL16">
        <v>236.36</v>
      </c>
      <c r="VM16">
        <v>236.38</v>
      </c>
      <c r="VN16">
        <v>236.4</v>
      </c>
      <c r="VO16">
        <v>236.41</v>
      </c>
      <c r="VP16">
        <v>236.43</v>
      </c>
      <c r="VQ16">
        <v>236.45</v>
      </c>
      <c r="VR16">
        <v>236.47</v>
      </c>
      <c r="VS16">
        <v>236.48</v>
      </c>
      <c r="VW16">
        <v>236.55</v>
      </c>
      <c r="WA16">
        <v>236.63</v>
      </c>
      <c r="WB16">
        <v>236.64</v>
      </c>
      <c r="WC16">
        <v>236.66</v>
      </c>
      <c r="WD16">
        <v>236.67</v>
      </c>
      <c r="WE16">
        <v>236.67</v>
      </c>
      <c r="WF16">
        <v>236.69</v>
      </c>
      <c r="WG16">
        <v>236.71</v>
      </c>
      <c r="WH16">
        <v>236.72</v>
      </c>
      <c r="WI16">
        <v>236.73</v>
      </c>
      <c r="WJ16">
        <v>236.73</v>
      </c>
      <c r="WK16">
        <v>236.76</v>
      </c>
      <c r="WL16">
        <v>236.77</v>
      </c>
      <c r="WM16">
        <v>236.78</v>
      </c>
      <c r="WN16">
        <v>236.8</v>
      </c>
      <c r="WO16">
        <v>236.81</v>
      </c>
      <c r="WP16">
        <v>236.82</v>
      </c>
      <c r="WQ16">
        <v>236.84</v>
      </c>
      <c r="WR16">
        <v>236.86</v>
      </c>
      <c r="WS16">
        <v>236.87</v>
      </c>
      <c r="WT16">
        <v>236.88</v>
      </c>
      <c r="WU16">
        <v>236.9</v>
      </c>
      <c r="WV16">
        <v>236.91</v>
      </c>
      <c r="WW16">
        <v>236.92</v>
      </c>
      <c r="WX16">
        <v>236.93</v>
      </c>
      <c r="WY16">
        <v>236.94</v>
      </c>
      <c r="WZ16">
        <v>236.95</v>
      </c>
      <c r="XA16">
        <v>236.96</v>
      </c>
      <c r="XB16">
        <v>236.98</v>
      </c>
      <c r="XC16">
        <v>236.98</v>
      </c>
      <c r="XD16">
        <v>236.99</v>
      </c>
      <c r="XE16">
        <v>237</v>
      </c>
      <c r="XF16">
        <v>237.01</v>
      </c>
      <c r="XG16">
        <v>237.02</v>
      </c>
      <c r="XH16">
        <v>237.03</v>
      </c>
      <c r="XI16">
        <v>237.05</v>
      </c>
      <c r="XJ16">
        <v>237.05</v>
      </c>
      <c r="XK16">
        <v>237.06</v>
      </c>
      <c r="XL16">
        <v>237.06</v>
      </c>
      <c r="XM16">
        <v>237.07</v>
      </c>
      <c r="XN16">
        <v>237.08</v>
      </c>
      <c r="XO16">
        <v>237.09</v>
      </c>
      <c r="XP16">
        <v>237.1</v>
      </c>
      <c r="XQ16">
        <v>237.1</v>
      </c>
      <c r="XR16">
        <v>237.11</v>
      </c>
      <c r="XS16">
        <v>237.12</v>
      </c>
      <c r="XT16">
        <v>237.12</v>
      </c>
      <c r="XU16">
        <v>237.13</v>
      </c>
      <c r="XV16">
        <v>237.14</v>
      </c>
      <c r="XW16">
        <v>237.15</v>
      </c>
      <c r="XX16">
        <v>237.16</v>
      </c>
      <c r="XY16">
        <v>237.16</v>
      </c>
      <c r="XZ16">
        <v>237.18</v>
      </c>
      <c r="YA16">
        <v>237.18</v>
      </c>
      <c r="YB16">
        <v>237.19</v>
      </c>
      <c r="YC16">
        <v>237.2</v>
      </c>
      <c r="YD16">
        <v>237.21</v>
      </c>
      <c r="YE16">
        <v>237.21</v>
      </c>
      <c r="YF16">
        <v>237.22</v>
      </c>
      <c r="YG16">
        <v>237.23</v>
      </c>
      <c r="YH16">
        <v>237.23</v>
      </c>
      <c r="YI16">
        <v>237.24</v>
      </c>
      <c r="YJ16">
        <v>237.24</v>
      </c>
      <c r="YK16">
        <v>237.26</v>
      </c>
      <c r="YL16">
        <v>237.26</v>
      </c>
      <c r="YM16">
        <v>237.27</v>
      </c>
      <c r="YN16">
        <v>237.27</v>
      </c>
      <c r="YO16">
        <v>237.28</v>
      </c>
      <c r="YP16">
        <v>237.28</v>
      </c>
      <c r="YR16">
        <v>237.3</v>
      </c>
      <c r="YS16">
        <v>237.3</v>
      </c>
      <c r="YT16">
        <v>237.3</v>
      </c>
      <c r="YU16">
        <v>237.31</v>
      </c>
      <c r="YV16">
        <v>237.32</v>
      </c>
      <c r="YW16">
        <v>237.32</v>
      </c>
      <c r="YX16">
        <v>237.33</v>
      </c>
      <c r="YY16">
        <v>237.34</v>
      </c>
      <c r="YZ16">
        <v>237.34</v>
      </c>
      <c r="ZA16">
        <v>237.35</v>
      </c>
      <c r="ZB16">
        <v>237.35</v>
      </c>
      <c r="ZC16">
        <v>237.36</v>
      </c>
      <c r="ZD16">
        <v>237.37</v>
      </c>
      <c r="ZE16">
        <v>235.93</v>
      </c>
      <c r="ZF16">
        <v>235.94</v>
      </c>
      <c r="ZG16">
        <v>235.94</v>
      </c>
      <c r="ZH16">
        <v>235.94</v>
      </c>
      <c r="ZJ16">
        <v>235.95</v>
      </c>
      <c r="ZL16">
        <v>235.96</v>
      </c>
      <c r="ZM16">
        <v>235.97</v>
      </c>
      <c r="ZN16">
        <v>235.97</v>
      </c>
      <c r="ZO16">
        <v>235.98</v>
      </c>
      <c r="ZP16">
        <v>235.98</v>
      </c>
      <c r="ZQ16">
        <v>235.99</v>
      </c>
      <c r="ZR16">
        <v>236</v>
      </c>
      <c r="ZS16">
        <v>236</v>
      </c>
      <c r="ZT16">
        <v>236.01</v>
      </c>
      <c r="ZU16">
        <v>236.01</v>
      </c>
      <c r="ZV16">
        <v>236.01</v>
      </c>
      <c r="ZW16">
        <v>236.02</v>
      </c>
      <c r="ZX16">
        <v>236.03</v>
      </c>
      <c r="ZY16">
        <v>236.03</v>
      </c>
      <c r="ZZ16">
        <v>236.03</v>
      </c>
      <c r="AAA16">
        <v>236.04</v>
      </c>
      <c r="AAB16">
        <v>236.05</v>
      </c>
      <c r="AAC16">
        <v>236.05</v>
      </c>
      <c r="AAD16">
        <v>236.06</v>
      </c>
      <c r="AAE16">
        <v>236.06</v>
      </c>
      <c r="AAF16">
        <v>236.06</v>
      </c>
      <c r="AAG16">
        <v>236.07</v>
      </c>
      <c r="AAH16">
        <v>236.07</v>
      </c>
      <c r="AAI16">
        <v>236.08</v>
      </c>
      <c r="AAJ16">
        <v>236.08</v>
      </c>
      <c r="AAK16">
        <v>236.09</v>
      </c>
      <c r="AAL16">
        <v>236.09</v>
      </c>
      <c r="AAM16">
        <v>236.09</v>
      </c>
      <c r="AAO16">
        <v>236.1</v>
      </c>
      <c r="AAP16">
        <v>236.1</v>
      </c>
      <c r="AAQ16">
        <v>236.1</v>
      </c>
      <c r="ABI16">
        <v>236.15</v>
      </c>
    </row>
    <row r="17" spans="1:812">
      <c r="A17" s="1" t="s">
        <v>51</v>
      </c>
      <c r="B17" s="1" t="s">
        <v>51</v>
      </c>
      <c r="AX17">
        <v>0</v>
      </c>
      <c r="AY17">
        <v>0</v>
      </c>
      <c r="AZ17">
        <v>0</v>
      </c>
      <c r="BJ17">
        <v>0.02</v>
      </c>
      <c r="BL17">
        <v>0.11</v>
      </c>
      <c r="BM17">
        <v>0.21</v>
      </c>
      <c r="BP17">
        <v>0.45</v>
      </c>
      <c r="BQ17">
        <v>0.55000000000000004</v>
      </c>
      <c r="BR17">
        <v>0.69</v>
      </c>
      <c r="BS17">
        <v>0.83</v>
      </c>
      <c r="BT17">
        <v>0.96</v>
      </c>
      <c r="BU17">
        <v>1.1200000000000001</v>
      </c>
      <c r="BW17">
        <v>1.26</v>
      </c>
      <c r="BY17">
        <v>1.4</v>
      </c>
      <c r="BZ17">
        <v>1.51</v>
      </c>
      <c r="CA17">
        <v>1.62</v>
      </c>
      <c r="CB17">
        <v>1.73</v>
      </c>
      <c r="CD17">
        <v>1.81</v>
      </c>
      <c r="CE17">
        <v>1.89</v>
      </c>
      <c r="CG17">
        <v>2.0299999999999998</v>
      </c>
      <c r="CI17">
        <v>2.17</v>
      </c>
      <c r="CL17">
        <v>2.2400000000000002</v>
      </c>
      <c r="CN17">
        <v>2.44</v>
      </c>
      <c r="CP17">
        <v>2.56</v>
      </c>
      <c r="CS17">
        <v>2.67</v>
      </c>
      <c r="CU17">
        <v>2.78</v>
      </c>
      <c r="CW17">
        <v>2.85</v>
      </c>
      <c r="CY17">
        <v>2.89</v>
      </c>
      <c r="DA17">
        <v>2.98</v>
      </c>
      <c r="DC17">
        <v>3.08</v>
      </c>
      <c r="DD17">
        <v>3.12</v>
      </c>
      <c r="DH17">
        <v>3.23</v>
      </c>
      <c r="DJ17">
        <v>3.26</v>
      </c>
      <c r="DK17">
        <v>3.29</v>
      </c>
      <c r="DM17">
        <v>3.31</v>
      </c>
      <c r="DN17">
        <v>3.34</v>
      </c>
      <c r="DO17">
        <v>3.36</v>
      </c>
      <c r="DQ17">
        <v>3.38</v>
      </c>
      <c r="DR17">
        <v>3.44</v>
      </c>
      <c r="DT17">
        <v>3.53</v>
      </c>
      <c r="DU17">
        <v>3.65</v>
      </c>
      <c r="DV17">
        <v>3.75</v>
      </c>
      <c r="DY17">
        <v>4.0199999999999996</v>
      </c>
      <c r="EB17">
        <v>4.3</v>
      </c>
      <c r="ED17">
        <v>4.51</v>
      </c>
      <c r="EF17">
        <v>4.7</v>
      </c>
      <c r="EH17">
        <v>4.83</v>
      </c>
      <c r="EI17">
        <v>4.95</v>
      </c>
      <c r="EJ17">
        <v>5.03</v>
      </c>
      <c r="EK17">
        <v>5.0999999999999996</v>
      </c>
      <c r="EL17">
        <v>5.17</v>
      </c>
      <c r="EM17">
        <v>5.24</v>
      </c>
      <c r="EP17">
        <v>5.32</v>
      </c>
      <c r="EQ17">
        <v>5.37</v>
      </c>
      <c r="ER17">
        <v>5.42</v>
      </c>
      <c r="ES17">
        <v>5.48</v>
      </c>
      <c r="ET17">
        <v>5.55</v>
      </c>
      <c r="EV17">
        <v>5.6</v>
      </c>
      <c r="EW17">
        <v>5.66</v>
      </c>
      <c r="EY17">
        <v>5.72</v>
      </c>
      <c r="EZ17">
        <v>5.75</v>
      </c>
      <c r="FD17">
        <v>5.78</v>
      </c>
      <c r="FE17">
        <v>5.82</v>
      </c>
      <c r="FF17">
        <v>5.85</v>
      </c>
      <c r="FG17">
        <v>5.86</v>
      </c>
      <c r="FH17">
        <v>5.92</v>
      </c>
      <c r="FJ17">
        <v>5.94</v>
      </c>
      <c r="FL17">
        <v>5.99</v>
      </c>
      <c r="FM17">
        <v>6.01</v>
      </c>
      <c r="FO17">
        <v>6.04</v>
      </c>
      <c r="FQ17">
        <v>6.05</v>
      </c>
      <c r="FR17">
        <v>6.06</v>
      </c>
      <c r="FS17">
        <v>6.07</v>
      </c>
      <c r="FT17">
        <v>6.07</v>
      </c>
      <c r="FV17">
        <v>6.08</v>
      </c>
      <c r="FX17">
        <v>6.09</v>
      </c>
      <c r="FY17">
        <v>6.09</v>
      </c>
      <c r="FZ17">
        <v>6.1</v>
      </c>
      <c r="GA17">
        <v>6.1</v>
      </c>
      <c r="GC17">
        <v>6.11</v>
      </c>
      <c r="GE17">
        <v>6.11</v>
      </c>
      <c r="GG17">
        <v>6.12</v>
      </c>
      <c r="GI17">
        <v>6.12</v>
      </c>
      <c r="GJ17">
        <v>6.12</v>
      </c>
      <c r="GL17">
        <v>6.12</v>
      </c>
      <c r="GM17">
        <v>6.12</v>
      </c>
      <c r="GN17">
        <v>6.13</v>
      </c>
      <c r="GO17">
        <v>6.13</v>
      </c>
      <c r="GP17">
        <v>6.13</v>
      </c>
      <c r="GQ17">
        <v>6.13</v>
      </c>
      <c r="GS17">
        <v>6.13</v>
      </c>
      <c r="GU17">
        <v>6.13</v>
      </c>
      <c r="GV17">
        <v>6.13</v>
      </c>
      <c r="GW17">
        <v>6.13</v>
      </c>
      <c r="GZ17">
        <v>6.14</v>
      </c>
      <c r="HB17">
        <v>6.14</v>
      </c>
      <c r="HE17">
        <v>6.14</v>
      </c>
      <c r="HJ17">
        <v>6.14</v>
      </c>
      <c r="HR17">
        <v>6.14</v>
      </c>
      <c r="HS17">
        <v>6.27</v>
      </c>
      <c r="HU17">
        <v>6.27</v>
      </c>
      <c r="HV17">
        <v>6.29</v>
      </c>
      <c r="HW17">
        <v>6.32</v>
      </c>
      <c r="HX17">
        <v>6.36</v>
      </c>
      <c r="HY17">
        <v>6.63</v>
      </c>
      <c r="HZ17">
        <v>6.79</v>
      </c>
      <c r="IA17">
        <v>7.13</v>
      </c>
      <c r="IB17">
        <v>7.8</v>
      </c>
      <c r="IC17">
        <v>7.98</v>
      </c>
      <c r="ID17">
        <v>8.17</v>
      </c>
      <c r="IE17">
        <v>8.56</v>
      </c>
      <c r="IG17">
        <v>8.81</v>
      </c>
      <c r="II17">
        <v>8.93</v>
      </c>
      <c r="IJ17">
        <v>10.73</v>
      </c>
      <c r="IK17">
        <v>11.34</v>
      </c>
      <c r="IL17">
        <v>11.71</v>
      </c>
      <c r="IM17">
        <v>12.01</v>
      </c>
      <c r="IN17">
        <v>12.26</v>
      </c>
      <c r="IO17">
        <v>12.36</v>
      </c>
      <c r="IP17">
        <v>12.53</v>
      </c>
      <c r="IQ17">
        <v>12.7</v>
      </c>
      <c r="IR17">
        <v>12.75</v>
      </c>
      <c r="IS17">
        <v>13.01</v>
      </c>
      <c r="IT17">
        <v>13.22</v>
      </c>
      <c r="IU17">
        <v>13.46</v>
      </c>
      <c r="IW17">
        <v>13.48</v>
      </c>
      <c r="IX17">
        <v>13.72</v>
      </c>
      <c r="IY17">
        <v>13.99</v>
      </c>
      <c r="IZ17">
        <v>14.27</v>
      </c>
      <c r="JA17">
        <v>14.58</v>
      </c>
      <c r="JB17">
        <v>14.9</v>
      </c>
      <c r="JE17">
        <v>15.36</v>
      </c>
      <c r="JG17">
        <v>15.92</v>
      </c>
      <c r="JI17">
        <v>16.23</v>
      </c>
      <c r="JK17">
        <v>16.440000000000001</v>
      </c>
      <c r="JL17">
        <v>16.670000000000002</v>
      </c>
      <c r="JM17">
        <v>16.88</v>
      </c>
      <c r="JN17">
        <v>17.18</v>
      </c>
      <c r="JO17">
        <v>19</v>
      </c>
      <c r="JP17">
        <v>19.690000000000001</v>
      </c>
      <c r="JR17">
        <v>20.27</v>
      </c>
      <c r="JS17">
        <v>20.62</v>
      </c>
      <c r="JT17">
        <v>20.91</v>
      </c>
      <c r="JU17">
        <v>21.16</v>
      </c>
      <c r="JV17">
        <v>21.34</v>
      </c>
      <c r="JW17">
        <v>21.56</v>
      </c>
      <c r="JY17">
        <v>21.83</v>
      </c>
      <c r="JZ17">
        <v>22.15</v>
      </c>
      <c r="KA17">
        <v>22.49</v>
      </c>
      <c r="KB17">
        <v>22.81</v>
      </c>
      <c r="KC17">
        <v>23.16</v>
      </c>
      <c r="KD17">
        <v>23.52</v>
      </c>
      <c r="KF17">
        <v>23.84</v>
      </c>
      <c r="KG17">
        <v>24.24</v>
      </c>
      <c r="KH17">
        <v>24.64</v>
      </c>
      <c r="KI17">
        <v>24.93</v>
      </c>
      <c r="KJ17">
        <v>29</v>
      </c>
      <c r="KL17">
        <v>29.8</v>
      </c>
      <c r="KN17">
        <v>30.54</v>
      </c>
      <c r="KO17">
        <v>30.89</v>
      </c>
      <c r="KP17">
        <v>31.23</v>
      </c>
      <c r="KQ17">
        <v>31.59</v>
      </c>
      <c r="KR17">
        <v>31.92</v>
      </c>
      <c r="KT17">
        <v>32.04</v>
      </c>
      <c r="KU17">
        <v>32.590000000000003</v>
      </c>
      <c r="KV17">
        <v>32.950000000000003</v>
      </c>
      <c r="KW17">
        <v>33.24</v>
      </c>
      <c r="KX17">
        <v>33.51</v>
      </c>
      <c r="KY17">
        <v>33.74</v>
      </c>
      <c r="LA17">
        <v>33.75</v>
      </c>
      <c r="LB17">
        <v>33.86</v>
      </c>
      <c r="LC17">
        <v>34.44</v>
      </c>
      <c r="LD17">
        <v>34.799999999999997</v>
      </c>
      <c r="LF17">
        <v>35.14</v>
      </c>
      <c r="LH17">
        <v>36.17</v>
      </c>
      <c r="LJ17">
        <v>36.6</v>
      </c>
      <c r="LP17">
        <v>42.4</v>
      </c>
      <c r="LQ17">
        <v>42.93</v>
      </c>
      <c r="LR17">
        <v>43.31</v>
      </c>
      <c r="LS17">
        <v>43.72</v>
      </c>
      <c r="LT17">
        <v>44.08</v>
      </c>
      <c r="LV17">
        <v>44.42</v>
      </c>
      <c r="LW17">
        <v>45.43</v>
      </c>
      <c r="LX17">
        <v>46.23</v>
      </c>
      <c r="LY17">
        <v>47.12</v>
      </c>
      <c r="LZ17">
        <v>48.76</v>
      </c>
      <c r="MA17">
        <v>49.66</v>
      </c>
      <c r="MC17">
        <v>50.41</v>
      </c>
      <c r="MD17">
        <v>50.7</v>
      </c>
      <c r="ME17">
        <v>51.07</v>
      </c>
      <c r="MG17">
        <v>51.87</v>
      </c>
      <c r="MH17">
        <v>52.31</v>
      </c>
      <c r="MO17">
        <v>55.43</v>
      </c>
      <c r="MQ17">
        <v>56.39</v>
      </c>
      <c r="MR17">
        <v>56.39</v>
      </c>
      <c r="MS17">
        <v>57.55</v>
      </c>
      <c r="MT17">
        <v>57.99</v>
      </c>
      <c r="MU17">
        <v>59.27</v>
      </c>
      <c r="MV17">
        <v>60.05</v>
      </c>
      <c r="MX17">
        <v>60.85</v>
      </c>
      <c r="MY17">
        <v>61.4</v>
      </c>
      <c r="MZ17">
        <v>61.99</v>
      </c>
      <c r="NA17">
        <v>62.34</v>
      </c>
      <c r="NB17">
        <v>63.22</v>
      </c>
      <c r="NC17">
        <v>64.08</v>
      </c>
      <c r="ND17">
        <v>76.48</v>
      </c>
      <c r="NE17">
        <v>76.87</v>
      </c>
      <c r="NF17">
        <v>77.430000000000007</v>
      </c>
      <c r="NG17">
        <v>78.08</v>
      </c>
      <c r="NH17">
        <v>78.88</v>
      </c>
      <c r="NI17">
        <v>78.989999999999995</v>
      </c>
      <c r="NJ17">
        <v>79.2</v>
      </c>
      <c r="NK17">
        <v>79.540000000000006</v>
      </c>
      <c r="OI17">
        <v>80.05</v>
      </c>
      <c r="OK17">
        <v>82.02</v>
      </c>
      <c r="OM17">
        <v>83.79</v>
      </c>
      <c r="ON17">
        <v>85.19</v>
      </c>
      <c r="OO17">
        <v>86.69</v>
      </c>
      <c r="OP17">
        <v>88.45</v>
      </c>
      <c r="OQ17">
        <v>89.33</v>
      </c>
      <c r="OR17">
        <v>90.12</v>
      </c>
      <c r="OS17">
        <v>91.03</v>
      </c>
      <c r="OU17">
        <v>91.89</v>
      </c>
      <c r="OW17">
        <v>92.53</v>
      </c>
      <c r="OX17">
        <v>93.2</v>
      </c>
      <c r="OY17">
        <v>94.05</v>
      </c>
      <c r="PV17">
        <v>107.3</v>
      </c>
      <c r="PW17">
        <v>109.65</v>
      </c>
      <c r="PZ17">
        <v>111.01</v>
      </c>
      <c r="QF17">
        <v>126.24</v>
      </c>
      <c r="QL17">
        <v>129.76</v>
      </c>
      <c r="QM17">
        <v>130.63999999999999</v>
      </c>
      <c r="QO17">
        <v>131.37</v>
      </c>
      <c r="QP17">
        <v>131.74</v>
      </c>
      <c r="QR17">
        <v>132.15</v>
      </c>
      <c r="QS17">
        <v>132.54</v>
      </c>
      <c r="QT17">
        <v>132.96</v>
      </c>
      <c r="QU17">
        <v>133.44</v>
      </c>
      <c r="QV17">
        <v>133.9</v>
      </c>
      <c r="QX17">
        <v>134.16999999999999</v>
      </c>
      <c r="QY17">
        <v>134.31</v>
      </c>
      <c r="QZ17">
        <v>134.93</v>
      </c>
      <c r="RA17">
        <v>135.58000000000001</v>
      </c>
      <c r="RB17">
        <v>136.35</v>
      </c>
      <c r="RC17">
        <v>137.01</v>
      </c>
      <c r="RD17">
        <v>137.84</v>
      </c>
      <c r="RF17">
        <v>138.16999999999999</v>
      </c>
      <c r="RG17">
        <v>139.16</v>
      </c>
      <c r="RH17">
        <v>143.38999999999999</v>
      </c>
      <c r="RI17">
        <v>146.5</v>
      </c>
      <c r="RK17">
        <v>149.32</v>
      </c>
      <c r="RL17">
        <v>151.55000000000001</v>
      </c>
      <c r="RN17">
        <v>151.97</v>
      </c>
      <c r="RO17">
        <v>152.13999999999999</v>
      </c>
      <c r="RP17">
        <v>152.34</v>
      </c>
      <c r="RR17">
        <v>152.87</v>
      </c>
      <c r="RV17">
        <v>153.4</v>
      </c>
      <c r="RW17">
        <v>153.69</v>
      </c>
      <c r="RX17">
        <v>153.82</v>
      </c>
      <c r="RY17">
        <v>153.94999999999999</v>
      </c>
      <c r="SD17">
        <v>154.49</v>
      </c>
      <c r="SS17">
        <v>155.22999999999999</v>
      </c>
      <c r="ST17">
        <v>155.44999999999999</v>
      </c>
      <c r="SY17">
        <v>155.79</v>
      </c>
      <c r="TA17">
        <v>156.15</v>
      </c>
      <c r="TG17">
        <v>156.72</v>
      </c>
      <c r="TK17">
        <v>157.05000000000001</v>
      </c>
      <c r="TL17">
        <v>157.16</v>
      </c>
      <c r="TR17">
        <v>158.38999999999999</v>
      </c>
      <c r="TT17">
        <v>160.58000000000001</v>
      </c>
      <c r="TV17">
        <v>163</v>
      </c>
      <c r="TZ17">
        <v>164.87</v>
      </c>
      <c r="UA17">
        <v>165.03</v>
      </c>
      <c r="UF17">
        <v>165.54</v>
      </c>
      <c r="UG17">
        <v>165.65</v>
      </c>
      <c r="UI17">
        <v>165.77</v>
      </c>
      <c r="UJ17">
        <v>166.04</v>
      </c>
      <c r="UO17">
        <v>166.71</v>
      </c>
      <c r="UP17">
        <v>166.86</v>
      </c>
      <c r="UT17">
        <v>167.29</v>
      </c>
      <c r="UV17">
        <v>167.64</v>
      </c>
      <c r="UW17">
        <v>167.77</v>
      </c>
      <c r="UX17">
        <v>167.87</v>
      </c>
      <c r="VE17">
        <v>165.03</v>
      </c>
      <c r="VH17">
        <v>165.16</v>
      </c>
      <c r="VI17">
        <v>165.24</v>
      </c>
      <c r="VK17">
        <v>168.81</v>
      </c>
      <c r="VM17">
        <v>170.06</v>
      </c>
      <c r="VP17">
        <v>170.4</v>
      </c>
      <c r="VQ17">
        <v>170.53</v>
      </c>
      <c r="VR17">
        <v>170.7</v>
      </c>
      <c r="VV17">
        <v>171.16</v>
      </c>
      <c r="VW17">
        <v>171.37</v>
      </c>
      <c r="VY17">
        <v>171.63</v>
      </c>
      <c r="WB17">
        <v>171.9</v>
      </c>
      <c r="WM17">
        <v>173.15</v>
      </c>
      <c r="WX17">
        <v>173.76</v>
      </c>
      <c r="WZ17">
        <v>174.18</v>
      </c>
      <c r="XE17">
        <v>174.62</v>
      </c>
      <c r="XJ17">
        <v>175.04</v>
      </c>
      <c r="XL17">
        <v>175.22</v>
      </c>
      <c r="XO17">
        <v>175.43</v>
      </c>
      <c r="XR17">
        <v>175.66</v>
      </c>
      <c r="XS17">
        <v>175.75</v>
      </c>
      <c r="XU17">
        <v>175.94</v>
      </c>
      <c r="XY17">
        <v>176.14</v>
      </c>
      <c r="XZ17">
        <v>176.19</v>
      </c>
      <c r="YF17">
        <v>179.29</v>
      </c>
      <c r="YJ17">
        <v>183.79</v>
      </c>
      <c r="YU17">
        <v>186.5</v>
      </c>
      <c r="ZA17">
        <v>187.47</v>
      </c>
      <c r="ZE17">
        <v>185.56</v>
      </c>
      <c r="ZH17">
        <v>186.19</v>
      </c>
      <c r="ZJ17">
        <v>187.29</v>
      </c>
      <c r="ZO17">
        <v>189</v>
      </c>
      <c r="ZR17">
        <v>189.43</v>
      </c>
      <c r="ZS17">
        <v>190.09</v>
      </c>
      <c r="AAC17">
        <v>192.18</v>
      </c>
      <c r="AAD17">
        <v>192.6</v>
      </c>
      <c r="AAG17">
        <v>192.88</v>
      </c>
      <c r="AAJ17">
        <v>193.64</v>
      </c>
      <c r="AAP17">
        <v>193.64</v>
      </c>
      <c r="AAQ17">
        <v>194.36</v>
      </c>
      <c r="AAR17">
        <v>195.6</v>
      </c>
      <c r="AAT17">
        <v>195.6</v>
      </c>
      <c r="AAV17">
        <v>195.6</v>
      </c>
      <c r="AAX17">
        <v>195.6</v>
      </c>
      <c r="AAZ17">
        <v>195.6</v>
      </c>
      <c r="ABB17">
        <v>195.6</v>
      </c>
      <c r="ABG17">
        <v>195.6</v>
      </c>
      <c r="ABI17">
        <v>195.6</v>
      </c>
      <c r="ABN17">
        <v>195.6</v>
      </c>
      <c r="ABP17">
        <v>195.6</v>
      </c>
      <c r="ABR17">
        <v>195.6</v>
      </c>
      <c r="ABT17">
        <v>195.6</v>
      </c>
      <c r="ABU17">
        <v>199.6</v>
      </c>
      <c r="ABW17">
        <v>199.78</v>
      </c>
      <c r="ACA17">
        <v>199.91</v>
      </c>
      <c r="ACB17">
        <v>199.95</v>
      </c>
      <c r="ACD17">
        <v>201.16</v>
      </c>
      <c r="ACH17">
        <v>201.16</v>
      </c>
      <c r="ACI17">
        <v>202.14</v>
      </c>
      <c r="ACV17">
        <v>204.82</v>
      </c>
      <c r="ACX17">
        <v>205.6</v>
      </c>
      <c r="ADF17">
        <v>206.39</v>
      </c>
      <c r="ADK17">
        <v>206.55</v>
      </c>
      <c r="ADL17">
        <v>206.94</v>
      </c>
      <c r="ADP17">
        <v>207.1</v>
      </c>
      <c r="ADT17">
        <v>207.18</v>
      </c>
      <c r="ADU17">
        <v>207.22</v>
      </c>
      <c r="ADW17">
        <v>207.34</v>
      </c>
      <c r="AEA17">
        <v>207.46</v>
      </c>
    </row>
    <row r="18" spans="1:812">
      <c r="A18" s="1" t="s">
        <v>199</v>
      </c>
      <c r="B18" s="1" t="s">
        <v>199</v>
      </c>
      <c r="BR18">
        <v>1.56</v>
      </c>
      <c r="BS18">
        <v>2.33</v>
      </c>
      <c r="BT18">
        <v>3.17</v>
      </c>
      <c r="BU18">
        <v>4</v>
      </c>
      <c r="BV18">
        <v>5.01</v>
      </c>
      <c r="BW18">
        <v>5.51</v>
      </c>
      <c r="BX18">
        <v>5.76</v>
      </c>
      <c r="BY18">
        <v>6.64</v>
      </c>
      <c r="BZ18">
        <v>7.67</v>
      </c>
      <c r="CA18">
        <v>8.9</v>
      </c>
      <c r="CB18">
        <v>10.19</v>
      </c>
      <c r="CC18">
        <v>11.7</v>
      </c>
      <c r="CD18">
        <v>12.79</v>
      </c>
      <c r="CE18">
        <v>13.44</v>
      </c>
      <c r="CF18">
        <v>14.31</v>
      </c>
      <c r="CG18">
        <v>15.05</v>
      </c>
      <c r="CH18">
        <v>15.61</v>
      </c>
      <c r="CI18">
        <v>16.16</v>
      </c>
      <c r="CJ18">
        <v>16.87</v>
      </c>
      <c r="CK18">
        <v>17.010000000000002</v>
      </c>
      <c r="CL18">
        <v>17.16</v>
      </c>
      <c r="CM18">
        <v>17.190000000000001</v>
      </c>
      <c r="CN18">
        <v>17.309999999999999</v>
      </c>
      <c r="CO18">
        <v>17.489999999999998</v>
      </c>
      <c r="CP18">
        <v>17.64</v>
      </c>
      <c r="CQ18">
        <v>17.739999999999998</v>
      </c>
      <c r="CR18">
        <v>17.95</v>
      </c>
      <c r="CS18">
        <v>18.2</v>
      </c>
      <c r="CT18">
        <v>18.489999999999998</v>
      </c>
      <c r="CU18">
        <v>19.010000000000002</v>
      </c>
      <c r="CV18">
        <v>19.489999999999998</v>
      </c>
      <c r="CW18">
        <v>20.260000000000002</v>
      </c>
      <c r="CX18">
        <v>20.95</v>
      </c>
      <c r="CY18">
        <v>21.26</v>
      </c>
      <c r="CZ18">
        <v>21.49</v>
      </c>
      <c r="DA18">
        <v>21.5</v>
      </c>
      <c r="DB18">
        <v>21.84</v>
      </c>
      <c r="DD18">
        <v>21.85</v>
      </c>
      <c r="DE18">
        <v>22.16</v>
      </c>
      <c r="DH18">
        <v>22.17</v>
      </c>
      <c r="DI18">
        <v>22.17</v>
      </c>
      <c r="DJ18">
        <v>22.18</v>
      </c>
      <c r="DK18">
        <v>22.18</v>
      </c>
      <c r="DL18">
        <v>22.18</v>
      </c>
      <c r="DQ18">
        <v>22.18</v>
      </c>
      <c r="DR18">
        <v>22.5</v>
      </c>
      <c r="DS18">
        <v>22.92</v>
      </c>
      <c r="DT18">
        <v>22.92</v>
      </c>
      <c r="DX18">
        <v>22.99</v>
      </c>
      <c r="DY18">
        <v>23.28</v>
      </c>
      <c r="DZ18">
        <v>23.83</v>
      </c>
      <c r="EA18">
        <v>24.18</v>
      </c>
      <c r="EB18">
        <v>24.62</v>
      </c>
      <c r="EC18">
        <v>24.67</v>
      </c>
      <c r="ED18">
        <v>24.75</v>
      </c>
      <c r="EE18">
        <v>24.83</v>
      </c>
      <c r="EF18">
        <v>24.93</v>
      </c>
      <c r="EG18">
        <v>25.01</v>
      </c>
      <c r="EH18">
        <v>25.31</v>
      </c>
      <c r="EI18">
        <v>25.61</v>
      </c>
      <c r="EJ18">
        <v>25.64</v>
      </c>
      <c r="EK18">
        <v>25.68</v>
      </c>
      <c r="EL18">
        <v>25.73</v>
      </c>
      <c r="EM18">
        <v>25.76</v>
      </c>
      <c r="EN18">
        <v>25.83</v>
      </c>
      <c r="EO18">
        <v>31.72</v>
      </c>
      <c r="EP18">
        <v>32.33</v>
      </c>
      <c r="EQ18">
        <v>33.06</v>
      </c>
      <c r="ER18">
        <v>33.869999999999997</v>
      </c>
      <c r="ES18">
        <v>35</v>
      </c>
      <c r="ET18">
        <v>36.130000000000003</v>
      </c>
      <c r="EU18">
        <v>36.85</v>
      </c>
      <c r="EV18">
        <v>37.36</v>
      </c>
      <c r="EW18">
        <v>37.65</v>
      </c>
      <c r="EX18">
        <v>38.340000000000003</v>
      </c>
      <c r="EY18">
        <v>39.06</v>
      </c>
      <c r="EZ18">
        <v>39.89</v>
      </c>
      <c r="FA18">
        <v>40.69</v>
      </c>
      <c r="FB18">
        <v>41.26</v>
      </c>
      <c r="FC18">
        <v>41.35</v>
      </c>
      <c r="FD18">
        <v>41.7</v>
      </c>
      <c r="FE18">
        <v>42.21</v>
      </c>
      <c r="FF18">
        <v>42.86</v>
      </c>
      <c r="FG18">
        <v>43.68</v>
      </c>
      <c r="FH18">
        <v>44.54</v>
      </c>
      <c r="FI18">
        <v>44.96</v>
      </c>
      <c r="FJ18">
        <v>45.33</v>
      </c>
      <c r="FK18">
        <v>45.7</v>
      </c>
      <c r="FL18">
        <v>45.93</v>
      </c>
      <c r="FM18">
        <v>46.36</v>
      </c>
      <c r="FN18">
        <v>47.01</v>
      </c>
      <c r="FO18">
        <v>47.46</v>
      </c>
      <c r="FP18">
        <v>48.01</v>
      </c>
      <c r="FQ18">
        <v>48.16</v>
      </c>
      <c r="FR18">
        <v>48.3</v>
      </c>
      <c r="FS18">
        <v>48.49</v>
      </c>
      <c r="FT18">
        <v>48.83</v>
      </c>
      <c r="FU18">
        <v>49.16</v>
      </c>
      <c r="FW18">
        <v>49.93</v>
      </c>
      <c r="FX18">
        <v>49.99</v>
      </c>
      <c r="FY18">
        <v>50.22</v>
      </c>
      <c r="FZ18">
        <v>50.42</v>
      </c>
      <c r="GA18">
        <v>50.79</v>
      </c>
      <c r="GB18">
        <v>51.17</v>
      </c>
      <c r="GC18">
        <v>51.64</v>
      </c>
      <c r="GD18">
        <v>51.93</v>
      </c>
      <c r="GE18">
        <v>52.03</v>
      </c>
      <c r="GF18">
        <v>52.3</v>
      </c>
      <c r="GG18">
        <v>52.55</v>
      </c>
      <c r="GH18">
        <v>53</v>
      </c>
      <c r="GI18">
        <v>53.36</v>
      </c>
      <c r="GJ18">
        <v>54.08</v>
      </c>
      <c r="GK18">
        <v>54.58</v>
      </c>
      <c r="GL18">
        <v>54.73</v>
      </c>
      <c r="GM18">
        <v>55.13</v>
      </c>
      <c r="GN18">
        <v>55.32</v>
      </c>
      <c r="GO18">
        <v>55.77</v>
      </c>
      <c r="GP18">
        <v>56.05</v>
      </c>
      <c r="GQ18">
        <v>56.5</v>
      </c>
      <c r="GR18">
        <v>56.89</v>
      </c>
      <c r="GS18">
        <v>56.97</v>
      </c>
      <c r="GT18">
        <v>57.32</v>
      </c>
      <c r="GU18">
        <v>57.54</v>
      </c>
      <c r="GV18">
        <v>57.84</v>
      </c>
      <c r="GW18">
        <v>57.96</v>
      </c>
      <c r="GY18">
        <v>58.12</v>
      </c>
      <c r="HC18">
        <v>58.25</v>
      </c>
      <c r="HD18">
        <v>58.38</v>
      </c>
      <c r="HE18">
        <v>58.49</v>
      </c>
      <c r="HF18">
        <v>58.64</v>
      </c>
      <c r="HG18">
        <v>58.71</v>
      </c>
      <c r="HH18">
        <v>58.75</v>
      </c>
      <c r="HI18">
        <v>58.79</v>
      </c>
      <c r="HJ18">
        <v>58.96</v>
      </c>
      <c r="HK18">
        <v>59.12</v>
      </c>
      <c r="HL18">
        <v>59.24</v>
      </c>
      <c r="HM18">
        <v>59.45</v>
      </c>
      <c r="HN18">
        <v>59.52</v>
      </c>
      <c r="HO18">
        <v>59.73</v>
      </c>
      <c r="HP18">
        <v>59.77</v>
      </c>
      <c r="HQ18">
        <v>59.88</v>
      </c>
      <c r="HR18">
        <v>59.99</v>
      </c>
      <c r="HT18">
        <v>60.18</v>
      </c>
      <c r="HU18">
        <v>60.18</v>
      </c>
      <c r="HV18">
        <v>60.32</v>
      </c>
      <c r="HW18">
        <v>60.43</v>
      </c>
      <c r="HX18">
        <v>60.59</v>
      </c>
      <c r="HY18">
        <v>60.61</v>
      </c>
      <c r="HZ18">
        <v>61.01</v>
      </c>
      <c r="IA18">
        <v>61.22</v>
      </c>
      <c r="IB18">
        <v>61.23</v>
      </c>
      <c r="IC18">
        <v>61.41</v>
      </c>
      <c r="ID18">
        <v>61.41</v>
      </c>
      <c r="IE18">
        <v>61.48</v>
      </c>
      <c r="IF18">
        <v>61.61</v>
      </c>
      <c r="IG18">
        <v>62.01</v>
      </c>
      <c r="IH18">
        <v>62.31</v>
      </c>
      <c r="II18">
        <v>62.47</v>
      </c>
      <c r="IJ18">
        <v>62.9</v>
      </c>
      <c r="IK18">
        <v>63.1</v>
      </c>
      <c r="IL18">
        <v>63.61</v>
      </c>
      <c r="IM18">
        <v>63.85</v>
      </c>
      <c r="IN18">
        <v>64.430000000000007</v>
      </c>
      <c r="IO18">
        <v>64.75</v>
      </c>
      <c r="IP18">
        <v>64.77</v>
      </c>
      <c r="IQ18">
        <v>64.989999999999995</v>
      </c>
      <c r="IR18">
        <v>65.17</v>
      </c>
      <c r="IS18">
        <v>65.53</v>
      </c>
      <c r="IT18">
        <v>65.8</v>
      </c>
      <c r="IU18">
        <v>66.37</v>
      </c>
      <c r="IV18">
        <v>66.62</v>
      </c>
      <c r="IW18">
        <v>66.97</v>
      </c>
      <c r="IX18">
        <v>67.39</v>
      </c>
      <c r="IY18">
        <v>67.78</v>
      </c>
      <c r="IZ18">
        <v>68.37</v>
      </c>
      <c r="JA18">
        <v>68.95</v>
      </c>
      <c r="JB18">
        <v>69.31</v>
      </c>
      <c r="JE18">
        <v>70.48</v>
      </c>
      <c r="JF18">
        <v>71</v>
      </c>
      <c r="JM18">
        <v>73.760000000000005</v>
      </c>
      <c r="JN18">
        <v>74.06</v>
      </c>
      <c r="JQ18">
        <v>75.08</v>
      </c>
      <c r="JS18">
        <v>75.510000000000005</v>
      </c>
      <c r="JT18">
        <v>75.819999999999993</v>
      </c>
      <c r="JU18">
        <v>76.17</v>
      </c>
      <c r="JW18">
        <v>76.81</v>
      </c>
      <c r="KB18">
        <v>79</v>
      </c>
      <c r="KC18">
        <v>79.56</v>
      </c>
      <c r="KD18">
        <v>80.239999999999995</v>
      </c>
      <c r="KE18">
        <v>80.78</v>
      </c>
      <c r="KF18">
        <v>81.38</v>
      </c>
      <c r="OK18">
        <v>105.06</v>
      </c>
      <c r="PW18">
        <v>107.31</v>
      </c>
      <c r="QF18">
        <v>107.6</v>
      </c>
      <c r="QH18">
        <v>107.74</v>
      </c>
      <c r="QJ18">
        <v>107.87</v>
      </c>
      <c r="QO18">
        <v>108.02</v>
      </c>
      <c r="QQ18">
        <v>108.04</v>
      </c>
      <c r="QU18">
        <v>108.16</v>
      </c>
      <c r="QV18">
        <v>108.19</v>
      </c>
      <c r="QY18">
        <v>108.25</v>
      </c>
      <c r="RF18">
        <v>108.46</v>
      </c>
      <c r="RR18">
        <v>108.75</v>
      </c>
      <c r="RW18">
        <v>108.84</v>
      </c>
      <c r="RY18">
        <v>108.89</v>
      </c>
      <c r="SA18">
        <v>108.94</v>
      </c>
      <c r="SC18">
        <v>108.96</v>
      </c>
      <c r="SE18">
        <v>108.98</v>
      </c>
      <c r="SH18">
        <v>109.03</v>
      </c>
      <c r="SI18">
        <v>109.04</v>
      </c>
      <c r="SJ18">
        <v>109.05</v>
      </c>
      <c r="SP18">
        <v>109.16</v>
      </c>
      <c r="ST18">
        <v>109.23</v>
      </c>
      <c r="SV18">
        <v>109.27</v>
      </c>
      <c r="SW18">
        <v>109.28</v>
      </c>
      <c r="SZ18">
        <v>109.33</v>
      </c>
      <c r="TD18">
        <v>109.43</v>
      </c>
      <c r="TF18">
        <v>109.46</v>
      </c>
      <c r="TG18">
        <v>109.48</v>
      </c>
      <c r="TH18">
        <v>109.49</v>
      </c>
      <c r="TJ18">
        <v>109.52</v>
      </c>
      <c r="TK18">
        <v>109.53</v>
      </c>
      <c r="TM18">
        <v>109.55</v>
      </c>
      <c r="TP18">
        <v>109.59</v>
      </c>
      <c r="TQ18">
        <v>109.61</v>
      </c>
      <c r="TR18">
        <v>109.62</v>
      </c>
      <c r="TS18">
        <v>109.62</v>
      </c>
      <c r="TU18">
        <v>109.64</v>
      </c>
      <c r="TV18">
        <v>109.66</v>
      </c>
      <c r="TW18">
        <v>109.68</v>
      </c>
      <c r="TX18">
        <v>109.69</v>
      </c>
      <c r="TY18">
        <v>109.69</v>
      </c>
      <c r="UB18">
        <v>109.71</v>
      </c>
      <c r="UC18">
        <v>109.74</v>
      </c>
      <c r="UH18">
        <v>109.75</v>
      </c>
      <c r="UI18">
        <v>109.76</v>
      </c>
      <c r="UJ18">
        <v>109.78</v>
      </c>
      <c r="UK18">
        <v>109.8</v>
      </c>
      <c r="UM18">
        <v>109.83</v>
      </c>
      <c r="UP18">
        <v>109.86</v>
      </c>
      <c r="UR18">
        <v>109.88</v>
      </c>
      <c r="UT18">
        <v>109.9</v>
      </c>
      <c r="UU18">
        <v>109.91</v>
      </c>
      <c r="UV18">
        <v>109.92</v>
      </c>
      <c r="UW18">
        <v>109.92</v>
      </c>
      <c r="UZ18">
        <v>109.96</v>
      </c>
      <c r="VB18">
        <v>112.52</v>
      </c>
      <c r="VD18">
        <v>112.56</v>
      </c>
      <c r="VF18">
        <v>112.58</v>
      </c>
      <c r="VH18">
        <v>112.6</v>
      </c>
      <c r="VJ18">
        <v>112.61</v>
      </c>
      <c r="VL18">
        <v>112.63</v>
      </c>
      <c r="VM18">
        <v>112.64</v>
      </c>
      <c r="VN18">
        <v>112.66</v>
      </c>
      <c r="VO18">
        <v>112.66</v>
      </c>
      <c r="VQ18">
        <v>112.67</v>
      </c>
      <c r="VS18">
        <v>112.7</v>
      </c>
      <c r="VV18">
        <v>112.72</v>
      </c>
      <c r="ADH18">
        <v>135.5</v>
      </c>
    </row>
    <row r="19" spans="1:812">
      <c r="A19" s="1" t="s">
        <v>69</v>
      </c>
      <c r="B19" s="1" t="s">
        <v>316</v>
      </c>
      <c r="U19">
        <v>0</v>
      </c>
      <c r="BU19">
        <v>0.22</v>
      </c>
      <c r="CQ19">
        <v>0.32</v>
      </c>
      <c r="DE19">
        <v>0.71</v>
      </c>
      <c r="DS19">
        <v>1.25</v>
      </c>
      <c r="EG19">
        <v>3.48</v>
      </c>
      <c r="EU19">
        <v>4.76</v>
      </c>
      <c r="FK19">
        <v>7.52</v>
      </c>
      <c r="FR19">
        <v>8.43</v>
      </c>
      <c r="FY19">
        <v>9.7899999999999991</v>
      </c>
      <c r="GF19">
        <v>11.31</v>
      </c>
      <c r="HO19">
        <v>21.1</v>
      </c>
      <c r="HV19">
        <v>23.23</v>
      </c>
      <c r="IC19">
        <v>25.19</v>
      </c>
      <c r="IL19">
        <v>26.9</v>
      </c>
      <c r="IQ19">
        <v>28.41</v>
      </c>
      <c r="IX19">
        <v>30</v>
      </c>
    </row>
    <row r="20" spans="1:812">
      <c r="A20" s="1" t="s">
        <v>68</v>
      </c>
      <c r="B20" s="1" t="s">
        <v>254</v>
      </c>
      <c r="U20">
        <v>0</v>
      </c>
      <c r="V20">
        <v>0</v>
      </c>
      <c r="W20">
        <v>0.01</v>
      </c>
      <c r="X20">
        <v>0.01</v>
      </c>
      <c r="Y20">
        <v>0.01</v>
      </c>
      <c r="AB20">
        <v>0.01</v>
      </c>
      <c r="AC20">
        <v>0.02</v>
      </c>
      <c r="AD20">
        <v>0.05</v>
      </c>
      <c r="AE20">
        <v>0.13</v>
      </c>
      <c r="AF20">
        <v>0.2</v>
      </c>
      <c r="AG20">
        <v>0.23</v>
      </c>
      <c r="AH20">
        <v>0.24</v>
      </c>
      <c r="AI20">
        <v>0.28000000000000003</v>
      </c>
      <c r="AJ20">
        <v>0.42</v>
      </c>
      <c r="AK20">
        <v>0.6</v>
      </c>
      <c r="AL20">
        <v>0.8</v>
      </c>
      <c r="AM20">
        <v>1</v>
      </c>
      <c r="AN20">
        <v>1.05</v>
      </c>
      <c r="AO20">
        <v>1.08</v>
      </c>
      <c r="AP20">
        <v>1.17</v>
      </c>
      <c r="AQ20">
        <v>1.34</v>
      </c>
      <c r="AR20">
        <v>1.52</v>
      </c>
      <c r="AS20">
        <v>1.78</v>
      </c>
      <c r="AT20">
        <v>2.0299999999999998</v>
      </c>
      <c r="AU20">
        <v>2.1</v>
      </c>
      <c r="AV20">
        <v>2.12</v>
      </c>
      <c r="AW20">
        <v>2.2200000000000002</v>
      </c>
      <c r="AX20">
        <v>2.33</v>
      </c>
      <c r="AY20">
        <v>2.4700000000000002</v>
      </c>
      <c r="AZ20">
        <v>2.67</v>
      </c>
      <c r="BA20">
        <v>2.85</v>
      </c>
      <c r="BB20">
        <v>2.88</v>
      </c>
      <c r="BC20">
        <v>2.89</v>
      </c>
      <c r="BD20">
        <v>2.96</v>
      </c>
      <c r="BE20">
        <v>3.16</v>
      </c>
      <c r="BF20">
        <v>3.43</v>
      </c>
      <c r="BG20">
        <v>3.72</v>
      </c>
      <c r="BH20">
        <v>3.98</v>
      </c>
      <c r="BI20">
        <v>4.04</v>
      </c>
      <c r="BJ20">
        <v>4.0599999999999996</v>
      </c>
      <c r="BK20">
        <v>4.1500000000000004</v>
      </c>
      <c r="BL20">
        <v>4.3899999999999997</v>
      </c>
      <c r="BM20">
        <v>4.6100000000000003</v>
      </c>
      <c r="BN20">
        <v>4.92</v>
      </c>
      <c r="BO20">
        <v>5.21</v>
      </c>
      <c r="BP20">
        <v>5.28</v>
      </c>
      <c r="BQ20">
        <v>5.3</v>
      </c>
      <c r="BR20">
        <v>5.42</v>
      </c>
      <c r="BS20">
        <v>5.54</v>
      </c>
      <c r="BT20">
        <v>5.71</v>
      </c>
      <c r="BU20">
        <v>5.95</v>
      </c>
      <c r="BV20">
        <v>6.21</v>
      </c>
      <c r="BW20">
        <v>6.26</v>
      </c>
      <c r="BX20">
        <v>6.28</v>
      </c>
      <c r="BY20">
        <v>6.39</v>
      </c>
      <c r="BZ20">
        <v>6.56</v>
      </c>
      <c r="CA20">
        <v>6.76</v>
      </c>
      <c r="CB20">
        <v>7.03</v>
      </c>
      <c r="CC20">
        <v>7.3</v>
      </c>
      <c r="CD20">
        <v>7.34</v>
      </c>
      <c r="CE20">
        <v>7.35</v>
      </c>
      <c r="CF20">
        <v>7.47</v>
      </c>
      <c r="CG20">
        <v>7.68</v>
      </c>
      <c r="CH20">
        <v>7.93</v>
      </c>
      <c r="CI20">
        <v>8.35</v>
      </c>
      <c r="CJ20">
        <v>8.7200000000000006</v>
      </c>
      <c r="CK20">
        <v>8.8000000000000007</v>
      </c>
      <c r="CL20">
        <v>8.81</v>
      </c>
      <c r="CM20">
        <v>8.9600000000000009</v>
      </c>
      <c r="CN20">
        <v>9.1999999999999993</v>
      </c>
      <c r="CO20">
        <v>9.51</v>
      </c>
      <c r="CP20">
        <v>9.9700000000000006</v>
      </c>
      <c r="CQ20">
        <v>10.34</v>
      </c>
      <c r="CR20">
        <v>10.42</v>
      </c>
      <c r="CS20">
        <v>10.43</v>
      </c>
      <c r="CT20">
        <v>10.69</v>
      </c>
      <c r="CU20">
        <v>11.09</v>
      </c>
      <c r="CV20">
        <v>11.49</v>
      </c>
      <c r="CW20">
        <v>12.13</v>
      </c>
      <c r="CX20">
        <v>12.69</v>
      </c>
      <c r="CY20">
        <v>12.88</v>
      </c>
      <c r="CZ20">
        <v>12.89</v>
      </c>
      <c r="DA20">
        <v>13.16</v>
      </c>
      <c r="DB20">
        <v>13.57</v>
      </c>
      <c r="DC20">
        <v>14.09</v>
      </c>
      <c r="DD20">
        <v>14.73</v>
      </c>
      <c r="DE20">
        <v>15.31</v>
      </c>
      <c r="DF20">
        <v>15.5</v>
      </c>
      <c r="DG20">
        <v>15.52</v>
      </c>
      <c r="DH20">
        <v>15.72</v>
      </c>
      <c r="DI20">
        <v>16</v>
      </c>
      <c r="DJ20">
        <v>16.71</v>
      </c>
      <c r="DK20">
        <v>17.809999999999999</v>
      </c>
      <c r="DL20">
        <v>18.52</v>
      </c>
      <c r="DM20">
        <v>18.7</v>
      </c>
      <c r="DN20">
        <v>18.7</v>
      </c>
      <c r="DO20">
        <v>18.82</v>
      </c>
      <c r="DP20">
        <v>19.23</v>
      </c>
      <c r="DQ20">
        <v>19.64</v>
      </c>
      <c r="DR20">
        <v>20.72</v>
      </c>
      <c r="DS20">
        <v>21.88</v>
      </c>
      <c r="DT20">
        <v>22.47</v>
      </c>
      <c r="DU20">
        <v>22.51</v>
      </c>
      <c r="DV20">
        <v>22.92</v>
      </c>
      <c r="DW20">
        <v>23.55</v>
      </c>
      <c r="DX20">
        <v>24.42</v>
      </c>
      <c r="DY20">
        <v>25.38</v>
      </c>
      <c r="DZ20">
        <v>26.19</v>
      </c>
      <c r="EA20">
        <v>26.69</v>
      </c>
      <c r="EB20">
        <v>26.74</v>
      </c>
      <c r="EC20">
        <v>27.26</v>
      </c>
      <c r="ED20">
        <v>27.7</v>
      </c>
      <c r="EE20">
        <v>28.49</v>
      </c>
      <c r="EF20">
        <v>29.31</v>
      </c>
      <c r="EG20">
        <v>29.93</v>
      </c>
      <c r="EH20">
        <v>30.33</v>
      </c>
      <c r="EI20">
        <v>30.38</v>
      </c>
      <c r="EJ20">
        <v>30.92</v>
      </c>
      <c r="EK20">
        <v>31.38</v>
      </c>
      <c r="EL20">
        <v>32.19</v>
      </c>
      <c r="EM20">
        <v>33.1</v>
      </c>
      <c r="EN20">
        <v>33.81</v>
      </c>
      <c r="EO20">
        <v>34.409999999999997</v>
      </c>
      <c r="EP20">
        <v>34.44</v>
      </c>
      <c r="EQ20">
        <v>35.119999999999997</v>
      </c>
      <c r="ER20">
        <v>35.83</v>
      </c>
      <c r="ES20">
        <v>37.17</v>
      </c>
      <c r="ET20">
        <v>38.56</v>
      </c>
      <c r="EU20">
        <v>39.9</v>
      </c>
      <c r="EV20">
        <v>40.68</v>
      </c>
      <c r="EW20">
        <v>40.75</v>
      </c>
      <c r="EX20">
        <v>41.48</v>
      </c>
      <c r="EY20">
        <v>42.07</v>
      </c>
      <c r="EZ20">
        <v>42.87</v>
      </c>
      <c r="FA20">
        <v>43.9</v>
      </c>
      <c r="FB20">
        <v>45.15</v>
      </c>
      <c r="FC20">
        <v>45.91</v>
      </c>
      <c r="FD20">
        <v>45.96</v>
      </c>
      <c r="FE20">
        <v>46.9</v>
      </c>
      <c r="FF20">
        <v>48.05</v>
      </c>
      <c r="FG20">
        <v>49.27</v>
      </c>
      <c r="FH20">
        <v>50.53</v>
      </c>
      <c r="FI20">
        <v>51.64</v>
      </c>
      <c r="FJ20">
        <v>52.41</v>
      </c>
      <c r="FK20">
        <v>52.49</v>
      </c>
      <c r="FL20">
        <v>53.02</v>
      </c>
      <c r="FM20">
        <v>53.88</v>
      </c>
      <c r="FN20">
        <v>54.94</v>
      </c>
      <c r="FO20">
        <v>56.15</v>
      </c>
      <c r="FP20">
        <v>57.11</v>
      </c>
      <c r="FQ20">
        <v>57.9</v>
      </c>
      <c r="FR20">
        <v>58</v>
      </c>
      <c r="FS20">
        <v>59.03</v>
      </c>
      <c r="FT20">
        <v>59.92</v>
      </c>
      <c r="FU20">
        <v>61.37</v>
      </c>
      <c r="FV20">
        <v>62.99</v>
      </c>
      <c r="FW20">
        <v>64.3</v>
      </c>
      <c r="FX20">
        <v>65.5</v>
      </c>
      <c r="FY20">
        <v>65.77</v>
      </c>
      <c r="FZ20">
        <v>67.239999999999995</v>
      </c>
      <c r="GA20">
        <v>68.52</v>
      </c>
      <c r="GB20">
        <v>70.22</v>
      </c>
      <c r="GC20">
        <v>71.900000000000006</v>
      </c>
      <c r="GD20">
        <v>73.58</v>
      </c>
      <c r="GE20">
        <v>74.81</v>
      </c>
      <c r="GF20">
        <v>75.02</v>
      </c>
      <c r="GG20">
        <v>76.34</v>
      </c>
      <c r="GH20">
        <v>77.650000000000006</v>
      </c>
      <c r="GI20">
        <v>79.23</v>
      </c>
      <c r="GJ20">
        <v>80.849999999999994</v>
      </c>
      <c r="GK20">
        <v>82.51</v>
      </c>
      <c r="GL20">
        <v>83.6</v>
      </c>
      <c r="GM20">
        <v>83.87</v>
      </c>
      <c r="GN20">
        <v>84.89</v>
      </c>
      <c r="GO20">
        <v>85.83</v>
      </c>
      <c r="GP20">
        <v>87.41</v>
      </c>
      <c r="GQ20">
        <v>88.97</v>
      </c>
      <c r="GR20">
        <v>90.39</v>
      </c>
      <c r="GS20">
        <v>91.38</v>
      </c>
      <c r="GT20">
        <v>91.68</v>
      </c>
      <c r="GU20">
        <v>92.71</v>
      </c>
      <c r="GV20">
        <v>93.75</v>
      </c>
      <c r="GW20">
        <v>94.83</v>
      </c>
      <c r="GX20">
        <v>96.2</v>
      </c>
      <c r="GY20">
        <v>97.18</v>
      </c>
      <c r="GZ20">
        <v>97.95</v>
      </c>
      <c r="HA20">
        <v>98.07</v>
      </c>
      <c r="HB20">
        <v>99.1</v>
      </c>
      <c r="HC20">
        <v>100.1</v>
      </c>
      <c r="HD20">
        <v>101.47</v>
      </c>
      <c r="HE20">
        <v>102.89</v>
      </c>
      <c r="HF20">
        <v>104.16</v>
      </c>
      <c r="HG20">
        <v>105.27</v>
      </c>
      <c r="HH20">
        <v>105.54</v>
      </c>
      <c r="HI20">
        <v>106.8</v>
      </c>
      <c r="HJ20">
        <v>107.81</v>
      </c>
      <c r="HK20">
        <v>109.07</v>
      </c>
      <c r="HL20">
        <v>110.24</v>
      </c>
      <c r="HM20">
        <v>111.42</v>
      </c>
      <c r="HN20">
        <v>112.3</v>
      </c>
      <c r="HO20">
        <v>112.43</v>
      </c>
      <c r="HP20">
        <v>113.53</v>
      </c>
      <c r="HQ20">
        <v>114.58</v>
      </c>
      <c r="HR20">
        <v>115.44</v>
      </c>
      <c r="HS20">
        <v>117.03</v>
      </c>
      <c r="HT20">
        <v>118.44</v>
      </c>
      <c r="HU20">
        <v>119.28</v>
      </c>
      <c r="HV20">
        <v>119.42</v>
      </c>
      <c r="HW20">
        <v>120.43</v>
      </c>
      <c r="HX20">
        <v>121.38</v>
      </c>
      <c r="HY20">
        <v>122.74</v>
      </c>
      <c r="HZ20">
        <v>124.01</v>
      </c>
      <c r="IA20">
        <v>125.23</v>
      </c>
      <c r="IB20">
        <v>125.96</v>
      </c>
      <c r="IC20">
        <v>126.2</v>
      </c>
      <c r="ID20">
        <v>127.12</v>
      </c>
      <c r="IE20">
        <v>127.92</v>
      </c>
      <c r="IF20">
        <v>128.93</v>
      </c>
      <c r="IG20">
        <v>129.91999999999999</v>
      </c>
      <c r="IH20">
        <v>130.88999999999999</v>
      </c>
      <c r="II20">
        <v>131.4</v>
      </c>
      <c r="IJ20">
        <v>131.44999999999999</v>
      </c>
      <c r="IK20">
        <v>132.05000000000001</v>
      </c>
      <c r="IL20">
        <v>132.74</v>
      </c>
      <c r="IM20">
        <v>133.4</v>
      </c>
      <c r="IN20">
        <v>134.05000000000001</v>
      </c>
      <c r="IO20">
        <v>134.57</v>
      </c>
      <c r="IP20">
        <v>134.79</v>
      </c>
      <c r="IQ20">
        <v>134.81</v>
      </c>
      <c r="IR20">
        <v>135.13999999999999</v>
      </c>
      <c r="IS20">
        <v>135.53</v>
      </c>
      <c r="IT20">
        <v>135.91999999999999</v>
      </c>
      <c r="IU20">
        <v>136.18</v>
      </c>
      <c r="IV20">
        <v>136.34</v>
      </c>
      <c r="IW20">
        <v>136.55000000000001</v>
      </c>
      <c r="IX20">
        <v>136.58000000000001</v>
      </c>
      <c r="IY20">
        <v>136.91999999999999</v>
      </c>
      <c r="IZ20">
        <v>137.25</v>
      </c>
      <c r="JA20">
        <v>137.61000000000001</v>
      </c>
      <c r="JB20">
        <v>137.88999999999999</v>
      </c>
      <c r="JE20">
        <v>138.72999999999999</v>
      </c>
      <c r="JF20">
        <v>138.97999999999999</v>
      </c>
      <c r="JG20">
        <v>139.25</v>
      </c>
      <c r="JM20">
        <v>140.22</v>
      </c>
      <c r="JN20">
        <v>140.29</v>
      </c>
      <c r="JO20">
        <v>140.47</v>
      </c>
      <c r="JS20">
        <v>140.9</v>
      </c>
      <c r="JT20">
        <v>141.08000000000001</v>
      </c>
      <c r="JU20">
        <v>141.11000000000001</v>
      </c>
      <c r="JV20">
        <v>141.24</v>
      </c>
      <c r="JW20">
        <v>141.35</v>
      </c>
      <c r="JZ20">
        <v>141.63999999999999</v>
      </c>
      <c r="KA20">
        <v>141.75</v>
      </c>
      <c r="KB20">
        <v>141.85</v>
      </c>
      <c r="KC20">
        <v>142.05000000000001</v>
      </c>
      <c r="KD20">
        <v>142.13999999999999</v>
      </c>
      <c r="KE20">
        <v>142.22</v>
      </c>
      <c r="KF20">
        <v>142.37</v>
      </c>
      <c r="KG20">
        <v>142.37</v>
      </c>
      <c r="KH20">
        <v>142.47</v>
      </c>
      <c r="KI20">
        <v>142.59</v>
      </c>
      <c r="KK20">
        <v>142.86000000000001</v>
      </c>
      <c r="KV20">
        <v>143.66999999999999</v>
      </c>
      <c r="LE20">
        <v>144.29</v>
      </c>
      <c r="LR20">
        <v>145.13999999999999</v>
      </c>
      <c r="MA20">
        <v>145.80000000000001</v>
      </c>
      <c r="MK20">
        <v>146.53</v>
      </c>
      <c r="MM20">
        <v>146.63</v>
      </c>
      <c r="MN20">
        <v>146.75</v>
      </c>
      <c r="MR20">
        <v>146.99</v>
      </c>
      <c r="MU20">
        <v>147.19</v>
      </c>
      <c r="MV20">
        <v>147.27000000000001</v>
      </c>
      <c r="MY20">
        <v>165.29</v>
      </c>
      <c r="NB20">
        <v>167.97</v>
      </c>
      <c r="NG20">
        <v>171.76</v>
      </c>
      <c r="NH20">
        <v>173.23</v>
      </c>
      <c r="NI20">
        <v>173.9</v>
      </c>
      <c r="NN20">
        <v>178.32</v>
      </c>
      <c r="NV20">
        <v>184.41</v>
      </c>
      <c r="NX20">
        <v>185.77</v>
      </c>
      <c r="OE20">
        <v>190.67</v>
      </c>
      <c r="OI20">
        <v>194.38</v>
      </c>
      <c r="OO20">
        <v>200.15</v>
      </c>
      <c r="OS20">
        <v>203.2</v>
      </c>
      <c r="PD20">
        <v>207.58</v>
      </c>
      <c r="PE20">
        <v>207.83</v>
      </c>
      <c r="PG20">
        <v>205.98</v>
      </c>
      <c r="PZ20">
        <v>213.62</v>
      </c>
      <c r="QO20">
        <v>216.01</v>
      </c>
      <c r="QY20">
        <v>216.61</v>
      </c>
      <c r="SI20">
        <v>217.65</v>
      </c>
      <c r="TC20">
        <v>217.89</v>
      </c>
      <c r="TD20">
        <v>217.9</v>
      </c>
      <c r="TF20">
        <v>217.93</v>
      </c>
      <c r="TU20">
        <v>218.95</v>
      </c>
      <c r="UB20">
        <v>219.66</v>
      </c>
      <c r="UG20">
        <v>220.09</v>
      </c>
      <c r="UH20">
        <v>220.13</v>
      </c>
      <c r="UI20">
        <v>220.18</v>
      </c>
      <c r="UT20">
        <v>220.7</v>
      </c>
      <c r="AAA20">
        <v>252.76</v>
      </c>
      <c r="AAB20">
        <v>252.8</v>
      </c>
      <c r="AAC20">
        <v>252.84</v>
      </c>
      <c r="AAS20">
        <v>253.34</v>
      </c>
      <c r="AAZ20">
        <v>253.53</v>
      </c>
      <c r="ABG20">
        <v>253.68</v>
      </c>
      <c r="ABU20">
        <v>253.83</v>
      </c>
      <c r="ABV20">
        <v>253.83</v>
      </c>
      <c r="ACI20">
        <v>253.97</v>
      </c>
      <c r="ACP20">
        <v>254.03</v>
      </c>
      <c r="ACQ20">
        <v>254.04</v>
      </c>
      <c r="ACR20">
        <v>254.05</v>
      </c>
      <c r="ACS20">
        <v>254.06</v>
      </c>
      <c r="ACT20">
        <v>254.07</v>
      </c>
      <c r="ACU20">
        <v>254.07</v>
      </c>
      <c r="ACV20">
        <v>254.07</v>
      </c>
      <c r="ACW20">
        <v>254.07</v>
      </c>
      <c r="ADD20">
        <v>254.11</v>
      </c>
      <c r="ADE20">
        <v>254.11</v>
      </c>
      <c r="ADF20">
        <v>254.12</v>
      </c>
      <c r="ADG20">
        <v>254.12</v>
      </c>
      <c r="ADH20">
        <v>254.12</v>
      </c>
      <c r="ADI20">
        <v>254.12</v>
      </c>
      <c r="ADK20">
        <v>254.13</v>
      </c>
      <c r="ADR20">
        <v>254.14</v>
      </c>
    </row>
    <row r="21" spans="1:812">
      <c r="A21" s="1" t="s">
        <v>207</v>
      </c>
      <c r="B21" s="1" t="s">
        <v>317</v>
      </c>
      <c r="CE21">
        <v>0</v>
      </c>
      <c r="CG21">
        <v>0.1</v>
      </c>
      <c r="CH21">
        <v>0.17</v>
      </c>
      <c r="CI21">
        <v>0.21</v>
      </c>
      <c r="CJ21">
        <v>0.25</v>
      </c>
      <c r="CN21">
        <v>0.37</v>
      </c>
      <c r="CO21">
        <v>0.63</v>
      </c>
      <c r="CP21">
        <v>1.24</v>
      </c>
      <c r="CQ21">
        <v>1.87</v>
      </c>
      <c r="CT21">
        <v>2.41</v>
      </c>
      <c r="CU21">
        <v>2.76</v>
      </c>
      <c r="CV21">
        <v>3</v>
      </c>
      <c r="CW21">
        <v>3.31</v>
      </c>
      <c r="CX21">
        <v>3.77</v>
      </c>
      <c r="DA21">
        <v>4.07</v>
      </c>
      <c r="DB21">
        <v>4.3499999999999996</v>
      </c>
      <c r="DC21">
        <v>4.57</v>
      </c>
      <c r="DE21">
        <v>5.13</v>
      </c>
      <c r="DJ21">
        <v>5.55</v>
      </c>
      <c r="DQ21">
        <v>6.03</v>
      </c>
      <c r="DS21">
        <v>6.88</v>
      </c>
      <c r="DV21">
        <v>7.09</v>
      </c>
      <c r="DW21">
        <v>7.53</v>
      </c>
      <c r="DY21">
        <v>8.34</v>
      </c>
      <c r="DZ21">
        <v>8.6199999999999992</v>
      </c>
      <c r="ED21">
        <v>9.0500000000000007</v>
      </c>
      <c r="EE21">
        <v>9.33</v>
      </c>
      <c r="EF21">
        <v>9.6</v>
      </c>
      <c r="EG21">
        <v>9.89</v>
      </c>
      <c r="EK21">
        <v>10.31</v>
      </c>
      <c r="EL21">
        <v>10.59</v>
      </c>
      <c r="EQ21">
        <v>11.2</v>
      </c>
      <c r="ES21">
        <v>11.59</v>
      </c>
      <c r="ET21">
        <v>11.73</v>
      </c>
      <c r="EU21">
        <v>11.99</v>
      </c>
      <c r="EY21">
        <v>12.41</v>
      </c>
      <c r="EZ21">
        <v>12.65</v>
      </c>
      <c r="FB21">
        <v>13.27</v>
      </c>
      <c r="FE21">
        <v>13.45</v>
      </c>
      <c r="FF21">
        <v>16.2</v>
      </c>
      <c r="FG21">
        <v>16.7</v>
      </c>
      <c r="FI21">
        <v>17.739999999999998</v>
      </c>
      <c r="FM21">
        <v>18.09</v>
      </c>
      <c r="FO21">
        <v>18.61</v>
      </c>
      <c r="FP21">
        <v>18.920000000000002</v>
      </c>
      <c r="FT21">
        <v>19.309999999999999</v>
      </c>
      <c r="FU21">
        <v>19.52</v>
      </c>
      <c r="FV21">
        <v>19.75</v>
      </c>
      <c r="FW21">
        <v>20.149999999999999</v>
      </c>
      <c r="GD21">
        <v>22.27</v>
      </c>
      <c r="GH21">
        <v>23.5</v>
      </c>
      <c r="GI21">
        <v>24.01</v>
      </c>
      <c r="GJ21">
        <v>24.5</v>
      </c>
      <c r="GP21">
        <v>26.66</v>
      </c>
      <c r="GX21">
        <v>29.93</v>
      </c>
      <c r="GY21">
        <v>31.16</v>
      </c>
      <c r="HB21">
        <v>32.18</v>
      </c>
      <c r="HC21">
        <v>33.18</v>
      </c>
      <c r="HD21">
        <v>34.25</v>
      </c>
      <c r="HE21">
        <v>35.090000000000003</v>
      </c>
      <c r="HJ21">
        <v>36.99</v>
      </c>
      <c r="HL21">
        <v>38.44</v>
      </c>
      <c r="HM21">
        <v>39.21</v>
      </c>
      <c r="HP21">
        <v>39.83</v>
      </c>
      <c r="HQ21">
        <v>40.31</v>
      </c>
      <c r="HS21">
        <v>41.57</v>
      </c>
      <c r="HT21">
        <v>42.27</v>
      </c>
      <c r="HW21">
        <v>43.53</v>
      </c>
      <c r="HX21">
        <v>44.2</v>
      </c>
      <c r="HY21">
        <v>44.2</v>
      </c>
      <c r="HZ21">
        <v>44.88</v>
      </c>
      <c r="IA21">
        <v>46.17</v>
      </c>
      <c r="IE21">
        <v>46.98</v>
      </c>
      <c r="IF21">
        <v>47.63</v>
      </c>
      <c r="IG21">
        <v>48.34</v>
      </c>
      <c r="IH21">
        <v>48.93</v>
      </c>
      <c r="IK21">
        <v>49.8</v>
      </c>
      <c r="IL21">
        <v>50.43</v>
      </c>
      <c r="IM21">
        <v>51</v>
      </c>
      <c r="IN21">
        <v>51.59</v>
      </c>
      <c r="IO21">
        <v>52.43</v>
      </c>
      <c r="IR21">
        <v>53.06</v>
      </c>
      <c r="IS21">
        <v>53.41</v>
      </c>
      <c r="IT21">
        <v>53.8</v>
      </c>
      <c r="IV21">
        <v>53.69</v>
      </c>
      <c r="JM21">
        <v>61.58</v>
      </c>
      <c r="JN21">
        <v>62.07</v>
      </c>
      <c r="JT21">
        <v>63.59</v>
      </c>
      <c r="JU21">
        <v>64.5</v>
      </c>
      <c r="JW21">
        <v>68.09</v>
      </c>
      <c r="KA21">
        <v>71.48</v>
      </c>
      <c r="KC21">
        <v>72.53</v>
      </c>
      <c r="KD21">
        <v>73.680000000000007</v>
      </c>
      <c r="KE21">
        <v>75.13</v>
      </c>
      <c r="KI21">
        <v>77.989999999999995</v>
      </c>
      <c r="MW21">
        <v>101.75</v>
      </c>
      <c r="PV21">
        <v>112.49</v>
      </c>
      <c r="QC21">
        <v>113.2</v>
      </c>
      <c r="QJ21">
        <v>113.81</v>
      </c>
      <c r="QQ21">
        <v>114.32</v>
      </c>
      <c r="QX21">
        <v>114.91</v>
      </c>
      <c r="RE21">
        <v>115.39</v>
      </c>
      <c r="SA21">
        <v>116.46</v>
      </c>
      <c r="SH21">
        <v>116.68</v>
      </c>
      <c r="SO21">
        <v>116.85</v>
      </c>
      <c r="SV21">
        <v>117.09</v>
      </c>
      <c r="TC21">
        <v>117.35</v>
      </c>
      <c r="TQ21">
        <v>117.7</v>
      </c>
      <c r="TV21">
        <v>118.07</v>
      </c>
      <c r="TX21">
        <v>118.14</v>
      </c>
      <c r="UE21">
        <v>120.29</v>
      </c>
      <c r="UL21">
        <v>120.89</v>
      </c>
      <c r="UZ21">
        <v>121.94</v>
      </c>
      <c r="VG21">
        <v>123.72</v>
      </c>
      <c r="VN21">
        <v>123.88</v>
      </c>
      <c r="WA21">
        <v>124.13</v>
      </c>
      <c r="WH21">
        <v>124.27</v>
      </c>
      <c r="WV21">
        <v>124.53</v>
      </c>
      <c r="XC21">
        <v>124.62</v>
      </c>
      <c r="XJ21">
        <v>124.69</v>
      </c>
      <c r="XX21">
        <v>124.87</v>
      </c>
      <c r="YE21">
        <v>125.1</v>
      </c>
      <c r="YL21">
        <v>125.24</v>
      </c>
      <c r="YS21">
        <v>125.27</v>
      </c>
      <c r="YZ21">
        <v>125.3</v>
      </c>
      <c r="ZG21">
        <v>123.69</v>
      </c>
      <c r="AAB21">
        <v>123.8</v>
      </c>
      <c r="AAP21">
        <v>123.8</v>
      </c>
      <c r="AAW21">
        <v>123.82</v>
      </c>
      <c r="ABV21">
        <v>123.84</v>
      </c>
      <c r="ABY21">
        <v>123.85</v>
      </c>
      <c r="ACF21">
        <v>123.86</v>
      </c>
      <c r="ACT21">
        <v>123.87</v>
      </c>
      <c r="ADA21">
        <v>123.87</v>
      </c>
      <c r="ADH21">
        <v>123.91</v>
      </c>
      <c r="ADV21">
        <v>123.91</v>
      </c>
      <c r="AEC21">
        <v>123.94</v>
      </c>
    </row>
    <row r="22" spans="1:812">
      <c r="A22" s="1" t="s">
        <v>155</v>
      </c>
      <c r="B22" s="1" t="s">
        <v>155</v>
      </c>
      <c r="EZ22">
        <v>0.09</v>
      </c>
      <c r="FI22">
        <v>0.11</v>
      </c>
      <c r="GA22">
        <v>0.22</v>
      </c>
      <c r="GU22">
        <v>0.38</v>
      </c>
      <c r="HI22">
        <v>0.43</v>
      </c>
      <c r="HU22">
        <v>0.48</v>
      </c>
      <c r="IE22">
        <v>0.57999999999999996</v>
      </c>
      <c r="IR22">
        <v>0.6</v>
      </c>
      <c r="IV22">
        <v>0.78</v>
      </c>
      <c r="JA22">
        <v>0.95</v>
      </c>
      <c r="JH22">
        <v>1.1399999999999999</v>
      </c>
      <c r="JP22">
        <v>1.4</v>
      </c>
      <c r="JV22">
        <v>1.4</v>
      </c>
      <c r="KK22">
        <v>1.99</v>
      </c>
      <c r="LX22">
        <v>2.79</v>
      </c>
      <c r="NC22">
        <v>9.19</v>
      </c>
    </row>
    <row r="23" spans="1:812">
      <c r="A23" s="1" t="s">
        <v>197</v>
      </c>
      <c r="B23" s="1" t="s">
        <v>379</v>
      </c>
      <c r="AH23">
        <v>0</v>
      </c>
      <c r="AN23">
        <v>2.67</v>
      </c>
      <c r="AU23">
        <v>4.71</v>
      </c>
      <c r="BB23">
        <v>7.86</v>
      </c>
      <c r="BI23">
        <v>14.61</v>
      </c>
      <c r="BL23">
        <v>16.059999999999999</v>
      </c>
      <c r="BR23">
        <v>21.12</v>
      </c>
      <c r="BY23">
        <v>27.42</v>
      </c>
      <c r="CD23">
        <v>33.25</v>
      </c>
      <c r="CF23">
        <v>34.340000000000003</v>
      </c>
      <c r="CH23">
        <v>38.44</v>
      </c>
      <c r="CO23">
        <v>44.52</v>
      </c>
      <c r="CT23">
        <v>48.95</v>
      </c>
      <c r="DA23">
        <v>54.93</v>
      </c>
      <c r="DF23">
        <v>60.68</v>
      </c>
      <c r="DN23">
        <v>66.08</v>
      </c>
      <c r="DT23">
        <v>73.48</v>
      </c>
      <c r="EC23">
        <v>84.04</v>
      </c>
      <c r="EJ23">
        <v>89.77</v>
      </c>
      <c r="EP23">
        <v>93.45</v>
      </c>
      <c r="EZ23">
        <v>102.76</v>
      </c>
      <c r="FE23">
        <v>106.89</v>
      </c>
      <c r="FL23">
        <v>110.52</v>
      </c>
      <c r="FS23">
        <v>114.2</v>
      </c>
      <c r="FX23">
        <v>118.35</v>
      </c>
      <c r="FZ23">
        <v>120.2</v>
      </c>
      <c r="GG23">
        <v>123.42</v>
      </c>
      <c r="GR23">
        <v>125.92</v>
      </c>
      <c r="GV23">
        <v>129.63</v>
      </c>
      <c r="GZ23">
        <v>131.43</v>
      </c>
      <c r="HM23">
        <v>131.76</v>
      </c>
      <c r="HT23">
        <v>132.43</v>
      </c>
      <c r="IA23">
        <v>133.08000000000001</v>
      </c>
      <c r="IH23">
        <v>133.25</v>
      </c>
      <c r="IO23">
        <v>133.76</v>
      </c>
      <c r="IV23">
        <v>135.32</v>
      </c>
      <c r="JC23">
        <v>136.49</v>
      </c>
      <c r="JJ23">
        <v>137.56</v>
      </c>
      <c r="JQ23">
        <v>138.37</v>
      </c>
      <c r="JX23">
        <v>138.82</v>
      </c>
      <c r="KE23">
        <v>139.59</v>
      </c>
      <c r="KL23">
        <v>140.46</v>
      </c>
      <c r="KS23">
        <v>141.28</v>
      </c>
      <c r="KZ23">
        <v>142.4</v>
      </c>
      <c r="LG23">
        <v>143.38</v>
      </c>
      <c r="LN23">
        <v>149.41</v>
      </c>
      <c r="LU23">
        <v>163.21</v>
      </c>
      <c r="ND23">
        <v>171.55</v>
      </c>
      <c r="NK23">
        <v>177.69</v>
      </c>
      <c r="NW23">
        <v>181.5</v>
      </c>
      <c r="OD23">
        <v>183.99</v>
      </c>
      <c r="OM23">
        <v>185.89</v>
      </c>
      <c r="OR23">
        <v>186.21</v>
      </c>
      <c r="PA23">
        <v>194.12</v>
      </c>
      <c r="PH23">
        <v>196.15</v>
      </c>
      <c r="PO23">
        <v>198.23</v>
      </c>
      <c r="PV23">
        <v>199.27</v>
      </c>
      <c r="QC23">
        <v>200.25</v>
      </c>
      <c r="QJ23">
        <v>201.45</v>
      </c>
      <c r="QQ23">
        <v>202.8</v>
      </c>
      <c r="QX23">
        <v>203.67</v>
      </c>
      <c r="RE23">
        <v>204.68</v>
      </c>
      <c r="SA23">
        <v>211.69</v>
      </c>
      <c r="SV23">
        <v>211.9</v>
      </c>
      <c r="TC23">
        <v>211.96</v>
      </c>
    </row>
    <row r="24" spans="1:812">
      <c r="A24" s="1" t="s">
        <v>204</v>
      </c>
      <c r="B24" s="1" t="s">
        <v>318</v>
      </c>
      <c r="DE24">
        <v>0</v>
      </c>
      <c r="DF24">
        <v>11.14</v>
      </c>
      <c r="DG24">
        <v>23.75</v>
      </c>
      <c r="DH24">
        <v>35.6</v>
      </c>
      <c r="DI24">
        <v>44.18</v>
      </c>
      <c r="DJ24">
        <v>51.16</v>
      </c>
      <c r="DK24">
        <v>56.35</v>
      </c>
      <c r="DL24">
        <v>58.79</v>
      </c>
      <c r="DM24">
        <v>59.58</v>
      </c>
      <c r="DN24">
        <v>60.5</v>
      </c>
      <c r="DO24">
        <v>60.69</v>
      </c>
      <c r="DP24">
        <v>60.87</v>
      </c>
      <c r="DQ24">
        <v>61.04</v>
      </c>
      <c r="DR24">
        <v>61.19</v>
      </c>
      <c r="DS24">
        <v>61.35</v>
      </c>
      <c r="DT24">
        <v>61.45</v>
      </c>
      <c r="DU24">
        <v>61.47</v>
      </c>
      <c r="DV24">
        <v>61.64</v>
      </c>
      <c r="DW24">
        <v>61.78</v>
      </c>
      <c r="DX24">
        <v>61.83</v>
      </c>
      <c r="DY24">
        <v>61.9</v>
      </c>
      <c r="DZ24">
        <v>61.98</v>
      </c>
      <c r="EA24">
        <v>62.01</v>
      </c>
      <c r="EB24">
        <v>62.02</v>
      </c>
      <c r="EC24">
        <v>62.06</v>
      </c>
      <c r="ED24">
        <v>62.08</v>
      </c>
      <c r="EE24">
        <v>62.12</v>
      </c>
      <c r="EF24">
        <v>62.12</v>
      </c>
      <c r="EG24">
        <v>62.14</v>
      </c>
      <c r="EH24">
        <v>62.17</v>
      </c>
      <c r="EI24">
        <v>62.17</v>
      </c>
      <c r="EJ24">
        <v>62.21</v>
      </c>
      <c r="EK24">
        <v>62.23</v>
      </c>
      <c r="EL24">
        <v>62.24</v>
      </c>
      <c r="EM24">
        <v>62.25</v>
      </c>
      <c r="EN24">
        <v>62.26</v>
      </c>
      <c r="EO24">
        <v>62.27</v>
      </c>
      <c r="EP24">
        <v>62.27</v>
      </c>
      <c r="ER24">
        <v>62.31</v>
      </c>
      <c r="ES24">
        <v>62.33</v>
      </c>
      <c r="ET24">
        <v>62.35</v>
      </c>
      <c r="EU24">
        <v>62.39</v>
      </c>
      <c r="EV24">
        <v>62.4</v>
      </c>
      <c r="EX24">
        <v>62.42</v>
      </c>
      <c r="EY24">
        <v>62.44</v>
      </c>
      <c r="EZ24">
        <v>62.45</v>
      </c>
      <c r="FB24">
        <v>62.46</v>
      </c>
      <c r="FC24">
        <v>62.47</v>
      </c>
      <c r="FD24">
        <v>62.47</v>
      </c>
      <c r="FE24">
        <v>62.48</v>
      </c>
      <c r="FF24">
        <v>62.49</v>
      </c>
      <c r="FG24">
        <v>62.49</v>
      </c>
      <c r="FH24">
        <v>62.51</v>
      </c>
      <c r="FI24">
        <v>62.52</v>
      </c>
      <c r="FJ24">
        <v>62.53</v>
      </c>
      <c r="FL24">
        <v>62.54</v>
      </c>
      <c r="FM24">
        <v>62.55</v>
      </c>
      <c r="FN24">
        <v>62.55</v>
      </c>
      <c r="FO24">
        <v>62.56</v>
      </c>
      <c r="GF24">
        <v>62.75</v>
      </c>
      <c r="GM24">
        <v>62.82</v>
      </c>
      <c r="GT24">
        <v>62.9</v>
      </c>
      <c r="HB24">
        <v>63</v>
      </c>
      <c r="HI24">
        <v>63.12</v>
      </c>
      <c r="HO24">
        <v>63.36</v>
      </c>
      <c r="HQ24">
        <v>75.89</v>
      </c>
      <c r="HR24">
        <v>88.23</v>
      </c>
      <c r="HS24">
        <v>99.59</v>
      </c>
      <c r="HT24">
        <v>108.29</v>
      </c>
      <c r="HU24">
        <v>114.87</v>
      </c>
      <c r="HV24">
        <v>118.97</v>
      </c>
      <c r="HW24">
        <v>121.88</v>
      </c>
      <c r="HX24">
        <v>122.41</v>
      </c>
      <c r="HY24">
        <v>122.66</v>
      </c>
      <c r="HZ24">
        <v>124.73</v>
      </c>
      <c r="IA24">
        <v>124.85</v>
      </c>
      <c r="IC24">
        <v>130.63</v>
      </c>
      <c r="ID24">
        <v>130.66</v>
      </c>
      <c r="IE24">
        <v>130.69999999999999</v>
      </c>
      <c r="IF24">
        <v>130.79</v>
      </c>
      <c r="IG24">
        <v>130.85</v>
      </c>
      <c r="IH24">
        <v>130.91</v>
      </c>
      <c r="IK24">
        <v>130.91</v>
      </c>
      <c r="IQ24">
        <v>134.19999999999999</v>
      </c>
      <c r="IX24">
        <v>132.94</v>
      </c>
    </row>
    <row r="25" spans="1:812">
      <c r="A25" s="1" t="s">
        <v>32</v>
      </c>
      <c r="B25" s="1" t="s">
        <v>32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0.01</v>
      </c>
      <c r="BF25">
        <v>0.03</v>
      </c>
      <c r="BN25">
        <v>0.09</v>
      </c>
      <c r="CG25">
        <v>0.17</v>
      </c>
      <c r="CH25">
        <v>0.17</v>
      </c>
      <c r="CI25">
        <v>0.17</v>
      </c>
      <c r="CJ25">
        <v>0.17</v>
      </c>
      <c r="CK25">
        <v>0.91</v>
      </c>
      <c r="CL25">
        <v>0.92</v>
      </c>
      <c r="CM25">
        <v>0.96</v>
      </c>
      <c r="CN25">
        <v>1.02</v>
      </c>
      <c r="CO25">
        <v>1.0900000000000001</v>
      </c>
      <c r="CP25">
        <v>1.1299999999999999</v>
      </c>
      <c r="CQ25">
        <v>1.17</v>
      </c>
      <c r="CR25">
        <v>1.18</v>
      </c>
      <c r="CS25">
        <v>1.18</v>
      </c>
      <c r="CT25">
        <v>1.21</v>
      </c>
      <c r="CU25">
        <v>1.25</v>
      </c>
      <c r="CV25">
        <v>1.29</v>
      </c>
      <c r="CW25">
        <v>1.34</v>
      </c>
      <c r="CX25">
        <v>1.41</v>
      </c>
      <c r="CY25">
        <v>1.43</v>
      </c>
      <c r="CZ25">
        <v>1.44</v>
      </c>
      <c r="DA25">
        <v>1.54</v>
      </c>
      <c r="DB25">
        <v>1.7</v>
      </c>
      <c r="DC25">
        <v>1.87</v>
      </c>
      <c r="DD25">
        <v>2.04</v>
      </c>
      <c r="DE25">
        <v>2.2200000000000002</v>
      </c>
      <c r="DF25">
        <v>2.25</v>
      </c>
      <c r="DG25">
        <v>2.2599999999999998</v>
      </c>
      <c r="DH25">
        <v>2.36</v>
      </c>
      <c r="DI25">
        <v>2.48</v>
      </c>
      <c r="DJ25">
        <v>2.61</v>
      </c>
      <c r="DK25">
        <v>2.73</v>
      </c>
      <c r="DL25">
        <v>2.74</v>
      </c>
      <c r="DM25">
        <v>2.76</v>
      </c>
      <c r="DN25">
        <v>2.77</v>
      </c>
      <c r="DO25">
        <v>2.91</v>
      </c>
      <c r="DP25">
        <v>3.07</v>
      </c>
      <c r="DQ25">
        <v>3.24</v>
      </c>
      <c r="DR25">
        <v>3.43</v>
      </c>
      <c r="DS25">
        <v>3.63</v>
      </c>
      <c r="DT25">
        <v>3.67</v>
      </c>
      <c r="DU25">
        <v>3.69</v>
      </c>
      <c r="DV25">
        <v>3.83</v>
      </c>
      <c r="DW25">
        <v>3.99</v>
      </c>
      <c r="DX25">
        <v>4.17</v>
      </c>
      <c r="DY25">
        <v>4.3499999999999996</v>
      </c>
      <c r="DZ25">
        <v>4.54</v>
      </c>
      <c r="EA25">
        <v>4.59</v>
      </c>
      <c r="EB25">
        <v>4.62</v>
      </c>
      <c r="EC25">
        <v>4.78</v>
      </c>
      <c r="ED25">
        <v>4.9400000000000004</v>
      </c>
      <c r="EE25">
        <v>5.1100000000000003</v>
      </c>
      <c r="EF25">
        <v>5.31</v>
      </c>
      <c r="EG25">
        <v>5.54</v>
      </c>
      <c r="EH25">
        <v>5.63</v>
      </c>
      <c r="EI25">
        <v>5.66</v>
      </c>
      <c r="EJ25">
        <v>5.9</v>
      </c>
      <c r="EK25">
        <v>6.19</v>
      </c>
      <c r="EL25">
        <v>6.53</v>
      </c>
      <c r="EO25">
        <v>7.27</v>
      </c>
      <c r="EQ25">
        <v>7.53</v>
      </c>
      <c r="ER25">
        <v>7.79</v>
      </c>
      <c r="ES25">
        <v>8.06</v>
      </c>
      <c r="ET25">
        <v>8.2799999999999994</v>
      </c>
      <c r="EU25">
        <v>8.48</v>
      </c>
      <c r="EV25">
        <v>8.5399999999999991</v>
      </c>
      <c r="EW25">
        <v>8.56</v>
      </c>
      <c r="EX25">
        <v>8.66</v>
      </c>
      <c r="EY25">
        <v>8.76</v>
      </c>
      <c r="EZ25">
        <v>8.83</v>
      </c>
      <c r="FB25">
        <v>9.0500000000000007</v>
      </c>
      <c r="FC25">
        <v>9.3699999999999992</v>
      </c>
      <c r="FD25">
        <v>9.4499999999999993</v>
      </c>
      <c r="FE25">
        <v>9.48</v>
      </c>
      <c r="FF25">
        <v>10.23</v>
      </c>
      <c r="FI25">
        <v>11.15</v>
      </c>
      <c r="FJ25">
        <v>11.63</v>
      </c>
      <c r="FK25">
        <v>11.75</v>
      </c>
      <c r="FL25">
        <v>12.13</v>
      </c>
      <c r="FM25">
        <v>12.49</v>
      </c>
      <c r="FN25">
        <v>12.95</v>
      </c>
      <c r="FO25">
        <v>13.4</v>
      </c>
      <c r="FP25">
        <v>13.85</v>
      </c>
      <c r="FQ25">
        <v>13.97</v>
      </c>
      <c r="FR25">
        <v>14.01</v>
      </c>
      <c r="FS25">
        <v>14.41</v>
      </c>
      <c r="FT25">
        <v>14.82</v>
      </c>
      <c r="FU25">
        <v>15.14</v>
      </c>
      <c r="FV25">
        <v>15.22</v>
      </c>
      <c r="FW25">
        <v>15.55</v>
      </c>
      <c r="FX25">
        <v>15.64</v>
      </c>
      <c r="FY25">
        <v>15.67</v>
      </c>
      <c r="FZ25">
        <v>16.09</v>
      </c>
      <c r="GB25">
        <v>16.62</v>
      </c>
      <c r="GE25">
        <v>17.690000000000001</v>
      </c>
      <c r="GF25">
        <v>17.73</v>
      </c>
      <c r="GH25">
        <v>18.14</v>
      </c>
      <c r="GJ25">
        <v>18.43</v>
      </c>
      <c r="GK25">
        <v>18.690000000000001</v>
      </c>
      <c r="GN25">
        <v>19.12</v>
      </c>
      <c r="GU25">
        <v>20.99</v>
      </c>
      <c r="GW25">
        <v>21.84</v>
      </c>
      <c r="GX25">
        <v>22.68</v>
      </c>
      <c r="GY25">
        <v>23.31</v>
      </c>
      <c r="GZ25">
        <v>23.46</v>
      </c>
      <c r="HA25">
        <v>23.67</v>
      </c>
      <c r="HB25">
        <v>24.05</v>
      </c>
      <c r="HI25">
        <v>26.71</v>
      </c>
      <c r="HP25">
        <v>31</v>
      </c>
      <c r="HV25">
        <v>34.71</v>
      </c>
      <c r="HX25">
        <v>36.5</v>
      </c>
      <c r="HZ25">
        <v>37.92</v>
      </c>
      <c r="IB25">
        <v>38.450000000000003</v>
      </c>
      <c r="IC25">
        <v>38.770000000000003</v>
      </c>
      <c r="IE25">
        <v>39.67</v>
      </c>
      <c r="IG25">
        <v>40.35</v>
      </c>
      <c r="II25">
        <v>40.380000000000003</v>
      </c>
      <c r="IJ25">
        <v>40.47</v>
      </c>
      <c r="IK25">
        <v>40.950000000000003</v>
      </c>
      <c r="IL25">
        <v>41.33</v>
      </c>
      <c r="IM25">
        <v>41.8</v>
      </c>
      <c r="IO25">
        <v>42.88</v>
      </c>
      <c r="IQ25">
        <v>43.14</v>
      </c>
      <c r="IS25">
        <v>43.66</v>
      </c>
      <c r="IT25">
        <v>44.16</v>
      </c>
      <c r="IU25">
        <v>44.68</v>
      </c>
      <c r="IV25">
        <v>44.54</v>
      </c>
      <c r="IW25">
        <v>44.96</v>
      </c>
      <c r="IY25">
        <v>45.14</v>
      </c>
      <c r="IZ25">
        <v>46.32</v>
      </c>
      <c r="JA25">
        <v>47.11</v>
      </c>
      <c r="JB25">
        <v>47.96</v>
      </c>
      <c r="JC25">
        <v>48.79</v>
      </c>
      <c r="JE25">
        <v>49.44</v>
      </c>
      <c r="JG25">
        <v>50.87</v>
      </c>
      <c r="JK25">
        <v>51.76</v>
      </c>
      <c r="JM25">
        <v>52</v>
      </c>
      <c r="JS25">
        <v>53.05</v>
      </c>
      <c r="JU25">
        <v>53.44</v>
      </c>
      <c r="JV25">
        <v>53.64</v>
      </c>
      <c r="LM25">
        <v>62.8</v>
      </c>
      <c r="LN25">
        <v>63.13</v>
      </c>
      <c r="LW25">
        <v>64.11</v>
      </c>
      <c r="MZ25">
        <v>74.349999999999994</v>
      </c>
      <c r="NG25">
        <v>76.61</v>
      </c>
      <c r="NJ25">
        <v>78.02</v>
      </c>
      <c r="NU25">
        <v>80.77</v>
      </c>
      <c r="NX25">
        <v>82.46</v>
      </c>
      <c r="OB25">
        <v>84.35</v>
      </c>
      <c r="OC25">
        <v>85.52</v>
      </c>
      <c r="OD25">
        <v>86.65</v>
      </c>
      <c r="OE25">
        <v>87.89</v>
      </c>
      <c r="OI25">
        <v>90.38</v>
      </c>
      <c r="OM25">
        <v>93.29</v>
      </c>
      <c r="OQ25">
        <v>95.41</v>
      </c>
      <c r="OR25">
        <v>95.98</v>
      </c>
      <c r="OS25">
        <v>96.41</v>
      </c>
      <c r="PH25">
        <v>101.54</v>
      </c>
      <c r="PV25">
        <v>104.89</v>
      </c>
      <c r="QB25">
        <v>106.1</v>
      </c>
      <c r="QS25">
        <v>108.29</v>
      </c>
      <c r="RR25">
        <v>111.56</v>
      </c>
      <c r="SE25">
        <v>113.35</v>
      </c>
      <c r="SV25">
        <v>114.6</v>
      </c>
      <c r="SW25">
        <v>114.61</v>
      </c>
      <c r="TF25">
        <v>115.31</v>
      </c>
      <c r="TU25">
        <v>116.3</v>
      </c>
      <c r="TV25">
        <v>116.4</v>
      </c>
      <c r="UG25">
        <v>117.21</v>
      </c>
      <c r="UH25">
        <v>117.27</v>
      </c>
      <c r="UI25">
        <v>117.33</v>
      </c>
      <c r="UJ25">
        <v>117.41</v>
      </c>
      <c r="UZ25">
        <v>118.67</v>
      </c>
      <c r="VA25">
        <v>118.71</v>
      </c>
      <c r="VB25">
        <v>116.3</v>
      </c>
      <c r="VC25">
        <v>116.37</v>
      </c>
      <c r="VL25">
        <v>117.13</v>
      </c>
      <c r="YL25">
        <v>121.62</v>
      </c>
    </row>
    <row r="26" spans="1:812">
      <c r="A26" t="s">
        <v>414</v>
      </c>
      <c r="B26" s="1" t="s">
        <v>418</v>
      </c>
      <c r="DS26">
        <v>28.19</v>
      </c>
    </row>
    <row r="27" spans="1:812">
      <c r="A27" s="1" t="s">
        <v>104</v>
      </c>
      <c r="B27" s="1" t="s">
        <v>319</v>
      </c>
      <c r="DS27">
        <v>0.46</v>
      </c>
      <c r="EK27">
        <v>3.25</v>
      </c>
      <c r="FF27">
        <v>4.17</v>
      </c>
      <c r="FM27">
        <v>7.09</v>
      </c>
      <c r="GF27">
        <v>9.6300000000000008</v>
      </c>
      <c r="GR27">
        <v>13.91</v>
      </c>
      <c r="HB27">
        <v>14.33</v>
      </c>
      <c r="HR27">
        <v>18.64</v>
      </c>
      <c r="IF27">
        <v>23.71</v>
      </c>
      <c r="IL27">
        <v>24.34</v>
      </c>
      <c r="IM27">
        <v>26.37</v>
      </c>
      <c r="IT27">
        <v>28.29</v>
      </c>
      <c r="JN27">
        <v>32.49</v>
      </c>
    </row>
    <row r="28" spans="1:812">
      <c r="A28" s="1" t="s">
        <v>176</v>
      </c>
      <c r="B28" s="1" t="s">
        <v>176</v>
      </c>
      <c r="DD28">
        <v>0</v>
      </c>
      <c r="DL28">
        <v>0.55000000000000004</v>
      </c>
      <c r="DS28">
        <v>0.76</v>
      </c>
      <c r="DV28">
        <v>1.06</v>
      </c>
      <c r="DZ28">
        <v>1.56</v>
      </c>
      <c r="EC28">
        <v>1.77</v>
      </c>
      <c r="EG28">
        <v>2.0099999999999998</v>
      </c>
      <c r="EJ28">
        <v>2.06</v>
      </c>
      <c r="EN28">
        <v>2.12</v>
      </c>
      <c r="EU28">
        <v>2.27</v>
      </c>
      <c r="EX28">
        <v>2.39</v>
      </c>
      <c r="FB28">
        <v>3.04</v>
      </c>
      <c r="FE28">
        <v>3.78</v>
      </c>
      <c r="FI28">
        <v>5.1100000000000003</v>
      </c>
      <c r="FL28">
        <v>5.65</v>
      </c>
      <c r="FP28">
        <v>6.08</v>
      </c>
      <c r="FS28">
        <v>6.24</v>
      </c>
      <c r="FZ28">
        <v>6.38</v>
      </c>
      <c r="GG28">
        <v>7.41</v>
      </c>
      <c r="GK28">
        <v>8.5399999999999991</v>
      </c>
      <c r="GN28">
        <v>9.33</v>
      </c>
      <c r="GR28">
        <v>10.27</v>
      </c>
      <c r="GU28">
        <v>10.65</v>
      </c>
      <c r="GY28">
        <v>11.07</v>
      </c>
      <c r="HB28">
        <v>11.39</v>
      </c>
      <c r="HF28">
        <v>11.66</v>
      </c>
      <c r="HG28">
        <v>12.11</v>
      </c>
      <c r="HM28">
        <v>13.22</v>
      </c>
      <c r="HP28">
        <v>13.53</v>
      </c>
      <c r="HT28">
        <v>14.09</v>
      </c>
      <c r="HW28">
        <v>14.99</v>
      </c>
      <c r="IA28">
        <v>15.53</v>
      </c>
      <c r="ID28">
        <v>15.76</v>
      </c>
      <c r="IH28">
        <v>16</v>
      </c>
      <c r="IL28">
        <v>16.64</v>
      </c>
      <c r="IO28">
        <v>17.350000000000001</v>
      </c>
      <c r="JA28">
        <v>18.13</v>
      </c>
      <c r="JH28">
        <v>22.03</v>
      </c>
      <c r="JP28">
        <v>23.93</v>
      </c>
      <c r="JV28">
        <v>24.51</v>
      </c>
      <c r="KC28">
        <v>25.31</v>
      </c>
      <c r="KK28">
        <v>26.26</v>
      </c>
      <c r="KR28">
        <v>28.78</v>
      </c>
      <c r="KY28">
        <v>32.700000000000003</v>
      </c>
      <c r="LF28">
        <v>36.83</v>
      </c>
      <c r="LM28">
        <v>39.380000000000003</v>
      </c>
      <c r="LT28">
        <v>42.91</v>
      </c>
      <c r="LZ28">
        <v>47.06</v>
      </c>
      <c r="MH28">
        <v>52.32</v>
      </c>
      <c r="MN28">
        <v>56.42</v>
      </c>
      <c r="MV28">
        <v>59.66</v>
      </c>
      <c r="NC28">
        <v>61.87</v>
      </c>
      <c r="NI28">
        <v>88.78</v>
      </c>
      <c r="NQ28">
        <v>89.16</v>
      </c>
      <c r="NX28">
        <v>91.69</v>
      </c>
      <c r="OE28">
        <v>92.04</v>
      </c>
      <c r="OK28">
        <v>92.22</v>
      </c>
      <c r="QL28">
        <v>60.02</v>
      </c>
      <c r="QS28">
        <v>60.29</v>
      </c>
    </row>
    <row r="29" spans="1:812">
      <c r="A29" s="1" t="s">
        <v>40</v>
      </c>
      <c r="B29" s="1" t="s">
        <v>255</v>
      </c>
      <c r="AN29">
        <v>0</v>
      </c>
      <c r="AO29">
        <v>0</v>
      </c>
      <c r="AP29">
        <v>0</v>
      </c>
      <c r="AQ29">
        <v>0.01</v>
      </c>
      <c r="AR29">
        <v>0.01</v>
      </c>
      <c r="AS29">
        <v>0.06</v>
      </c>
      <c r="AT29">
        <v>0.12</v>
      </c>
      <c r="AU29">
        <v>0.25</v>
      </c>
      <c r="AV29">
        <v>0.28000000000000003</v>
      </c>
      <c r="AW29">
        <v>0.33</v>
      </c>
      <c r="AX29">
        <v>0.4</v>
      </c>
      <c r="AY29">
        <v>0.53</v>
      </c>
      <c r="AZ29">
        <v>0.68</v>
      </c>
      <c r="BA29">
        <v>0.78</v>
      </c>
      <c r="BB29">
        <v>0.94</v>
      </c>
      <c r="BC29">
        <v>0.98</v>
      </c>
      <c r="BD29">
        <v>1</v>
      </c>
      <c r="BE29">
        <v>1.08</v>
      </c>
      <c r="BF29">
        <v>1.19</v>
      </c>
      <c r="BG29">
        <v>1.45</v>
      </c>
      <c r="BH29">
        <v>1.45</v>
      </c>
      <c r="BI29">
        <v>1.6</v>
      </c>
      <c r="BJ29">
        <v>1.67</v>
      </c>
      <c r="BK29">
        <v>1.7</v>
      </c>
      <c r="BL29">
        <v>1.8</v>
      </c>
      <c r="BM29">
        <v>1.94</v>
      </c>
      <c r="BN29">
        <v>2.0699999999999998</v>
      </c>
      <c r="BO29">
        <v>2.21</v>
      </c>
      <c r="BP29">
        <v>2.41</v>
      </c>
      <c r="BQ29">
        <v>2.46</v>
      </c>
      <c r="BR29">
        <v>2.4900000000000002</v>
      </c>
      <c r="BS29">
        <v>2.64</v>
      </c>
      <c r="BT29">
        <v>2.77</v>
      </c>
      <c r="BU29">
        <v>2.92</v>
      </c>
      <c r="BV29">
        <v>3.07</v>
      </c>
      <c r="BW29">
        <v>3.21</v>
      </c>
      <c r="BX29">
        <v>3.27</v>
      </c>
      <c r="BY29">
        <v>3.31</v>
      </c>
      <c r="BZ29">
        <v>3.43</v>
      </c>
      <c r="CA29">
        <v>3.55</v>
      </c>
      <c r="CB29">
        <v>3.67</v>
      </c>
      <c r="CC29">
        <v>3.81</v>
      </c>
      <c r="CD29">
        <v>3.92</v>
      </c>
      <c r="CE29">
        <v>3.97</v>
      </c>
      <c r="CF29">
        <v>3.98</v>
      </c>
      <c r="CG29">
        <v>4.16</v>
      </c>
      <c r="CH29">
        <v>4.3600000000000003</v>
      </c>
      <c r="CI29">
        <v>4.58</v>
      </c>
      <c r="CJ29">
        <v>4.78</v>
      </c>
      <c r="CO29">
        <v>4.88</v>
      </c>
      <c r="CP29">
        <v>5.05</v>
      </c>
      <c r="CQ29">
        <v>5.25</v>
      </c>
      <c r="CR29">
        <v>5.35</v>
      </c>
      <c r="CS29">
        <v>5.37</v>
      </c>
      <c r="CT29">
        <v>5.6</v>
      </c>
      <c r="CV29">
        <v>5.97</v>
      </c>
      <c r="CW29">
        <v>6.12</v>
      </c>
      <c r="CX29">
        <v>6.27</v>
      </c>
      <c r="CY29">
        <v>6.34</v>
      </c>
      <c r="CZ29">
        <v>6.38</v>
      </c>
      <c r="DA29">
        <v>6.64</v>
      </c>
      <c r="DB29">
        <v>7.16</v>
      </c>
      <c r="DC29">
        <v>7.5</v>
      </c>
      <c r="DD29">
        <v>7.79</v>
      </c>
      <c r="DE29">
        <v>8.01</v>
      </c>
      <c r="DF29">
        <v>8.24</v>
      </c>
      <c r="DG29">
        <v>8.33</v>
      </c>
      <c r="DH29">
        <v>8.51</v>
      </c>
      <c r="DI29">
        <v>8.57</v>
      </c>
      <c r="DJ29">
        <v>9.01</v>
      </c>
      <c r="DL29">
        <v>9.7100000000000009</v>
      </c>
      <c r="DM29">
        <v>9.86</v>
      </c>
      <c r="DN29">
        <v>9.91</v>
      </c>
      <c r="DO29">
        <v>10.33</v>
      </c>
      <c r="DP29">
        <v>10.75</v>
      </c>
      <c r="DQ29">
        <v>11.38</v>
      </c>
      <c r="DR29">
        <v>11.75</v>
      </c>
      <c r="DS29">
        <v>12.11</v>
      </c>
      <c r="DT29">
        <v>12.49</v>
      </c>
      <c r="DU29">
        <v>12.58</v>
      </c>
      <c r="DV29">
        <v>12.91</v>
      </c>
      <c r="DW29">
        <v>14.49</v>
      </c>
      <c r="DX29">
        <v>14.92</v>
      </c>
      <c r="EB29">
        <v>15.5</v>
      </c>
      <c r="EC29">
        <v>15.88</v>
      </c>
      <c r="ED29">
        <v>15.9</v>
      </c>
      <c r="EE29">
        <v>16.02</v>
      </c>
      <c r="EF29">
        <v>16.48</v>
      </c>
      <c r="EG29">
        <v>17.46</v>
      </c>
      <c r="EH29">
        <v>17.75</v>
      </c>
      <c r="EI29">
        <v>17.89</v>
      </c>
      <c r="EJ29">
        <v>18.34</v>
      </c>
      <c r="EK29">
        <v>18.899999999999999</v>
      </c>
      <c r="EL29">
        <v>19.29</v>
      </c>
      <c r="EM29">
        <v>19.75</v>
      </c>
      <c r="EN29">
        <v>20.09</v>
      </c>
      <c r="EO29">
        <v>20.25</v>
      </c>
      <c r="EP29">
        <v>20.309999999999999</v>
      </c>
      <c r="EQ29">
        <v>20.68</v>
      </c>
      <c r="ER29">
        <v>21.3</v>
      </c>
      <c r="ES29">
        <v>21.73</v>
      </c>
      <c r="ET29">
        <v>21.9</v>
      </c>
      <c r="EU29">
        <v>22.05</v>
      </c>
      <c r="EX29">
        <v>22.28</v>
      </c>
      <c r="EY29">
        <v>22.67</v>
      </c>
      <c r="EZ29">
        <v>23.14</v>
      </c>
      <c r="FA29">
        <v>23.67</v>
      </c>
      <c r="FB29">
        <v>24.51</v>
      </c>
      <c r="FC29">
        <v>24.77</v>
      </c>
      <c r="FD29">
        <v>24.83</v>
      </c>
      <c r="FE29">
        <v>25.23</v>
      </c>
      <c r="FF29">
        <v>25.56</v>
      </c>
      <c r="FG29">
        <v>25.92</v>
      </c>
      <c r="FH29">
        <v>26.33</v>
      </c>
      <c r="FM29">
        <v>29.99</v>
      </c>
      <c r="FN29">
        <v>30.38</v>
      </c>
      <c r="FO29">
        <v>30.71</v>
      </c>
      <c r="FP29">
        <v>31.25</v>
      </c>
      <c r="FQ29">
        <v>31.49</v>
      </c>
      <c r="FR29">
        <v>31.56</v>
      </c>
      <c r="FS29">
        <v>31.75</v>
      </c>
      <c r="FT29">
        <v>32.11</v>
      </c>
      <c r="FU29">
        <v>32.42</v>
      </c>
      <c r="FV29">
        <v>33.090000000000003</v>
      </c>
      <c r="FW29">
        <v>33.28</v>
      </c>
      <c r="FX29">
        <v>33.6</v>
      </c>
      <c r="FY29">
        <v>33.729999999999997</v>
      </c>
      <c r="GB29">
        <v>35.200000000000003</v>
      </c>
      <c r="GC29">
        <v>35.700000000000003</v>
      </c>
      <c r="GD29">
        <v>36.11</v>
      </c>
      <c r="GF29">
        <v>36.76</v>
      </c>
      <c r="GG29">
        <v>37.119999999999997</v>
      </c>
      <c r="GH29">
        <v>37.76</v>
      </c>
      <c r="GI29">
        <v>38.36</v>
      </c>
      <c r="GJ29">
        <v>39.57</v>
      </c>
      <c r="GK29">
        <v>40.17</v>
      </c>
      <c r="GL29">
        <v>40.68</v>
      </c>
      <c r="GM29">
        <v>40.909999999999997</v>
      </c>
      <c r="GN29">
        <v>41.57</v>
      </c>
      <c r="GO29">
        <v>42.38</v>
      </c>
      <c r="GP29">
        <v>43.09</v>
      </c>
      <c r="GQ29">
        <v>43.71</v>
      </c>
      <c r="GT29">
        <v>45.54</v>
      </c>
      <c r="GU29">
        <v>45.59</v>
      </c>
      <c r="GV29">
        <v>46.49</v>
      </c>
      <c r="GX29">
        <v>48.35</v>
      </c>
      <c r="HA29">
        <v>49.54</v>
      </c>
      <c r="HB29">
        <v>50.3</v>
      </c>
      <c r="HC29">
        <v>50.63</v>
      </c>
      <c r="HD29">
        <v>51.8</v>
      </c>
      <c r="HE29">
        <v>52.45</v>
      </c>
      <c r="HF29">
        <v>53.06</v>
      </c>
      <c r="HH29">
        <v>53.85</v>
      </c>
      <c r="HI29">
        <v>54.49</v>
      </c>
      <c r="HJ29">
        <v>55.05</v>
      </c>
      <c r="HK29">
        <v>55.93</v>
      </c>
      <c r="HL29">
        <v>56.87</v>
      </c>
      <c r="HM29">
        <v>57.3</v>
      </c>
      <c r="HN29">
        <v>58.24</v>
      </c>
      <c r="HO29">
        <v>58.39</v>
      </c>
      <c r="HP29">
        <v>58.76</v>
      </c>
      <c r="HQ29">
        <v>59.58</v>
      </c>
      <c r="HR29">
        <v>60.41</v>
      </c>
      <c r="HS29">
        <v>61.36</v>
      </c>
      <c r="HT29">
        <v>61.88</v>
      </c>
      <c r="HU29">
        <v>62.03</v>
      </c>
      <c r="HV29">
        <v>62.08</v>
      </c>
      <c r="HW29">
        <v>63.3</v>
      </c>
      <c r="HX29">
        <v>64.22</v>
      </c>
      <c r="HY29">
        <v>64.87</v>
      </c>
      <c r="HZ29">
        <v>65.88</v>
      </c>
      <c r="IA29">
        <v>65.94</v>
      </c>
      <c r="IB29">
        <v>67.03</v>
      </c>
      <c r="ID29">
        <v>67.069999999999993</v>
      </c>
      <c r="IE29">
        <v>68.48</v>
      </c>
      <c r="IF29">
        <v>69.260000000000005</v>
      </c>
      <c r="IH29">
        <v>70.319999999999993</v>
      </c>
      <c r="II29">
        <v>71.37</v>
      </c>
      <c r="IJ29">
        <v>71.97</v>
      </c>
      <c r="IL29">
        <v>73.12</v>
      </c>
      <c r="IM29">
        <v>74.180000000000007</v>
      </c>
      <c r="IP29">
        <v>76.900000000000006</v>
      </c>
      <c r="IQ29">
        <v>77.459999999999994</v>
      </c>
      <c r="IR29">
        <v>79.11</v>
      </c>
      <c r="IS29">
        <v>79.86</v>
      </c>
      <c r="IT29">
        <v>80.8</v>
      </c>
      <c r="IU29">
        <v>81.69</v>
      </c>
      <c r="IX29">
        <v>82.53</v>
      </c>
      <c r="IY29">
        <v>83.44</v>
      </c>
      <c r="IZ29">
        <v>83.99</v>
      </c>
      <c r="JA29">
        <v>85.01</v>
      </c>
      <c r="JB29">
        <v>87.05</v>
      </c>
      <c r="JC29">
        <v>87.68</v>
      </c>
      <c r="JE29">
        <v>88.35</v>
      </c>
      <c r="JF29">
        <v>89.49</v>
      </c>
      <c r="JH29">
        <v>91.37</v>
      </c>
      <c r="JI29">
        <v>92.19</v>
      </c>
      <c r="JK29">
        <v>93.06</v>
      </c>
      <c r="JL29">
        <v>93.79</v>
      </c>
      <c r="JM29">
        <v>94.52</v>
      </c>
      <c r="JQ29">
        <v>97.34</v>
      </c>
      <c r="JR29">
        <v>98.26</v>
      </c>
      <c r="JS29">
        <v>98.39</v>
      </c>
      <c r="JU29">
        <v>100.31</v>
      </c>
      <c r="JV29">
        <v>101.22</v>
      </c>
      <c r="JW29">
        <v>102.18</v>
      </c>
      <c r="JY29">
        <v>103.09</v>
      </c>
      <c r="JZ29">
        <v>103.89</v>
      </c>
      <c r="KA29">
        <v>103.97</v>
      </c>
      <c r="KB29">
        <v>105.1</v>
      </c>
      <c r="KD29">
        <v>107.1</v>
      </c>
      <c r="KF29">
        <v>107.7</v>
      </c>
      <c r="KG29">
        <v>108.34</v>
      </c>
      <c r="KH29">
        <v>109</v>
      </c>
      <c r="KI29">
        <v>109.66</v>
      </c>
      <c r="KK29">
        <v>110.95</v>
      </c>
      <c r="KN29">
        <v>112.91</v>
      </c>
      <c r="KP29">
        <v>113.43</v>
      </c>
      <c r="KQ29">
        <v>113.83</v>
      </c>
      <c r="KR29">
        <v>114.54</v>
      </c>
      <c r="KS29">
        <v>115.35</v>
      </c>
      <c r="KT29">
        <v>115.99</v>
      </c>
      <c r="KU29">
        <v>116.37</v>
      </c>
      <c r="KY29">
        <v>117.21</v>
      </c>
      <c r="KZ29">
        <v>118.92</v>
      </c>
      <c r="LB29">
        <v>120.47</v>
      </c>
      <c r="LC29">
        <v>120.53</v>
      </c>
      <c r="LD29">
        <v>120.95</v>
      </c>
      <c r="LF29">
        <v>121.97</v>
      </c>
      <c r="LG29">
        <v>122.94</v>
      </c>
      <c r="LH29">
        <v>125.33</v>
      </c>
      <c r="LI29">
        <v>125.77</v>
      </c>
      <c r="LK29">
        <v>126.22</v>
      </c>
      <c r="LL29">
        <v>127.42</v>
      </c>
      <c r="LT29">
        <v>129.85</v>
      </c>
      <c r="LU29">
        <v>130.84</v>
      </c>
      <c r="LV29">
        <v>131.34</v>
      </c>
      <c r="LX29">
        <v>130.41999999999999</v>
      </c>
      <c r="LZ29">
        <v>131.31</v>
      </c>
      <c r="MA29">
        <v>132.24</v>
      </c>
      <c r="MB29">
        <v>137.49</v>
      </c>
      <c r="MD29">
        <v>138.72999999999999</v>
      </c>
      <c r="MF29">
        <v>138.84</v>
      </c>
      <c r="MG29">
        <v>139.24</v>
      </c>
      <c r="MR29">
        <v>143.24</v>
      </c>
      <c r="MT29">
        <v>144.62</v>
      </c>
      <c r="MU29">
        <v>145.22</v>
      </c>
      <c r="MV29">
        <v>145.78</v>
      </c>
      <c r="MW29">
        <v>146.58000000000001</v>
      </c>
      <c r="MX29">
        <v>146.94</v>
      </c>
      <c r="MY29">
        <v>147.02000000000001</v>
      </c>
      <c r="MZ29">
        <v>147.44</v>
      </c>
      <c r="NA29">
        <v>147.97999999999999</v>
      </c>
      <c r="NB29">
        <v>148.36000000000001</v>
      </c>
      <c r="NC29">
        <v>148.97999999999999</v>
      </c>
      <c r="ND29">
        <v>149.41999999999999</v>
      </c>
      <c r="NE29">
        <v>149.53</v>
      </c>
      <c r="NF29">
        <v>149.59</v>
      </c>
      <c r="NG29">
        <v>149.88</v>
      </c>
      <c r="NH29">
        <v>150.29</v>
      </c>
      <c r="NI29">
        <v>150.88999999999999</v>
      </c>
      <c r="NJ29">
        <v>151.33000000000001</v>
      </c>
      <c r="NK29">
        <v>151.68</v>
      </c>
      <c r="NL29">
        <v>151.78</v>
      </c>
      <c r="NM29">
        <v>151.80000000000001</v>
      </c>
      <c r="NN29">
        <v>152.15</v>
      </c>
      <c r="NO29">
        <v>152.5</v>
      </c>
      <c r="NP29">
        <v>153.07</v>
      </c>
      <c r="NQ29">
        <v>153.5</v>
      </c>
      <c r="NU29">
        <v>153.75</v>
      </c>
      <c r="NV29">
        <v>154.15</v>
      </c>
      <c r="NW29">
        <v>154.55000000000001</v>
      </c>
      <c r="NX29">
        <v>154.75</v>
      </c>
      <c r="NY29">
        <v>154.81</v>
      </c>
      <c r="NZ29">
        <v>154.81</v>
      </c>
      <c r="OA29">
        <v>154.83000000000001</v>
      </c>
      <c r="OB29">
        <v>155.18</v>
      </c>
      <c r="OC29">
        <v>155.57</v>
      </c>
      <c r="OD29">
        <v>155.91</v>
      </c>
      <c r="OH29">
        <v>156.88999999999999</v>
      </c>
      <c r="OI29">
        <v>157.4</v>
      </c>
      <c r="OJ29">
        <v>157.79</v>
      </c>
      <c r="OK29">
        <v>158.13</v>
      </c>
      <c r="OL29">
        <v>158.54</v>
      </c>
      <c r="OM29">
        <v>158.88</v>
      </c>
      <c r="ON29">
        <v>159.02000000000001</v>
      </c>
      <c r="OO29">
        <v>160.44999999999999</v>
      </c>
      <c r="OP29">
        <v>162.31</v>
      </c>
      <c r="OQ29">
        <v>162.69999999999999</v>
      </c>
      <c r="OR29">
        <v>163.32</v>
      </c>
      <c r="OS29">
        <v>163.85</v>
      </c>
      <c r="OT29">
        <v>164.25</v>
      </c>
      <c r="OU29">
        <v>164.84</v>
      </c>
      <c r="OV29">
        <v>164.94</v>
      </c>
      <c r="OW29">
        <v>165.84</v>
      </c>
      <c r="OX29">
        <v>166.35</v>
      </c>
      <c r="OY29">
        <v>166.89</v>
      </c>
      <c r="OZ29">
        <v>167.66</v>
      </c>
      <c r="PA29">
        <v>168.46</v>
      </c>
      <c r="PB29">
        <v>168.77</v>
      </c>
      <c r="PC29">
        <v>168.84</v>
      </c>
      <c r="PD29">
        <v>169.4</v>
      </c>
      <c r="PE29">
        <v>170.02</v>
      </c>
      <c r="PF29">
        <v>170.62</v>
      </c>
      <c r="PG29">
        <v>171.26</v>
      </c>
      <c r="PH29">
        <v>171.86</v>
      </c>
      <c r="PI29">
        <v>172.24</v>
      </c>
      <c r="PJ29">
        <v>172.68</v>
      </c>
      <c r="PK29">
        <v>173.21</v>
      </c>
      <c r="PL29">
        <v>173.76</v>
      </c>
      <c r="PM29">
        <v>174.46</v>
      </c>
      <c r="PN29">
        <v>175.25</v>
      </c>
      <c r="PO29">
        <v>176.09</v>
      </c>
      <c r="PP29">
        <v>176.47</v>
      </c>
      <c r="PQ29">
        <v>176.65</v>
      </c>
      <c r="PR29">
        <v>177.07</v>
      </c>
      <c r="PS29">
        <v>177.47</v>
      </c>
      <c r="PT29">
        <v>177.99</v>
      </c>
      <c r="PU29">
        <v>178.6</v>
      </c>
      <c r="PV29">
        <v>179.5</v>
      </c>
      <c r="PW29">
        <v>179.93</v>
      </c>
      <c r="PX29">
        <v>180.1</v>
      </c>
      <c r="PY29">
        <v>180.52</v>
      </c>
      <c r="PZ29">
        <v>180.95</v>
      </c>
      <c r="QA29">
        <v>181.46</v>
      </c>
      <c r="QB29">
        <v>182.13</v>
      </c>
      <c r="QC29">
        <v>182.83</v>
      </c>
      <c r="QD29">
        <v>183.08</v>
      </c>
      <c r="QE29">
        <v>183.17</v>
      </c>
      <c r="QF29">
        <v>183.54</v>
      </c>
      <c r="QG29">
        <v>183.62</v>
      </c>
      <c r="QI29">
        <v>184.17</v>
      </c>
      <c r="QJ29">
        <v>184.5</v>
      </c>
      <c r="QK29">
        <v>184.8</v>
      </c>
      <c r="QL29">
        <v>184.89</v>
      </c>
      <c r="QM29">
        <v>185.3</v>
      </c>
      <c r="QN29">
        <v>185.7</v>
      </c>
      <c r="QO29">
        <v>186.2</v>
      </c>
      <c r="QP29">
        <v>187.17</v>
      </c>
      <c r="QQ29">
        <v>187.52</v>
      </c>
      <c r="QR29">
        <v>188.02</v>
      </c>
      <c r="QS29">
        <v>188.12</v>
      </c>
      <c r="QT29">
        <v>188.46</v>
      </c>
      <c r="QU29">
        <v>188.72</v>
      </c>
      <c r="QV29">
        <v>189.2</v>
      </c>
      <c r="QW29">
        <v>189.55</v>
      </c>
      <c r="QX29">
        <v>190.05</v>
      </c>
      <c r="QY29">
        <v>190.32</v>
      </c>
      <c r="QZ29">
        <v>190.4</v>
      </c>
      <c r="RA29">
        <v>190.82</v>
      </c>
      <c r="RB29">
        <v>191.11</v>
      </c>
      <c r="RC29">
        <v>191.41</v>
      </c>
      <c r="RD29">
        <v>191.68</v>
      </c>
      <c r="RE29">
        <v>192</v>
      </c>
      <c r="RF29">
        <v>192.12</v>
      </c>
      <c r="RG29">
        <v>192.32</v>
      </c>
      <c r="RH29">
        <v>192.61</v>
      </c>
      <c r="RI29">
        <v>193.26</v>
      </c>
      <c r="RJ29">
        <v>193.75</v>
      </c>
      <c r="RK29">
        <v>194.1</v>
      </c>
      <c r="RL29">
        <v>194.69</v>
      </c>
      <c r="RM29">
        <v>194.94</v>
      </c>
      <c r="RN29">
        <v>195.37</v>
      </c>
      <c r="RO29">
        <v>195.8</v>
      </c>
      <c r="RP29">
        <v>196.11</v>
      </c>
      <c r="RQ29">
        <v>196.75</v>
      </c>
      <c r="RR29">
        <v>197.03</v>
      </c>
      <c r="RS29">
        <v>197.37</v>
      </c>
      <c r="RT29">
        <v>197.58</v>
      </c>
      <c r="RU29">
        <v>197.95</v>
      </c>
      <c r="RV29">
        <v>198.16</v>
      </c>
      <c r="RW29">
        <v>198.33</v>
      </c>
      <c r="RX29">
        <v>198.74</v>
      </c>
      <c r="RY29">
        <v>199.07</v>
      </c>
      <c r="RZ29">
        <v>199.28</v>
      </c>
      <c r="SB29">
        <v>199.39</v>
      </c>
      <c r="SC29">
        <v>199.39</v>
      </c>
      <c r="SD29">
        <v>199.53</v>
      </c>
      <c r="SE29">
        <v>199.66</v>
      </c>
      <c r="SF29">
        <v>200.09</v>
      </c>
      <c r="SG29">
        <v>200.36</v>
      </c>
      <c r="SH29">
        <v>200.57</v>
      </c>
      <c r="SJ29">
        <v>200.76</v>
      </c>
      <c r="SK29">
        <v>200.94</v>
      </c>
      <c r="SL29">
        <v>201.14</v>
      </c>
      <c r="SM29">
        <v>201.39</v>
      </c>
      <c r="SN29">
        <v>201.54</v>
      </c>
      <c r="SO29">
        <v>201.81</v>
      </c>
      <c r="SP29">
        <v>201.89</v>
      </c>
      <c r="SQ29">
        <v>201.94</v>
      </c>
      <c r="SR29">
        <v>202.04</v>
      </c>
      <c r="SS29">
        <v>202.17</v>
      </c>
      <c r="ST29">
        <v>202.82</v>
      </c>
      <c r="SU29">
        <v>203.29</v>
      </c>
      <c r="SV29">
        <v>203.36</v>
      </c>
      <c r="SW29">
        <v>203.38</v>
      </c>
      <c r="SX29">
        <v>203.39</v>
      </c>
      <c r="SY29">
        <v>203.42</v>
      </c>
      <c r="TA29">
        <v>203.87</v>
      </c>
      <c r="TB29">
        <v>204.18</v>
      </c>
      <c r="TC29">
        <v>204.26</v>
      </c>
      <c r="TD29">
        <v>204.28</v>
      </c>
      <c r="TI29">
        <v>205.07</v>
      </c>
      <c r="TJ29">
        <v>205.72</v>
      </c>
      <c r="TK29">
        <v>205.87</v>
      </c>
      <c r="TL29">
        <v>205.92</v>
      </c>
      <c r="TM29">
        <v>206.03</v>
      </c>
      <c r="TN29">
        <v>206.11</v>
      </c>
      <c r="TO29">
        <v>206.21</v>
      </c>
      <c r="TQ29">
        <v>206.82</v>
      </c>
      <c r="TR29">
        <v>207.15</v>
      </c>
      <c r="TS29">
        <v>207.24</v>
      </c>
      <c r="TT29">
        <v>207.4</v>
      </c>
      <c r="TU29">
        <v>207.73</v>
      </c>
      <c r="TV29">
        <v>208</v>
      </c>
      <c r="TW29">
        <v>208.77</v>
      </c>
      <c r="TY29">
        <v>209.08</v>
      </c>
      <c r="TZ29">
        <v>209.1</v>
      </c>
      <c r="UA29">
        <v>209.25</v>
      </c>
      <c r="UB29">
        <v>209.46</v>
      </c>
      <c r="UC29">
        <v>209.62</v>
      </c>
      <c r="UD29">
        <v>209.84</v>
      </c>
      <c r="UE29">
        <v>209.91</v>
      </c>
      <c r="UF29">
        <v>209.96</v>
      </c>
      <c r="UG29">
        <v>209.98</v>
      </c>
      <c r="UH29">
        <v>210.19</v>
      </c>
      <c r="UI29">
        <v>210.45</v>
      </c>
      <c r="UJ29">
        <v>210.68</v>
      </c>
      <c r="UK29">
        <v>210.88</v>
      </c>
      <c r="UL29">
        <v>211.05</v>
      </c>
      <c r="UM29">
        <v>211.06</v>
      </c>
      <c r="UN29">
        <v>211.12</v>
      </c>
      <c r="UO29">
        <v>211.32</v>
      </c>
      <c r="UQ29">
        <v>212.52</v>
      </c>
      <c r="UR29">
        <v>212.56</v>
      </c>
      <c r="US29">
        <v>212.86</v>
      </c>
      <c r="UT29">
        <v>212.96</v>
      </c>
      <c r="UU29">
        <v>213.14</v>
      </c>
      <c r="UV29">
        <v>213.51</v>
      </c>
      <c r="UW29">
        <v>213.67</v>
      </c>
      <c r="UY29">
        <v>214.05</v>
      </c>
      <c r="VA29">
        <v>214.23</v>
      </c>
      <c r="VB29">
        <v>213.94</v>
      </c>
      <c r="VC29">
        <v>214.46</v>
      </c>
      <c r="VE29">
        <v>214.65</v>
      </c>
      <c r="VF29">
        <v>215.16</v>
      </c>
      <c r="VH29">
        <v>215.32</v>
      </c>
      <c r="VI29">
        <v>215.36</v>
      </c>
      <c r="VP29">
        <v>217.11</v>
      </c>
      <c r="WD29">
        <v>217.25</v>
      </c>
      <c r="WE29">
        <v>217.35</v>
      </c>
      <c r="WF29">
        <v>217.45</v>
      </c>
      <c r="WG29">
        <v>217.64</v>
      </c>
      <c r="WH29">
        <v>217.82</v>
      </c>
      <c r="WJ29">
        <v>217.89</v>
      </c>
      <c r="WK29">
        <v>217.95</v>
      </c>
      <c r="WN29">
        <v>218.45</v>
      </c>
      <c r="WO29">
        <v>218.47</v>
      </c>
      <c r="WP29">
        <v>218.51</v>
      </c>
      <c r="WQ29">
        <v>218.52</v>
      </c>
      <c r="WR29">
        <v>218.55</v>
      </c>
      <c r="WS29">
        <v>218.63</v>
      </c>
      <c r="WT29">
        <v>218.68</v>
      </c>
      <c r="WU29">
        <v>218.7</v>
      </c>
      <c r="WV29">
        <v>218.73</v>
      </c>
      <c r="WW29">
        <v>218.75</v>
      </c>
      <c r="WX29">
        <v>218.75</v>
      </c>
      <c r="WY29">
        <v>219.32</v>
      </c>
      <c r="WZ29">
        <v>219.35</v>
      </c>
      <c r="XA29">
        <v>219.44</v>
      </c>
      <c r="XB29">
        <v>219.52</v>
      </c>
      <c r="XC29">
        <v>219.54</v>
      </c>
      <c r="XD29">
        <v>219.62</v>
      </c>
      <c r="XE29">
        <v>219.64</v>
      </c>
      <c r="XF29">
        <v>219.66</v>
      </c>
      <c r="XG29">
        <v>219.71</v>
      </c>
      <c r="XH29">
        <v>219.72</v>
      </c>
      <c r="XI29">
        <v>219.73</v>
      </c>
      <c r="XJ29">
        <v>219.82</v>
      </c>
      <c r="XK29">
        <v>219.85</v>
      </c>
      <c r="XL29">
        <v>219.85</v>
      </c>
      <c r="XM29">
        <v>219.88</v>
      </c>
      <c r="XN29">
        <v>219.94</v>
      </c>
      <c r="XO29">
        <v>220.01</v>
      </c>
      <c r="XP29">
        <v>220.06</v>
      </c>
      <c r="XQ29">
        <v>220.08</v>
      </c>
      <c r="XR29">
        <v>220.14</v>
      </c>
      <c r="XS29">
        <v>220.15</v>
      </c>
      <c r="XT29">
        <v>220.17</v>
      </c>
      <c r="XU29">
        <v>220.19</v>
      </c>
      <c r="XV29">
        <v>220.26</v>
      </c>
      <c r="XX29">
        <v>220.35</v>
      </c>
      <c r="XY29">
        <v>220.38</v>
      </c>
      <c r="XZ29">
        <v>220.4</v>
      </c>
      <c r="YA29">
        <v>220.61</v>
      </c>
      <c r="YB29">
        <v>220.62</v>
      </c>
      <c r="YC29">
        <v>220.68</v>
      </c>
      <c r="YL29">
        <v>220.72</v>
      </c>
      <c r="YM29">
        <v>220.72</v>
      </c>
      <c r="YN29">
        <v>220.72</v>
      </c>
      <c r="YO29">
        <v>220.72</v>
      </c>
      <c r="YP29">
        <v>220.72</v>
      </c>
      <c r="YR29">
        <v>220.73</v>
      </c>
      <c r="YS29">
        <v>220.73</v>
      </c>
      <c r="YT29">
        <v>220.73</v>
      </c>
      <c r="YU29">
        <v>220.73</v>
      </c>
      <c r="YV29">
        <v>220.73</v>
      </c>
      <c r="YW29">
        <v>220.74</v>
      </c>
      <c r="YX29">
        <v>220.74</v>
      </c>
      <c r="YY29">
        <v>220.74</v>
      </c>
      <c r="YZ29">
        <v>220.74</v>
      </c>
      <c r="ZA29">
        <v>220.74</v>
      </c>
      <c r="ZB29">
        <v>220.74</v>
      </c>
      <c r="ZC29">
        <v>220.74</v>
      </c>
      <c r="ZD29">
        <v>220.74</v>
      </c>
      <c r="ZE29">
        <v>219.73</v>
      </c>
      <c r="ZF29">
        <v>219.73</v>
      </c>
      <c r="ZG29">
        <v>219.73</v>
      </c>
      <c r="ZJ29">
        <v>219.73</v>
      </c>
      <c r="ZL29">
        <v>219.73</v>
      </c>
      <c r="ZN29">
        <v>219.73</v>
      </c>
      <c r="ZS29">
        <v>219.74</v>
      </c>
      <c r="ZU29">
        <v>219.74</v>
      </c>
      <c r="ZX29">
        <v>219.74</v>
      </c>
      <c r="ZZ29">
        <v>219.89</v>
      </c>
      <c r="AAB29">
        <v>219.89</v>
      </c>
      <c r="AAC29">
        <v>219.89</v>
      </c>
      <c r="AAD29">
        <v>219.89</v>
      </c>
      <c r="AAE29">
        <v>219.89</v>
      </c>
      <c r="AAF29">
        <v>219.89</v>
      </c>
      <c r="AAG29">
        <v>219.89</v>
      </c>
      <c r="AAH29">
        <v>219.89</v>
      </c>
      <c r="AAI29">
        <v>219.89</v>
      </c>
      <c r="AAJ29">
        <v>219.89</v>
      </c>
      <c r="AAK29">
        <v>219.89</v>
      </c>
      <c r="AAM29">
        <v>220.43</v>
      </c>
      <c r="AAN29">
        <v>221.2</v>
      </c>
      <c r="AAO29">
        <v>221.22</v>
      </c>
      <c r="AAQ29">
        <v>221.24</v>
      </c>
      <c r="AAR29">
        <v>221.24</v>
      </c>
      <c r="AAS29">
        <v>221.25</v>
      </c>
      <c r="AAU29">
        <v>221.28</v>
      </c>
      <c r="AAW29">
        <v>221.29</v>
      </c>
      <c r="AAX29">
        <v>221.3</v>
      </c>
      <c r="AAY29">
        <v>221.3</v>
      </c>
      <c r="AAZ29">
        <v>221.32</v>
      </c>
      <c r="ABA29">
        <v>221.33</v>
      </c>
      <c r="ABC29">
        <v>221.33</v>
      </c>
      <c r="ABD29">
        <v>222.05</v>
      </c>
      <c r="ABE29">
        <v>222.06</v>
      </c>
      <c r="ABF29">
        <v>223</v>
      </c>
      <c r="ABH29">
        <v>223.02</v>
      </c>
      <c r="ABJ29">
        <v>223.03</v>
      </c>
      <c r="ABK29">
        <v>223.03</v>
      </c>
      <c r="ABL29">
        <v>223.06</v>
      </c>
      <c r="ABM29">
        <v>223.06</v>
      </c>
      <c r="ABN29">
        <v>223.07</v>
      </c>
      <c r="ABO29">
        <v>223.08</v>
      </c>
      <c r="ABQ29">
        <v>223.08</v>
      </c>
      <c r="ABR29">
        <v>223.09</v>
      </c>
      <c r="ABS29">
        <v>223.09</v>
      </c>
      <c r="ABT29">
        <v>223.09</v>
      </c>
      <c r="ABV29">
        <v>223.12</v>
      </c>
      <c r="ABW29">
        <v>223.13</v>
      </c>
      <c r="ABY29">
        <v>223.97</v>
      </c>
      <c r="ABZ29">
        <v>224</v>
      </c>
      <c r="ACA29">
        <v>224.01</v>
      </c>
      <c r="ACB29">
        <v>224.01</v>
      </c>
      <c r="ACC29">
        <v>224.01</v>
      </c>
      <c r="ACD29">
        <v>224.01</v>
      </c>
      <c r="ACE29">
        <v>224.01</v>
      </c>
      <c r="ACF29">
        <v>224.01</v>
      </c>
      <c r="ACG29">
        <v>224.01</v>
      </c>
      <c r="ACH29">
        <v>224.01</v>
      </c>
      <c r="ACI29">
        <v>224.01</v>
      </c>
      <c r="ACJ29">
        <v>224.12</v>
      </c>
      <c r="ACK29">
        <v>224.12</v>
      </c>
      <c r="ACL29">
        <v>224.13</v>
      </c>
      <c r="ACN29">
        <v>224.16</v>
      </c>
      <c r="ACO29">
        <v>224.16</v>
      </c>
      <c r="ACQ29">
        <v>224.17</v>
      </c>
      <c r="ACR29">
        <v>224.55</v>
      </c>
      <c r="ACS29">
        <v>224.56</v>
      </c>
      <c r="ACT29">
        <v>224.6</v>
      </c>
      <c r="ACU29">
        <v>224.6</v>
      </c>
      <c r="ACV29">
        <v>224.6</v>
      </c>
      <c r="ACX29">
        <v>224.6</v>
      </c>
      <c r="ACZ29">
        <v>224.62</v>
      </c>
      <c r="ADA29">
        <v>224.77</v>
      </c>
      <c r="ADB29">
        <v>224.77</v>
      </c>
      <c r="ADC29">
        <v>224.77</v>
      </c>
      <c r="ADE29">
        <v>224.8</v>
      </c>
      <c r="ADF29">
        <v>224.8</v>
      </c>
      <c r="ADI29">
        <v>224.93</v>
      </c>
      <c r="ADK29">
        <v>224.97</v>
      </c>
      <c r="ADL29">
        <v>224.97</v>
      </c>
      <c r="ADM29">
        <v>224.99</v>
      </c>
      <c r="ADN29">
        <v>224.99</v>
      </c>
      <c r="ADO29">
        <v>225</v>
      </c>
      <c r="ADQ29">
        <v>225</v>
      </c>
      <c r="ADR29">
        <v>225</v>
      </c>
      <c r="ADS29">
        <v>225.25</v>
      </c>
      <c r="ADV29">
        <v>225.25</v>
      </c>
      <c r="ADX29">
        <v>225.26</v>
      </c>
      <c r="ADZ29">
        <v>225.34</v>
      </c>
      <c r="AEB29">
        <v>225.35</v>
      </c>
      <c r="AEC29">
        <v>225.37</v>
      </c>
      <c r="AED29">
        <v>225.37</v>
      </c>
      <c r="AEE29">
        <v>225.37</v>
      </c>
    </row>
    <row r="30" spans="1:812">
      <c r="A30" s="1" t="s">
        <v>219</v>
      </c>
      <c r="B30" s="1" t="s">
        <v>420</v>
      </c>
      <c r="FI30">
        <v>49.71</v>
      </c>
      <c r="FP30">
        <v>53.91</v>
      </c>
      <c r="GD30">
        <v>64.599999999999994</v>
      </c>
      <c r="GK30">
        <v>67.06</v>
      </c>
      <c r="GR30">
        <v>70.78</v>
      </c>
      <c r="GY30">
        <v>73.58</v>
      </c>
      <c r="HF30">
        <v>75.53</v>
      </c>
      <c r="HM30">
        <v>79.739999999999995</v>
      </c>
      <c r="HT30">
        <v>87.64</v>
      </c>
      <c r="IA30">
        <v>92.21</v>
      </c>
      <c r="IH30">
        <v>95.17</v>
      </c>
      <c r="IO30">
        <v>96.48</v>
      </c>
      <c r="IV30">
        <v>96.74</v>
      </c>
      <c r="MW30">
        <v>115.02</v>
      </c>
    </row>
    <row r="31" spans="1:812">
      <c r="A31" s="1" t="s">
        <v>198</v>
      </c>
      <c r="B31" s="1" t="s">
        <v>198</v>
      </c>
      <c r="DL31">
        <v>0</v>
      </c>
      <c r="DM31">
        <v>0.17</v>
      </c>
      <c r="DN31">
        <v>0.19</v>
      </c>
      <c r="DO31">
        <v>0.28000000000000003</v>
      </c>
      <c r="DP31">
        <v>0.59</v>
      </c>
      <c r="DQ31">
        <v>0.73</v>
      </c>
      <c r="DR31">
        <v>0.92</v>
      </c>
      <c r="DS31">
        <v>0.99</v>
      </c>
      <c r="DT31">
        <v>1.1499999999999999</v>
      </c>
      <c r="DU31">
        <v>1.18</v>
      </c>
      <c r="DV31">
        <v>1.39</v>
      </c>
      <c r="DW31">
        <v>1.52</v>
      </c>
      <c r="DX31">
        <v>1.53</v>
      </c>
      <c r="DY31">
        <v>1.72</v>
      </c>
      <c r="DZ31">
        <v>1.77</v>
      </c>
      <c r="EA31">
        <v>1.93</v>
      </c>
      <c r="EC31">
        <v>2.08</v>
      </c>
      <c r="ED31">
        <v>2.25</v>
      </c>
      <c r="EE31">
        <v>2.4500000000000002</v>
      </c>
      <c r="EF31">
        <v>2.63</v>
      </c>
      <c r="EH31">
        <v>2.82</v>
      </c>
      <c r="EJ31">
        <v>2.96</v>
      </c>
      <c r="EK31">
        <v>3.08</v>
      </c>
      <c r="EL31">
        <v>3.23</v>
      </c>
      <c r="EM31">
        <v>3.4</v>
      </c>
      <c r="EQ31">
        <v>3.64</v>
      </c>
      <c r="ER31">
        <v>3.8</v>
      </c>
      <c r="ES31">
        <v>4.0599999999999996</v>
      </c>
      <c r="ET31">
        <v>4.38</v>
      </c>
      <c r="EV31">
        <v>4.8</v>
      </c>
      <c r="EW31">
        <v>4.8099999999999996</v>
      </c>
      <c r="EX31">
        <v>5.3</v>
      </c>
      <c r="EY31">
        <v>5.73</v>
      </c>
      <c r="FF31">
        <v>6.41</v>
      </c>
      <c r="FI31">
        <v>7.61</v>
      </c>
      <c r="FJ31">
        <v>8.2200000000000006</v>
      </c>
      <c r="FK31">
        <v>8.2200000000000006</v>
      </c>
      <c r="FL31">
        <v>8.91</v>
      </c>
      <c r="FM31">
        <v>9.6300000000000008</v>
      </c>
      <c r="FN31">
        <v>10.47</v>
      </c>
      <c r="FO31">
        <v>11.29</v>
      </c>
      <c r="FP31">
        <v>11.3</v>
      </c>
      <c r="FQ31">
        <v>12.06</v>
      </c>
      <c r="FU31">
        <v>12.59</v>
      </c>
      <c r="FZ31">
        <v>13.36</v>
      </c>
      <c r="GB31">
        <v>13.75</v>
      </c>
      <c r="GC31">
        <v>13.99</v>
      </c>
      <c r="GD31">
        <v>14.01</v>
      </c>
      <c r="GF31">
        <v>14.25</v>
      </c>
      <c r="GG31">
        <v>14.51</v>
      </c>
      <c r="GJ31">
        <v>15.08</v>
      </c>
      <c r="GK31">
        <v>15.09</v>
      </c>
      <c r="GL31">
        <v>15.31</v>
      </c>
      <c r="GN31">
        <v>15.97</v>
      </c>
      <c r="GS31">
        <v>17.48</v>
      </c>
      <c r="GU31">
        <v>18.18</v>
      </c>
      <c r="GV31">
        <v>18.79</v>
      </c>
      <c r="GW31">
        <v>19.309999999999999</v>
      </c>
      <c r="GX31">
        <v>19.98</v>
      </c>
      <c r="GY31">
        <v>20.07</v>
      </c>
      <c r="GZ31">
        <v>20.83</v>
      </c>
      <c r="HA31">
        <v>21.1</v>
      </c>
      <c r="HB31">
        <v>21.95</v>
      </c>
      <c r="HC31">
        <v>22.81</v>
      </c>
      <c r="HD31">
        <v>23.69</v>
      </c>
      <c r="HE31">
        <v>24.63</v>
      </c>
      <c r="HF31">
        <v>24.79</v>
      </c>
      <c r="HJ31">
        <v>27.71</v>
      </c>
      <c r="HM31">
        <v>28.74</v>
      </c>
      <c r="HP31">
        <v>30.75</v>
      </c>
      <c r="HR31">
        <v>31.52</v>
      </c>
      <c r="HT31">
        <v>32.46</v>
      </c>
      <c r="HU31">
        <v>33.26</v>
      </c>
      <c r="HV31">
        <v>33.54</v>
      </c>
      <c r="HW31">
        <v>34.31</v>
      </c>
      <c r="HY31">
        <v>35.79</v>
      </c>
      <c r="HZ31">
        <v>36.56</v>
      </c>
      <c r="IA31">
        <v>36.69</v>
      </c>
      <c r="IB31">
        <v>37.49</v>
      </c>
      <c r="ID31">
        <v>38.64</v>
      </c>
      <c r="IE31">
        <v>39.6</v>
      </c>
      <c r="IF31">
        <v>40.6</v>
      </c>
      <c r="II31">
        <v>43.04</v>
      </c>
      <c r="IJ31">
        <v>43.41</v>
      </c>
      <c r="IL31">
        <v>44.91</v>
      </c>
      <c r="IM31">
        <v>46.05</v>
      </c>
      <c r="IP31">
        <v>49</v>
      </c>
      <c r="IS31">
        <v>52.65</v>
      </c>
      <c r="IV31">
        <v>55.88</v>
      </c>
      <c r="IY31">
        <v>60.5</v>
      </c>
      <c r="JA31">
        <v>64.64</v>
      </c>
      <c r="JE31">
        <v>69.81</v>
      </c>
      <c r="JG31">
        <v>74.25</v>
      </c>
      <c r="JK31">
        <v>78.27</v>
      </c>
      <c r="JM31">
        <v>80.05</v>
      </c>
      <c r="JQ31">
        <v>84.14</v>
      </c>
      <c r="JS31">
        <v>85.75</v>
      </c>
      <c r="JU31">
        <v>87.33</v>
      </c>
      <c r="KA31">
        <v>94.11</v>
      </c>
      <c r="KC31">
        <v>98.04</v>
      </c>
      <c r="KE31">
        <v>100.49</v>
      </c>
      <c r="KI31">
        <v>107.45</v>
      </c>
      <c r="LN31">
        <v>136.94999999999999</v>
      </c>
      <c r="MA31">
        <v>149.75</v>
      </c>
      <c r="MB31">
        <v>151.35</v>
      </c>
      <c r="MD31">
        <v>154.18</v>
      </c>
      <c r="MF31">
        <v>156.80000000000001</v>
      </c>
      <c r="MG31">
        <v>158.44999999999999</v>
      </c>
      <c r="MK31">
        <v>164.63</v>
      </c>
      <c r="ML31">
        <v>165.02</v>
      </c>
      <c r="MM31">
        <v>166.29</v>
      </c>
      <c r="MN31">
        <v>167.21</v>
      </c>
      <c r="MP31">
        <v>168.58</v>
      </c>
      <c r="MS31">
        <v>169.41</v>
      </c>
      <c r="MU31">
        <v>170.42</v>
      </c>
      <c r="MW31">
        <v>170.84</v>
      </c>
      <c r="MY31">
        <v>171.24</v>
      </c>
      <c r="NA31">
        <v>172.62</v>
      </c>
      <c r="NB31">
        <v>173.7</v>
      </c>
      <c r="NC31">
        <v>174.84</v>
      </c>
      <c r="NG31">
        <v>178.17</v>
      </c>
      <c r="NH31">
        <v>179.04</v>
      </c>
    </row>
    <row r="32" spans="1:812">
      <c r="A32" s="1" t="s">
        <v>105</v>
      </c>
      <c r="B32" s="1" t="s">
        <v>105</v>
      </c>
      <c r="V32">
        <v>0.02</v>
      </c>
      <c r="W32">
        <v>7.0000000000000007E-2</v>
      </c>
      <c r="Y32">
        <v>7.0000000000000007E-2</v>
      </c>
      <c r="AC32">
        <v>0.08</v>
      </c>
      <c r="AD32">
        <v>0.11</v>
      </c>
      <c r="AE32">
        <v>0.16</v>
      </c>
      <c r="AF32">
        <v>0.19</v>
      </c>
      <c r="AG32">
        <v>0.19</v>
      </c>
      <c r="AI32">
        <v>0.2</v>
      </c>
      <c r="AJ32">
        <v>0.23</v>
      </c>
      <c r="AK32">
        <v>0.25</v>
      </c>
      <c r="AL32">
        <v>0.25</v>
      </c>
      <c r="AM32">
        <v>0.26</v>
      </c>
      <c r="AN32">
        <v>0.26</v>
      </c>
      <c r="AO32">
        <v>0.27</v>
      </c>
      <c r="AP32">
        <v>0.28000000000000003</v>
      </c>
      <c r="AQ32">
        <v>0.32</v>
      </c>
      <c r="AR32">
        <v>0.35</v>
      </c>
      <c r="AS32">
        <v>0.36</v>
      </c>
      <c r="AT32">
        <v>0.38</v>
      </c>
      <c r="AU32">
        <v>0.38</v>
      </c>
      <c r="AV32">
        <v>0.38</v>
      </c>
      <c r="AW32">
        <v>0.39</v>
      </c>
      <c r="AX32">
        <v>0.42</v>
      </c>
      <c r="AY32">
        <v>0.47</v>
      </c>
      <c r="AZ32">
        <v>0.54</v>
      </c>
      <c r="BA32">
        <v>0.59</v>
      </c>
      <c r="BB32">
        <v>0.59</v>
      </c>
      <c r="BC32">
        <v>0.59</v>
      </c>
      <c r="BD32">
        <v>0.61</v>
      </c>
      <c r="BE32">
        <v>0.66</v>
      </c>
      <c r="BF32">
        <v>0.72</v>
      </c>
      <c r="BG32">
        <v>0.78</v>
      </c>
      <c r="BH32">
        <v>0.82</v>
      </c>
      <c r="BI32">
        <v>0.82</v>
      </c>
      <c r="BJ32">
        <v>0.82</v>
      </c>
      <c r="BK32">
        <v>0.85</v>
      </c>
      <c r="BL32">
        <v>0.9</v>
      </c>
      <c r="BM32">
        <v>0.95</v>
      </c>
      <c r="BN32">
        <v>1.02</v>
      </c>
      <c r="BO32">
        <v>1.07</v>
      </c>
      <c r="BP32">
        <v>1.08</v>
      </c>
      <c r="BQ32">
        <v>1.08</v>
      </c>
      <c r="BR32">
        <v>1.1100000000000001</v>
      </c>
      <c r="BS32">
        <v>1.17</v>
      </c>
      <c r="BT32">
        <v>1.24</v>
      </c>
      <c r="BU32">
        <v>1.3</v>
      </c>
      <c r="BV32">
        <v>1.5</v>
      </c>
      <c r="BW32">
        <v>1.56</v>
      </c>
      <c r="BX32">
        <v>1.72</v>
      </c>
      <c r="BY32">
        <v>1.89</v>
      </c>
      <c r="BZ32">
        <v>2.13</v>
      </c>
      <c r="CA32">
        <v>2.42</v>
      </c>
      <c r="CB32">
        <v>2.71</v>
      </c>
      <c r="CC32">
        <v>2.94</v>
      </c>
      <c r="CD32">
        <v>3.02</v>
      </c>
      <c r="CE32">
        <v>3.06</v>
      </c>
      <c r="CF32">
        <v>3.22</v>
      </c>
      <c r="CG32">
        <v>3.51</v>
      </c>
      <c r="CH32">
        <v>3.57</v>
      </c>
      <c r="CI32">
        <v>3.86</v>
      </c>
      <c r="CJ32">
        <v>4.09</v>
      </c>
      <c r="CK32">
        <v>4.13</v>
      </c>
      <c r="CL32">
        <v>4.1500000000000004</v>
      </c>
      <c r="CM32">
        <v>4.2300000000000004</v>
      </c>
      <c r="CN32">
        <v>4.3499999999999996</v>
      </c>
      <c r="CO32">
        <v>4.45</v>
      </c>
      <c r="CP32">
        <v>4.67</v>
      </c>
      <c r="CQ32">
        <v>4.8499999999999996</v>
      </c>
      <c r="CR32">
        <v>4.8600000000000003</v>
      </c>
      <c r="CS32">
        <v>4.88</v>
      </c>
      <c r="CT32">
        <v>4.92</v>
      </c>
      <c r="CU32">
        <v>4.9800000000000004</v>
      </c>
      <c r="CV32">
        <v>5.05</v>
      </c>
      <c r="CW32">
        <v>5.12</v>
      </c>
      <c r="CX32">
        <v>5.22</v>
      </c>
      <c r="CY32">
        <v>5.28</v>
      </c>
      <c r="CZ32">
        <v>5.31</v>
      </c>
      <c r="DA32">
        <v>5.42</v>
      </c>
      <c r="DB32">
        <v>5.6</v>
      </c>
      <c r="DC32">
        <v>5.78</v>
      </c>
      <c r="DD32">
        <v>5.98</v>
      </c>
      <c r="DE32">
        <v>6.19</v>
      </c>
      <c r="DF32">
        <v>6.25</v>
      </c>
      <c r="DG32">
        <v>6.28</v>
      </c>
      <c r="DH32">
        <v>6.41</v>
      </c>
      <c r="DI32">
        <v>6.6</v>
      </c>
      <c r="DJ32">
        <v>6.8</v>
      </c>
      <c r="DK32">
        <v>6.99</v>
      </c>
      <c r="DL32">
        <v>7.17</v>
      </c>
      <c r="DM32">
        <v>7.23</v>
      </c>
      <c r="DN32">
        <v>7.25</v>
      </c>
      <c r="DO32">
        <v>7.34</v>
      </c>
      <c r="DP32">
        <v>7.48</v>
      </c>
      <c r="DQ32">
        <v>7.68</v>
      </c>
      <c r="DR32">
        <v>7.95</v>
      </c>
      <c r="DS32">
        <v>8.17</v>
      </c>
      <c r="DT32">
        <v>8.2200000000000006</v>
      </c>
      <c r="DU32">
        <v>8.24</v>
      </c>
      <c r="DV32">
        <v>8.35</v>
      </c>
      <c r="DW32">
        <v>8.5</v>
      </c>
      <c r="DX32">
        <v>8.7100000000000009</v>
      </c>
      <c r="DY32">
        <v>8.93</v>
      </c>
      <c r="DZ32">
        <v>9.1300000000000008</v>
      </c>
      <c r="EA32">
        <v>9.17</v>
      </c>
      <c r="EB32">
        <v>9.19</v>
      </c>
      <c r="EC32">
        <v>9.2899999999999991</v>
      </c>
      <c r="ED32">
        <v>9.4600000000000009</v>
      </c>
      <c r="EE32">
        <v>9.74</v>
      </c>
      <c r="EF32">
        <v>10.050000000000001</v>
      </c>
      <c r="EG32">
        <v>10.32</v>
      </c>
      <c r="EH32">
        <v>10.38</v>
      </c>
      <c r="EI32">
        <v>10.41</v>
      </c>
      <c r="EJ32">
        <v>10.57</v>
      </c>
      <c r="EK32">
        <v>10.81</v>
      </c>
      <c r="EL32">
        <v>11.17</v>
      </c>
      <c r="EM32">
        <v>11.56</v>
      </c>
      <c r="EN32">
        <v>11.74</v>
      </c>
      <c r="EO32">
        <v>11.82</v>
      </c>
      <c r="EP32">
        <v>11.87</v>
      </c>
      <c r="EQ32">
        <v>12</v>
      </c>
      <c r="ER32">
        <v>12.16</v>
      </c>
      <c r="ES32">
        <v>12.62</v>
      </c>
      <c r="ET32">
        <v>12.73</v>
      </c>
      <c r="EU32">
        <v>13.27</v>
      </c>
      <c r="EV32">
        <v>13.42</v>
      </c>
      <c r="EW32">
        <v>13.5</v>
      </c>
      <c r="EX32">
        <v>13.87</v>
      </c>
      <c r="EY32">
        <v>14.38</v>
      </c>
      <c r="EZ32">
        <v>14.91</v>
      </c>
      <c r="FA32">
        <v>15.45</v>
      </c>
      <c r="FB32">
        <v>15.93</v>
      </c>
      <c r="FC32">
        <v>16.02</v>
      </c>
      <c r="FD32">
        <v>16.07</v>
      </c>
      <c r="FE32">
        <v>16.329999999999998</v>
      </c>
      <c r="FF32">
        <v>16.71</v>
      </c>
      <c r="FG32">
        <v>17.149999999999999</v>
      </c>
      <c r="FH32">
        <v>17.64</v>
      </c>
      <c r="FI32">
        <v>18</v>
      </c>
      <c r="FJ32">
        <v>18.09</v>
      </c>
      <c r="FK32">
        <v>18.14</v>
      </c>
      <c r="FL32">
        <v>18.22</v>
      </c>
      <c r="FM32">
        <v>18.46</v>
      </c>
      <c r="FN32">
        <v>18.760000000000002</v>
      </c>
      <c r="FO32">
        <v>19.02</v>
      </c>
      <c r="FP32">
        <v>19.3</v>
      </c>
      <c r="FQ32">
        <v>19.399999999999999</v>
      </c>
      <c r="FR32">
        <v>19.48</v>
      </c>
      <c r="FS32">
        <v>19.66</v>
      </c>
      <c r="FT32">
        <v>19.920000000000002</v>
      </c>
      <c r="FU32">
        <v>20.23</v>
      </c>
      <c r="FV32">
        <v>20.57</v>
      </c>
      <c r="FW32">
        <v>20.88</v>
      </c>
      <c r="FX32">
        <v>20.97</v>
      </c>
      <c r="FY32">
        <v>21.07</v>
      </c>
      <c r="FZ32">
        <v>21.28</v>
      </c>
      <c r="GA32">
        <v>21.6</v>
      </c>
      <c r="GB32">
        <v>21.94</v>
      </c>
      <c r="GC32">
        <v>22.28</v>
      </c>
      <c r="GD32">
        <v>22.58</v>
      </c>
      <c r="GE32">
        <v>22.65</v>
      </c>
      <c r="GF32">
        <v>22.7</v>
      </c>
      <c r="GG32">
        <v>22.84</v>
      </c>
      <c r="GH32">
        <v>23.06</v>
      </c>
      <c r="GI32">
        <v>23.31</v>
      </c>
      <c r="GJ32">
        <v>23.57</v>
      </c>
      <c r="GK32">
        <v>23.79</v>
      </c>
      <c r="GL32">
        <v>23.85</v>
      </c>
      <c r="GM32">
        <v>23.89</v>
      </c>
      <c r="GN32">
        <v>24.02</v>
      </c>
      <c r="GO32">
        <v>24.2</v>
      </c>
      <c r="GP32">
        <v>24.4</v>
      </c>
      <c r="GQ32">
        <v>24.6</v>
      </c>
      <c r="GR32">
        <v>24.78</v>
      </c>
      <c r="GS32">
        <v>24.82</v>
      </c>
      <c r="GT32">
        <v>24.86</v>
      </c>
      <c r="GU32">
        <v>24.98</v>
      </c>
      <c r="GV32">
        <v>25.16</v>
      </c>
      <c r="GW32">
        <v>25.35</v>
      </c>
      <c r="GX32">
        <v>25.52</v>
      </c>
      <c r="GY32">
        <v>25.69</v>
      </c>
      <c r="GZ32">
        <v>25.75</v>
      </c>
      <c r="HA32">
        <v>25.78</v>
      </c>
      <c r="HB32">
        <v>25.89</v>
      </c>
      <c r="HC32">
        <v>26.06</v>
      </c>
      <c r="HD32">
        <v>26.24</v>
      </c>
      <c r="HE32">
        <v>26.42</v>
      </c>
      <c r="HF32">
        <v>26.58</v>
      </c>
      <c r="HG32">
        <v>26.63</v>
      </c>
      <c r="HH32">
        <v>26.66</v>
      </c>
      <c r="HI32">
        <v>26.78</v>
      </c>
      <c r="HX32">
        <v>28.62</v>
      </c>
      <c r="HY32">
        <v>28.81</v>
      </c>
      <c r="HZ32">
        <v>28.98</v>
      </c>
      <c r="IA32">
        <v>29.14</v>
      </c>
      <c r="IB32">
        <v>29.19</v>
      </c>
      <c r="IC32">
        <v>29.22</v>
      </c>
      <c r="ID32">
        <v>29.34</v>
      </c>
      <c r="IE32">
        <v>29.52</v>
      </c>
      <c r="IF32">
        <v>29.7</v>
      </c>
      <c r="IG32">
        <v>29.88</v>
      </c>
      <c r="IH32">
        <v>30.05</v>
      </c>
      <c r="II32">
        <v>30.1</v>
      </c>
      <c r="IJ32">
        <v>30.13</v>
      </c>
      <c r="IK32">
        <v>30.26</v>
      </c>
      <c r="IL32">
        <v>30.43</v>
      </c>
      <c r="IM32">
        <v>30.61</v>
      </c>
      <c r="IN32">
        <v>30.78</v>
      </c>
      <c r="IO32">
        <v>30.93</v>
      </c>
      <c r="IP32">
        <v>30.98</v>
      </c>
      <c r="IQ32">
        <v>31.01</v>
      </c>
      <c r="IR32">
        <v>31.14</v>
      </c>
      <c r="IS32">
        <v>31.32</v>
      </c>
      <c r="IT32">
        <v>31.5</v>
      </c>
      <c r="IU32">
        <v>31.68</v>
      </c>
      <c r="IV32">
        <v>32.090000000000003</v>
      </c>
      <c r="IW32">
        <v>32.14</v>
      </c>
      <c r="IX32">
        <v>32.17</v>
      </c>
      <c r="IY32">
        <v>32.32</v>
      </c>
      <c r="IZ32">
        <v>32.520000000000003</v>
      </c>
      <c r="JA32">
        <v>32.72</v>
      </c>
      <c r="JB32">
        <v>32.909999999999997</v>
      </c>
      <c r="JC32">
        <v>33.090000000000003</v>
      </c>
      <c r="JD32">
        <v>33.15</v>
      </c>
      <c r="JE32">
        <v>33.19</v>
      </c>
      <c r="JF32">
        <v>33.340000000000003</v>
      </c>
      <c r="JG32">
        <v>33.53</v>
      </c>
      <c r="JH32">
        <v>33.71</v>
      </c>
      <c r="JI32">
        <v>33.880000000000003</v>
      </c>
      <c r="JJ32">
        <v>34.06</v>
      </c>
      <c r="JK32">
        <v>34.11</v>
      </c>
      <c r="JL32">
        <v>34.14</v>
      </c>
      <c r="JM32">
        <v>34.159999999999997</v>
      </c>
      <c r="JN32">
        <v>34.33</v>
      </c>
      <c r="JO32">
        <v>34.51</v>
      </c>
      <c r="JP32">
        <v>34.68</v>
      </c>
      <c r="JQ32">
        <v>34.840000000000003</v>
      </c>
      <c r="JR32">
        <v>34.89</v>
      </c>
      <c r="JS32">
        <v>34.92</v>
      </c>
      <c r="JT32">
        <v>35.03</v>
      </c>
      <c r="JU32">
        <v>35.19</v>
      </c>
      <c r="JV32">
        <v>35.340000000000003</v>
      </c>
      <c r="JW32">
        <v>35.5</v>
      </c>
      <c r="JX32">
        <v>35.65</v>
      </c>
      <c r="JY32">
        <v>35.700000000000003</v>
      </c>
      <c r="JZ32">
        <v>35.72</v>
      </c>
      <c r="KA32">
        <v>35.83</v>
      </c>
      <c r="KB32">
        <v>35.979999999999997</v>
      </c>
      <c r="KC32">
        <v>36</v>
      </c>
      <c r="KD32">
        <v>36.17</v>
      </c>
      <c r="KE32">
        <v>36.32</v>
      </c>
      <c r="KF32">
        <v>36.35</v>
      </c>
      <c r="KG32">
        <v>36.369999999999997</v>
      </c>
      <c r="KH32">
        <v>36.450000000000003</v>
      </c>
      <c r="KI32">
        <v>36.56</v>
      </c>
      <c r="KJ32">
        <v>36.700000000000003</v>
      </c>
      <c r="KK32">
        <v>36.82</v>
      </c>
      <c r="KL32">
        <v>36.93</v>
      </c>
      <c r="KM32">
        <v>36.96</v>
      </c>
      <c r="KN32">
        <v>36.979999999999997</v>
      </c>
      <c r="KO32">
        <v>37.06</v>
      </c>
      <c r="KQ32">
        <v>37.270000000000003</v>
      </c>
      <c r="KR32">
        <v>37.380000000000003</v>
      </c>
      <c r="KS32">
        <v>37.479999999999997</v>
      </c>
      <c r="KT32">
        <v>37.520000000000003</v>
      </c>
      <c r="KU32">
        <v>37.54</v>
      </c>
      <c r="KV32">
        <v>37.61</v>
      </c>
      <c r="KW32">
        <v>37.72</v>
      </c>
      <c r="KX32">
        <v>37.799999999999997</v>
      </c>
      <c r="KY32">
        <v>37.92</v>
      </c>
      <c r="KZ32">
        <v>38.04</v>
      </c>
      <c r="LA32">
        <v>38.090000000000003</v>
      </c>
      <c r="LB32">
        <v>38.11</v>
      </c>
      <c r="LC32">
        <v>38.200000000000003</v>
      </c>
      <c r="LD32">
        <v>38.33</v>
      </c>
      <c r="LF32">
        <v>38.94</v>
      </c>
      <c r="LG32">
        <v>39.29</v>
      </c>
      <c r="LH32">
        <v>39.29</v>
      </c>
      <c r="LI32">
        <v>39.56</v>
      </c>
      <c r="LJ32">
        <v>39.78</v>
      </c>
      <c r="LK32">
        <v>40.24</v>
      </c>
      <c r="LL32">
        <v>40.61</v>
      </c>
      <c r="LM32">
        <v>40.950000000000003</v>
      </c>
      <c r="LN32">
        <v>41.29</v>
      </c>
      <c r="LO32">
        <v>41.4</v>
      </c>
      <c r="LP32">
        <v>41.47</v>
      </c>
      <c r="LQ32">
        <v>41.68</v>
      </c>
      <c r="LR32">
        <v>41.96</v>
      </c>
      <c r="LS32">
        <v>42.24</v>
      </c>
      <c r="LT32">
        <v>42.54</v>
      </c>
      <c r="LU32">
        <v>42.83</v>
      </c>
      <c r="LV32">
        <v>42.93</v>
      </c>
      <c r="LW32">
        <v>43</v>
      </c>
      <c r="LX32">
        <v>43.19</v>
      </c>
      <c r="LY32">
        <v>43.44</v>
      </c>
      <c r="LZ32">
        <v>43.69</v>
      </c>
      <c r="MA32">
        <v>44.01</v>
      </c>
      <c r="MB32">
        <v>44.33</v>
      </c>
      <c r="MC32">
        <v>44.44</v>
      </c>
      <c r="MD32">
        <v>44.51</v>
      </c>
      <c r="ME32">
        <v>44.76</v>
      </c>
      <c r="MF32">
        <v>45.08</v>
      </c>
      <c r="MG32">
        <v>45.39</v>
      </c>
      <c r="MH32">
        <v>45.71</v>
      </c>
      <c r="MI32">
        <v>46.03</v>
      </c>
      <c r="MJ32">
        <v>46.13</v>
      </c>
      <c r="MK32">
        <v>46.2</v>
      </c>
      <c r="ML32">
        <v>46.43</v>
      </c>
      <c r="MM32">
        <v>46.71</v>
      </c>
      <c r="MN32">
        <v>47</v>
      </c>
      <c r="MO32">
        <v>47.3</v>
      </c>
      <c r="MP32">
        <v>47.62</v>
      </c>
      <c r="MQ32">
        <v>47.71</v>
      </c>
      <c r="MR32">
        <v>47.78</v>
      </c>
      <c r="MS32">
        <v>48.01</v>
      </c>
      <c r="MT32">
        <v>48.29</v>
      </c>
      <c r="MU32">
        <v>48.57</v>
      </c>
      <c r="MV32">
        <v>48.88</v>
      </c>
      <c r="MW32">
        <v>49.16</v>
      </c>
      <c r="MX32">
        <v>49.25</v>
      </c>
      <c r="MY32">
        <v>49.31</v>
      </c>
      <c r="MZ32">
        <v>49.48</v>
      </c>
      <c r="NA32">
        <v>49.74</v>
      </c>
      <c r="NB32">
        <v>49.99</v>
      </c>
      <c r="NC32">
        <v>50.26</v>
      </c>
      <c r="ND32">
        <v>50.53</v>
      </c>
      <c r="NE32">
        <v>50.61</v>
      </c>
      <c r="NF32">
        <v>50.67</v>
      </c>
      <c r="NG32">
        <v>50.84</v>
      </c>
      <c r="NH32">
        <v>51.09</v>
      </c>
      <c r="NI32">
        <v>51.35</v>
      </c>
      <c r="NJ32">
        <v>51.62</v>
      </c>
      <c r="NK32">
        <v>51.88</v>
      </c>
      <c r="NL32">
        <v>51.96</v>
      </c>
      <c r="NM32">
        <v>52.02</v>
      </c>
      <c r="NN32">
        <v>52.24</v>
      </c>
      <c r="NO32">
        <v>52.52</v>
      </c>
      <c r="NP32">
        <v>52.75</v>
      </c>
      <c r="NQ32">
        <v>52.96</v>
      </c>
      <c r="NR32">
        <v>52.97</v>
      </c>
      <c r="NS32">
        <v>52.98</v>
      </c>
      <c r="NT32">
        <v>53</v>
      </c>
      <c r="NU32">
        <v>53.05</v>
      </c>
      <c r="NV32">
        <v>53.11</v>
      </c>
      <c r="NW32">
        <v>53.39</v>
      </c>
      <c r="NX32">
        <v>53.61</v>
      </c>
      <c r="NY32">
        <v>53.66</v>
      </c>
      <c r="NZ32">
        <v>53.67</v>
      </c>
      <c r="OA32">
        <v>53.72</v>
      </c>
      <c r="OB32">
        <v>53.82</v>
      </c>
      <c r="OC32">
        <v>54.18</v>
      </c>
      <c r="OD32">
        <v>54.65</v>
      </c>
      <c r="OE32">
        <v>55.16</v>
      </c>
      <c r="OF32">
        <v>55.66</v>
      </c>
      <c r="OG32">
        <v>55.82</v>
      </c>
      <c r="OH32">
        <v>55.92</v>
      </c>
      <c r="OI32">
        <v>56.25</v>
      </c>
      <c r="OJ32">
        <v>56.72</v>
      </c>
      <c r="OK32">
        <v>57.16</v>
      </c>
      <c r="OL32">
        <v>57.59</v>
      </c>
      <c r="OM32">
        <v>57.95</v>
      </c>
      <c r="ON32">
        <v>58.05</v>
      </c>
      <c r="OO32">
        <v>58.1</v>
      </c>
      <c r="OP32">
        <v>58.3</v>
      </c>
      <c r="OQ32">
        <v>58.57</v>
      </c>
      <c r="OR32">
        <v>58.85</v>
      </c>
      <c r="OS32">
        <v>59.13</v>
      </c>
      <c r="OT32">
        <v>59.33</v>
      </c>
      <c r="OU32">
        <v>59.38</v>
      </c>
      <c r="OV32">
        <v>59.41</v>
      </c>
      <c r="OW32">
        <v>59.51</v>
      </c>
      <c r="OX32">
        <v>59.67</v>
      </c>
      <c r="OY32">
        <v>59.84</v>
      </c>
      <c r="OZ32">
        <v>60.02</v>
      </c>
      <c r="PA32">
        <v>60.21</v>
      </c>
      <c r="PB32">
        <v>60.26</v>
      </c>
      <c r="PC32">
        <v>60.28</v>
      </c>
      <c r="PD32">
        <v>60.4</v>
      </c>
      <c r="PE32">
        <v>60.52</v>
      </c>
      <c r="PF32">
        <v>60.64</v>
      </c>
      <c r="PG32">
        <v>60.79</v>
      </c>
      <c r="PH32">
        <v>60.92</v>
      </c>
      <c r="PI32">
        <v>60.96</v>
      </c>
      <c r="PJ32">
        <v>60.98</v>
      </c>
      <c r="PK32">
        <v>61.07</v>
      </c>
      <c r="PL32">
        <v>61.18</v>
      </c>
      <c r="PM32">
        <v>61.29</v>
      </c>
      <c r="PN32">
        <v>61.41</v>
      </c>
      <c r="PO32">
        <v>61.51</v>
      </c>
      <c r="PP32">
        <v>61.54</v>
      </c>
      <c r="PQ32">
        <v>61.56</v>
      </c>
      <c r="PR32">
        <v>61.61</v>
      </c>
      <c r="PS32">
        <v>61.69</v>
      </c>
      <c r="PT32">
        <v>61.77</v>
      </c>
      <c r="PU32">
        <v>61.85</v>
      </c>
      <c r="PV32">
        <v>61.94</v>
      </c>
      <c r="PW32">
        <v>61.97</v>
      </c>
      <c r="PX32">
        <v>61.98</v>
      </c>
      <c r="PY32">
        <v>62.03</v>
      </c>
      <c r="PZ32">
        <v>62.1</v>
      </c>
      <c r="QA32">
        <v>62.16</v>
      </c>
      <c r="QB32">
        <v>62.23</v>
      </c>
      <c r="QC32">
        <v>62.29</v>
      </c>
      <c r="QD32">
        <v>62.31</v>
      </c>
      <c r="QE32">
        <v>62.31</v>
      </c>
      <c r="QF32">
        <v>62.36</v>
      </c>
      <c r="QG32">
        <v>62.39</v>
      </c>
      <c r="QH32">
        <v>62.43</v>
      </c>
      <c r="QI32">
        <v>62.43</v>
      </c>
      <c r="QJ32">
        <v>62.48</v>
      </c>
      <c r="QK32">
        <v>62.5</v>
      </c>
      <c r="QL32">
        <v>62.5</v>
      </c>
      <c r="QM32">
        <v>62.53</v>
      </c>
      <c r="QN32">
        <v>62.56</v>
      </c>
      <c r="QO32">
        <v>62.6</v>
      </c>
      <c r="QP32">
        <v>62.64</v>
      </c>
      <c r="QQ32">
        <v>62.67</v>
      </c>
      <c r="QR32">
        <v>62.68</v>
      </c>
      <c r="QS32">
        <v>62.69</v>
      </c>
      <c r="QT32">
        <v>62.72</v>
      </c>
      <c r="QU32">
        <v>62.75</v>
      </c>
      <c r="QV32">
        <v>62.78</v>
      </c>
      <c r="QW32">
        <v>62.82</v>
      </c>
      <c r="QX32">
        <v>62.85</v>
      </c>
      <c r="QY32">
        <v>62.86</v>
      </c>
      <c r="QZ32">
        <v>62.86</v>
      </c>
      <c r="RA32">
        <v>62.88</v>
      </c>
      <c r="RB32">
        <v>62.91</v>
      </c>
      <c r="RC32">
        <v>62.94</v>
      </c>
      <c r="RD32">
        <v>62.97</v>
      </c>
      <c r="RE32">
        <v>62.99</v>
      </c>
      <c r="RF32">
        <v>63</v>
      </c>
      <c r="RG32">
        <v>63</v>
      </c>
      <c r="RH32">
        <v>63.02</v>
      </c>
      <c r="RI32">
        <v>63.05</v>
      </c>
      <c r="RJ32">
        <v>63.08</v>
      </c>
      <c r="RK32">
        <v>63.1</v>
      </c>
      <c r="RL32">
        <v>63.13</v>
      </c>
      <c r="RM32">
        <v>63.15</v>
      </c>
      <c r="RN32">
        <v>63.17</v>
      </c>
      <c r="RO32">
        <v>63.2</v>
      </c>
      <c r="RP32">
        <v>63.22</v>
      </c>
      <c r="RQ32">
        <v>63.25</v>
      </c>
      <c r="RR32">
        <v>63.27</v>
      </c>
      <c r="RS32">
        <v>63.3</v>
      </c>
      <c r="RT32">
        <v>63.32</v>
      </c>
      <c r="RU32">
        <v>63.35</v>
      </c>
      <c r="RV32">
        <v>63.38</v>
      </c>
      <c r="RW32">
        <v>63.4</v>
      </c>
      <c r="RX32">
        <v>63.42</v>
      </c>
      <c r="RY32">
        <v>63.44</v>
      </c>
      <c r="RZ32">
        <v>63.46</v>
      </c>
      <c r="SA32">
        <v>63.46</v>
      </c>
      <c r="SB32">
        <v>63.46</v>
      </c>
      <c r="SC32">
        <v>63.46</v>
      </c>
      <c r="SD32">
        <v>63.46</v>
      </c>
      <c r="SE32">
        <v>63.48</v>
      </c>
      <c r="SF32">
        <v>63.5</v>
      </c>
      <c r="SG32">
        <v>63.52</v>
      </c>
      <c r="SH32">
        <v>63.54</v>
      </c>
      <c r="SI32">
        <v>63.55</v>
      </c>
      <c r="SJ32">
        <v>63.55</v>
      </c>
      <c r="SK32">
        <v>63.55</v>
      </c>
      <c r="SL32">
        <v>63.56</v>
      </c>
      <c r="SM32">
        <v>63.58</v>
      </c>
      <c r="SN32">
        <v>63.6</v>
      </c>
      <c r="SO32">
        <v>63.6</v>
      </c>
      <c r="SP32">
        <v>63.6</v>
      </c>
      <c r="SQ32">
        <v>63.6</v>
      </c>
      <c r="SR32">
        <v>63.61</v>
      </c>
      <c r="SS32">
        <v>63.63</v>
      </c>
      <c r="ST32">
        <v>63.64</v>
      </c>
      <c r="SU32">
        <v>63.66</v>
      </c>
      <c r="SV32">
        <v>63.67</v>
      </c>
      <c r="SW32">
        <v>63.67</v>
      </c>
      <c r="SX32">
        <v>63.67</v>
      </c>
      <c r="SY32">
        <v>63.68</v>
      </c>
      <c r="SZ32">
        <v>63.7</v>
      </c>
      <c r="TA32">
        <v>63.71</v>
      </c>
      <c r="TB32">
        <v>63.72</v>
      </c>
      <c r="TC32">
        <v>63.73</v>
      </c>
      <c r="TD32">
        <v>63.73</v>
      </c>
      <c r="TE32">
        <v>63.73</v>
      </c>
      <c r="TF32">
        <v>63.74</v>
      </c>
      <c r="TG32">
        <v>63.74</v>
      </c>
      <c r="TH32">
        <v>63.75</v>
      </c>
      <c r="TI32">
        <v>63.76</v>
      </c>
      <c r="TJ32">
        <v>63.77</v>
      </c>
      <c r="TK32">
        <v>63.77</v>
      </c>
      <c r="TL32">
        <v>63.77</v>
      </c>
      <c r="TM32">
        <v>63.78</v>
      </c>
      <c r="TN32">
        <v>63.79</v>
      </c>
      <c r="TO32">
        <v>63.79</v>
      </c>
      <c r="TP32">
        <v>63.8</v>
      </c>
      <c r="TQ32">
        <v>63.81</v>
      </c>
      <c r="TR32">
        <v>63.81</v>
      </c>
      <c r="TS32">
        <v>63.81</v>
      </c>
      <c r="TT32">
        <v>63.81</v>
      </c>
      <c r="TU32">
        <v>63.82</v>
      </c>
      <c r="TV32">
        <v>63.83</v>
      </c>
      <c r="TW32">
        <v>63.83</v>
      </c>
      <c r="TX32">
        <v>63.84</v>
      </c>
      <c r="TY32">
        <v>63.84</v>
      </c>
      <c r="TZ32">
        <v>63.84</v>
      </c>
      <c r="UA32">
        <v>63.84</v>
      </c>
      <c r="UB32">
        <v>63.85</v>
      </c>
      <c r="UC32">
        <v>63.86</v>
      </c>
      <c r="UD32">
        <v>63.86</v>
      </c>
      <c r="UE32">
        <v>63.87</v>
      </c>
      <c r="UF32">
        <v>63.87</v>
      </c>
      <c r="UG32">
        <v>63.87</v>
      </c>
      <c r="UH32">
        <v>63.87</v>
      </c>
      <c r="UI32">
        <v>63.88</v>
      </c>
      <c r="UJ32">
        <v>63.89</v>
      </c>
      <c r="UK32">
        <v>63.89</v>
      </c>
      <c r="UL32">
        <v>63.9</v>
      </c>
      <c r="UM32">
        <v>63.9</v>
      </c>
      <c r="UN32">
        <v>63.9</v>
      </c>
      <c r="UO32">
        <v>63.91</v>
      </c>
      <c r="UP32">
        <v>63.92</v>
      </c>
      <c r="UQ32">
        <v>63.94</v>
      </c>
      <c r="UR32">
        <v>63.96</v>
      </c>
      <c r="US32">
        <v>63.98</v>
      </c>
      <c r="UT32">
        <v>63.98</v>
      </c>
      <c r="UU32">
        <v>63.98</v>
      </c>
      <c r="UV32">
        <v>64</v>
      </c>
      <c r="UW32">
        <v>64.02</v>
      </c>
      <c r="UX32">
        <v>64.06</v>
      </c>
      <c r="UY32">
        <v>64.09</v>
      </c>
      <c r="VA32">
        <v>64.13</v>
      </c>
      <c r="VB32">
        <v>64.23</v>
      </c>
      <c r="VC32">
        <v>64.260000000000005</v>
      </c>
      <c r="VD32">
        <v>64.31</v>
      </c>
      <c r="VF32">
        <v>64.42</v>
      </c>
      <c r="VG32">
        <v>64.47</v>
      </c>
      <c r="VH32">
        <v>64.47</v>
      </c>
      <c r="VI32">
        <v>64.47</v>
      </c>
      <c r="VJ32">
        <v>64.52</v>
      </c>
      <c r="VK32">
        <v>64.569999999999993</v>
      </c>
      <c r="VL32">
        <v>64.63</v>
      </c>
      <c r="VM32">
        <v>64.680000000000007</v>
      </c>
      <c r="VN32">
        <v>64.73</v>
      </c>
      <c r="VO32">
        <v>64.739999999999995</v>
      </c>
      <c r="VP32">
        <v>64.739999999999995</v>
      </c>
      <c r="VQ32">
        <v>64.77</v>
      </c>
      <c r="VR32">
        <v>64.83</v>
      </c>
      <c r="VS32">
        <v>64.88</v>
      </c>
      <c r="VT32">
        <v>64.94</v>
      </c>
      <c r="VU32">
        <v>64.97</v>
      </c>
      <c r="VV32">
        <v>64.98</v>
      </c>
      <c r="VW32">
        <v>65</v>
      </c>
      <c r="VX32">
        <v>65.040000000000006</v>
      </c>
      <c r="VY32">
        <v>65.09</v>
      </c>
      <c r="VZ32">
        <v>65.14</v>
      </c>
      <c r="WA32">
        <v>65.180000000000007</v>
      </c>
      <c r="WB32">
        <v>65.180000000000007</v>
      </c>
      <c r="WC32">
        <v>65.180000000000007</v>
      </c>
      <c r="WD32">
        <v>65.209999999999994</v>
      </c>
      <c r="WE32">
        <v>65.25</v>
      </c>
      <c r="WF32">
        <v>65.290000000000006</v>
      </c>
      <c r="WG32">
        <v>65.33</v>
      </c>
      <c r="WH32">
        <v>65.37</v>
      </c>
      <c r="WI32">
        <v>65.37</v>
      </c>
      <c r="WJ32">
        <v>65.37</v>
      </c>
      <c r="WK32">
        <v>65.39</v>
      </c>
      <c r="WL32">
        <v>65.42</v>
      </c>
      <c r="WM32">
        <v>65.45</v>
      </c>
      <c r="WN32">
        <v>65.489999999999995</v>
      </c>
      <c r="WO32">
        <v>65.510000000000005</v>
      </c>
      <c r="WP32">
        <v>65.52</v>
      </c>
      <c r="WQ32">
        <v>65.52</v>
      </c>
      <c r="WR32">
        <v>65.53</v>
      </c>
      <c r="WS32">
        <v>65.56</v>
      </c>
      <c r="WT32">
        <v>65.59</v>
      </c>
      <c r="WU32">
        <v>65.62</v>
      </c>
      <c r="WV32">
        <v>65.64</v>
      </c>
      <c r="WW32">
        <v>65.64</v>
      </c>
      <c r="WX32">
        <v>65.64</v>
      </c>
      <c r="WY32">
        <v>65.66</v>
      </c>
      <c r="WZ32">
        <v>65.680000000000007</v>
      </c>
      <c r="XA32">
        <v>65.7</v>
      </c>
      <c r="XB32">
        <v>65.709999999999994</v>
      </c>
      <c r="XC32">
        <v>65.73</v>
      </c>
      <c r="XD32">
        <v>65.73</v>
      </c>
      <c r="XE32">
        <v>65.73</v>
      </c>
      <c r="XF32">
        <v>65.739999999999995</v>
      </c>
      <c r="XG32">
        <v>65.739999999999995</v>
      </c>
      <c r="XH32">
        <v>65.760000000000005</v>
      </c>
      <c r="XI32">
        <v>65.78</v>
      </c>
      <c r="XJ32">
        <v>65.790000000000006</v>
      </c>
      <c r="XK32">
        <v>65.790000000000006</v>
      </c>
      <c r="XL32">
        <v>65.790000000000006</v>
      </c>
      <c r="XM32">
        <v>65.8</v>
      </c>
      <c r="XN32">
        <v>65.819999999999993</v>
      </c>
      <c r="XO32">
        <v>65.84</v>
      </c>
      <c r="XP32">
        <v>65.86</v>
      </c>
      <c r="XQ32">
        <v>65.88</v>
      </c>
      <c r="XR32">
        <v>65.88</v>
      </c>
      <c r="XS32">
        <v>65.88</v>
      </c>
      <c r="XT32">
        <v>65.89</v>
      </c>
      <c r="XU32">
        <v>65.91</v>
      </c>
      <c r="XV32">
        <v>65.94</v>
      </c>
      <c r="XW32">
        <v>65.94</v>
      </c>
      <c r="XX32">
        <v>65.959999999999994</v>
      </c>
      <c r="XY32">
        <v>65.959999999999994</v>
      </c>
      <c r="XZ32">
        <v>65.959999999999994</v>
      </c>
      <c r="YA32">
        <v>65.97</v>
      </c>
      <c r="YB32">
        <v>66</v>
      </c>
      <c r="YC32">
        <v>66.02</v>
      </c>
      <c r="YD32">
        <v>66.05</v>
      </c>
      <c r="YE32">
        <v>66.08</v>
      </c>
      <c r="YF32">
        <v>66.08</v>
      </c>
      <c r="YG32">
        <v>66.08</v>
      </c>
      <c r="YH32">
        <v>66.09</v>
      </c>
      <c r="YI32">
        <v>66.11</v>
      </c>
      <c r="YJ32">
        <v>66.13</v>
      </c>
      <c r="YK32">
        <v>66.16</v>
      </c>
      <c r="YL32">
        <v>66.19</v>
      </c>
      <c r="YM32">
        <v>66.19</v>
      </c>
      <c r="YN32">
        <v>66.19</v>
      </c>
      <c r="YO32">
        <v>66.23</v>
      </c>
      <c r="YP32">
        <v>66.23</v>
      </c>
      <c r="YR32">
        <v>66.28</v>
      </c>
      <c r="YS32">
        <v>66.31</v>
      </c>
      <c r="YT32">
        <v>66.31</v>
      </c>
      <c r="YU32">
        <v>66.31</v>
      </c>
      <c r="YV32">
        <v>66.319999999999993</v>
      </c>
      <c r="YW32">
        <v>66.34</v>
      </c>
      <c r="YX32">
        <v>66.36</v>
      </c>
      <c r="YY32">
        <v>66.39</v>
      </c>
      <c r="YZ32">
        <v>66.400000000000006</v>
      </c>
      <c r="ZA32">
        <v>66.400000000000006</v>
      </c>
      <c r="ZB32">
        <v>66.400000000000006</v>
      </c>
      <c r="ZC32">
        <v>66.41</v>
      </c>
      <c r="ZD32">
        <v>66.430000000000007</v>
      </c>
      <c r="ZE32">
        <v>67.47</v>
      </c>
      <c r="ZF32">
        <v>67.489999999999995</v>
      </c>
      <c r="ZG32">
        <v>67.510000000000005</v>
      </c>
      <c r="ZH32">
        <v>67.510000000000005</v>
      </c>
      <c r="ZJ32">
        <v>67.52</v>
      </c>
      <c r="ZL32">
        <v>67.540000000000006</v>
      </c>
      <c r="ZM32">
        <v>67.56</v>
      </c>
      <c r="ZN32">
        <v>67.58</v>
      </c>
      <c r="ZO32">
        <v>67.58</v>
      </c>
      <c r="ZP32">
        <v>67.58</v>
      </c>
      <c r="ZQ32">
        <v>67.59</v>
      </c>
      <c r="ZR32">
        <v>67.599999999999994</v>
      </c>
      <c r="ZS32">
        <v>67.62</v>
      </c>
      <c r="ZT32">
        <v>67.63</v>
      </c>
      <c r="ZU32">
        <v>67.64</v>
      </c>
      <c r="ZV32">
        <v>67.650000000000006</v>
      </c>
      <c r="ZW32">
        <v>67.650000000000006</v>
      </c>
      <c r="ZX32">
        <v>67.66</v>
      </c>
      <c r="ZY32">
        <v>67.67</v>
      </c>
      <c r="ZZ32">
        <v>67.680000000000007</v>
      </c>
      <c r="AAA32">
        <v>67.7</v>
      </c>
      <c r="AAB32">
        <v>67.709999999999994</v>
      </c>
      <c r="AAC32">
        <v>67.709999999999994</v>
      </c>
      <c r="AAD32">
        <v>67.709999999999994</v>
      </c>
      <c r="AAE32">
        <v>67.709999999999994</v>
      </c>
      <c r="AAF32">
        <v>67.73</v>
      </c>
      <c r="AAG32">
        <v>67.739999999999995</v>
      </c>
      <c r="AAH32">
        <v>67.75</v>
      </c>
      <c r="AAI32">
        <v>67.75</v>
      </c>
      <c r="AAJ32">
        <v>67.760000000000005</v>
      </c>
      <c r="AAK32">
        <v>67.760000000000005</v>
      </c>
      <c r="AAL32">
        <v>67.760000000000005</v>
      </c>
      <c r="AAM32">
        <v>67.77</v>
      </c>
      <c r="AAN32">
        <v>67.78</v>
      </c>
      <c r="AAO32">
        <v>67.78</v>
      </c>
      <c r="AAP32">
        <v>67.790000000000006</v>
      </c>
      <c r="AAQ32">
        <v>67.790000000000006</v>
      </c>
      <c r="AAS32">
        <v>67.8</v>
      </c>
      <c r="AAT32">
        <v>67.8</v>
      </c>
      <c r="AAU32">
        <v>67.81</v>
      </c>
      <c r="AAV32">
        <v>67.81</v>
      </c>
      <c r="AAW32">
        <v>67.819999999999993</v>
      </c>
      <c r="AAX32">
        <v>67.819999999999993</v>
      </c>
      <c r="AAY32">
        <v>67.819999999999993</v>
      </c>
      <c r="AAZ32">
        <v>67.83</v>
      </c>
      <c r="ABA32">
        <v>67.83</v>
      </c>
      <c r="ABB32">
        <v>67.84</v>
      </c>
      <c r="ABC32">
        <v>67.84</v>
      </c>
      <c r="ABD32">
        <v>67.849999999999994</v>
      </c>
      <c r="ABE32">
        <v>67.849999999999994</v>
      </c>
      <c r="ABF32">
        <v>67.849999999999994</v>
      </c>
      <c r="ABG32">
        <v>67.849999999999994</v>
      </c>
      <c r="ABH32">
        <v>67.849999999999994</v>
      </c>
      <c r="ABI32">
        <v>67.86</v>
      </c>
      <c r="ABJ32">
        <v>67.86</v>
      </c>
      <c r="ABK32">
        <v>67.87</v>
      </c>
      <c r="ABL32">
        <v>67.87</v>
      </c>
      <c r="ABM32">
        <v>67.87</v>
      </c>
      <c r="ABN32">
        <v>67.87</v>
      </c>
      <c r="ABO32">
        <v>67.87</v>
      </c>
      <c r="ABP32">
        <v>67.87</v>
      </c>
      <c r="ABQ32">
        <v>67.87</v>
      </c>
      <c r="ABR32">
        <v>67.87</v>
      </c>
      <c r="ABU32">
        <v>67.87</v>
      </c>
      <c r="ABV32">
        <v>67.87</v>
      </c>
      <c r="ABW32">
        <v>67.88</v>
      </c>
      <c r="ABX32">
        <v>67.88</v>
      </c>
      <c r="ABY32">
        <v>67.88</v>
      </c>
      <c r="ABZ32">
        <v>67.88</v>
      </c>
      <c r="ACA32">
        <v>67.88</v>
      </c>
      <c r="ACB32">
        <v>67.89</v>
      </c>
      <c r="ACC32">
        <v>67.89</v>
      </c>
      <c r="ACD32">
        <v>67.900000000000006</v>
      </c>
      <c r="ACE32">
        <v>67.900000000000006</v>
      </c>
      <c r="ACF32">
        <v>67.900000000000006</v>
      </c>
      <c r="ACG32">
        <v>67.900000000000006</v>
      </c>
      <c r="ACH32">
        <v>67.900000000000006</v>
      </c>
      <c r="ACI32">
        <v>67.91</v>
      </c>
      <c r="ACJ32">
        <v>67.91</v>
      </c>
      <c r="ACK32">
        <v>67.91</v>
      </c>
      <c r="ACL32">
        <v>67.91</v>
      </c>
      <c r="ACM32">
        <v>67.92</v>
      </c>
      <c r="ACN32">
        <v>67.92</v>
      </c>
      <c r="ACP32">
        <v>67.92</v>
      </c>
      <c r="ACQ32">
        <v>67.92</v>
      </c>
      <c r="ACR32">
        <v>67.92</v>
      </c>
      <c r="ACS32">
        <v>67.92</v>
      </c>
      <c r="ACT32">
        <v>67.930000000000007</v>
      </c>
      <c r="ACU32">
        <v>67.930000000000007</v>
      </c>
      <c r="ACV32">
        <v>67.930000000000007</v>
      </c>
      <c r="ACW32">
        <v>67.930000000000007</v>
      </c>
      <c r="ACX32">
        <v>67.930000000000007</v>
      </c>
      <c r="ACY32">
        <v>67.930000000000007</v>
      </c>
      <c r="ACZ32">
        <v>67.930000000000007</v>
      </c>
      <c r="ADA32">
        <v>67.930000000000007</v>
      </c>
      <c r="ADB32">
        <v>67.930000000000007</v>
      </c>
      <c r="ADC32">
        <v>67.930000000000007</v>
      </c>
      <c r="ADD32">
        <v>67.94</v>
      </c>
      <c r="ADE32">
        <v>67.94</v>
      </c>
      <c r="ADF32">
        <v>67.94</v>
      </c>
      <c r="ADG32">
        <v>67.94</v>
      </c>
      <c r="ADH32">
        <v>67.94</v>
      </c>
      <c r="ADI32">
        <v>67.94</v>
      </c>
      <c r="ADK32">
        <v>67.94</v>
      </c>
      <c r="ADL32">
        <v>67.94</v>
      </c>
      <c r="ADM32">
        <v>67.95</v>
      </c>
      <c r="ADN32">
        <v>67.95</v>
      </c>
      <c r="ADO32">
        <v>67.95</v>
      </c>
      <c r="ADP32">
        <v>67.95</v>
      </c>
      <c r="ADQ32">
        <v>67.95</v>
      </c>
      <c r="ADR32">
        <v>67.95</v>
      </c>
      <c r="ADS32">
        <v>67.95</v>
      </c>
      <c r="ADT32">
        <v>67.95</v>
      </c>
      <c r="ADU32">
        <v>67.95</v>
      </c>
      <c r="ADV32">
        <v>67.95</v>
      </c>
      <c r="ADW32">
        <v>67.95</v>
      </c>
      <c r="AEB32">
        <v>67.959999999999994</v>
      </c>
      <c r="AED32">
        <v>67.959999999999994</v>
      </c>
      <c r="AEF32">
        <v>67.959999999999994</v>
      </c>
    </row>
    <row r="33" spans="1:791">
      <c r="A33" s="1" t="s">
        <v>168</v>
      </c>
      <c r="B33" s="1" t="s">
        <v>168</v>
      </c>
      <c r="FU33">
        <v>0</v>
      </c>
      <c r="GC33">
        <v>0.04</v>
      </c>
      <c r="GG33">
        <v>0.09</v>
      </c>
      <c r="GU33">
        <v>0.12</v>
      </c>
      <c r="HI33">
        <v>0.16</v>
      </c>
      <c r="HU33">
        <v>0.18</v>
      </c>
      <c r="IK33">
        <v>0.18</v>
      </c>
      <c r="IR33">
        <v>0.34</v>
      </c>
      <c r="JG33">
        <v>0.51</v>
      </c>
      <c r="JS33">
        <v>0.77</v>
      </c>
      <c r="KC33">
        <v>1.18</v>
      </c>
      <c r="LT33">
        <v>3.08</v>
      </c>
      <c r="NI33">
        <v>3.61</v>
      </c>
      <c r="QE33">
        <v>10.79</v>
      </c>
      <c r="QL33">
        <v>10.84</v>
      </c>
    </row>
    <row r="34" spans="1:791">
      <c r="A34" s="1" t="s">
        <v>185</v>
      </c>
      <c r="B34" s="1" t="s">
        <v>185</v>
      </c>
      <c r="LN34">
        <v>0.01</v>
      </c>
      <c r="NC34">
        <v>0.03</v>
      </c>
      <c r="NQ34">
        <v>0.06</v>
      </c>
      <c r="NX34">
        <v>7.0000000000000007E-2</v>
      </c>
      <c r="QX34">
        <v>0.1</v>
      </c>
    </row>
    <row r="35" spans="1:791">
      <c r="A35" s="1" t="s">
        <v>192</v>
      </c>
      <c r="B35" s="1" t="s">
        <v>320</v>
      </c>
      <c r="BL35">
        <v>0</v>
      </c>
      <c r="BM35">
        <v>0.01</v>
      </c>
      <c r="BT35">
        <v>0.02</v>
      </c>
      <c r="BV35">
        <v>0.03</v>
      </c>
      <c r="BZ35">
        <v>0.05</v>
      </c>
      <c r="CB35">
        <v>0.08</v>
      </c>
      <c r="CF35">
        <v>0.52</v>
      </c>
      <c r="CG35">
        <v>0.68</v>
      </c>
      <c r="CH35">
        <v>0.81</v>
      </c>
      <c r="CI35">
        <v>0.9</v>
      </c>
      <c r="CJ35">
        <v>1</v>
      </c>
      <c r="CK35">
        <v>1.07</v>
      </c>
      <c r="CL35">
        <v>1.1100000000000001</v>
      </c>
      <c r="CM35">
        <v>1.19</v>
      </c>
      <c r="CN35">
        <v>1.33</v>
      </c>
      <c r="CO35">
        <v>1.52</v>
      </c>
      <c r="CP35">
        <v>1.7</v>
      </c>
      <c r="CQ35">
        <v>1.84</v>
      </c>
      <c r="CR35">
        <v>1.96</v>
      </c>
      <c r="CS35">
        <v>2.02</v>
      </c>
      <c r="CT35">
        <v>2.0699999999999998</v>
      </c>
      <c r="CU35">
        <v>2.23</v>
      </c>
      <c r="CV35">
        <v>2.41</v>
      </c>
      <c r="CW35">
        <v>2.5099999999999998</v>
      </c>
      <c r="CX35">
        <v>2.64</v>
      </c>
      <c r="CY35">
        <v>2.73</v>
      </c>
      <c r="CZ35">
        <v>2.77</v>
      </c>
      <c r="DA35">
        <v>2.85</v>
      </c>
      <c r="DB35">
        <v>2.92</v>
      </c>
      <c r="DC35">
        <v>3.03</v>
      </c>
      <c r="DD35">
        <v>3.18</v>
      </c>
      <c r="DE35">
        <v>3.33</v>
      </c>
      <c r="DF35">
        <v>3.48</v>
      </c>
      <c r="DG35">
        <v>3.56</v>
      </c>
      <c r="DH35">
        <v>3.66</v>
      </c>
      <c r="DI35">
        <v>3.75</v>
      </c>
      <c r="DJ35">
        <v>3.86</v>
      </c>
      <c r="DK35">
        <v>4.0199999999999996</v>
      </c>
      <c r="DL35">
        <v>4.3099999999999996</v>
      </c>
      <c r="DM35">
        <v>4.6500000000000004</v>
      </c>
      <c r="DN35">
        <v>4.96</v>
      </c>
      <c r="DO35">
        <v>5.3</v>
      </c>
      <c r="DP35">
        <v>5.66</v>
      </c>
      <c r="DQ35">
        <v>6.05</v>
      </c>
      <c r="DR35">
        <v>6.41</v>
      </c>
      <c r="DS35">
        <v>7.02</v>
      </c>
      <c r="DT35">
        <v>7.4</v>
      </c>
      <c r="DU35">
        <v>7.7</v>
      </c>
      <c r="DV35">
        <v>8.1999999999999993</v>
      </c>
      <c r="DW35">
        <v>8.65</v>
      </c>
      <c r="DX35">
        <v>8.86</v>
      </c>
      <c r="DY35">
        <v>9.02</v>
      </c>
      <c r="DZ35">
        <v>9.2200000000000006</v>
      </c>
      <c r="EA35">
        <v>9.3000000000000007</v>
      </c>
      <c r="EB35">
        <v>9.33</v>
      </c>
      <c r="EC35">
        <v>9.91</v>
      </c>
      <c r="ED35">
        <v>10.23</v>
      </c>
      <c r="EE35">
        <v>10.62</v>
      </c>
      <c r="EF35">
        <v>11.04</v>
      </c>
      <c r="EG35">
        <v>11.46</v>
      </c>
      <c r="EH35">
        <v>11.83</v>
      </c>
      <c r="EI35">
        <v>12.13</v>
      </c>
      <c r="EJ35">
        <v>12.4</v>
      </c>
      <c r="EK35">
        <v>12.67</v>
      </c>
      <c r="EM35">
        <v>13.4</v>
      </c>
      <c r="EN35">
        <v>13.67</v>
      </c>
      <c r="EO35">
        <v>13.96</v>
      </c>
      <c r="EP35">
        <v>14.4</v>
      </c>
      <c r="EQ35">
        <v>14.77</v>
      </c>
      <c r="ER35">
        <v>15.21</v>
      </c>
      <c r="ES35">
        <v>15.6</v>
      </c>
      <c r="ET35">
        <v>16.07</v>
      </c>
      <c r="EU35">
        <v>16.54</v>
      </c>
      <c r="EV35">
        <v>16.91</v>
      </c>
      <c r="EW35">
        <v>17.260000000000002</v>
      </c>
      <c r="EX35">
        <v>17.600000000000001</v>
      </c>
      <c r="EY35">
        <v>17.95</v>
      </c>
      <c r="EZ35">
        <v>18.36</v>
      </c>
      <c r="FA35">
        <v>18.739999999999998</v>
      </c>
      <c r="FB35">
        <v>19.03</v>
      </c>
      <c r="FC35">
        <v>19.23</v>
      </c>
      <c r="FD35">
        <v>19.54</v>
      </c>
      <c r="FE35">
        <v>19.940000000000001</v>
      </c>
      <c r="FF35">
        <v>20.43</v>
      </c>
      <c r="FG35">
        <v>20.96</v>
      </c>
      <c r="FH35">
        <v>21.48</v>
      </c>
      <c r="FI35">
        <v>21.97</v>
      </c>
      <c r="FJ35">
        <v>22.53</v>
      </c>
      <c r="FK35">
        <v>22.97</v>
      </c>
      <c r="FL35">
        <v>23.49</v>
      </c>
      <c r="FM35">
        <v>23.96</v>
      </c>
      <c r="FN35">
        <v>24.6</v>
      </c>
      <c r="FO35">
        <v>25.24</v>
      </c>
      <c r="FP35">
        <v>25.89</v>
      </c>
      <c r="FQ35">
        <v>26.55</v>
      </c>
      <c r="FR35">
        <v>27.09</v>
      </c>
      <c r="FS35">
        <v>27.59</v>
      </c>
      <c r="FT35">
        <v>27.94</v>
      </c>
      <c r="FU35">
        <v>28.25</v>
      </c>
      <c r="FV35">
        <v>28.61</v>
      </c>
      <c r="FW35">
        <v>28.94</v>
      </c>
      <c r="FX35">
        <v>29.27</v>
      </c>
      <c r="FY35">
        <v>29.54</v>
      </c>
      <c r="FZ35">
        <v>29.73</v>
      </c>
      <c r="GA35">
        <v>29.94</v>
      </c>
      <c r="GB35">
        <v>30.21</v>
      </c>
      <c r="GC35">
        <v>30.67</v>
      </c>
      <c r="GD35">
        <v>31.25</v>
      </c>
      <c r="GE35">
        <v>31.85</v>
      </c>
      <c r="GF35">
        <v>32.47</v>
      </c>
      <c r="GG35">
        <v>33.119999999999997</v>
      </c>
      <c r="GH35">
        <v>33.9</v>
      </c>
      <c r="GI35">
        <v>34.46</v>
      </c>
      <c r="GJ35">
        <v>34.93</v>
      </c>
      <c r="GK35">
        <v>35.44</v>
      </c>
      <c r="GL35">
        <v>35.97</v>
      </c>
      <c r="GM35">
        <v>36.479999999999997</v>
      </c>
      <c r="GN35">
        <v>36.909999999999997</v>
      </c>
      <c r="GO35">
        <v>37.54</v>
      </c>
      <c r="GP35">
        <v>38.15</v>
      </c>
      <c r="GQ35">
        <v>38.75</v>
      </c>
      <c r="GR35">
        <v>39.57</v>
      </c>
      <c r="GS35">
        <v>40.25</v>
      </c>
      <c r="GT35">
        <v>40.89</v>
      </c>
      <c r="GU35">
        <v>41.62</v>
      </c>
      <c r="GV35">
        <v>42.43</v>
      </c>
      <c r="GW35">
        <v>43.37</v>
      </c>
      <c r="GX35">
        <v>44.31</v>
      </c>
      <c r="GY35">
        <v>45.21</v>
      </c>
      <c r="GZ35">
        <v>46</v>
      </c>
      <c r="HA35">
        <v>46.74</v>
      </c>
      <c r="HB35">
        <v>47.43</v>
      </c>
      <c r="HC35">
        <v>48.04</v>
      </c>
      <c r="HD35">
        <v>48.7</v>
      </c>
      <c r="HE35">
        <v>49.48</v>
      </c>
      <c r="HF35">
        <v>50.37</v>
      </c>
      <c r="HG35">
        <v>51.2</v>
      </c>
      <c r="HH35">
        <v>52.04</v>
      </c>
      <c r="HI35">
        <v>53.01</v>
      </c>
      <c r="HJ35">
        <v>54.15</v>
      </c>
      <c r="HK35">
        <v>55.28</v>
      </c>
      <c r="HL35">
        <v>56.55</v>
      </c>
      <c r="HM35">
        <v>57.87</v>
      </c>
      <c r="HN35">
        <v>59.08</v>
      </c>
      <c r="HO35">
        <v>60.07</v>
      </c>
      <c r="HP35">
        <v>61.11</v>
      </c>
      <c r="HQ35">
        <v>62.19</v>
      </c>
      <c r="HR35">
        <v>63.33</v>
      </c>
      <c r="HS35">
        <v>64.36</v>
      </c>
      <c r="HT35">
        <v>65.290000000000006</v>
      </c>
      <c r="HU35">
        <v>66.27</v>
      </c>
      <c r="HV35">
        <v>67.13</v>
      </c>
      <c r="HW35">
        <v>68.06</v>
      </c>
      <c r="HX35">
        <v>68.95</v>
      </c>
      <c r="HY35">
        <v>69.8</v>
      </c>
      <c r="HZ35">
        <v>70.59</v>
      </c>
      <c r="IA35">
        <v>71.55</v>
      </c>
      <c r="IB35">
        <v>72.3</v>
      </c>
      <c r="IC35">
        <v>73.16</v>
      </c>
      <c r="ID35">
        <v>74.33</v>
      </c>
      <c r="IE35">
        <v>75.63</v>
      </c>
      <c r="IF35">
        <v>76.95</v>
      </c>
      <c r="IG35">
        <v>78.52</v>
      </c>
      <c r="IH35">
        <v>80.11</v>
      </c>
      <c r="II35">
        <v>81.83</v>
      </c>
      <c r="IJ35">
        <v>83.44</v>
      </c>
      <c r="IK35">
        <v>85.29</v>
      </c>
      <c r="IL35">
        <v>87.05</v>
      </c>
      <c r="IM35">
        <v>88.88</v>
      </c>
      <c r="IN35">
        <v>90.53</v>
      </c>
      <c r="IO35">
        <v>91.95</v>
      </c>
      <c r="IP35">
        <v>93.44</v>
      </c>
      <c r="IQ35">
        <v>94.74</v>
      </c>
      <c r="IR35">
        <v>96.05</v>
      </c>
      <c r="IS35">
        <v>97.4</v>
      </c>
      <c r="IT35">
        <v>98.78</v>
      </c>
      <c r="IU35">
        <v>100.06</v>
      </c>
      <c r="IV35">
        <v>99.89</v>
      </c>
      <c r="IW35">
        <v>101.21</v>
      </c>
      <c r="IX35">
        <v>102.17</v>
      </c>
      <c r="IY35">
        <v>103.55</v>
      </c>
      <c r="IZ35">
        <v>104.76</v>
      </c>
      <c r="JA35">
        <v>105.94</v>
      </c>
      <c r="JB35">
        <v>107.02</v>
      </c>
      <c r="JC35">
        <v>108.21</v>
      </c>
      <c r="JE35">
        <v>110.43</v>
      </c>
      <c r="JF35">
        <v>111.6</v>
      </c>
      <c r="JG35">
        <v>112.62</v>
      </c>
      <c r="JH35">
        <v>113.57</v>
      </c>
      <c r="JK35">
        <v>117.02</v>
      </c>
      <c r="JL35">
        <v>117.59</v>
      </c>
      <c r="JM35">
        <v>118.37</v>
      </c>
      <c r="JN35">
        <v>119.12</v>
      </c>
      <c r="JP35">
        <v>119.86</v>
      </c>
      <c r="JQ35">
        <v>121.29</v>
      </c>
      <c r="JR35">
        <v>121.99</v>
      </c>
      <c r="JS35">
        <v>122.52</v>
      </c>
      <c r="JT35">
        <v>123.32</v>
      </c>
      <c r="JU35">
        <v>124.17</v>
      </c>
      <c r="JV35">
        <v>125.03</v>
      </c>
      <c r="JW35">
        <v>125.82</v>
      </c>
      <c r="JX35">
        <v>127.53</v>
      </c>
      <c r="JZ35">
        <v>130.72</v>
      </c>
      <c r="KA35">
        <v>132.74</v>
      </c>
      <c r="KB35">
        <v>134.65</v>
      </c>
      <c r="KC35">
        <v>136.31</v>
      </c>
      <c r="KD35">
        <v>137.74</v>
      </c>
      <c r="KE35">
        <v>138.9</v>
      </c>
      <c r="KF35">
        <v>139.88</v>
      </c>
      <c r="KG35">
        <v>140.62</v>
      </c>
      <c r="KI35">
        <v>142.15</v>
      </c>
      <c r="KL35">
        <v>143.58000000000001</v>
      </c>
      <c r="KQ35">
        <v>144.26</v>
      </c>
      <c r="KV35">
        <v>148.47999999999999</v>
      </c>
      <c r="KX35">
        <v>152.08000000000001</v>
      </c>
      <c r="KZ35">
        <v>154.82</v>
      </c>
      <c r="LN35">
        <v>162.21</v>
      </c>
      <c r="LO35">
        <v>162.51</v>
      </c>
      <c r="LS35">
        <v>164.28</v>
      </c>
      <c r="LT35">
        <v>164.7</v>
      </c>
      <c r="LW35">
        <v>165.47</v>
      </c>
      <c r="LX35">
        <v>165.76</v>
      </c>
      <c r="MB35">
        <v>166.47</v>
      </c>
      <c r="MD35">
        <v>166.59</v>
      </c>
      <c r="ME35">
        <v>166.65</v>
      </c>
      <c r="MF35">
        <v>167.16</v>
      </c>
      <c r="MK35">
        <v>167.67</v>
      </c>
      <c r="MM35">
        <v>168.07</v>
      </c>
      <c r="MN35">
        <v>168.24</v>
      </c>
      <c r="MP35">
        <v>168.56</v>
      </c>
      <c r="MS35">
        <v>169.11</v>
      </c>
      <c r="MT35">
        <v>169.45</v>
      </c>
      <c r="MU35">
        <v>169.8</v>
      </c>
      <c r="MV35">
        <v>170.2</v>
      </c>
      <c r="NB35">
        <v>172.8</v>
      </c>
      <c r="NG35">
        <v>174.52</v>
      </c>
      <c r="NH35">
        <v>174.85</v>
      </c>
      <c r="NI35">
        <v>175.13</v>
      </c>
      <c r="NK35">
        <v>175.68</v>
      </c>
      <c r="NL35">
        <v>175.87</v>
      </c>
      <c r="NP35">
        <v>177.2</v>
      </c>
      <c r="NV35">
        <v>179.01</v>
      </c>
      <c r="OA35">
        <v>179.82</v>
      </c>
      <c r="OF35">
        <v>181.54</v>
      </c>
      <c r="OH35">
        <v>181.91</v>
      </c>
      <c r="OJ35">
        <v>183.43</v>
      </c>
      <c r="OK35">
        <v>184.22</v>
      </c>
      <c r="OO35">
        <v>186.71</v>
      </c>
      <c r="OQ35">
        <v>188.09</v>
      </c>
      <c r="OU35">
        <v>191.74</v>
      </c>
      <c r="OV35">
        <v>192.11</v>
      </c>
      <c r="OX35">
        <v>193.56</v>
      </c>
      <c r="OY35">
        <v>194.11</v>
      </c>
      <c r="OZ35">
        <v>194.58</v>
      </c>
      <c r="PA35">
        <v>195.03</v>
      </c>
      <c r="PC35">
        <v>195.45</v>
      </c>
      <c r="PD35">
        <v>195.59</v>
      </c>
      <c r="PF35">
        <v>196.05</v>
      </c>
      <c r="PH35">
        <v>196.65</v>
      </c>
      <c r="PL35">
        <v>197.54</v>
      </c>
      <c r="PQ35">
        <v>199.31</v>
      </c>
      <c r="PW35">
        <v>202.16</v>
      </c>
      <c r="PX35">
        <v>202.4</v>
      </c>
      <c r="PZ35">
        <v>203.64</v>
      </c>
      <c r="QB35">
        <v>205.9</v>
      </c>
      <c r="QC35">
        <v>206.93</v>
      </c>
      <c r="QH35">
        <v>210.49</v>
      </c>
      <c r="QK35">
        <v>211.98</v>
      </c>
      <c r="QL35">
        <v>212.21</v>
      </c>
      <c r="QN35">
        <v>212.86</v>
      </c>
      <c r="QQ35">
        <v>213.91</v>
      </c>
      <c r="QR35">
        <v>214.12</v>
      </c>
      <c r="QS35">
        <v>214.24</v>
      </c>
      <c r="QT35">
        <v>214.51</v>
      </c>
      <c r="QW35">
        <v>215.13</v>
      </c>
      <c r="RA35">
        <v>215.78</v>
      </c>
      <c r="RH35">
        <v>217.27</v>
      </c>
      <c r="RU35">
        <v>219.52</v>
      </c>
      <c r="RY35">
        <v>220.38</v>
      </c>
      <c r="SC35">
        <v>222.2</v>
      </c>
      <c r="SI35">
        <v>226.18</v>
      </c>
      <c r="SJ35">
        <v>226.54</v>
      </c>
    </row>
    <row r="36" spans="1:791">
      <c r="A36" s="1" t="s">
        <v>100</v>
      </c>
      <c r="B36" s="1" t="s">
        <v>321</v>
      </c>
      <c r="DU36">
        <v>0</v>
      </c>
      <c r="DV36">
        <v>0</v>
      </c>
      <c r="EM36">
        <v>0.04</v>
      </c>
      <c r="EZ36">
        <v>0.17</v>
      </c>
      <c r="FF36">
        <v>0.18</v>
      </c>
      <c r="FI36">
        <v>0.19</v>
      </c>
      <c r="FL36">
        <v>0.21</v>
      </c>
      <c r="FN36">
        <v>0.24</v>
      </c>
      <c r="FS36">
        <v>0.28000000000000003</v>
      </c>
      <c r="GA36">
        <v>0.3</v>
      </c>
      <c r="GC36">
        <v>0.33</v>
      </c>
      <c r="GG36">
        <v>0.34</v>
      </c>
      <c r="GM36">
        <v>0.37</v>
      </c>
      <c r="GQ36">
        <v>0.39</v>
      </c>
      <c r="GU36">
        <v>0.42</v>
      </c>
      <c r="HI36">
        <v>0.62</v>
      </c>
      <c r="HP36">
        <v>1.18</v>
      </c>
      <c r="HU36">
        <v>1.2</v>
      </c>
      <c r="HW36">
        <v>1.25</v>
      </c>
      <c r="IE36">
        <v>1.32</v>
      </c>
      <c r="IK36">
        <v>1.39</v>
      </c>
      <c r="IR36">
        <v>1.49</v>
      </c>
      <c r="IV36">
        <v>1.52</v>
      </c>
      <c r="IY36">
        <v>1.54</v>
      </c>
      <c r="JM36">
        <v>1.6</v>
      </c>
      <c r="JS36">
        <v>1.63</v>
      </c>
      <c r="KC36">
        <v>1.69</v>
      </c>
      <c r="KH36">
        <v>1.69</v>
      </c>
      <c r="MA36">
        <v>1.87</v>
      </c>
      <c r="MH36">
        <v>2.23</v>
      </c>
      <c r="ML36">
        <v>3.16</v>
      </c>
      <c r="MZ36">
        <v>3.56</v>
      </c>
      <c r="OH36">
        <v>3.76</v>
      </c>
    </row>
    <row r="37" spans="1:791">
      <c r="A37" s="1" t="s">
        <v>56</v>
      </c>
      <c r="B37" s="1" t="s">
        <v>256</v>
      </c>
      <c r="G37">
        <v>0</v>
      </c>
      <c r="H37">
        <v>0</v>
      </c>
      <c r="I37">
        <v>0.01</v>
      </c>
      <c r="J37">
        <v>0.02</v>
      </c>
      <c r="K37">
        <v>0.03</v>
      </c>
      <c r="L37">
        <v>0.03</v>
      </c>
      <c r="M37">
        <v>0.03</v>
      </c>
      <c r="N37">
        <v>0.06</v>
      </c>
      <c r="O37">
        <v>7.0000000000000007E-2</v>
      </c>
      <c r="P37">
        <v>0.09</v>
      </c>
      <c r="Q37">
        <v>0.12</v>
      </c>
      <c r="R37">
        <v>0.12</v>
      </c>
      <c r="S37">
        <v>0.13</v>
      </c>
      <c r="T37">
        <v>0.14000000000000001</v>
      </c>
      <c r="U37">
        <v>0.16</v>
      </c>
      <c r="V37">
        <v>0.19</v>
      </c>
      <c r="W37">
        <v>0.22</v>
      </c>
      <c r="X37">
        <v>0.26</v>
      </c>
      <c r="Y37">
        <v>0.27</v>
      </c>
      <c r="Z37">
        <v>0.28999999999999998</v>
      </c>
      <c r="AA37">
        <v>0.3</v>
      </c>
      <c r="AB37">
        <v>0.36</v>
      </c>
      <c r="AC37">
        <v>0.41</v>
      </c>
      <c r="AD37">
        <v>0.49</v>
      </c>
      <c r="AE37">
        <v>0.57999999999999996</v>
      </c>
      <c r="AF37">
        <v>0.69</v>
      </c>
      <c r="AG37">
        <v>0.78</v>
      </c>
      <c r="AH37">
        <v>0.85</v>
      </c>
      <c r="AI37">
        <v>0.95</v>
      </c>
      <c r="AJ37">
        <v>1.03</v>
      </c>
      <c r="AK37">
        <v>1.1100000000000001</v>
      </c>
      <c r="AL37">
        <v>1.22</v>
      </c>
      <c r="AM37">
        <v>1.35</v>
      </c>
      <c r="AN37">
        <v>1.44</v>
      </c>
      <c r="AO37">
        <v>1.51</v>
      </c>
      <c r="AP37">
        <v>1.63</v>
      </c>
      <c r="AQ37">
        <v>1.73</v>
      </c>
      <c r="AR37">
        <v>1.84</v>
      </c>
      <c r="AS37">
        <v>1.96</v>
      </c>
      <c r="AT37">
        <v>2.06</v>
      </c>
      <c r="AU37">
        <v>2.12</v>
      </c>
      <c r="AV37">
        <v>2.16</v>
      </c>
      <c r="AW37">
        <v>2.23</v>
      </c>
      <c r="AX37">
        <v>2.2999999999999998</v>
      </c>
      <c r="AY37">
        <v>2.36</v>
      </c>
      <c r="AZ37">
        <v>2.4300000000000002</v>
      </c>
      <c r="BA37">
        <v>2.48</v>
      </c>
      <c r="BB37">
        <v>2.52</v>
      </c>
      <c r="BC37">
        <v>2.54</v>
      </c>
      <c r="BD37">
        <v>2.58</v>
      </c>
      <c r="BE37">
        <v>2.62</v>
      </c>
      <c r="BF37">
        <v>2.65</v>
      </c>
      <c r="BG37">
        <v>2.7</v>
      </c>
      <c r="BH37">
        <v>2.76</v>
      </c>
      <c r="BI37">
        <v>2.82</v>
      </c>
      <c r="BJ37">
        <v>2.85</v>
      </c>
      <c r="BK37">
        <v>2.91</v>
      </c>
      <c r="BL37">
        <v>2.98</v>
      </c>
      <c r="BM37">
        <v>3.06</v>
      </c>
      <c r="BN37">
        <v>3.14</v>
      </c>
      <c r="BO37">
        <v>3.24</v>
      </c>
      <c r="BP37">
        <v>3.33</v>
      </c>
      <c r="BQ37">
        <v>3.37</v>
      </c>
      <c r="BR37">
        <v>3.4</v>
      </c>
      <c r="BS37">
        <v>3.47</v>
      </c>
      <c r="BT37">
        <v>3.52</v>
      </c>
      <c r="BU37">
        <v>3.59</v>
      </c>
      <c r="BV37">
        <v>3.72</v>
      </c>
      <c r="BW37">
        <v>3.85</v>
      </c>
      <c r="BX37">
        <v>3.96</v>
      </c>
      <c r="BY37">
        <v>4.13</v>
      </c>
      <c r="BZ37">
        <v>4.26</v>
      </c>
      <c r="CA37">
        <v>4.38</v>
      </c>
      <c r="CB37">
        <v>4.53</v>
      </c>
      <c r="CC37">
        <v>4.71</v>
      </c>
      <c r="CD37">
        <v>4.88</v>
      </c>
      <c r="CE37">
        <v>5</v>
      </c>
      <c r="CF37">
        <v>5.16</v>
      </c>
      <c r="CG37">
        <v>5.35</v>
      </c>
      <c r="CH37">
        <v>5.54</v>
      </c>
      <c r="CI37">
        <v>5.75</v>
      </c>
      <c r="CJ37">
        <v>5.98</v>
      </c>
      <c r="CK37">
        <v>6.17</v>
      </c>
      <c r="CL37">
        <v>6.32</v>
      </c>
      <c r="CM37">
        <v>6.55</v>
      </c>
      <c r="CN37">
        <v>6.74</v>
      </c>
      <c r="CO37">
        <v>6.95</v>
      </c>
      <c r="CP37">
        <v>7.2</v>
      </c>
      <c r="CQ37">
        <v>7.5</v>
      </c>
      <c r="CR37">
        <v>7.77</v>
      </c>
      <c r="CS37">
        <v>8.02</v>
      </c>
      <c r="CT37">
        <v>8.35</v>
      </c>
      <c r="CU37">
        <v>8.67</v>
      </c>
      <c r="CV37">
        <v>9.0299999999999994</v>
      </c>
      <c r="CW37">
        <v>9.4499999999999993</v>
      </c>
      <c r="CX37">
        <v>9.8800000000000008</v>
      </c>
      <c r="CY37">
        <v>10.23</v>
      </c>
      <c r="CZ37">
        <v>10.48</v>
      </c>
      <c r="DA37">
        <v>10.86</v>
      </c>
      <c r="DB37">
        <v>11.19</v>
      </c>
      <c r="DC37">
        <v>11.64</v>
      </c>
      <c r="DD37">
        <v>12.15</v>
      </c>
      <c r="DE37">
        <v>12.72</v>
      </c>
      <c r="DF37">
        <v>13.16</v>
      </c>
      <c r="DG37">
        <v>13.55</v>
      </c>
      <c r="DH37">
        <v>14.05</v>
      </c>
      <c r="DI37">
        <v>14.5</v>
      </c>
      <c r="DJ37">
        <v>15.08</v>
      </c>
      <c r="DK37">
        <v>15.62</v>
      </c>
      <c r="DL37">
        <v>16.05</v>
      </c>
      <c r="DM37">
        <v>16.579999999999998</v>
      </c>
      <c r="DN37">
        <v>16.88</v>
      </c>
      <c r="DO37">
        <v>17.37</v>
      </c>
      <c r="DP37">
        <v>17.91</v>
      </c>
      <c r="DQ37">
        <v>18.52</v>
      </c>
      <c r="DR37">
        <v>19.22</v>
      </c>
      <c r="DS37">
        <v>20.059999999999999</v>
      </c>
      <c r="DT37">
        <v>20.71</v>
      </c>
      <c r="DU37">
        <v>21.19</v>
      </c>
      <c r="DV37">
        <v>22.07</v>
      </c>
      <c r="DW37">
        <v>22.79</v>
      </c>
      <c r="DX37">
        <v>23.58</v>
      </c>
      <c r="DY37">
        <v>24.39</v>
      </c>
      <c r="DZ37">
        <v>25.24</v>
      </c>
      <c r="EA37">
        <v>25.91</v>
      </c>
      <c r="EB37">
        <v>26.44</v>
      </c>
      <c r="EC37">
        <v>27.14</v>
      </c>
      <c r="ED37">
        <v>27.77</v>
      </c>
      <c r="EE37">
        <v>28.61</v>
      </c>
      <c r="EF37">
        <v>29.57</v>
      </c>
      <c r="EG37">
        <v>30.54</v>
      </c>
      <c r="EH37">
        <v>31.3</v>
      </c>
      <c r="EI37">
        <v>31.91</v>
      </c>
      <c r="EJ37">
        <v>32.61</v>
      </c>
      <c r="EK37">
        <v>33.29</v>
      </c>
      <c r="EL37">
        <v>33.979999999999997</v>
      </c>
      <c r="EM37">
        <v>34.79</v>
      </c>
      <c r="EN37">
        <v>35.56</v>
      </c>
      <c r="EO37">
        <v>36.17</v>
      </c>
      <c r="EP37">
        <v>36.630000000000003</v>
      </c>
      <c r="EQ37">
        <v>37.229999999999997</v>
      </c>
      <c r="ER37">
        <v>37.85</v>
      </c>
      <c r="ES37">
        <v>38.6</v>
      </c>
      <c r="ET37">
        <v>39.54</v>
      </c>
      <c r="EU37">
        <v>40.6</v>
      </c>
      <c r="EV37">
        <v>41.47</v>
      </c>
      <c r="EW37">
        <v>42.19</v>
      </c>
      <c r="EX37">
        <v>43.08</v>
      </c>
      <c r="EY37">
        <v>43.87</v>
      </c>
      <c r="EZ37">
        <v>44.79</v>
      </c>
      <c r="FA37">
        <v>45.83</v>
      </c>
      <c r="FB37">
        <v>46.99</v>
      </c>
      <c r="FC37">
        <v>47.95</v>
      </c>
      <c r="FD37">
        <v>48.79</v>
      </c>
      <c r="FE37">
        <v>49.83</v>
      </c>
      <c r="FF37">
        <v>50.58</v>
      </c>
      <c r="FG37">
        <v>51.52</v>
      </c>
      <c r="FH37">
        <v>52.57</v>
      </c>
      <c r="FI37">
        <v>53.86</v>
      </c>
      <c r="FJ37">
        <v>54.89</v>
      </c>
      <c r="FK37">
        <v>55.71</v>
      </c>
      <c r="FL37">
        <v>56.65</v>
      </c>
      <c r="FM37">
        <v>57.33</v>
      </c>
      <c r="FN37">
        <v>58.13</v>
      </c>
      <c r="FO37">
        <v>59.21</v>
      </c>
      <c r="FP37">
        <v>60.44</v>
      </c>
      <c r="FQ37">
        <v>61.36</v>
      </c>
      <c r="FR37">
        <v>62.19</v>
      </c>
      <c r="FS37">
        <v>63.22</v>
      </c>
      <c r="FT37">
        <v>64.040000000000006</v>
      </c>
      <c r="FU37">
        <v>64.97</v>
      </c>
      <c r="FV37">
        <v>66.06</v>
      </c>
      <c r="FW37">
        <v>67.290000000000006</v>
      </c>
      <c r="FX37">
        <v>68.290000000000006</v>
      </c>
      <c r="FY37">
        <v>69.14</v>
      </c>
      <c r="FZ37">
        <v>70.22</v>
      </c>
      <c r="GA37">
        <v>71.16</v>
      </c>
      <c r="GB37">
        <v>72.22</v>
      </c>
      <c r="GC37">
        <v>73.47</v>
      </c>
      <c r="GD37">
        <v>74.819999999999993</v>
      </c>
      <c r="GE37">
        <v>75.900000000000006</v>
      </c>
      <c r="GF37">
        <v>76.900000000000006</v>
      </c>
      <c r="GG37">
        <v>78.08</v>
      </c>
      <c r="GH37">
        <v>79.27</v>
      </c>
      <c r="GI37">
        <v>80.489999999999995</v>
      </c>
      <c r="GJ37">
        <v>81.83</v>
      </c>
      <c r="GK37">
        <v>83.24</v>
      </c>
      <c r="GL37">
        <v>84.35</v>
      </c>
      <c r="GM37">
        <v>85.29</v>
      </c>
      <c r="GN37">
        <v>86.37</v>
      </c>
      <c r="GO37">
        <v>87.62</v>
      </c>
      <c r="GP37">
        <v>88.99</v>
      </c>
      <c r="GQ37">
        <v>90.55</v>
      </c>
      <c r="GR37">
        <v>91.93</v>
      </c>
      <c r="GS37">
        <v>93.09</v>
      </c>
      <c r="GT37">
        <v>94.05</v>
      </c>
      <c r="GU37">
        <v>95.91</v>
      </c>
      <c r="GV37">
        <v>97.44</v>
      </c>
      <c r="GW37">
        <v>99.05</v>
      </c>
      <c r="GX37">
        <v>100.2</v>
      </c>
      <c r="GY37">
        <v>101.79</v>
      </c>
      <c r="GZ37">
        <v>102.74</v>
      </c>
      <c r="HA37">
        <v>103.59</v>
      </c>
      <c r="HB37">
        <v>105.19</v>
      </c>
      <c r="HC37">
        <v>106.48</v>
      </c>
      <c r="HD37">
        <v>107.81</v>
      </c>
      <c r="HE37">
        <v>109.46</v>
      </c>
      <c r="HF37">
        <v>110.91</v>
      </c>
      <c r="HG37">
        <v>111.87</v>
      </c>
      <c r="HH37">
        <v>112.63</v>
      </c>
      <c r="HI37">
        <v>113.97</v>
      </c>
      <c r="HJ37">
        <v>115.07</v>
      </c>
      <c r="HK37">
        <v>116.2</v>
      </c>
      <c r="HL37">
        <v>117.36</v>
      </c>
      <c r="HM37">
        <v>118.51</v>
      </c>
      <c r="HN37">
        <v>119.3</v>
      </c>
      <c r="HO37">
        <v>119.9</v>
      </c>
      <c r="HP37">
        <v>121.03</v>
      </c>
      <c r="HQ37">
        <v>121.92</v>
      </c>
      <c r="HR37">
        <v>122.95</v>
      </c>
      <c r="HS37">
        <v>123.96</v>
      </c>
      <c r="HT37">
        <v>124.9</v>
      </c>
      <c r="HU37">
        <v>125.56</v>
      </c>
      <c r="HV37">
        <v>126.08</v>
      </c>
      <c r="HW37">
        <v>127.12</v>
      </c>
      <c r="HX37">
        <v>127.85</v>
      </c>
      <c r="HY37">
        <v>128.58000000000001</v>
      </c>
      <c r="HZ37">
        <v>129.30000000000001</v>
      </c>
      <c r="IA37">
        <v>129.99</v>
      </c>
      <c r="IB37">
        <v>130.44</v>
      </c>
      <c r="IC37">
        <v>130.79</v>
      </c>
      <c r="ID37">
        <v>131.03</v>
      </c>
      <c r="IE37">
        <v>131.85</v>
      </c>
      <c r="IF37">
        <v>132.29</v>
      </c>
      <c r="IG37">
        <v>132.80000000000001</v>
      </c>
      <c r="IH37">
        <v>133.27000000000001</v>
      </c>
      <c r="II37">
        <v>133.6</v>
      </c>
      <c r="IJ37">
        <v>133.85</v>
      </c>
      <c r="IK37">
        <v>134.37</v>
      </c>
      <c r="IL37">
        <v>134.72999999999999</v>
      </c>
      <c r="IM37">
        <v>135.1</v>
      </c>
      <c r="IN37">
        <v>135.51</v>
      </c>
      <c r="IO37">
        <v>135.9</v>
      </c>
      <c r="IP37">
        <v>136.19</v>
      </c>
      <c r="IQ37">
        <v>136.44999999999999</v>
      </c>
      <c r="IR37">
        <v>136.91</v>
      </c>
      <c r="IS37">
        <v>137.27000000000001</v>
      </c>
      <c r="IT37">
        <v>137.61000000000001</v>
      </c>
      <c r="IU37">
        <v>137.97999999999999</v>
      </c>
      <c r="IV37">
        <v>137.13</v>
      </c>
      <c r="IW37">
        <v>137.4</v>
      </c>
      <c r="IX37">
        <v>137.59</v>
      </c>
      <c r="IY37">
        <v>137.93</v>
      </c>
      <c r="IZ37">
        <v>138.24</v>
      </c>
      <c r="JA37">
        <v>138.52000000000001</v>
      </c>
      <c r="JB37">
        <v>138.85</v>
      </c>
      <c r="JC37">
        <v>139.16</v>
      </c>
      <c r="JD37">
        <v>139.38</v>
      </c>
      <c r="JE37">
        <v>139.55000000000001</v>
      </c>
      <c r="JF37">
        <v>139.9</v>
      </c>
      <c r="JG37">
        <v>140.13</v>
      </c>
      <c r="JH37">
        <v>140.4</v>
      </c>
      <c r="JI37">
        <v>140.66</v>
      </c>
      <c r="JJ37">
        <v>140.97</v>
      </c>
      <c r="JK37">
        <v>141.19</v>
      </c>
      <c r="JL37">
        <v>141.36000000000001</v>
      </c>
      <c r="JM37">
        <v>141.46</v>
      </c>
      <c r="JN37">
        <v>141.77000000000001</v>
      </c>
      <c r="JO37">
        <v>142.01</v>
      </c>
      <c r="JP37">
        <v>142.28</v>
      </c>
      <c r="JQ37">
        <v>142.55000000000001</v>
      </c>
      <c r="JR37">
        <v>142.74</v>
      </c>
      <c r="JS37">
        <v>142.9</v>
      </c>
      <c r="JT37">
        <v>143.19</v>
      </c>
      <c r="JU37">
        <v>143.38999999999999</v>
      </c>
      <c r="JV37">
        <v>143.62</v>
      </c>
      <c r="JW37">
        <v>143.88</v>
      </c>
      <c r="JX37">
        <v>144.31</v>
      </c>
      <c r="JY37">
        <v>144.49</v>
      </c>
      <c r="JZ37">
        <v>144.63999999999999</v>
      </c>
      <c r="KA37">
        <v>145.02000000000001</v>
      </c>
      <c r="KB37">
        <v>145.29</v>
      </c>
      <c r="KC37">
        <v>145.56</v>
      </c>
      <c r="KD37">
        <v>145.87</v>
      </c>
      <c r="KE37">
        <v>146.31</v>
      </c>
      <c r="KF37">
        <v>146.5</v>
      </c>
      <c r="KG37">
        <v>146.68</v>
      </c>
      <c r="KH37">
        <v>147.01</v>
      </c>
      <c r="KI37">
        <v>147.22</v>
      </c>
      <c r="KJ37">
        <v>147.47</v>
      </c>
      <c r="KK37">
        <v>147.63999999999999</v>
      </c>
      <c r="KL37">
        <v>148</v>
      </c>
      <c r="KM37">
        <v>148.15</v>
      </c>
      <c r="KN37">
        <v>148.28</v>
      </c>
      <c r="KO37">
        <v>148.52000000000001</v>
      </c>
      <c r="KP37">
        <v>148.78</v>
      </c>
      <c r="KQ37">
        <v>149.02000000000001</v>
      </c>
      <c r="KR37">
        <v>149.25</v>
      </c>
      <c r="KS37">
        <v>149.63</v>
      </c>
      <c r="KT37">
        <v>149.78</v>
      </c>
      <c r="KU37">
        <v>149.91</v>
      </c>
      <c r="KV37">
        <v>149.91999999999999</v>
      </c>
      <c r="KW37">
        <v>150.31</v>
      </c>
      <c r="KX37">
        <v>150.55000000000001</v>
      </c>
      <c r="KY37">
        <v>150.81</v>
      </c>
      <c r="KZ37">
        <v>151.08000000000001</v>
      </c>
      <c r="LA37">
        <v>151.21</v>
      </c>
      <c r="LB37">
        <v>151.33000000000001</v>
      </c>
      <c r="LC37">
        <v>151.65</v>
      </c>
      <c r="LD37">
        <v>151.86000000000001</v>
      </c>
      <c r="LE37">
        <v>152.08000000000001</v>
      </c>
      <c r="LF37">
        <v>152.31</v>
      </c>
      <c r="LG37">
        <v>152.56</v>
      </c>
      <c r="LH37">
        <v>152.68</v>
      </c>
      <c r="LI37">
        <v>152.78</v>
      </c>
      <c r="LJ37">
        <v>153.07</v>
      </c>
      <c r="LK37">
        <v>153.29</v>
      </c>
      <c r="LL37">
        <v>153.47999999999999</v>
      </c>
      <c r="LM37">
        <v>153.69999999999999</v>
      </c>
      <c r="LN37">
        <v>153.91</v>
      </c>
      <c r="LO37">
        <v>154.01</v>
      </c>
      <c r="LP37">
        <v>154.1</v>
      </c>
      <c r="LQ37">
        <v>154.35</v>
      </c>
      <c r="LR37">
        <v>154.49</v>
      </c>
      <c r="LS37">
        <v>154.69</v>
      </c>
      <c r="LT37">
        <v>154.88999999999999</v>
      </c>
      <c r="LU37">
        <v>155.03</v>
      </c>
      <c r="LV37">
        <v>155.15</v>
      </c>
      <c r="LW37">
        <v>155.22</v>
      </c>
      <c r="LX37">
        <v>155.49</v>
      </c>
      <c r="LY37">
        <v>155.66999999999999</v>
      </c>
      <c r="LZ37">
        <v>155.77000000000001</v>
      </c>
      <c r="MA37">
        <v>156</v>
      </c>
      <c r="MB37">
        <v>156.25</v>
      </c>
      <c r="MC37">
        <v>156.33000000000001</v>
      </c>
      <c r="MD37">
        <v>156.4</v>
      </c>
      <c r="ME37">
        <v>156.65</v>
      </c>
      <c r="MF37">
        <v>156.83000000000001</v>
      </c>
      <c r="MG37">
        <v>157.03</v>
      </c>
      <c r="MH37">
        <v>157.22999999999999</v>
      </c>
      <c r="MI37">
        <v>157.4</v>
      </c>
      <c r="MJ37">
        <v>157.44</v>
      </c>
      <c r="MK37">
        <v>157.53</v>
      </c>
      <c r="ML37">
        <v>157.78</v>
      </c>
      <c r="MM37">
        <v>157.88</v>
      </c>
      <c r="MN37">
        <v>158.02000000000001</v>
      </c>
      <c r="MO37">
        <v>158.19999999999999</v>
      </c>
      <c r="MP37">
        <v>158.36000000000001</v>
      </c>
      <c r="MQ37">
        <v>158.51</v>
      </c>
      <c r="MR37">
        <v>158.76</v>
      </c>
      <c r="MS37">
        <v>159.15</v>
      </c>
      <c r="MT37">
        <v>159.44</v>
      </c>
      <c r="MU37">
        <v>159.66</v>
      </c>
      <c r="MV37">
        <v>159.9</v>
      </c>
      <c r="MW37">
        <v>162.38</v>
      </c>
      <c r="MX37">
        <v>162.69</v>
      </c>
      <c r="MY37">
        <v>162.94999999999999</v>
      </c>
      <c r="MZ37">
        <v>163.46</v>
      </c>
      <c r="NA37">
        <v>163.94</v>
      </c>
      <c r="NB37">
        <v>164.43</v>
      </c>
      <c r="NC37">
        <v>164.89</v>
      </c>
      <c r="ND37">
        <v>165.24</v>
      </c>
      <c r="NE37">
        <v>165.58</v>
      </c>
      <c r="NF37">
        <v>165.84</v>
      </c>
      <c r="NG37">
        <v>166.38</v>
      </c>
      <c r="NH37">
        <v>167.39</v>
      </c>
      <c r="NI37">
        <v>168.08</v>
      </c>
      <c r="NJ37">
        <v>168.85</v>
      </c>
      <c r="NK37">
        <v>169.67</v>
      </c>
      <c r="NL37">
        <v>170.31</v>
      </c>
      <c r="NM37">
        <v>170.84</v>
      </c>
      <c r="NN37">
        <v>171.76</v>
      </c>
      <c r="NO37">
        <v>172.9</v>
      </c>
      <c r="NP37">
        <v>174.04</v>
      </c>
      <c r="NQ37">
        <v>175.28</v>
      </c>
      <c r="NR37">
        <v>175.88</v>
      </c>
      <c r="NS37">
        <v>175.91</v>
      </c>
      <c r="NV37">
        <v>176.68</v>
      </c>
      <c r="NW37">
        <v>178.85</v>
      </c>
      <c r="NX37">
        <v>179.75</v>
      </c>
      <c r="NY37">
        <v>180.61</v>
      </c>
      <c r="NZ37">
        <v>180.61</v>
      </c>
      <c r="OA37">
        <v>180.61</v>
      </c>
      <c r="OB37">
        <v>180.64</v>
      </c>
      <c r="OC37">
        <v>182.73</v>
      </c>
      <c r="OD37">
        <v>183.76</v>
      </c>
      <c r="OE37">
        <v>184.86</v>
      </c>
      <c r="OF37">
        <v>185.69</v>
      </c>
      <c r="OG37">
        <v>186.47</v>
      </c>
      <c r="OH37">
        <v>187.34</v>
      </c>
      <c r="OI37">
        <v>188.39</v>
      </c>
      <c r="OJ37">
        <v>189.49</v>
      </c>
      <c r="OK37">
        <v>190.55</v>
      </c>
      <c r="OL37">
        <v>191.65</v>
      </c>
      <c r="OM37">
        <v>192.97</v>
      </c>
      <c r="ON37">
        <v>193.4</v>
      </c>
      <c r="OO37">
        <v>194.28</v>
      </c>
      <c r="OP37">
        <v>195.21</v>
      </c>
      <c r="OQ37">
        <v>195.85</v>
      </c>
      <c r="OR37">
        <v>196.77</v>
      </c>
      <c r="OS37">
        <v>197.6</v>
      </c>
      <c r="OT37">
        <v>198.13</v>
      </c>
      <c r="OU37">
        <v>198.41</v>
      </c>
      <c r="OW37">
        <v>200.31</v>
      </c>
      <c r="OX37">
        <v>201.19</v>
      </c>
      <c r="OY37">
        <v>201.88</v>
      </c>
      <c r="OZ37">
        <v>202.56</v>
      </c>
      <c r="PA37">
        <v>203.01</v>
      </c>
      <c r="PB37">
        <v>203.25</v>
      </c>
      <c r="PC37">
        <v>204.05</v>
      </c>
      <c r="PD37">
        <v>204.92</v>
      </c>
      <c r="PE37">
        <v>205.44</v>
      </c>
      <c r="PF37">
        <v>205.92</v>
      </c>
      <c r="PG37">
        <v>206.43</v>
      </c>
      <c r="PH37">
        <v>206.85</v>
      </c>
      <c r="PI37">
        <v>207.16</v>
      </c>
      <c r="PJ37">
        <v>207.28</v>
      </c>
      <c r="PK37">
        <v>207.94</v>
      </c>
      <c r="PL37">
        <v>208.26</v>
      </c>
      <c r="PM37">
        <v>208.59</v>
      </c>
      <c r="PN37">
        <v>208.95</v>
      </c>
      <c r="PO37">
        <v>209.28</v>
      </c>
      <c r="PP37">
        <v>209.41</v>
      </c>
      <c r="PQ37">
        <v>209.69</v>
      </c>
      <c r="PR37">
        <v>209.85</v>
      </c>
      <c r="PS37">
        <v>210.27</v>
      </c>
      <c r="PT37">
        <v>210.52</v>
      </c>
      <c r="PU37">
        <v>210.67</v>
      </c>
      <c r="PV37">
        <v>210.93</v>
      </c>
      <c r="PW37">
        <v>211.04</v>
      </c>
      <c r="PY37">
        <v>211.31</v>
      </c>
      <c r="PZ37">
        <v>211.71</v>
      </c>
      <c r="QA37">
        <v>211.89</v>
      </c>
      <c r="QB37">
        <v>212.05</v>
      </c>
      <c r="QC37">
        <v>212.2</v>
      </c>
      <c r="QD37">
        <v>212.34</v>
      </c>
      <c r="QE37">
        <v>212.46</v>
      </c>
      <c r="QF37">
        <v>213.36</v>
      </c>
      <c r="QG37">
        <v>213.47</v>
      </c>
      <c r="QH37">
        <v>213.56</v>
      </c>
      <c r="QI37">
        <v>213.67</v>
      </c>
      <c r="QJ37">
        <v>213.72</v>
      </c>
      <c r="QK37">
        <v>213.77</v>
      </c>
      <c r="QM37">
        <v>214.08</v>
      </c>
      <c r="QN37">
        <v>214.14</v>
      </c>
      <c r="QO37">
        <v>214.22</v>
      </c>
      <c r="QP37">
        <v>214.3</v>
      </c>
      <c r="QS37">
        <v>214.53</v>
      </c>
      <c r="QU37">
        <v>214.71</v>
      </c>
      <c r="QW37">
        <v>214.66</v>
      </c>
      <c r="QY37">
        <v>215</v>
      </c>
      <c r="QZ37">
        <v>215.06</v>
      </c>
      <c r="RA37">
        <v>215.13</v>
      </c>
      <c r="RF37">
        <v>215.48</v>
      </c>
      <c r="RR37">
        <v>217.04</v>
      </c>
      <c r="RW37">
        <v>218.18</v>
      </c>
      <c r="SC37">
        <v>219.7</v>
      </c>
      <c r="SI37">
        <v>220.82</v>
      </c>
      <c r="SV37">
        <v>222.6</v>
      </c>
      <c r="TC37">
        <v>223.65</v>
      </c>
      <c r="TD37">
        <v>223.74</v>
      </c>
      <c r="TE37">
        <v>223.8</v>
      </c>
      <c r="TF37">
        <v>223.8</v>
      </c>
      <c r="TG37">
        <v>223.84</v>
      </c>
      <c r="TJ37">
        <v>224.31</v>
      </c>
      <c r="TK37">
        <v>224.39</v>
      </c>
      <c r="TL37">
        <v>224.45</v>
      </c>
      <c r="TO37">
        <v>224.64</v>
      </c>
      <c r="TS37">
        <v>225.01</v>
      </c>
      <c r="TU37">
        <v>225.07</v>
      </c>
      <c r="TV37">
        <v>225.16</v>
      </c>
      <c r="TW37">
        <v>225.39</v>
      </c>
      <c r="TX37">
        <v>225.44</v>
      </c>
      <c r="TY37">
        <v>225.5</v>
      </c>
      <c r="TZ37">
        <v>225.53</v>
      </c>
      <c r="UA37">
        <v>225.55</v>
      </c>
      <c r="UB37">
        <v>225.58</v>
      </c>
      <c r="UC37">
        <v>225.67</v>
      </c>
      <c r="UG37">
        <v>226.02</v>
      </c>
      <c r="UH37">
        <v>226.04</v>
      </c>
      <c r="UI37">
        <v>226.08</v>
      </c>
      <c r="UJ37">
        <v>226.15</v>
      </c>
      <c r="UK37">
        <v>226.37</v>
      </c>
      <c r="UR37">
        <v>226.58</v>
      </c>
      <c r="UY37">
        <v>226.94</v>
      </c>
      <c r="VF37">
        <v>227.28</v>
      </c>
      <c r="VG37">
        <v>227.28</v>
      </c>
      <c r="VS37">
        <v>228.87</v>
      </c>
      <c r="VT37">
        <v>229.1</v>
      </c>
      <c r="WS37">
        <v>230.93</v>
      </c>
      <c r="WT37">
        <v>231.01</v>
      </c>
      <c r="WU37">
        <v>231.25</v>
      </c>
      <c r="WV37">
        <v>231.88</v>
      </c>
      <c r="WY37">
        <v>231.98</v>
      </c>
      <c r="WZ37">
        <v>232.02</v>
      </c>
      <c r="XA37">
        <v>232.15</v>
      </c>
      <c r="XB37">
        <v>232.52</v>
      </c>
      <c r="XF37">
        <v>232.64</v>
      </c>
      <c r="XG37">
        <v>232.65</v>
      </c>
      <c r="XH37">
        <v>232.76</v>
      </c>
      <c r="XI37">
        <v>233.04</v>
      </c>
      <c r="XJ37">
        <v>233.09</v>
      </c>
      <c r="XM37">
        <v>233.2</v>
      </c>
      <c r="XN37">
        <v>233.24</v>
      </c>
      <c r="XO37">
        <v>233.35</v>
      </c>
      <c r="XT37">
        <v>234.22</v>
      </c>
      <c r="XU37">
        <v>234.26</v>
      </c>
      <c r="XV37">
        <v>234.35</v>
      </c>
      <c r="XW37">
        <v>234.85</v>
      </c>
      <c r="XX37">
        <v>234.91</v>
      </c>
      <c r="YA37">
        <v>235.05</v>
      </c>
      <c r="YB37">
        <v>235.09</v>
      </c>
      <c r="YC37">
        <v>235.26</v>
      </c>
      <c r="YD37">
        <v>236.17</v>
      </c>
      <c r="YE37">
        <v>236.23</v>
      </c>
      <c r="YH37">
        <v>236.36</v>
      </c>
      <c r="YI37">
        <v>236.39</v>
      </c>
      <c r="YJ37">
        <v>236.44</v>
      </c>
      <c r="YK37">
        <v>237.46</v>
      </c>
      <c r="YL37">
        <v>237.51</v>
      </c>
      <c r="YO37">
        <v>237.64</v>
      </c>
      <c r="YP37">
        <v>237.64</v>
      </c>
      <c r="YQ37">
        <v>238.28</v>
      </c>
      <c r="YR37">
        <v>238.84</v>
      </c>
      <c r="YS37">
        <v>238.91</v>
      </c>
      <c r="YV37">
        <v>239.04</v>
      </c>
      <c r="YW37">
        <v>239.09</v>
      </c>
      <c r="YX37">
        <v>239.25</v>
      </c>
      <c r="ZC37">
        <v>240.71</v>
      </c>
      <c r="ZD37">
        <v>240.76</v>
      </c>
      <c r="ZE37">
        <v>239.87</v>
      </c>
      <c r="ZF37">
        <v>240.53</v>
      </c>
      <c r="ZG37">
        <v>240.59</v>
      </c>
      <c r="ZJ37">
        <v>240.72</v>
      </c>
      <c r="ZL37">
        <v>241.64</v>
      </c>
      <c r="ZM37">
        <v>242.28</v>
      </c>
      <c r="ZN37">
        <v>242.33</v>
      </c>
      <c r="ZQ37">
        <v>242.45</v>
      </c>
      <c r="ZX37">
        <v>243.64</v>
      </c>
      <c r="ZY37">
        <v>243.98</v>
      </c>
      <c r="ZZ37">
        <v>244.17</v>
      </c>
      <c r="AAA37">
        <v>245.08</v>
      </c>
      <c r="AAB37">
        <v>245.14</v>
      </c>
      <c r="AAE37">
        <v>245.28</v>
      </c>
      <c r="AAF37">
        <v>245.32</v>
      </c>
      <c r="AAG37">
        <v>246.05</v>
      </c>
      <c r="AAH37">
        <v>246.53</v>
      </c>
      <c r="AAI37">
        <v>246.59</v>
      </c>
      <c r="AAL37">
        <v>246.72</v>
      </c>
      <c r="AAM37">
        <v>246.75</v>
      </c>
      <c r="AAN37">
        <v>247.26</v>
      </c>
      <c r="AAO37">
        <v>247.65</v>
      </c>
      <c r="AAP37">
        <v>247.7</v>
      </c>
      <c r="AAS37">
        <v>248</v>
      </c>
      <c r="AAT37">
        <v>248.03</v>
      </c>
      <c r="AAU37">
        <v>248.27</v>
      </c>
      <c r="AAV37">
        <v>248.52</v>
      </c>
      <c r="AAZ37">
        <v>248.68</v>
      </c>
      <c r="ABG37">
        <v>249.48</v>
      </c>
      <c r="ABH37">
        <v>249.55</v>
      </c>
      <c r="ABI37">
        <v>249.78</v>
      </c>
      <c r="ABJ37">
        <v>250.14</v>
      </c>
      <c r="ABK37">
        <v>250.22</v>
      </c>
      <c r="ABL37">
        <v>250.23</v>
      </c>
      <c r="ABM37">
        <v>250.24</v>
      </c>
      <c r="ABN37">
        <v>250.25</v>
      </c>
      <c r="ABO37">
        <v>250.26</v>
      </c>
      <c r="ABP37">
        <v>250.29</v>
      </c>
      <c r="ABQ37">
        <v>250.35</v>
      </c>
      <c r="ABR37">
        <v>250.36</v>
      </c>
      <c r="ABT37">
        <v>250.45</v>
      </c>
      <c r="ABU37">
        <v>250.46</v>
      </c>
      <c r="ABV37">
        <v>250.48</v>
      </c>
      <c r="ABW37">
        <v>250.52</v>
      </c>
      <c r="ABX37">
        <v>250.67</v>
      </c>
      <c r="ABY37">
        <v>250.7</v>
      </c>
      <c r="ACB37">
        <v>250.73</v>
      </c>
      <c r="ACC37">
        <v>250.97</v>
      </c>
      <c r="ACD37">
        <v>251.22</v>
      </c>
      <c r="ACE37">
        <v>251.36</v>
      </c>
      <c r="ACF37">
        <v>251.38</v>
      </c>
      <c r="ACI37">
        <v>251.52</v>
      </c>
      <c r="ACJ37">
        <v>251.56</v>
      </c>
      <c r="ACK37">
        <v>251.65</v>
      </c>
      <c r="ACL37">
        <v>251.76</v>
      </c>
      <c r="ACM37">
        <v>251.8</v>
      </c>
      <c r="ACP37">
        <v>251.91</v>
      </c>
      <c r="ACQ37">
        <v>251.94</v>
      </c>
      <c r="ACR37">
        <v>252</v>
      </c>
      <c r="ACS37">
        <v>252.06</v>
      </c>
      <c r="ACT37">
        <v>252.06</v>
      </c>
      <c r="ACW37">
        <v>252.08</v>
      </c>
      <c r="ACX37">
        <v>252.08</v>
      </c>
      <c r="ACY37">
        <v>252.13</v>
      </c>
      <c r="ACZ37">
        <v>252.13</v>
      </c>
    </row>
    <row r="38" spans="1:791">
      <c r="A38" s="1" t="s">
        <v>303</v>
      </c>
      <c r="B38" s="1" t="s">
        <v>141</v>
      </c>
      <c r="CW38">
        <v>0</v>
      </c>
      <c r="DC38">
        <v>0.39</v>
      </c>
      <c r="EZ38">
        <v>3.83</v>
      </c>
      <c r="FF38">
        <v>4.05</v>
      </c>
      <c r="FI38">
        <v>4.32</v>
      </c>
      <c r="FN38">
        <v>4.3899999999999997</v>
      </c>
      <c r="GA38">
        <v>6.2</v>
      </c>
      <c r="GC38">
        <v>7.05</v>
      </c>
      <c r="GG38">
        <v>8.08</v>
      </c>
      <c r="GH38">
        <v>8.6199999999999992</v>
      </c>
      <c r="GM38">
        <v>11.44</v>
      </c>
      <c r="GQ38">
        <v>13.37</v>
      </c>
      <c r="GU38">
        <v>14.83</v>
      </c>
      <c r="HB38">
        <v>17.93</v>
      </c>
      <c r="HI38">
        <v>21.67</v>
      </c>
      <c r="HJ38">
        <v>22.47</v>
      </c>
      <c r="HP38">
        <v>23.92</v>
      </c>
      <c r="HU38">
        <v>27.51</v>
      </c>
      <c r="HW38">
        <v>28.68</v>
      </c>
      <c r="IE38">
        <v>33.03</v>
      </c>
      <c r="IK38">
        <v>36.83</v>
      </c>
      <c r="IR38">
        <v>42.62</v>
      </c>
      <c r="IV38">
        <v>46.66</v>
      </c>
      <c r="JG38">
        <v>54.99</v>
      </c>
      <c r="KC38">
        <v>71.56</v>
      </c>
      <c r="LF38">
        <v>85.95</v>
      </c>
      <c r="OM38">
        <v>108.85</v>
      </c>
      <c r="QD38">
        <v>125.44</v>
      </c>
      <c r="QK38">
        <v>126.59</v>
      </c>
      <c r="QX38">
        <v>128.99</v>
      </c>
      <c r="RF38">
        <v>129.57</v>
      </c>
    </row>
    <row r="39" spans="1:791">
      <c r="A39" s="1" t="s">
        <v>194</v>
      </c>
      <c r="B39" s="1" t="s">
        <v>257</v>
      </c>
      <c r="S39">
        <v>0</v>
      </c>
      <c r="BG39">
        <v>16.75</v>
      </c>
      <c r="BL39">
        <v>20.71</v>
      </c>
      <c r="BM39">
        <v>21.43</v>
      </c>
      <c r="BO39">
        <v>23.65</v>
      </c>
      <c r="BT39">
        <v>25.45</v>
      </c>
      <c r="BV39">
        <v>26.3</v>
      </c>
      <c r="BW39">
        <v>27.63</v>
      </c>
      <c r="BZ39">
        <v>30.34</v>
      </c>
      <c r="CA39">
        <v>31.14</v>
      </c>
      <c r="CB39">
        <v>32.119999999999997</v>
      </c>
      <c r="CH39">
        <v>36.53</v>
      </c>
      <c r="CJ39">
        <v>40.44</v>
      </c>
      <c r="CQ39">
        <v>48.66</v>
      </c>
      <c r="CU39">
        <v>54.75</v>
      </c>
      <c r="CW39">
        <v>58.28</v>
      </c>
      <c r="CX39">
        <v>59.56</v>
      </c>
      <c r="DA39">
        <v>62.62</v>
      </c>
      <c r="DC39">
        <v>65.459999999999994</v>
      </c>
      <c r="DD39">
        <v>67.040000000000006</v>
      </c>
      <c r="DH39">
        <v>72.430000000000007</v>
      </c>
      <c r="DJ39">
        <v>75.41</v>
      </c>
      <c r="DK39">
        <v>77.239999999999995</v>
      </c>
      <c r="DQ39">
        <v>81.37</v>
      </c>
      <c r="DR39">
        <v>83.77</v>
      </c>
      <c r="DS39">
        <v>85.54</v>
      </c>
      <c r="DW39">
        <v>90.49</v>
      </c>
      <c r="DY39">
        <v>92.27</v>
      </c>
      <c r="DZ39">
        <v>92.99</v>
      </c>
      <c r="ED39">
        <v>96.39</v>
      </c>
      <c r="EE39">
        <v>97.04</v>
      </c>
      <c r="EN39">
        <v>99.96</v>
      </c>
      <c r="ES39">
        <v>105.86</v>
      </c>
      <c r="EU39">
        <v>106.17</v>
      </c>
      <c r="FA39">
        <v>111.47</v>
      </c>
      <c r="FB39">
        <v>112.17</v>
      </c>
      <c r="FG39">
        <v>114.55</v>
      </c>
      <c r="FM39">
        <v>119.63</v>
      </c>
      <c r="FN39">
        <v>120.73</v>
      </c>
      <c r="FP39">
        <v>121.91</v>
      </c>
      <c r="FU39">
        <v>126.63</v>
      </c>
      <c r="FV39">
        <v>127.77</v>
      </c>
      <c r="FX39">
        <v>129.12</v>
      </c>
      <c r="GA39">
        <v>131.94</v>
      </c>
      <c r="GJ39">
        <v>133.16999999999999</v>
      </c>
      <c r="GN39">
        <v>135.29</v>
      </c>
      <c r="GO39">
        <v>136.36000000000001</v>
      </c>
      <c r="GQ39">
        <v>137.44</v>
      </c>
      <c r="GR39">
        <v>138.22999999999999</v>
      </c>
      <c r="GU39">
        <v>141.66</v>
      </c>
      <c r="GW39">
        <v>142.31</v>
      </c>
      <c r="GX39">
        <v>142.5</v>
      </c>
      <c r="GY39">
        <v>142.65</v>
      </c>
      <c r="HC39">
        <v>143.16999999999999</v>
      </c>
      <c r="HD39">
        <v>143.34</v>
      </c>
      <c r="HE39">
        <v>143.44999999999999</v>
      </c>
      <c r="HI39">
        <v>143.99</v>
      </c>
      <c r="HK39">
        <v>144.76</v>
      </c>
      <c r="HL39">
        <v>145.31</v>
      </c>
      <c r="HP39">
        <v>146.19999999999999</v>
      </c>
      <c r="HR39">
        <v>146.58000000000001</v>
      </c>
      <c r="HS39">
        <v>146.74</v>
      </c>
      <c r="HT39">
        <v>146.86000000000001</v>
      </c>
      <c r="HX39">
        <v>147.59</v>
      </c>
      <c r="HZ39">
        <v>147.88999999999999</v>
      </c>
      <c r="IA39">
        <v>148.66999999999999</v>
      </c>
      <c r="ID39">
        <v>149.30000000000001</v>
      </c>
      <c r="IH39">
        <v>149.76</v>
      </c>
      <c r="IL39">
        <v>150.47</v>
      </c>
      <c r="IM39">
        <v>150.74</v>
      </c>
      <c r="IN39">
        <v>150.93</v>
      </c>
      <c r="IT39">
        <v>151.61000000000001</v>
      </c>
      <c r="IV39">
        <v>150.06</v>
      </c>
      <c r="IZ39">
        <v>150.63</v>
      </c>
      <c r="JE39">
        <v>150.91999999999999</v>
      </c>
      <c r="JG39">
        <v>151.9</v>
      </c>
      <c r="JI39">
        <v>152.44</v>
      </c>
      <c r="JM39">
        <v>153.47</v>
      </c>
      <c r="JO39">
        <v>153.99</v>
      </c>
      <c r="JQ39">
        <v>154.34</v>
      </c>
      <c r="JR39">
        <v>154.68</v>
      </c>
      <c r="JU39">
        <v>156.25</v>
      </c>
      <c r="JV39">
        <v>156.85</v>
      </c>
      <c r="JW39">
        <v>157.31</v>
      </c>
      <c r="KB39">
        <v>158.61000000000001</v>
      </c>
      <c r="KC39">
        <v>158.94999999999999</v>
      </c>
      <c r="KE39">
        <v>165.1</v>
      </c>
      <c r="KH39">
        <v>165.56</v>
      </c>
      <c r="KJ39">
        <v>160.38999999999999</v>
      </c>
      <c r="KL39">
        <v>166.02</v>
      </c>
      <c r="KP39">
        <v>166.55</v>
      </c>
      <c r="KR39">
        <v>163.16</v>
      </c>
      <c r="KS39">
        <v>163.33000000000001</v>
      </c>
      <c r="KW39">
        <v>164.37</v>
      </c>
      <c r="KX39">
        <v>164.92</v>
      </c>
      <c r="KY39">
        <v>165.3</v>
      </c>
      <c r="LG39">
        <v>168.08</v>
      </c>
      <c r="MW39">
        <v>189.05</v>
      </c>
    </row>
    <row r="40" spans="1:791">
      <c r="A40" s="1" t="s">
        <v>304</v>
      </c>
      <c r="B40" s="1" t="s">
        <v>322</v>
      </c>
      <c r="EZ40">
        <v>0.01</v>
      </c>
      <c r="FS40">
        <v>0.38</v>
      </c>
      <c r="GA40">
        <v>0.55000000000000004</v>
      </c>
      <c r="GG40">
        <v>0.62</v>
      </c>
      <c r="GH40">
        <v>0.88</v>
      </c>
      <c r="GP40">
        <v>1.62</v>
      </c>
      <c r="GW40">
        <v>1.63</v>
      </c>
      <c r="HP40">
        <v>1.91</v>
      </c>
      <c r="HU40">
        <v>1.94</v>
      </c>
      <c r="IE40">
        <v>1.96</v>
      </c>
      <c r="IR40">
        <v>1.98</v>
      </c>
      <c r="JP40">
        <v>2.29</v>
      </c>
      <c r="KC40">
        <v>3.06</v>
      </c>
      <c r="KK40">
        <v>4.21</v>
      </c>
      <c r="KY40">
        <v>5.19</v>
      </c>
      <c r="LF40">
        <v>6.53</v>
      </c>
      <c r="LQ40">
        <v>8.58</v>
      </c>
      <c r="NI40">
        <v>16.07</v>
      </c>
      <c r="NX40">
        <v>16.170000000000002</v>
      </c>
      <c r="OE40">
        <v>17.39</v>
      </c>
      <c r="OK40">
        <v>18.34</v>
      </c>
      <c r="PD40">
        <v>13.25</v>
      </c>
    </row>
    <row r="41" spans="1:791">
      <c r="A41" s="1" t="s">
        <v>170</v>
      </c>
      <c r="B41" s="1" t="s">
        <v>170</v>
      </c>
      <c r="GC41">
        <v>0.03</v>
      </c>
      <c r="GP41">
        <v>0.05</v>
      </c>
      <c r="GU41">
        <v>0.06</v>
      </c>
      <c r="HB41">
        <v>0.09</v>
      </c>
      <c r="HD41">
        <v>0.12</v>
      </c>
      <c r="HL41">
        <v>0.15</v>
      </c>
      <c r="HR41">
        <v>0.18</v>
      </c>
      <c r="HZ41">
        <v>0.18</v>
      </c>
      <c r="IG41">
        <v>0.22</v>
      </c>
      <c r="IN41">
        <v>0.25</v>
      </c>
      <c r="IU41">
        <v>0.28000000000000003</v>
      </c>
      <c r="JP41">
        <v>0.45</v>
      </c>
      <c r="JS41">
        <v>0.57999999999999996</v>
      </c>
      <c r="JV41">
        <v>0.62</v>
      </c>
      <c r="JZ41">
        <v>0.73</v>
      </c>
      <c r="NI41">
        <v>2.17</v>
      </c>
      <c r="OK41">
        <v>2.25</v>
      </c>
    </row>
    <row r="42" spans="1:791">
      <c r="A42" s="1" t="s">
        <v>36</v>
      </c>
      <c r="B42" s="1" t="s">
        <v>36</v>
      </c>
      <c r="Q42">
        <v>0</v>
      </c>
      <c r="R42">
        <v>0.03</v>
      </c>
      <c r="S42">
        <v>0.04</v>
      </c>
      <c r="T42">
        <v>0.05</v>
      </c>
      <c r="U42">
        <v>0.05</v>
      </c>
      <c r="V42">
        <v>0.05</v>
      </c>
      <c r="W42">
        <v>0.05</v>
      </c>
      <c r="X42">
        <v>0.05</v>
      </c>
      <c r="Y42">
        <v>0.05</v>
      </c>
      <c r="Z42">
        <v>0.05</v>
      </c>
      <c r="AA42">
        <v>0.05</v>
      </c>
      <c r="AB42">
        <v>0.05</v>
      </c>
      <c r="AC42">
        <v>0.05</v>
      </c>
      <c r="AD42">
        <v>0.06</v>
      </c>
      <c r="AE42">
        <v>0.06</v>
      </c>
      <c r="AF42">
        <v>0.06</v>
      </c>
      <c r="AG42">
        <v>0.06</v>
      </c>
      <c r="AH42">
        <v>0.06</v>
      </c>
      <c r="AI42">
        <v>0.06</v>
      </c>
      <c r="AJ42">
        <v>0.06</v>
      </c>
      <c r="AK42">
        <v>0.06</v>
      </c>
      <c r="AL42">
        <v>0.1</v>
      </c>
      <c r="AM42">
        <v>0.12</v>
      </c>
      <c r="AN42">
        <v>0.12</v>
      </c>
      <c r="AO42">
        <v>0.12</v>
      </c>
      <c r="AP42">
        <v>0.17</v>
      </c>
      <c r="AQ42">
        <v>0.27</v>
      </c>
      <c r="AR42">
        <v>0.32</v>
      </c>
      <c r="AS42">
        <v>0.34</v>
      </c>
      <c r="AT42">
        <v>0.34</v>
      </c>
      <c r="AU42">
        <v>0.34</v>
      </c>
      <c r="AV42">
        <v>0.34</v>
      </c>
      <c r="AW42">
        <v>0.35</v>
      </c>
      <c r="AX42">
        <v>0.35</v>
      </c>
      <c r="AY42">
        <v>0.35</v>
      </c>
      <c r="AZ42">
        <v>0.35</v>
      </c>
      <c r="BA42">
        <v>0.35</v>
      </c>
      <c r="BB42">
        <v>0.35</v>
      </c>
      <c r="BC42">
        <v>0.35</v>
      </c>
      <c r="BD42">
        <v>0.35</v>
      </c>
      <c r="BE42">
        <v>0.42</v>
      </c>
      <c r="BF42">
        <v>1.31</v>
      </c>
      <c r="BG42">
        <v>2.23</v>
      </c>
      <c r="BH42">
        <v>3.12</v>
      </c>
      <c r="BI42">
        <v>3.27</v>
      </c>
      <c r="BJ42">
        <v>3.31</v>
      </c>
      <c r="BK42">
        <v>4.53</v>
      </c>
      <c r="BL42">
        <v>5.9</v>
      </c>
      <c r="BM42">
        <v>7.37</v>
      </c>
      <c r="BN42">
        <v>8.6999999999999993</v>
      </c>
      <c r="BO42">
        <v>9.9</v>
      </c>
      <c r="BP42">
        <v>10.050000000000001</v>
      </c>
      <c r="BQ42">
        <v>10.08</v>
      </c>
      <c r="BR42">
        <v>11.47</v>
      </c>
      <c r="BS42">
        <v>12.62</v>
      </c>
      <c r="BT42">
        <v>13.6</v>
      </c>
      <c r="BU42">
        <v>14.41</v>
      </c>
      <c r="BV42">
        <v>15.16</v>
      </c>
      <c r="BW42">
        <v>15.21</v>
      </c>
      <c r="BX42">
        <v>15.21</v>
      </c>
      <c r="BY42">
        <v>15.78</v>
      </c>
      <c r="BZ42">
        <v>16.27</v>
      </c>
      <c r="CA42">
        <v>16.72</v>
      </c>
      <c r="CB42">
        <v>17.170000000000002</v>
      </c>
      <c r="CC42">
        <v>17.579999999999998</v>
      </c>
      <c r="CD42">
        <v>17.64</v>
      </c>
      <c r="CE42">
        <v>17.64</v>
      </c>
      <c r="CF42">
        <v>18.36</v>
      </c>
      <c r="CG42">
        <v>19.25</v>
      </c>
      <c r="CH42">
        <v>20.88</v>
      </c>
      <c r="CI42">
        <v>22.51</v>
      </c>
      <c r="CJ42">
        <v>24.07</v>
      </c>
      <c r="CK42">
        <v>24.24</v>
      </c>
      <c r="CL42">
        <v>24.28</v>
      </c>
      <c r="CM42">
        <v>26.12</v>
      </c>
      <c r="CN42">
        <v>28.09</v>
      </c>
      <c r="CO42">
        <v>30.18</v>
      </c>
      <c r="CP42">
        <v>32.36</v>
      </c>
      <c r="CQ42">
        <v>34.32</v>
      </c>
      <c r="CR42">
        <v>34.58</v>
      </c>
      <c r="CS42">
        <v>34.619999999999997</v>
      </c>
      <c r="CT42">
        <v>36.869999999999997</v>
      </c>
      <c r="CU42">
        <v>39.01</v>
      </c>
      <c r="CV42">
        <v>40.93</v>
      </c>
      <c r="CW42">
        <v>42.68</v>
      </c>
      <c r="CX42">
        <v>44.22</v>
      </c>
      <c r="CY42">
        <v>44.4</v>
      </c>
      <c r="CZ42">
        <v>44.42</v>
      </c>
      <c r="DA42">
        <v>45.83</v>
      </c>
      <c r="DB42">
        <v>47.09</v>
      </c>
      <c r="DC42">
        <v>48.23</v>
      </c>
      <c r="DD42">
        <v>49.34</v>
      </c>
      <c r="DE42">
        <v>50.47</v>
      </c>
      <c r="DF42">
        <v>50.55</v>
      </c>
      <c r="DG42">
        <v>50.56</v>
      </c>
      <c r="DH42">
        <v>51.96</v>
      </c>
      <c r="DI42">
        <v>53.41</v>
      </c>
      <c r="DJ42">
        <v>54.87</v>
      </c>
      <c r="DK42">
        <v>56.39</v>
      </c>
      <c r="DL42">
        <v>56.43</v>
      </c>
      <c r="DM42">
        <v>56.45</v>
      </c>
      <c r="DN42">
        <v>56.45</v>
      </c>
      <c r="DO42">
        <v>57.94</v>
      </c>
      <c r="DP42">
        <v>59.19</v>
      </c>
      <c r="DQ42">
        <v>60.41</v>
      </c>
      <c r="DR42">
        <v>61.66</v>
      </c>
      <c r="DS42">
        <v>62.8</v>
      </c>
      <c r="DT42">
        <v>62.93</v>
      </c>
      <c r="DU42">
        <v>62.95</v>
      </c>
      <c r="DV42">
        <v>64.180000000000007</v>
      </c>
      <c r="DW42">
        <v>65.41</v>
      </c>
      <c r="DX42">
        <v>66.599999999999994</v>
      </c>
      <c r="DY42">
        <v>67.680000000000007</v>
      </c>
      <c r="DZ42">
        <v>68.67</v>
      </c>
      <c r="EA42">
        <v>68.790000000000006</v>
      </c>
      <c r="EB42">
        <v>68.8</v>
      </c>
      <c r="EC42">
        <v>69.81</v>
      </c>
      <c r="ED42">
        <v>70.78</v>
      </c>
      <c r="EE42">
        <v>71.7</v>
      </c>
      <c r="EF42">
        <v>72.739999999999995</v>
      </c>
      <c r="EG42">
        <v>73.7</v>
      </c>
      <c r="EH42">
        <v>73.790000000000006</v>
      </c>
      <c r="EI42">
        <v>73.790000000000006</v>
      </c>
      <c r="EJ42">
        <v>74.819999999999993</v>
      </c>
      <c r="EK42">
        <v>75.709999999999994</v>
      </c>
      <c r="EL42">
        <v>76.59</v>
      </c>
      <c r="EM42">
        <v>77.400000000000006</v>
      </c>
      <c r="EN42">
        <v>77.849999999999994</v>
      </c>
      <c r="EO42">
        <v>77.88</v>
      </c>
      <c r="EP42">
        <v>77.89</v>
      </c>
      <c r="EQ42">
        <v>78.680000000000007</v>
      </c>
      <c r="ER42">
        <v>79.56</v>
      </c>
      <c r="ES42">
        <v>80.47</v>
      </c>
      <c r="ET42">
        <v>81.3</v>
      </c>
      <c r="EU42">
        <v>82.07</v>
      </c>
      <c r="EV42">
        <v>82.2</v>
      </c>
      <c r="EW42">
        <v>82.21</v>
      </c>
      <c r="EX42">
        <v>83.11</v>
      </c>
      <c r="EY42">
        <v>84.12</v>
      </c>
      <c r="EZ42">
        <v>85.07</v>
      </c>
      <c r="FA42">
        <v>85.89</v>
      </c>
      <c r="FB42">
        <v>86.72</v>
      </c>
      <c r="FC42">
        <v>86.73</v>
      </c>
      <c r="FD42">
        <v>86.73</v>
      </c>
      <c r="FE42">
        <v>87.63</v>
      </c>
      <c r="FF42">
        <v>88.58</v>
      </c>
      <c r="FG42">
        <v>89.45</v>
      </c>
      <c r="FH42">
        <v>90.44</v>
      </c>
      <c r="FI42">
        <v>90.49</v>
      </c>
      <c r="FJ42">
        <v>90.66</v>
      </c>
      <c r="FK42">
        <v>90.68</v>
      </c>
      <c r="FL42">
        <v>91.92</v>
      </c>
      <c r="FM42">
        <v>93.21</v>
      </c>
      <c r="FN42">
        <v>94.4</v>
      </c>
      <c r="FO42">
        <v>95.46</v>
      </c>
      <c r="FP42">
        <v>96.43</v>
      </c>
      <c r="FQ42">
        <v>96.68</v>
      </c>
      <c r="FR42">
        <v>96.73</v>
      </c>
      <c r="FS42">
        <v>97.86</v>
      </c>
      <c r="FT42">
        <v>99.01</v>
      </c>
      <c r="FU42">
        <v>100.07</v>
      </c>
      <c r="FV42">
        <v>100.93</v>
      </c>
      <c r="FW42">
        <v>101.68</v>
      </c>
      <c r="FX42">
        <v>101.88</v>
      </c>
      <c r="FY42">
        <v>101.91</v>
      </c>
      <c r="FZ42">
        <v>102.85</v>
      </c>
      <c r="GA42">
        <v>103.81</v>
      </c>
      <c r="GB42">
        <v>104.82</v>
      </c>
      <c r="GC42">
        <v>105.88</v>
      </c>
      <c r="GD42">
        <v>106.81</v>
      </c>
      <c r="GE42">
        <v>106.98</v>
      </c>
      <c r="GF42">
        <v>106.99</v>
      </c>
      <c r="GG42">
        <v>108.15</v>
      </c>
      <c r="GH42">
        <v>109.25</v>
      </c>
      <c r="GI42">
        <v>110.42</v>
      </c>
      <c r="GJ42">
        <v>111.38</v>
      </c>
      <c r="GK42">
        <v>111.93</v>
      </c>
      <c r="GL42">
        <v>112.12</v>
      </c>
      <c r="GM42">
        <v>112.14</v>
      </c>
      <c r="GN42">
        <v>112.24</v>
      </c>
      <c r="GO42">
        <v>113.81</v>
      </c>
      <c r="GP42">
        <v>115.09</v>
      </c>
      <c r="GQ42">
        <v>116.38</v>
      </c>
      <c r="GR42">
        <v>117.45</v>
      </c>
      <c r="GS42">
        <v>117.72</v>
      </c>
      <c r="GT42">
        <v>117.75</v>
      </c>
      <c r="GU42">
        <v>117.78</v>
      </c>
      <c r="GV42">
        <v>119.03</v>
      </c>
      <c r="GW42">
        <v>120.06</v>
      </c>
      <c r="GX42">
        <v>121.42</v>
      </c>
      <c r="GY42">
        <v>122.14</v>
      </c>
      <c r="GZ42">
        <v>122.34</v>
      </c>
      <c r="HA42">
        <v>122.36</v>
      </c>
      <c r="HB42">
        <v>123.03</v>
      </c>
      <c r="HC42">
        <v>123.64</v>
      </c>
      <c r="HD42">
        <v>124.43</v>
      </c>
      <c r="HE42">
        <v>125.21</v>
      </c>
      <c r="HF42">
        <v>125.89</v>
      </c>
      <c r="HG42">
        <v>126.1</v>
      </c>
      <c r="HH42">
        <v>126.12</v>
      </c>
      <c r="HI42">
        <v>126.91</v>
      </c>
      <c r="HJ42">
        <v>127.79</v>
      </c>
      <c r="HK42">
        <v>128.59</v>
      </c>
      <c r="HL42">
        <v>129.43</v>
      </c>
      <c r="HM42">
        <v>129.44999999999999</v>
      </c>
      <c r="HN42">
        <v>129.57</v>
      </c>
      <c r="HO42">
        <v>129.58000000000001</v>
      </c>
      <c r="HP42">
        <v>130.19</v>
      </c>
      <c r="HQ42">
        <v>130.87</v>
      </c>
      <c r="HR42">
        <v>131.4</v>
      </c>
      <c r="HS42">
        <v>131.80000000000001</v>
      </c>
      <c r="HT42">
        <v>132.4</v>
      </c>
      <c r="HU42">
        <v>132.58000000000001</v>
      </c>
      <c r="HV42">
        <v>132.59</v>
      </c>
      <c r="HW42">
        <v>132.87</v>
      </c>
      <c r="HX42">
        <v>133.12</v>
      </c>
      <c r="HY42">
        <v>133.30000000000001</v>
      </c>
      <c r="HZ42">
        <v>133.76</v>
      </c>
      <c r="IA42">
        <v>134.15</v>
      </c>
      <c r="IB42">
        <v>134.19999999999999</v>
      </c>
      <c r="IC42">
        <v>135.38</v>
      </c>
      <c r="ID42">
        <v>136.03</v>
      </c>
      <c r="IE42">
        <v>136.76</v>
      </c>
      <c r="IF42">
        <v>137.09</v>
      </c>
      <c r="IG42">
        <v>137.34</v>
      </c>
      <c r="IH42">
        <v>137.52000000000001</v>
      </c>
      <c r="II42">
        <v>137.52000000000001</v>
      </c>
      <c r="IJ42">
        <v>137.52000000000001</v>
      </c>
      <c r="IK42">
        <v>138.04</v>
      </c>
      <c r="IL42">
        <v>138.5</v>
      </c>
      <c r="IM42">
        <v>139.49</v>
      </c>
      <c r="IN42">
        <v>140.38999999999999</v>
      </c>
      <c r="IO42">
        <v>141.16</v>
      </c>
      <c r="IP42">
        <v>141.19</v>
      </c>
      <c r="IQ42">
        <v>141.19</v>
      </c>
      <c r="IR42">
        <v>142.34</v>
      </c>
      <c r="IS42">
        <v>143.58000000000001</v>
      </c>
      <c r="IT42">
        <v>144.58000000000001</v>
      </c>
      <c r="IU42">
        <v>145.46</v>
      </c>
      <c r="IV42">
        <v>145.53</v>
      </c>
      <c r="IW42">
        <v>145.56</v>
      </c>
      <c r="IX42">
        <v>145.57</v>
      </c>
      <c r="IY42">
        <v>146.19</v>
      </c>
      <c r="IZ42">
        <v>146.81</v>
      </c>
      <c r="JA42">
        <v>147.38999999999999</v>
      </c>
      <c r="JB42">
        <v>148.35</v>
      </c>
      <c r="JC42">
        <v>149.03</v>
      </c>
      <c r="JD42">
        <v>149.05000000000001</v>
      </c>
      <c r="JE42">
        <v>149.08000000000001</v>
      </c>
      <c r="JF42">
        <v>150.08000000000001</v>
      </c>
      <c r="JG42">
        <v>151.1</v>
      </c>
      <c r="JK42">
        <v>153.22999999999999</v>
      </c>
      <c r="JM42">
        <v>154.05000000000001</v>
      </c>
      <c r="JN42">
        <v>154.94999999999999</v>
      </c>
      <c r="JQ42">
        <v>157.19</v>
      </c>
      <c r="JS42">
        <v>157.22</v>
      </c>
      <c r="JT42">
        <v>157.85</v>
      </c>
      <c r="JU42">
        <v>158.83000000000001</v>
      </c>
      <c r="JV42">
        <v>159.65</v>
      </c>
      <c r="JW42">
        <v>160.16999999999999</v>
      </c>
      <c r="JX42">
        <v>160.24</v>
      </c>
      <c r="JZ42">
        <v>160.24</v>
      </c>
      <c r="KA42">
        <v>160.68</v>
      </c>
      <c r="KB42">
        <v>161.5</v>
      </c>
      <c r="KC42">
        <v>162.71</v>
      </c>
      <c r="KD42">
        <v>163.44999999999999</v>
      </c>
      <c r="KE42">
        <v>164.22</v>
      </c>
      <c r="KF42">
        <v>164.23</v>
      </c>
      <c r="KI42">
        <v>165.97</v>
      </c>
      <c r="KT42">
        <v>173.83</v>
      </c>
      <c r="LN42">
        <v>191.53</v>
      </c>
      <c r="MB42">
        <v>203.18</v>
      </c>
      <c r="MS42">
        <v>212.54</v>
      </c>
      <c r="NG42">
        <v>220.31</v>
      </c>
      <c r="NH42">
        <v>221.19</v>
      </c>
      <c r="OE42">
        <v>233.66</v>
      </c>
      <c r="PZ42">
        <v>251.09</v>
      </c>
      <c r="RP42">
        <v>266.07</v>
      </c>
      <c r="RR42">
        <v>266.87</v>
      </c>
      <c r="RU42">
        <v>267.99</v>
      </c>
      <c r="RY42">
        <v>268.89999999999998</v>
      </c>
      <c r="RZ42">
        <v>269.02</v>
      </c>
      <c r="SA42">
        <v>269.33</v>
      </c>
      <c r="SC42">
        <v>271.69</v>
      </c>
      <c r="SD42">
        <v>271.92</v>
      </c>
      <c r="SE42">
        <v>272.27</v>
      </c>
      <c r="SH42">
        <v>274.37</v>
      </c>
      <c r="SI42">
        <v>274.70999999999998</v>
      </c>
      <c r="SJ42">
        <v>274.70999999999998</v>
      </c>
      <c r="SK42">
        <v>275.14999999999998</v>
      </c>
      <c r="SL42">
        <v>275.85000000000002</v>
      </c>
      <c r="SM42">
        <v>276.5</v>
      </c>
      <c r="SN42">
        <v>277.08999999999997</v>
      </c>
      <c r="ST42">
        <v>280.2</v>
      </c>
      <c r="SU42">
        <v>280.81</v>
      </c>
      <c r="SV42">
        <v>281.81</v>
      </c>
      <c r="SY42">
        <v>283.04000000000002</v>
      </c>
      <c r="SZ42">
        <v>284.11</v>
      </c>
      <c r="TB42">
        <v>286.12</v>
      </c>
      <c r="TC42">
        <v>287.47000000000003</v>
      </c>
      <c r="TD42">
        <v>287.62</v>
      </c>
      <c r="TE42">
        <v>287.64</v>
      </c>
      <c r="TF42">
        <v>288.68</v>
      </c>
      <c r="TG42">
        <v>289.67</v>
      </c>
      <c r="TH42">
        <v>290.63</v>
      </c>
      <c r="TI42">
        <v>291.2</v>
      </c>
      <c r="TJ42">
        <v>292.19</v>
      </c>
      <c r="TP42">
        <v>297.52999999999997</v>
      </c>
      <c r="TQ42">
        <v>298.07</v>
      </c>
      <c r="TS42">
        <v>298.64</v>
      </c>
      <c r="TT42">
        <v>299.19</v>
      </c>
      <c r="TU42">
        <v>300.36</v>
      </c>
      <c r="TV42">
        <v>301.08999999999997</v>
      </c>
      <c r="TW42">
        <v>301.49</v>
      </c>
      <c r="UB42">
        <v>303.94</v>
      </c>
      <c r="UC42">
        <v>304.5</v>
      </c>
      <c r="UD42">
        <v>305.01</v>
      </c>
      <c r="UE42">
        <v>305.32</v>
      </c>
      <c r="UG42">
        <v>305.7</v>
      </c>
      <c r="UH42">
        <v>306.38</v>
      </c>
      <c r="UI42">
        <v>306.42</v>
      </c>
      <c r="UJ42">
        <v>306.91000000000003</v>
      </c>
      <c r="UK42">
        <v>307.32</v>
      </c>
      <c r="UL42">
        <v>307.60000000000002</v>
      </c>
      <c r="UP42">
        <v>308.45999999999998</v>
      </c>
      <c r="UQ42">
        <v>308.74</v>
      </c>
      <c r="UR42">
        <v>309.43</v>
      </c>
      <c r="US42">
        <v>309.66000000000003</v>
      </c>
      <c r="UT42">
        <v>309.92</v>
      </c>
      <c r="UU42">
        <v>309.94</v>
      </c>
      <c r="UV42">
        <v>310.49</v>
      </c>
      <c r="UW42">
        <v>310.98</v>
      </c>
      <c r="UX42">
        <v>311.23</v>
      </c>
      <c r="UZ42">
        <v>312.11</v>
      </c>
      <c r="VB42">
        <v>307.87</v>
      </c>
      <c r="VC42">
        <v>308.31</v>
      </c>
      <c r="VD42">
        <v>308.73</v>
      </c>
      <c r="VE42">
        <v>308.95999999999998</v>
      </c>
      <c r="VF42">
        <v>309.3</v>
      </c>
      <c r="VJ42">
        <v>310.02999999999997</v>
      </c>
      <c r="VL42">
        <v>311.01</v>
      </c>
      <c r="VM42">
        <v>311.22000000000003</v>
      </c>
      <c r="VQ42">
        <v>312.13</v>
      </c>
      <c r="VR42">
        <v>312.29000000000002</v>
      </c>
      <c r="VS42">
        <v>312.67</v>
      </c>
      <c r="VT42">
        <v>312.82</v>
      </c>
      <c r="VU42">
        <v>313.08999999999997</v>
      </c>
      <c r="VW42">
        <v>313.52</v>
      </c>
      <c r="VX42">
        <v>313.66000000000003</v>
      </c>
      <c r="VY42">
        <v>313.88</v>
      </c>
      <c r="VZ42">
        <v>314.10000000000002</v>
      </c>
      <c r="WD42">
        <v>314.58999999999997</v>
      </c>
      <c r="WF42">
        <v>315.01</v>
      </c>
      <c r="WG42">
        <v>315.20999999999998</v>
      </c>
      <c r="WM42">
        <v>315.86</v>
      </c>
      <c r="WN42">
        <v>316.06</v>
      </c>
      <c r="WO42">
        <v>316.26</v>
      </c>
      <c r="WT42">
        <v>316.87</v>
      </c>
      <c r="WV42">
        <v>317.20999999999998</v>
      </c>
      <c r="XH42">
        <v>318.56</v>
      </c>
      <c r="XJ42">
        <v>318.81</v>
      </c>
      <c r="XN42">
        <v>319.11</v>
      </c>
      <c r="YA42">
        <v>319.83</v>
      </c>
      <c r="YB42">
        <v>319.89</v>
      </c>
      <c r="YD42">
        <v>319.98</v>
      </c>
      <c r="YI42">
        <v>320.10000000000002</v>
      </c>
      <c r="YK42">
        <v>320.17</v>
      </c>
      <c r="YL42">
        <v>320.20999999999998</v>
      </c>
      <c r="YO42">
        <v>320.25</v>
      </c>
      <c r="YP42">
        <v>320.25</v>
      </c>
      <c r="YQ42">
        <v>320.29000000000002</v>
      </c>
      <c r="YR42">
        <v>320.3</v>
      </c>
      <c r="YX42">
        <v>320.43</v>
      </c>
      <c r="ZC42">
        <v>320.52</v>
      </c>
      <c r="ZD42">
        <v>320.54000000000002</v>
      </c>
      <c r="ZE42">
        <v>318.77</v>
      </c>
      <c r="ZF42">
        <v>318.77999999999997</v>
      </c>
      <c r="ZG42">
        <v>318.8</v>
      </c>
      <c r="ZL42">
        <v>318.83</v>
      </c>
      <c r="ZM42">
        <v>318.83999999999997</v>
      </c>
      <c r="ZQ42">
        <v>318.89</v>
      </c>
      <c r="ZR42">
        <v>318.91000000000003</v>
      </c>
      <c r="ZS42">
        <v>318.93</v>
      </c>
      <c r="ZT42">
        <v>318.95</v>
      </c>
      <c r="ZU42">
        <v>318.97000000000003</v>
      </c>
      <c r="ZX42">
        <v>319</v>
      </c>
      <c r="ZY42">
        <v>319.01</v>
      </c>
      <c r="AAA42">
        <v>319.06</v>
      </c>
      <c r="AAB42">
        <v>319.08</v>
      </c>
      <c r="AAC42">
        <v>319.08</v>
      </c>
      <c r="AAD42">
        <v>319.08</v>
      </c>
      <c r="AAE42">
        <v>319.08999999999997</v>
      </c>
      <c r="AAG42">
        <v>319.14</v>
      </c>
      <c r="AAH42">
        <v>319.14999999999998</v>
      </c>
      <c r="AAL42">
        <v>319.18</v>
      </c>
      <c r="AAM42">
        <v>319.19</v>
      </c>
      <c r="AAN42">
        <v>319.22000000000003</v>
      </c>
      <c r="AAO42">
        <v>319.23</v>
      </c>
      <c r="AAP42">
        <v>319.24</v>
      </c>
      <c r="AAS42">
        <v>319.26</v>
      </c>
      <c r="AAT42">
        <v>319.27</v>
      </c>
      <c r="AAZ42">
        <v>319.31</v>
      </c>
      <c r="ABA42">
        <v>319.32</v>
      </c>
      <c r="ABB42">
        <v>319.33</v>
      </c>
      <c r="ABG42">
        <v>319.36</v>
      </c>
      <c r="ABH42">
        <v>319.37</v>
      </c>
      <c r="ABI42">
        <v>319.38</v>
      </c>
      <c r="ABJ42">
        <v>319.39</v>
      </c>
      <c r="ABK42">
        <v>319.39999999999998</v>
      </c>
      <c r="ABL42">
        <v>319.39999999999998</v>
      </c>
      <c r="ABN42">
        <v>319.39999999999998</v>
      </c>
      <c r="ABO42">
        <v>319.42</v>
      </c>
      <c r="ABP42">
        <v>319.43</v>
      </c>
      <c r="ABQ42">
        <v>319.44</v>
      </c>
      <c r="ABR42">
        <v>319.44</v>
      </c>
      <c r="ABV42">
        <v>319.45</v>
      </c>
      <c r="ABW42">
        <v>319.45999999999998</v>
      </c>
      <c r="ABX42">
        <v>319.47000000000003</v>
      </c>
      <c r="ABY42">
        <v>319.48</v>
      </c>
      <c r="ABZ42">
        <v>319.48</v>
      </c>
      <c r="ACA42">
        <v>319.48</v>
      </c>
      <c r="ACI42">
        <v>319.57</v>
      </c>
      <c r="ACJ42">
        <v>319.58999999999997</v>
      </c>
      <c r="ACK42">
        <v>319.60000000000002</v>
      </c>
      <c r="ACL42">
        <v>319.62</v>
      </c>
      <c r="ACM42">
        <v>319.63</v>
      </c>
      <c r="ACP42">
        <v>319.64999999999998</v>
      </c>
      <c r="ACQ42">
        <v>319.66000000000003</v>
      </c>
      <c r="ACR42">
        <v>319.67</v>
      </c>
      <c r="ACS42">
        <v>319.69</v>
      </c>
      <c r="ACT42">
        <v>319.7</v>
      </c>
      <c r="ACU42">
        <v>319.7</v>
      </c>
      <c r="ACV42">
        <v>319.7</v>
      </c>
      <c r="ACW42">
        <v>319.70999999999998</v>
      </c>
      <c r="ACX42">
        <v>319.72000000000003</v>
      </c>
      <c r="ACY42">
        <v>319.73</v>
      </c>
      <c r="ACZ42">
        <v>319.74</v>
      </c>
      <c r="ADA42">
        <v>319.75</v>
      </c>
      <c r="ADD42">
        <v>319.76</v>
      </c>
      <c r="ADE42">
        <v>319.77</v>
      </c>
      <c r="ADF42">
        <v>319.77999999999997</v>
      </c>
    </row>
    <row r="43" spans="1:791">
      <c r="A43" s="1" t="s">
        <v>62</v>
      </c>
      <c r="B43" s="1" t="s">
        <v>62</v>
      </c>
      <c r="H43">
        <v>0.1</v>
      </c>
      <c r="X43">
        <v>0.31</v>
      </c>
      <c r="AG43">
        <v>0.63</v>
      </c>
      <c r="AK43">
        <v>0.69</v>
      </c>
      <c r="AR43">
        <v>1.04</v>
      </c>
      <c r="AY43">
        <v>1.58</v>
      </c>
      <c r="BC43">
        <v>1.67</v>
      </c>
      <c r="BF43">
        <v>2.17</v>
      </c>
      <c r="BL43">
        <v>2.82</v>
      </c>
      <c r="CE43">
        <v>3.65</v>
      </c>
      <c r="CS43">
        <v>4.51</v>
      </c>
      <c r="CY43">
        <v>5.21</v>
      </c>
      <c r="DA43">
        <v>5.59</v>
      </c>
      <c r="DB43">
        <v>5.76</v>
      </c>
      <c r="DC43">
        <v>5.97</v>
      </c>
      <c r="DD43">
        <v>6.35</v>
      </c>
      <c r="DE43">
        <v>6.77</v>
      </c>
      <c r="DF43">
        <v>7.12</v>
      </c>
      <c r="DG43">
        <v>7.41</v>
      </c>
      <c r="DH43">
        <v>7.71</v>
      </c>
      <c r="DI43">
        <v>7.97</v>
      </c>
      <c r="DJ43">
        <v>8.32</v>
      </c>
      <c r="DK43">
        <v>8.8000000000000007</v>
      </c>
      <c r="DL43">
        <v>9.3000000000000007</v>
      </c>
      <c r="DM43">
        <v>9.5</v>
      </c>
      <c r="DN43">
        <v>9.7200000000000006</v>
      </c>
      <c r="DO43">
        <v>9.92</v>
      </c>
      <c r="DP43">
        <v>10.14</v>
      </c>
      <c r="DQ43">
        <v>10.36</v>
      </c>
      <c r="DR43">
        <v>10.78</v>
      </c>
      <c r="DS43">
        <v>11.19</v>
      </c>
      <c r="DT43">
        <v>11.43</v>
      </c>
      <c r="DU43">
        <v>11.63</v>
      </c>
      <c r="DV43">
        <v>11.95</v>
      </c>
      <c r="DW43">
        <v>12.2</v>
      </c>
      <c r="DX43">
        <v>12.45</v>
      </c>
      <c r="DY43">
        <v>12.75</v>
      </c>
      <c r="DZ43">
        <v>13.02</v>
      </c>
      <c r="EA43">
        <v>13.19</v>
      </c>
      <c r="EB43">
        <v>13.35</v>
      </c>
      <c r="EC43">
        <v>13.55</v>
      </c>
      <c r="ED43">
        <v>13.82</v>
      </c>
      <c r="EE43">
        <v>14.19</v>
      </c>
      <c r="EF43">
        <v>14.68</v>
      </c>
      <c r="EG43">
        <v>15.01</v>
      </c>
      <c r="EH43">
        <v>15.31</v>
      </c>
      <c r="EI43">
        <v>15.63</v>
      </c>
      <c r="EJ43">
        <v>15.94</v>
      </c>
      <c r="EK43">
        <v>16.39</v>
      </c>
      <c r="EL43">
        <v>16.95</v>
      </c>
      <c r="EM43">
        <v>17.61</v>
      </c>
      <c r="EN43">
        <v>18.420000000000002</v>
      </c>
      <c r="EO43">
        <v>18.79</v>
      </c>
      <c r="EP43">
        <v>19.13</v>
      </c>
      <c r="EQ43">
        <v>19.45</v>
      </c>
      <c r="ER43">
        <v>19.77</v>
      </c>
      <c r="ES43">
        <v>20.12</v>
      </c>
      <c r="ET43">
        <v>20.69</v>
      </c>
      <c r="EU43">
        <v>21.41</v>
      </c>
      <c r="EV43">
        <v>22.06</v>
      </c>
      <c r="EW43">
        <v>22.53</v>
      </c>
      <c r="EX43">
        <v>23.13</v>
      </c>
      <c r="EY43">
        <v>23.81</v>
      </c>
      <c r="EZ43">
        <v>24.61</v>
      </c>
      <c r="FA43">
        <v>25.49</v>
      </c>
      <c r="FB43">
        <v>26.45</v>
      </c>
      <c r="FC43">
        <v>27.3</v>
      </c>
      <c r="FD43">
        <v>28.27</v>
      </c>
      <c r="FE43">
        <v>29.32</v>
      </c>
      <c r="FF43">
        <v>30.27</v>
      </c>
      <c r="FG43">
        <v>31.23</v>
      </c>
      <c r="FH43">
        <v>32.42</v>
      </c>
      <c r="FI43">
        <v>33.58</v>
      </c>
      <c r="FJ43">
        <v>34.549999999999997</v>
      </c>
      <c r="FK43">
        <v>35.49</v>
      </c>
      <c r="FL43">
        <v>36.630000000000003</v>
      </c>
      <c r="FM43">
        <v>37.979999999999997</v>
      </c>
      <c r="FN43">
        <v>39.369999999999997</v>
      </c>
      <c r="FO43">
        <v>40.6</v>
      </c>
      <c r="FP43">
        <v>41.89</v>
      </c>
      <c r="FQ43">
        <v>43.14</v>
      </c>
      <c r="FR43">
        <v>44.41</v>
      </c>
      <c r="FS43">
        <v>45.96</v>
      </c>
      <c r="FT43">
        <v>47.38</v>
      </c>
      <c r="FU43">
        <v>48.97</v>
      </c>
      <c r="FV43">
        <v>50.27</v>
      </c>
      <c r="FW43">
        <v>51.72</v>
      </c>
      <c r="FX43">
        <v>53.02</v>
      </c>
      <c r="FY43">
        <v>54.04</v>
      </c>
      <c r="FZ43">
        <v>55.17</v>
      </c>
      <c r="GA43">
        <v>56.2</v>
      </c>
      <c r="GB43">
        <v>57.31</v>
      </c>
      <c r="GC43">
        <v>58.73</v>
      </c>
      <c r="GD43">
        <v>59.99</v>
      </c>
      <c r="GE43">
        <v>61.04</v>
      </c>
      <c r="GF43">
        <v>62.03</v>
      </c>
      <c r="GG43">
        <v>62.82</v>
      </c>
      <c r="GH43">
        <v>64.19</v>
      </c>
      <c r="GI43">
        <v>65.67</v>
      </c>
      <c r="GJ43">
        <v>67.16</v>
      </c>
      <c r="GK43">
        <v>68.8</v>
      </c>
      <c r="GL43">
        <v>70.209999999999994</v>
      </c>
      <c r="GM43">
        <v>71.510000000000005</v>
      </c>
      <c r="GN43">
        <v>72.930000000000007</v>
      </c>
      <c r="GO43">
        <v>74.459999999999994</v>
      </c>
      <c r="GP43">
        <v>76.14</v>
      </c>
      <c r="GQ43">
        <v>77.86</v>
      </c>
      <c r="GR43">
        <v>79.47</v>
      </c>
      <c r="GS43">
        <v>80.959999999999994</v>
      </c>
      <c r="GT43">
        <v>82.39</v>
      </c>
      <c r="GU43">
        <v>83.84</v>
      </c>
      <c r="GV43">
        <v>85.16</v>
      </c>
      <c r="GW43">
        <v>86.48</v>
      </c>
      <c r="GX43">
        <v>87.83</v>
      </c>
      <c r="GY43">
        <v>89.15</v>
      </c>
      <c r="GZ43">
        <v>90.04</v>
      </c>
      <c r="HA43">
        <v>90.7</v>
      </c>
      <c r="HB43">
        <v>91.6</v>
      </c>
      <c r="HC43">
        <v>92.52</v>
      </c>
      <c r="HD43">
        <v>93.26</v>
      </c>
      <c r="HE43">
        <v>94.09</v>
      </c>
      <c r="HF43">
        <v>94.87</v>
      </c>
      <c r="HG43">
        <v>95.47</v>
      </c>
      <c r="HH43">
        <v>96.05</v>
      </c>
      <c r="HI43">
        <v>96.67</v>
      </c>
      <c r="HJ43">
        <v>97.41</v>
      </c>
      <c r="HK43">
        <v>98.28</v>
      </c>
      <c r="HL43">
        <v>99.1</v>
      </c>
      <c r="HM43">
        <v>99.88</v>
      </c>
      <c r="HN43">
        <v>100.56</v>
      </c>
      <c r="HO43">
        <v>101.2</v>
      </c>
      <c r="HP43">
        <v>101.94</v>
      </c>
      <c r="HQ43">
        <v>102.72</v>
      </c>
      <c r="HR43">
        <v>103.63</v>
      </c>
      <c r="HS43">
        <v>104.74</v>
      </c>
      <c r="HT43">
        <v>105.95</v>
      </c>
      <c r="HU43">
        <v>106.9</v>
      </c>
      <c r="HV43">
        <v>107.71</v>
      </c>
      <c r="HW43">
        <v>108.79</v>
      </c>
      <c r="HX43">
        <v>110.01</v>
      </c>
      <c r="HY43">
        <v>111.25</v>
      </c>
      <c r="HZ43">
        <v>112.5</v>
      </c>
      <c r="IA43">
        <v>113.76</v>
      </c>
      <c r="IB43">
        <v>114.83</v>
      </c>
      <c r="IC43">
        <v>115.99</v>
      </c>
      <c r="ID43">
        <v>117.32</v>
      </c>
      <c r="IE43">
        <v>118.69</v>
      </c>
      <c r="IF43">
        <v>119.93</v>
      </c>
      <c r="IG43">
        <v>121.02</v>
      </c>
      <c r="IH43">
        <v>122.13</v>
      </c>
      <c r="II43">
        <v>123</v>
      </c>
      <c r="IJ43">
        <v>123.84</v>
      </c>
      <c r="IK43">
        <v>123.84</v>
      </c>
      <c r="IL43">
        <v>125.62</v>
      </c>
      <c r="IM43">
        <v>126.46</v>
      </c>
      <c r="IN43">
        <v>127.31</v>
      </c>
      <c r="IO43">
        <v>128.13999999999999</v>
      </c>
      <c r="IP43">
        <v>128.80000000000001</v>
      </c>
      <c r="IQ43">
        <v>129.43</v>
      </c>
      <c r="IR43">
        <v>130.30000000000001</v>
      </c>
      <c r="IS43">
        <v>131.12</v>
      </c>
      <c r="IT43">
        <v>132.02000000000001</v>
      </c>
      <c r="IU43">
        <v>132.87</v>
      </c>
      <c r="IV43">
        <v>133.25</v>
      </c>
      <c r="IW43">
        <v>134.04</v>
      </c>
      <c r="IX43">
        <v>134.81</v>
      </c>
      <c r="IY43">
        <v>135.84</v>
      </c>
      <c r="IZ43">
        <v>136.80000000000001</v>
      </c>
      <c r="JA43">
        <v>137.68</v>
      </c>
      <c r="JB43">
        <v>138.75</v>
      </c>
      <c r="JC43">
        <v>139.84</v>
      </c>
      <c r="JD43">
        <v>140.76</v>
      </c>
      <c r="JE43">
        <v>141.57</v>
      </c>
      <c r="JF43">
        <v>142.36000000000001</v>
      </c>
      <c r="JG43">
        <v>143.16</v>
      </c>
      <c r="JH43">
        <v>143.78</v>
      </c>
      <c r="JI43">
        <v>144.34</v>
      </c>
      <c r="JJ43">
        <v>144.87</v>
      </c>
      <c r="JK43">
        <v>145.43</v>
      </c>
      <c r="JL43">
        <v>145.91999999999999</v>
      </c>
      <c r="JM43">
        <v>146.31</v>
      </c>
      <c r="JN43">
        <v>146.72</v>
      </c>
      <c r="JO43">
        <v>147.11000000000001</v>
      </c>
      <c r="JP43">
        <v>147.47</v>
      </c>
      <c r="JQ43">
        <v>147.85</v>
      </c>
      <c r="JR43">
        <v>148.36000000000001</v>
      </c>
      <c r="JS43">
        <v>148.74</v>
      </c>
      <c r="JT43">
        <v>149.04</v>
      </c>
      <c r="JU43">
        <v>149.35</v>
      </c>
      <c r="JV43">
        <v>149.66</v>
      </c>
      <c r="JW43">
        <v>149.96</v>
      </c>
      <c r="JX43">
        <v>150.26</v>
      </c>
      <c r="JY43">
        <v>150.53</v>
      </c>
      <c r="JZ43">
        <v>150.78</v>
      </c>
      <c r="KA43">
        <v>151.02000000000001</v>
      </c>
      <c r="KB43">
        <v>151.13</v>
      </c>
      <c r="KC43">
        <v>151.4</v>
      </c>
      <c r="KD43">
        <v>151.69</v>
      </c>
      <c r="KE43">
        <v>151.94999999999999</v>
      </c>
      <c r="KF43">
        <v>152.16999999999999</v>
      </c>
      <c r="KG43">
        <v>152.35</v>
      </c>
      <c r="KH43">
        <v>152.55000000000001</v>
      </c>
      <c r="KI43">
        <v>152.75</v>
      </c>
      <c r="KJ43">
        <v>152.94999999999999</v>
      </c>
      <c r="KK43">
        <v>153.12</v>
      </c>
      <c r="KL43">
        <v>153.18</v>
      </c>
      <c r="KM43">
        <v>153.22999999999999</v>
      </c>
      <c r="KO43">
        <v>153.34</v>
      </c>
      <c r="KQ43">
        <v>153.47</v>
      </c>
      <c r="KR43">
        <v>153.55000000000001</v>
      </c>
      <c r="KS43">
        <v>153.63999999999999</v>
      </c>
      <c r="KT43">
        <v>153.72999999999999</v>
      </c>
      <c r="KU43">
        <v>153.80000000000001</v>
      </c>
      <c r="KV43">
        <v>153.9</v>
      </c>
      <c r="KW43">
        <v>154</v>
      </c>
      <c r="KX43">
        <v>154.1</v>
      </c>
      <c r="KY43">
        <v>154.22</v>
      </c>
      <c r="KZ43">
        <v>154.35</v>
      </c>
      <c r="LB43">
        <v>154.55000000000001</v>
      </c>
      <c r="LE43">
        <v>154.99</v>
      </c>
      <c r="LF43">
        <v>155.13999999999999</v>
      </c>
      <c r="LI43">
        <v>155.53</v>
      </c>
      <c r="LK43">
        <v>155.88999999999999</v>
      </c>
      <c r="LL43">
        <v>156.09</v>
      </c>
      <c r="LN43">
        <v>156.63999999999999</v>
      </c>
      <c r="LO43">
        <v>157.07</v>
      </c>
      <c r="LP43">
        <v>157.46</v>
      </c>
      <c r="LQ43">
        <v>157.83000000000001</v>
      </c>
      <c r="LR43">
        <v>158.28</v>
      </c>
      <c r="LT43">
        <v>159.44</v>
      </c>
      <c r="LU43">
        <v>160.06</v>
      </c>
      <c r="LV43">
        <v>160.79</v>
      </c>
      <c r="LW43">
        <v>161.38</v>
      </c>
      <c r="LX43">
        <v>161.91999999999999</v>
      </c>
      <c r="LY43">
        <v>162.5</v>
      </c>
      <c r="MA43">
        <v>163.69</v>
      </c>
      <c r="MB43">
        <v>164.29</v>
      </c>
      <c r="MC43">
        <v>164.94</v>
      </c>
      <c r="MD43">
        <v>165.46</v>
      </c>
      <c r="ME43">
        <v>165.91</v>
      </c>
      <c r="MG43">
        <v>166.86</v>
      </c>
      <c r="MI43">
        <v>167.77</v>
      </c>
      <c r="MJ43">
        <v>168.31</v>
      </c>
      <c r="MK43">
        <v>168.76</v>
      </c>
      <c r="ML43">
        <v>169.14</v>
      </c>
      <c r="MM43">
        <v>169.6</v>
      </c>
      <c r="MN43">
        <v>170.1</v>
      </c>
      <c r="MO43">
        <v>170.63</v>
      </c>
      <c r="MP43">
        <v>171.22</v>
      </c>
      <c r="MQ43">
        <v>171.92</v>
      </c>
      <c r="MR43">
        <v>172.55</v>
      </c>
      <c r="MS43">
        <v>173.09</v>
      </c>
      <c r="MT43">
        <v>173.66</v>
      </c>
      <c r="MU43">
        <v>174.24</v>
      </c>
      <c r="MV43">
        <v>174.79</v>
      </c>
      <c r="MW43">
        <v>175.38</v>
      </c>
      <c r="MX43">
        <v>176.11</v>
      </c>
      <c r="MY43">
        <v>176.78</v>
      </c>
      <c r="MZ43">
        <v>177.27</v>
      </c>
      <c r="NA43">
        <v>177.78</v>
      </c>
      <c r="NB43">
        <v>178.29</v>
      </c>
      <c r="ND43">
        <v>179.47</v>
      </c>
      <c r="NE43">
        <v>180.22</v>
      </c>
      <c r="NF43">
        <v>180.87</v>
      </c>
      <c r="NG43">
        <v>181.5</v>
      </c>
      <c r="NH43">
        <v>182.12</v>
      </c>
      <c r="NJ43">
        <v>183.53</v>
      </c>
      <c r="NK43">
        <v>184.31</v>
      </c>
      <c r="NL43">
        <v>185.13</v>
      </c>
      <c r="NM43">
        <v>185.86</v>
      </c>
      <c r="NN43">
        <v>186.62</v>
      </c>
      <c r="NP43">
        <v>188.3</v>
      </c>
      <c r="NR43">
        <v>190.13</v>
      </c>
      <c r="NT43">
        <v>191.77</v>
      </c>
      <c r="NU43">
        <v>192.62</v>
      </c>
      <c r="NV43">
        <v>193.58</v>
      </c>
      <c r="NX43">
        <v>195.5</v>
      </c>
      <c r="NY43">
        <v>196.32</v>
      </c>
      <c r="NZ43">
        <v>196.73</v>
      </c>
      <c r="OA43">
        <v>197.19</v>
      </c>
      <c r="OB43">
        <v>197.7</v>
      </c>
      <c r="OC43">
        <v>198.28</v>
      </c>
      <c r="OD43">
        <v>198.86</v>
      </c>
      <c r="OE43">
        <v>199.42</v>
      </c>
      <c r="OF43">
        <v>199.95</v>
      </c>
      <c r="OG43">
        <v>200.4</v>
      </c>
      <c r="OH43">
        <v>200.77</v>
      </c>
      <c r="OI43">
        <v>201.19</v>
      </c>
      <c r="OJ43">
        <v>201.64</v>
      </c>
      <c r="OK43">
        <v>202.06</v>
      </c>
      <c r="OL43">
        <v>202.44</v>
      </c>
      <c r="OM43">
        <v>202.81</v>
      </c>
      <c r="ON43">
        <v>203.12</v>
      </c>
      <c r="OO43">
        <v>203.41</v>
      </c>
      <c r="OP43">
        <v>203.72</v>
      </c>
      <c r="OQ43">
        <v>204.06</v>
      </c>
      <c r="OR43">
        <v>204.39</v>
      </c>
      <c r="OS43">
        <v>204.69</v>
      </c>
      <c r="OT43">
        <v>205</v>
      </c>
      <c r="OU43">
        <v>205.26</v>
      </c>
      <c r="OV43">
        <v>205.52</v>
      </c>
      <c r="OW43">
        <v>205.89</v>
      </c>
      <c r="OX43">
        <v>206.25</v>
      </c>
      <c r="OZ43">
        <v>207</v>
      </c>
      <c r="PC43">
        <v>207.74</v>
      </c>
      <c r="PD43">
        <v>207.76</v>
      </c>
      <c r="PE43">
        <v>207.77</v>
      </c>
      <c r="PF43">
        <v>207.79</v>
      </c>
      <c r="PG43">
        <v>207.84</v>
      </c>
      <c r="PH43">
        <v>207.93</v>
      </c>
      <c r="PI43">
        <v>208.05</v>
      </c>
      <c r="PK43">
        <v>208.46</v>
      </c>
      <c r="PL43">
        <v>208.84</v>
      </c>
      <c r="PM43">
        <v>209.29</v>
      </c>
      <c r="PN43">
        <v>209.77</v>
      </c>
      <c r="PO43">
        <v>210.27</v>
      </c>
      <c r="PR43">
        <v>211.36</v>
      </c>
      <c r="PT43">
        <v>212.11</v>
      </c>
      <c r="PV43">
        <v>212.97</v>
      </c>
      <c r="PW43">
        <v>213.32</v>
      </c>
      <c r="PX43">
        <v>213.59</v>
      </c>
      <c r="PZ43">
        <v>214.36</v>
      </c>
      <c r="QA43">
        <v>214.77</v>
      </c>
      <c r="QB43">
        <v>215.22</v>
      </c>
      <c r="QC43">
        <v>215.66</v>
      </c>
      <c r="QD43">
        <v>216.01</v>
      </c>
      <c r="QE43">
        <v>216.32</v>
      </c>
      <c r="QH43">
        <v>217.52</v>
      </c>
      <c r="QI43">
        <v>217.9</v>
      </c>
      <c r="QJ43">
        <v>218.28</v>
      </c>
      <c r="QK43">
        <v>218.59</v>
      </c>
      <c r="QL43">
        <v>218.85</v>
      </c>
      <c r="QM43">
        <v>219.18</v>
      </c>
      <c r="QN43">
        <v>219.49</v>
      </c>
      <c r="QO43">
        <v>219.84</v>
      </c>
      <c r="QP43">
        <v>220.19</v>
      </c>
      <c r="QQ43">
        <v>220.55</v>
      </c>
      <c r="QR43">
        <v>220.84</v>
      </c>
      <c r="QS43">
        <v>221.11</v>
      </c>
      <c r="QT43">
        <v>221.45</v>
      </c>
      <c r="QU43">
        <v>221.83</v>
      </c>
      <c r="QV43">
        <v>222.2</v>
      </c>
      <c r="QX43">
        <v>222.87</v>
      </c>
      <c r="QY43">
        <v>223.16</v>
      </c>
      <c r="QZ43">
        <v>223.4</v>
      </c>
      <c r="RB43">
        <v>223.97</v>
      </c>
      <c r="RC43">
        <v>224.29</v>
      </c>
      <c r="RD43">
        <v>224.59</v>
      </c>
      <c r="RE43">
        <v>224.87</v>
      </c>
      <c r="RF43">
        <v>225.13</v>
      </c>
      <c r="RG43">
        <v>225.38</v>
      </c>
      <c r="RI43">
        <v>225.94</v>
      </c>
      <c r="RJ43">
        <v>226.22</v>
      </c>
      <c r="RK43">
        <v>226.48</v>
      </c>
      <c r="RL43">
        <v>227.06</v>
      </c>
      <c r="RM43">
        <v>227.22</v>
      </c>
      <c r="RO43">
        <v>227.55</v>
      </c>
      <c r="RP43">
        <v>227.77</v>
      </c>
      <c r="RQ43">
        <v>228.33</v>
      </c>
      <c r="RR43">
        <v>228.52</v>
      </c>
      <c r="RS43">
        <v>228.71</v>
      </c>
      <c r="RU43">
        <v>229.09</v>
      </c>
      <c r="RV43">
        <v>229.55</v>
      </c>
      <c r="RW43">
        <v>229.71</v>
      </c>
      <c r="RY43">
        <v>230.05</v>
      </c>
      <c r="SA43">
        <v>230.41</v>
      </c>
      <c r="SB43">
        <v>230.56</v>
      </c>
      <c r="SC43">
        <v>230.7</v>
      </c>
      <c r="SD43">
        <v>230.85</v>
      </c>
      <c r="SE43">
        <v>231.01</v>
      </c>
      <c r="SG43">
        <v>231.32</v>
      </c>
      <c r="SH43">
        <v>231.48</v>
      </c>
      <c r="SJ43">
        <v>231.65</v>
      </c>
      <c r="SK43">
        <v>231.72</v>
      </c>
      <c r="SL43">
        <v>231.8</v>
      </c>
      <c r="SM43">
        <v>231.86</v>
      </c>
      <c r="SN43">
        <v>231.94</v>
      </c>
      <c r="SO43">
        <v>232.02</v>
      </c>
      <c r="SP43">
        <v>232.1</v>
      </c>
      <c r="SQ43">
        <v>232.17</v>
      </c>
      <c r="SR43">
        <v>232.25</v>
      </c>
      <c r="SS43">
        <v>232.34</v>
      </c>
      <c r="ST43">
        <v>232.45</v>
      </c>
      <c r="SV43">
        <v>232.66</v>
      </c>
      <c r="SW43">
        <v>232.74</v>
      </c>
      <c r="SX43">
        <v>232.82</v>
      </c>
      <c r="SY43">
        <v>232.9</v>
      </c>
      <c r="SZ43">
        <v>233</v>
      </c>
      <c r="TA43">
        <v>233.1</v>
      </c>
      <c r="TB43">
        <v>233.19</v>
      </c>
      <c r="TC43">
        <v>233.28</v>
      </c>
      <c r="TD43">
        <v>233.36</v>
      </c>
      <c r="TE43">
        <v>233.42</v>
      </c>
      <c r="TF43">
        <v>233.5</v>
      </c>
      <c r="TG43">
        <v>233.58</v>
      </c>
      <c r="TH43">
        <v>233.67</v>
      </c>
      <c r="TJ43">
        <v>233.84</v>
      </c>
      <c r="TK43">
        <v>233.91</v>
      </c>
      <c r="TL43">
        <v>233.97</v>
      </c>
      <c r="TM43">
        <v>234.05</v>
      </c>
      <c r="TN43">
        <v>234.13</v>
      </c>
      <c r="TP43">
        <v>234.24</v>
      </c>
      <c r="TQ43">
        <v>234.27</v>
      </c>
      <c r="TS43">
        <v>234.34</v>
      </c>
      <c r="TU43">
        <v>234.44</v>
      </c>
      <c r="TV43">
        <v>234.5</v>
      </c>
      <c r="TW43">
        <v>234.55</v>
      </c>
      <c r="TX43">
        <v>234.61</v>
      </c>
      <c r="TY43">
        <v>234.65</v>
      </c>
      <c r="UA43">
        <v>234.74</v>
      </c>
      <c r="UB43">
        <v>234.8</v>
      </c>
      <c r="UC43">
        <v>234.86</v>
      </c>
      <c r="UD43">
        <v>234.95</v>
      </c>
      <c r="UE43">
        <v>235</v>
      </c>
      <c r="UF43">
        <v>235.04</v>
      </c>
      <c r="UG43">
        <v>235.08</v>
      </c>
      <c r="UH43">
        <v>235.12</v>
      </c>
      <c r="UI43">
        <v>235.18</v>
      </c>
      <c r="UJ43">
        <v>235.23</v>
      </c>
      <c r="UK43">
        <v>235.28</v>
      </c>
      <c r="UL43">
        <v>235.34</v>
      </c>
      <c r="UM43">
        <v>235.37</v>
      </c>
      <c r="UN43">
        <v>235.41</v>
      </c>
      <c r="UP43">
        <v>235.5</v>
      </c>
      <c r="UQ43">
        <v>235.55</v>
      </c>
      <c r="UR43">
        <v>235.6</v>
      </c>
      <c r="US43">
        <v>235.64</v>
      </c>
      <c r="UT43">
        <v>235.67</v>
      </c>
      <c r="UU43">
        <v>235.7</v>
      </c>
      <c r="UV43">
        <v>235.74</v>
      </c>
      <c r="UW43">
        <v>235.78</v>
      </c>
      <c r="UX43">
        <v>235.82</v>
      </c>
      <c r="UZ43">
        <v>235.93</v>
      </c>
      <c r="VA43">
        <v>235.97</v>
      </c>
      <c r="VB43">
        <v>239.04</v>
      </c>
      <c r="VC43">
        <v>239.08</v>
      </c>
      <c r="VD43">
        <v>239.13</v>
      </c>
      <c r="VF43">
        <v>239.23</v>
      </c>
      <c r="VG43">
        <v>239.28</v>
      </c>
      <c r="VH43">
        <v>239.32</v>
      </c>
      <c r="VI43">
        <v>239.36</v>
      </c>
      <c r="VJ43">
        <v>239.4</v>
      </c>
      <c r="VK43">
        <v>239.46</v>
      </c>
      <c r="VL43">
        <v>239.51</v>
      </c>
      <c r="VM43">
        <v>239.56</v>
      </c>
      <c r="VN43">
        <v>239.62</v>
      </c>
      <c r="VO43">
        <v>239.66</v>
      </c>
      <c r="VP43">
        <v>239.7</v>
      </c>
      <c r="VQ43">
        <v>239.75</v>
      </c>
      <c r="VR43">
        <v>239.81</v>
      </c>
      <c r="VS43">
        <v>239.87</v>
      </c>
      <c r="VT43">
        <v>239.93</v>
      </c>
      <c r="VU43">
        <v>239.99</v>
      </c>
      <c r="VV43">
        <v>240.05</v>
      </c>
      <c r="VW43">
        <v>240.14</v>
      </c>
      <c r="VX43">
        <v>240.16</v>
      </c>
      <c r="VY43">
        <v>240.19</v>
      </c>
      <c r="VZ43">
        <v>240.22</v>
      </c>
      <c r="WA43">
        <v>240.24</v>
      </c>
      <c r="WB43">
        <v>240.26</v>
      </c>
      <c r="WC43">
        <v>240.27</v>
      </c>
      <c r="WD43">
        <v>240.29</v>
      </c>
      <c r="WF43">
        <v>240.34</v>
      </c>
      <c r="WG43">
        <v>240.36</v>
      </c>
      <c r="WH43">
        <v>240.38</v>
      </c>
      <c r="WI43">
        <v>240.4</v>
      </c>
      <c r="WJ43">
        <v>240.41</v>
      </c>
      <c r="WK43">
        <v>240.43</v>
      </c>
      <c r="WL43">
        <v>240.45</v>
      </c>
      <c r="WM43">
        <v>240.48</v>
      </c>
      <c r="WN43">
        <v>240.5</v>
      </c>
      <c r="WO43">
        <v>240.52</v>
      </c>
      <c r="WP43">
        <v>240.54</v>
      </c>
      <c r="WQ43">
        <v>240.55</v>
      </c>
      <c r="WS43">
        <v>240.59</v>
      </c>
      <c r="WT43">
        <v>240.62</v>
      </c>
      <c r="WU43">
        <v>240.64</v>
      </c>
      <c r="WV43">
        <v>240.66</v>
      </c>
      <c r="WW43">
        <v>240.68</v>
      </c>
      <c r="WX43">
        <v>240.69</v>
      </c>
      <c r="WY43">
        <v>240.71</v>
      </c>
      <c r="WZ43">
        <v>240.73</v>
      </c>
      <c r="XA43">
        <v>240.75</v>
      </c>
      <c r="XB43">
        <v>240.76</v>
      </c>
      <c r="XC43">
        <v>240.77</v>
      </c>
      <c r="XD43">
        <v>240.78</v>
      </c>
      <c r="XE43">
        <v>240.79</v>
      </c>
      <c r="XF43">
        <v>240.8</v>
      </c>
      <c r="XG43">
        <v>240.82</v>
      </c>
      <c r="XJ43">
        <v>240.85</v>
      </c>
      <c r="XK43">
        <v>240.85</v>
      </c>
      <c r="XL43">
        <v>240.86</v>
      </c>
      <c r="XM43">
        <v>240.87</v>
      </c>
      <c r="XN43">
        <v>240.88</v>
      </c>
      <c r="XO43">
        <v>240.89</v>
      </c>
      <c r="XP43">
        <v>240.89</v>
      </c>
      <c r="XQ43">
        <v>240.91</v>
      </c>
      <c r="XR43">
        <v>240.92</v>
      </c>
      <c r="XS43">
        <v>240.92</v>
      </c>
      <c r="XT43">
        <v>240.93</v>
      </c>
      <c r="XU43">
        <v>240.94</v>
      </c>
      <c r="XV43">
        <v>240.95</v>
      </c>
      <c r="XZ43">
        <v>240.99</v>
      </c>
      <c r="YA43">
        <v>241</v>
      </c>
      <c r="YB43">
        <v>241.01</v>
      </c>
      <c r="YE43">
        <v>241.04</v>
      </c>
      <c r="YF43">
        <v>241.04</v>
      </c>
      <c r="YH43">
        <v>241.05</v>
      </c>
      <c r="YI43">
        <v>241.05</v>
      </c>
      <c r="YJ43">
        <v>241.06</v>
      </c>
      <c r="YK43">
        <v>241.06</v>
      </c>
      <c r="YL43">
        <v>241.07</v>
      </c>
      <c r="YM43">
        <v>241.07</v>
      </c>
      <c r="YN43">
        <v>241.08</v>
      </c>
      <c r="YO43">
        <v>241.09</v>
      </c>
      <c r="YP43">
        <v>241.09</v>
      </c>
      <c r="YQ43">
        <v>241.1</v>
      </c>
      <c r="YR43">
        <v>241.11</v>
      </c>
      <c r="YS43">
        <v>241.12</v>
      </c>
      <c r="YT43">
        <v>241.13</v>
      </c>
      <c r="YY43">
        <v>241.16</v>
      </c>
      <c r="YZ43">
        <v>241.17</v>
      </c>
      <c r="ZA43">
        <v>241.18</v>
      </c>
      <c r="ZB43">
        <v>241.18</v>
      </c>
      <c r="ZC43">
        <v>241.19</v>
      </c>
      <c r="ZE43">
        <v>241.2</v>
      </c>
      <c r="ZF43">
        <v>241.21</v>
      </c>
      <c r="ZG43">
        <v>241.22</v>
      </c>
      <c r="ZJ43">
        <v>241.24</v>
      </c>
      <c r="ZL43">
        <v>241.25</v>
      </c>
      <c r="ZM43">
        <v>241.26</v>
      </c>
      <c r="ZN43">
        <v>241.27</v>
      </c>
      <c r="ZO43">
        <v>241.28</v>
      </c>
      <c r="ZP43">
        <v>241.28</v>
      </c>
      <c r="ZQ43">
        <v>241.29</v>
      </c>
      <c r="ZS43">
        <v>241.31</v>
      </c>
      <c r="ZU43">
        <v>241.32</v>
      </c>
      <c r="ZV43">
        <v>241.33</v>
      </c>
      <c r="ZX43">
        <v>241.35</v>
      </c>
      <c r="AAA43">
        <v>241.38</v>
      </c>
      <c r="AAB43">
        <v>241.4</v>
      </c>
      <c r="AAC43">
        <v>241.41</v>
      </c>
      <c r="AAD43">
        <v>241.42</v>
      </c>
      <c r="AAE43">
        <v>241.43</v>
      </c>
      <c r="AAG43">
        <v>241.45</v>
      </c>
      <c r="AAH43">
        <v>241.46</v>
      </c>
      <c r="AAI43">
        <v>241.47</v>
      </c>
      <c r="AAJ43">
        <v>241.48</v>
      </c>
      <c r="AAL43">
        <v>241.5</v>
      </c>
      <c r="AAN43">
        <v>241.52</v>
      </c>
      <c r="AAO43">
        <v>241.53</v>
      </c>
      <c r="AAP43">
        <v>241.53</v>
      </c>
      <c r="AAQ43">
        <v>241.55</v>
      </c>
      <c r="AAS43">
        <v>241.57</v>
      </c>
      <c r="AAT43">
        <v>241.6</v>
      </c>
      <c r="AAU43">
        <v>241.63</v>
      </c>
      <c r="AAV43">
        <v>241.68</v>
      </c>
      <c r="AAW43">
        <v>241.75</v>
      </c>
      <c r="AAX43">
        <v>241.83</v>
      </c>
      <c r="AAY43">
        <v>241.88</v>
      </c>
      <c r="AAZ43">
        <v>241.97</v>
      </c>
      <c r="ABA43">
        <v>242.07</v>
      </c>
      <c r="ABB43">
        <v>242.18</v>
      </c>
      <c r="ABC43">
        <v>242.27</v>
      </c>
      <c r="ABD43">
        <v>242.37</v>
      </c>
      <c r="ABE43">
        <v>242.43</v>
      </c>
      <c r="ABG43">
        <v>242.54</v>
      </c>
      <c r="ABH43">
        <v>242.76</v>
      </c>
      <c r="ABI43">
        <v>243.02</v>
      </c>
      <c r="ABJ43">
        <v>243.17</v>
      </c>
      <c r="ABK43">
        <v>243.33</v>
      </c>
      <c r="ABL43">
        <v>243.42</v>
      </c>
      <c r="ABM43">
        <v>243.48</v>
      </c>
      <c r="ABN43">
        <v>243.58</v>
      </c>
      <c r="ABO43">
        <v>243.66</v>
      </c>
      <c r="ABP43">
        <v>243.74</v>
      </c>
      <c r="ABQ43">
        <v>243.81</v>
      </c>
      <c r="ABR43">
        <v>243.88</v>
      </c>
      <c r="ABS43">
        <v>243.92</v>
      </c>
      <c r="ABT43">
        <v>243.95</v>
      </c>
      <c r="ABU43">
        <v>243.98</v>
      </c>
      <c r="ABV43">
        <v>244.03</v>
      </c>
      <c r="ABW43">
        <v>244.08</v>
      </c>
      <c r="ABX43">
        <v>244.14</v>
      </c>
      <c r="ABY43">
        <v>244.22</v>
      </c>
      <c r="ABZ43">
        <v>244.27</v>
      </c>
      <c r="ACA43">
        <v>244.3</v>
      </c>
      <c r="ACB43">
        <v>244.39</v>
      </c>
      <c r="ACC43">
        <v>244.44</v>
      </c>
      <c r="ACD43">
        <v>244.48</v>
      </c>
      <c r="ACE43">
        <v>244.59</v>
      </c>
      <c r="ACF43">
        <v>244.62</v>
      </c>
      <c r="ACL43">
        <v>244.73</v>
      </c>
      <c r="ACS43">
        <v>244.74</v>
      </c>
      <c r="ACZ43">
        <v>244.79</v>
      </c>
      <c r="ADG43">
        <v>244.84</v>
      </c>
    </row>
    <row r="44" spans="1:791">
      <c r="A44" s="1" t="s">
        <v>35</v>
      </c>
      <c r="B44" s="1" t="s">
        <v>35</v>
      </c>
      <c r="BT44">
        <v>0</v>
      </c>
      <c r="BU44">
        <v>0.02</v>
      </c>
      <c r="BV44">
        <v>0.04</v>
      </c>
      <c r="BW44">
        <v>7.0000000000000007E-2</v>
      </c>
      <c r="BX44">
        <v>0.08</v>
      </c>
      <c r="BY44">
        <v>0.09</v>
      </c>
      <c r="BZ44">
        <v>0.09</v>
      </c>
      <c r="CA44">
        <v>0.1</v>
      </c>
      <c r="CB44">
        <v>0.13</v>
      </c>
      <c r="CC44">
        <v>0.16</v>
      </c>
      <c r="CD44">
        <v>0.22</v>
      </c>
      <c r="CE44">
        <v>0.26</v>
      </c>
      <c r="CF44">
        <v>0.28999999999999998</v>
      </c>
      <c r="CG44">
        <v>0.33</v>
      </c>
      <c r="CH44">
        <v>0.38</v>
      </c>
      <c r="CI44">
        <v>0.41</v>
      </c>
      <c r="CJ44">
        <v>0.47</v>
      </c>
      <c r="CK44">
        <v>0.53</v>
      </c>
      <c r="CL44">
        <v>0.59</v>
      </c>
      <c r="CM44">
        <v>0.62</v>
      </c>
      <c r="CN44">
        <v>0.79</v>
      </c>
      <c r="CO44">
        <v>0.94</v>
      </c>
      <c r="CP44">
        <v>1.1599999999999999</v>
      </c>
      <c r="CQ44">
        <v>1.36</v>
      </c>
      <c r="CR44">
        <v>1.54</v>
      </c>
      <c r="CS44">
        <v>1.66</v>
      </c>
      <c r="CT44">
        <v>1.8</v>
      </c>
      <c r="CU44">
        <v>1.92</v>
      </c>
      <c r="CV44">
        <v>2.0099999999999998</v>
      </c>
      <c r="CW44">
        <v>2.12</v>
      </c>
      <c r="CX44">
        <v>2.2200000000000002</v>
      </c>
      <c r="CY44">
        <v>2.3199999999999998</v>
      </c>
      <c r="CZ44">
        <v>2.39</v>
      </c>
      <c r="DA44">
        <v>2.4300000000000002</v>
      </c>
      <c r="DB44">
        <v>2.5499999999999998</v>
      </c>
      <c r="DC44">
        <v>2.72</v>
      </c>
      <c r="DD44">
        <v>2.9</v>
      </c>
      <c r="DE44">
        <v>3.14</v>
      </c>
      <c r="DF44">
        <v>3.39</v>
      </c>
      <c r="DG44">
        <v>3.57</v>
      </c>
      <c r="DH44">
        <v>3.86</v>
      </c>
      <c r="DI44">
        <v>4.17</v>
      </c>
      <c r="DJ44">
        <v>4.41</v>
      </c>
      <c r="DK44">
        <v>4.5199999999999996</v>
      </c>
      <c r="DL44">
        <v>4.59</v>
      </c>
      <c r="DM44">
        <v>4.68</v>
      </c>
      <c r="DN44">
        <v>4.7300000000000004</v>
      </c>
      <c r="DO44">
        <v>4.87</v>
      </c>
      <c r="DQ44">
        <v>5.29</v>
      </c>
      <c r="DR44">
        <v>5.53</v>
      </c>
      <c r="DS44">
        <v>5.79</v>
      </c>
      <c r="DT44">
        <v>5.98</v>
      </c>
      <c r="DV44">
        <v>6.24</v>
      </c>
      <c r="DW44">
        <v>6.58</v>
      </c>
      <c r="DX44">
        <v>6.79</v>
      </c>
      <c r="DZ44">
        <v>7.06</v>
      </c>
      <c r="EA44">
        <v>7.29</v>
      </c>
      <c r="EB44">
        <v>7.41</v>
      </c>
      <c r="EC44">
        <v>7.6</v>
      </c>
      <c r="ED44">
        <v>7.82</v>
      </c>
      <c r="EE44">
        <v>8.1199999999999992</v>
      </c>
      <c r="EF44">
        <v>8.3000000000000007</v>
      </c>
      <c r="EG44">
        <v>8.49</v>
      </c>
      <c r="EH44">
        <v>8.65</v>
      </c>
      <c r="EI44">
        <v>8.75</v>
      </c>
      <c r="EK44">
        <v>9.09</v>
      </c>
      <c r="EL44">
        <v>9.27</v>
      </c>
      <c r="EM44">
        <v>9.48</v>
      </c>
      <c r="EN44">
        <v>9.8000000000000007</v>
      </c>
      <c r="EO44">
        <v>10.050000000000001</v>
      </c>
      <c r="EP44">
        <v>10.26</v>
      </c>
      <c r="EU44">
        <v>11.98</v>
      </c>
      <c r="EX44">
        <v>12.73</v>
      </c>
      <c r="EY44">
        <v>13.12</v>
      </c>
      <c r="EZ44">
        <v>13.46</v>
      </c>
      <c r="FA44">
        <v>13.84</v>
      </c>
      <c r="FC44">
        <v>14.49</v>
      </c>
      <c r="FD44">
        <v>14.66</v>
      </c>
      <c r="FE44">
        <v>14.81</v>
      </c>
      <c r="FF44">
        <v>15.17</v>
      </c>
      <c r="FG44">
        <v>15.45</v>
      </c>
      <c r="FH44">
        <v>15.74</v>
      </c>
      <c r="FJ44">
        <v>16.190000000000001</v>
      </c>
      <c r="FK44">
        <v>16.32</v>
      </c>
      <c r="FL44">
        <v>16.559999999999999</v>
      </c>
      <c r="FM44">
        <v>16.93</v>
      </c>
      <c r="FN44">
        <v>17.38</v>
      </c>
      <c r="FQ44">
        <v>18.989999999999998</v>
      </c>
      <c r="FR44">
        <v>19.309999999999999</v>
      </c>
      <c r="FS44">
        <v>19.829999999999998</v>
      </c>
      <c r="FT44">
        <v>20.41</v>
      </c>
      <c r="FU44">
        <v>21.02</v>
      </c>
      <c r="FV44">
        <v>21.58</v>
      </c>
      <c r="FW44">
        <v>22.1</v>
      </c>
      <c r="FX44">
        <v>22.57</v>
      </c>
      <c r="FY44">
        <v>22.83</v>
      </c>
      <c r="FZ44">
        <v>23.06</v>
      </c>
      <c r="GA44">
        <v>23.54</v>
      </c>
      <c r="GB44">
        <v>23.99</v>
      </c>
      <c r="GD44">
        <v>24.98</v>
      </c>
      <c r="GE44">
        <v>25.39</v>
      </c>
      <c r="GF44">
        <v>25.6</v>
      </c>
      <c r="GG44">
        <v>25.88</v>
      </c>
      <c r="GJ44">
        <v>27.64</v>
      </c>
      <c r="GL44">
        <v>28.94</v>
      </c>
      <c r="GM44">
        <v>29.39</v>
      </c>
      <c r="GN44">
        <v>30.07</v>
      </c>
      <c r="GO44">
        <v>30.82</v>
      </c>
      <c r="GP44">
        <v>31.52</v>
      </c>
      <c r="GQ44">
        <v>32.159999999999997</v>
      </c>
      <c r="GR44">
        <v>32.81</v>
      </c>
      <c r="GS44">
        <v>33.46</v>
      </c>
      <c r="GT44">
        <v>33.86</v>
      </c>
      <c r="GU44">
        <v>34.53</v>
      </c>
      <c r="GV44">
        <v>35.26</v>
      </c>
      <c r="GW44">
        <v>35.93</v>
      </c>
      <c r="GX44">
        <v>36.51</v>
      </c>
      <c r="GY44">
        <v>37.06</v>
      </c>
      <c r="GZ44">
        <v>37.57</v>
      </c>
      <c r="HA44">
        <v>37.86</v>
      </c>
      <c r="HB44">
        <v>38.200000000000003</v>
      </c>
      <c r="HD44">
        <v>39.700000000000003</v>
      </c>
      <c r="HG44">
        <v>40.5</v>
      </c>
      <c r="HH44">
        <v>42.53</v>
      </c>
      <c r="HI44">
        <v>43.06</v>
      </c>
      <c r="HK44">
        <v>44.46</v>
      </c>
      <c r="HL44">
        <v>45.09</v>
      </c>
      <c r="HN44">
        <v>46.16</v>
      </c>
      <c r="HO44">
        <v>46.44</v>
      </c>
      <c r="HP44">
        <v>46.84</v>
      </c>
      <c r="HQ44">
        <v>47.17</v>
      </c>
      <c r="HS44">
        <v>48.22</v>
      </c>
      <c r="HT44">
        <v>48.79</v>
      </c>
      <c r="HV44">
        <v>49.83</v>
      </c>
      <c r="HW44">
        <v>50.39</v>
      </c>
      <c r="HY44">
        <v>51.46</v>
      </c>
      <c r="HZ44">
        <v>52.11</v>
      </c>
      <c r="IB44">
        <v>54.09</v>
      </c>
      <c r="IC44">
        <v>54.54</v>
      </c>
      <c r="ID44">
        <v>55.33</v>
      </c>
      <c r="IE44">
        <v>56.22</v>
      </c>
      <c r="IF44">
        <v>57.02</v>
      </c>
      <c r="IG44">
        <v>57.81</v>
      </c>
      <c r="II44">
        <v>59.44</v>
      </c>
      <c r="IJ44">
        <v>59.7</v>
      </c>
      <c r="IK44">
        <v>60.22</v>
      </c>
      <c r="IL44">
        <v>60.7</v>
      </c>
      <c r="IM44">
        <v>61.22</v>
      </c>
      <c r="IN44">
        <v>61.66</v>
      </c>
      <c r="IO44">
        <v>62.01</v>
      </c>
      <c r="IP44">
        <v>62.44</v>
      </c>
      <c r="IQ44">
        <v>62.63</v>
      </c>
      <c r="IS44">
        <v>63.27</v>
      </c>
      <c r="IT44">
        <v>63.8</v>
      </c>
      <c r="IV44">
        <v>64.38</v>
      </c>
      <c r="IW44">
        <v>64.87</v>
      </c>
      <c r="IX44">
        <v>65.16</v>
      </c>
      <c r="IY44">
        <v>65.73</v>
      </c>
      <c r="IZ44">
        <v>66.25</v>
      </c>
      <c r="JA44">
        <v>66.8</v>
      </c>
      <c r="JC44">
        <v>67.89</v>
      </c>
      <c r="JE44">
        <v>68.61</v>
      </c>
      <c r="JF44">
        <v>68.97</v>
      </c>
      <c r="JM44">
        <v>71.08</v>
      </c>
      <c r="KC44">
        <v>76.19</v>
      </c>
      <c r="KD44">
        <v>76.599999999999994</v>
      </c>
      <c r="PH44">
        <v>142.25</v>
      </c>
      <c r="PW44">
        <v>148.16999999999999</v>
      </c>
      <c r="QO44">
        <v>152.97</v>
      </c>
      <c r="QQ44">
        <v>153.47999999999999</v>
      </c>
      <c r="QV44">
        <v>154.53</v>
      </c>
      <c r="QX44">
        <v>154.97999999999999</v>
      </c>
      <c r="RC44">
        <v>155.68</v>
      </c>
      <c r="RE44">
        <v>155.91999999999999</v>
      </c>
      <c r="ACT44">
        <v>173.9</v>
      </c>
    </row>
    <row r="45" spans="1:791">
      <c r="A45" s="1" t="s">
        <v>423</v>
      </c>
      <c r="B45" s="1" t="s">
        <v>424</v>
      </c>
      <c r="EE45">
        <v>1.55</v>
      </c>
      <c r="EZ45">
        <v>5.03</v>
      </c>
      <c r="FF45">
        <v>5.17</v>
      </c>
      <c r="FI45">
        <v>6.72</v>
      </c>
      <c r="FN45">
        <v>9.1999999999999993</v>
      </c>
      <c r="FS45">
        <v>9.65</v>
      </c>
      <c r="GA45">
        <v>9.6999999999999993</v>
      </c>
      <c r="HB45">
        <v>10.45</v>
      </c>
      <c r="HU45">
        <v>14.48</v>
      </c>
      <c r="IE45">
        <v>18.68</v>
      </c>
      <c r="IK45">
        <v>21.72</v>
      </c>
      <c r="IR45">
        <v>24.85</v>
      </c>
      <c r="IV45">
        <v>26.92</v>
      </c>
      <c r="KC45">
        <v>37.92</v>
      </c>
      <c r="KP45">
        <v>128.25</v>
      </c>
      <c r="LC45">
        <v>133.66999999999999</v>
      </c>
      <c r="LX45">
        <v>138.44</v>
      </c>
      <c r="NN45">
        <v>144.19999999999999</v>
      </c>
      <c r="OC45">
        <v>145.38999999999999</v>
      </c>
      <c r="OQ45">
        <v>145.69</v>
      </c>
      <c r="PR45">
        <v>146.62</v>
      </c>
      <c r="PY45">
        <v>155.61000000000001</v>
      </c>
      <c r="QF45">
        <v>156.16</v>
      </c>
      <c r="QM45">
        <v>157.72999999999999</v>
      </c>
      <c r="QT45">
        <v>166.36</v>
      </c>
      <c r="RA45">
        <v>166.88</v>
      </c>
      <c r="RM45">
        <v>225.34</v>
      </c>
      <c r="TT45">
        <v>226.38</v>
      </c>
      <c r="ZJ45">
        <v>234.84</v>
      </c>
      <c r="ZQ45">
        <v>239.22</v>
      </c>
      <c r="AAS45">
        <v>239.44</v>
      </c>
      <c r="ADK45">
        <v>239.87</v>
      </c>
    </row>
    <row r="46" spans="1:791">
      <c r="A46" s="1" t="s">
        <v>186</v>
      </c>
      <c r="B46" s="1" t="s">
        <v>323</v>
      </c>
      <c r="DX46">
        <v>0.26</v>
      </c>
      <c r="EZ46">
        <v>0.69</v>
      </c>
      <c r="FF46">
        <v>0.69</v>
      </c>
      <c r="GA46">
        <v>1</v>
      </c>
      <c r="GC46">
        <v>1.04</v>
      </c>
      <c r="GG46">
        <v>1.1000000000000001</v>
      </c>
      <c r="GH46">
        <v>1.1299999999999999</v>
      </c>
      <c r="GM46">
        <v>1.22</v>
      </c>
      <c r="GP46">
        <v>1.86</v>
      </c>
      <c r="GW46">
        <v>2.1</v>
      </c>
      <c r="HL46">
        <v>2.97</v>
      </c>
      <c r="HZ46">
        <v>3.6</v>
      </c>
      <c r="IN46">
        <v>4.6399999999999997</v>
      </c>
      <c r="IU46">
        <v>4.96</v>
      </c>
      <c r="JA46">
        <v>5.13</v>
      </c>
      <c r="JP46">
        <v>5.47</v>
      </c>
      <c r="JV46">
        <v>5.64</v>
      </c>
      <c r="KC46">
        <v>5.83</v>
      </c>
      <c r="LD46">
        <v>45.9</v>
      </c>
    </row>
    <row r="47" spans="1:791">
      <c r="A47" s="1" t="s">
        <v>137</v>
      </c>
      <c r="B47" s="1" t="s">
        <v>137</v>
      </c>
      <c r="FM47">
        <v>24.84</v>
      </c>
      <c r="FT47">
        <v>47.2</v>
      </c>
      <c r="GA47">
        <v>54.45</v>
      </c>
      <c r="GH47">
        <v>69.77</v>
      </c>
      <c r="GN47">
        <v>99.95</v>
      </c>
      <c r="GV47">
        <v>107.85</v>
      </c>
      <c r="HQ47">
        <v>116.77</v>
      </c>
      <c r="KK47">
        <v>6.13</v>
      </c>
      <c r="KR47">
        <v>6.58</v>
      </c>
      <c r="KY47">
        <v>7.05</v>
      </c>
      <c r="LF47">
        <v>7.25</v>
      </c>
      <c r="LT47">
        <v>9</v>
      </c>
      <c r="LZ47">
        <v>9.7100000000000009</v>
      </c>
      <c r="MH47">
        <v>10.46</v>
      </c>
      <c r="MN47">
        <v>11.06</v>
      </c>
      <c r="MV47">
        <v>11.52</v>
      </c>
      <c r="NC47">
        <v>12.13</v>
      </c>
      <c r="NI47">
        <v>22.9</v>
      </c>
    </row>
    <row r="48" spans="1:791">
      <c r="A48" s="1" t="s">
        <v>96</v>
      </c>
      <c r="B48" s="1" t="s">
        <v>96</v>
      </c>
      <c r="Q48">
        <v>0</v>
      </c>
      <c r="AA48">
        <v>0.05</v>
      </c>
      <c r="AF48">
        <v>0.19</v>
      </c>
      <c r="AM48">
        <v>0.49</v>
      </c>
      <c r="AP48">
        <v>0.57999999999999996</v>
      </c>
      <c r="AW48">
        <v>0.94</v>
      </c>
      <c r="BD48">
        <v>1.1299999999999999</v>
      </c>
      <c r="BK48">
        <v>1.47</v>
      </c>
      <c r="BR48">
        <v>1.9</v>
      </c>
      <c r="BY48">
        <v>1.99</v>
      </c>
      <c r="CF48">
        <v>2.94</v>
      </c>
      <c r="CJ48">
        <v>3.79</v>
      </c>
      <c r="CM48">
        <v>4.0199999999999996</v>
      </c>
      <c r="CQ48">
        <v>4.75</v>
      </c>
      <c r="CT48">
        <v>4.87</v>
      </c>
      <c r="DA48">
        <v>6.13</v>
      </c>
      <c r="DC48">
        <v>6.83</v>
      </c>
      <c r="DH48">
        <v>7.55</v>
      </c>
      <c r="DP48">
        <v>9.91</v>
      </c>
      <c r="DV48">
        <v>11.52</v>
      </c>
      <c r="EC48">
        <v>13.71</v>
      </c>
      <c r="EJ48">
        <v>16.079999999999998</v>
      </c>
      <c r="EQ48">
        <v>18.649999999999999</v>
      </c>
      <c r="EX48">
        <v>21.47</v>
      </c>
      <c r="FE48">
        <v>24.58</v>
      </c>
      <c r="FL48">
        <v>28.62</v>
      </c>
      <c r="FT48">
        <v>32.56</v>
      </c>
      <c r="FZ48">
        <v>37.42</v>
      </c>
      <c r="GG48">
        <v>42.22</v>
      </c>
      <c r="GO48">
        <v>45.76</v>
      </c>
      <c r="GU48">
        <v>47.91</v>
      </c>
      <c r="HB48">
        <v>49.5</v>
      </c>
      <c r="HJ48">
        <v>51.17</v>
      </c>
      <c r="HP48">
        <v>55.22</v>
      </c>
      <c r="HW48">
        <v>67.22</v>
      </c>
      <c r="IK48">
        <v>71.52</v>
      </c>
      <c r="IR48">
        <v>75.540000000000006</v>
      </c>
      <c r="IY48">
        <v>78.48</v>
      </c>
      <c r="JF48">
        <v>83.25</v>
      </c>
      <c r="JO48">
        <v>89.13</v>
      </c>
      <c r="JT48">
        <v>94.81</v>
      </c>
      <c r="KA48">
        <v>102.71</v>
      </c>
      <c r="NG48">
        <v>143</v>
      </c>
      <c r="NO48">
        <v>147.5</v>
      </c>
      <c r="OX48">
        <v>160.22999999999999</v>
      </c>
      <c r="QF48">
        <v>181.93</v>
      </c>
      <c r="RB48">
        <v>194.94</v>
      </c>
      <c r="RR48">
        <v>203.15</v>
      </c>
      <c r="RW48">
        <v>204.49</v>
      </c>
      <c r="SS48">
        <v>209.94</v>
      </c>
      <c r="SZ48">
        <v>212.29</v>
      </c>
      <c r="TF48">
        <v>214.39</v>
      </c>
    </row>
    <row r="49" spans="1:812">
      <c r="A49" s="1" t="s">
        <v>305</v>
      </c>
      <c r="B49" s="1" t="s">
        <v>324</v>
      </c>
      <c r="CF49">
        <v>0</v>
      </c>
      <c r="CK49">
        <v>0.01</v>
      </c>
      <c r="CM49">
        <v>0.01</v>
      </c>
      <c r="CN49">
        <v>0.02</v>
      </c>
      <c r="CO49">
        <v>0.03</v>
      </c>
      <c r="CS49">
        <v>0.06</v>
      </c>
      <c r="CT49">
        <v>0.06</v>
      </c>
      <c r="CU49">
        <v>7.0000000000000007E-2</v>
      </c>
      <c r="CV49">
        <v>7.0000000000000007E-2</v>
      </c>
      <c r="CW49">
        <v>0.08</v>
      </c>
      <c r="CX49">
        <v>0.09</v>
      </c>
      <c r="CY49">
        <v>0.09</v>
      </c>
      <c r="CZ49">
        <v>0.09</v>
      </c>
      <c r="DA49">
        <v>0.09</v>
      </c>
      <c r="DB49">
        <v>0.1</v>
      </c>
      <c r="DC49">
        <v>0.11</v>
      </c>
      <c r="DD49">
        <v>0.11</v>
      </c>
      <c r="DE49">
        <v>0.12</v>
      </c>
      <c r="DF49">
        <v>0.13</v>
      </c>
      <c r="DH49">
        <v>0.13</v>
      </c>
      <c r="DI49">
        <v>0.14000000000000001</v>
      </c>
      <c r="DJ49">
        <v>0.15</v>
      </c>
      <c r="DK49">
        <v>0.16</v>
      </c>
      <c r="DL49">
        <v>0.17</v>
      </c>
      <c r="DM49">
        <v>0.18</v>
      </c>
      <c r="DN49">
        <v>0.19</v>
      </c>
      <c r="DP49">
        <v>0.19</v>
      </c>
      <c r="DR49">
        <v>0.2</v>
      </c>
      <c r="DS49">
        <v>0.23</v>
      </c>
      <c r="DT49">
        <v>0.25</v>
      </c>
      <c r="DU49">
        <v>0.26</v>
      </c>
      <c r="DX49">
        <v>0.32</v>
      </c>
      <c r="DY49">
        <v>0.33</v>
      </c>
      <c r="DZ49">
        <v>0.35</v>
      </c>
      <c r="EA49">
        <v>0.35</v>
      </c>
      <c r="EB49">
        <v>0.36</v>
      </c>
      <c r="EE49">
        <v>0.4</v>
      </c>
      <c r="EF49">
        <v>0.41</v>
      </c>
      <c r="EG49">
        <v>0.43</v>
      </c>
      <c r="EH49">
        <v>0.44</v>
      </c>
      <c r="EI49">
        <v>0.45</v>
      </c>
      <c r="EJ49">
        <v>0.45</v>
      </c>
      <c r="EK49">
        <v>0.48</v>
      </c>
      <c r="EL49">
        <v>0.5</v>
      </c>
      <c r="EM49">
        <v>0.53</v>
      </c>
      <c r="EN49">
        <v>0.56000000000000005</v>
      </c>
      <c r="EO49">
        <v>0.6</v>
      </c>
      <c r="EP49">
        <v>0.62</v>
      </c>
      <c r="EQ49">
        <v>0.64</v>
      </c>
      <c r="ER49">
        <v>0.69</v>
      </c>
      <c r="ES49">
        <v>0.75</v>
      </c>
      <c r="ET49">
        <v>0.82</v>
      </c>
      <c r="EU49">
        <v>0.89</v>
      </c>
      <c r="EV49">
        <v>0.96</v>
      </c>
      <c r="EW49">
        <v>1</v>
      </c>
      <c r="EX49">
        <v>1.01</v>
      </c>
      <c r="EY49">
        <v>1.06</v>
      </c>
      <c r="EZ49">
        <v>1.1100000000000001</v>
      </c>
      <c r="FA49">
        <v>1.1200000000000001</v>
      </c>
      <c r="FB49">
        <v>1.1399999999999999</v>
      </c>
      <c r="FC49">
        <v>1.22</v>
      </c>
      <c r="FD49">
        <v>1.27</v>
      </c>
      <c r="FE49">
        <v>1.29</v>
      </c>
      <c r="FF49">
        <v>1.39</v>
      </c>
      <c r="FG49">
        <v>1.48</v>
      </c>
      <c r="FH49">
        <v>1.59</v>
      </c>
      <c r="FI49">
        <v>1.7</v>
      </c>
      <c r="FJ49">
        <v>1.79</v>
      </c>
      <c r="FK49">
        <v>1.84</v>
      </c>
      <c r="FL49">
        <v>1.86</v>
      </c>
      <c r="FM49">
        <v>1.88</v>
      </c>
      <c r="FO49">
        <v>2</v>
      </c>
      <c r="FP49">
        <v>2.0299999999999998</v>
      </c>
      <c r="FQ49">
        <v>2.0499999999999998</v>
      </c>
      <c r="FS49">
        <v>2.0499999999999998</v>
      </c>
      <c r="FT49">
        <v>2.06</v>
      </c>
      <c r="FU49">
        <v>2.11</v>
      </c>
      <c r="FV49">
        <v>2.15</v>
      </c>
      <c r="FX49">
        <v>2.25</v>
      </c>
      <c r="FY49">
        <v>2.2799999999999998</v>
      </c>
      <c r="FZ49">
        <v>2.2999999999999998</v>
      </c>
      <c r="GA49">
        <v>2.37</v>
      </c>
      <c r="GB49">
        <v>2.44</v>
      </c>
      <c r="GC49">
        <v>2.5099999999999998</v>
      </c>
      <c r="GD49">
        <v>2.56</v>
      </c>
      <c r="GE49">
        <v>2.6</v>
      </c>
      <c r="GF49">
        <v>2.63</v>
      </c>
      <c r="GG49">
        <v>2.63</v>
      </c>
      <c r="GH49">
        <v>2.67</v>
      </c>
      <c r="GI49">
        <v>2.7</v>
      </c>
      <c r="GJ49">
        <v>2.72</v>
      </c>
      <c r="GK49">
        <v>2.74</v>
      </c>
      <c r="GL49">
        <v>2.75</v>
      </c>
      <c r="GM49">
        <v>2.75</v>
      </c>
      <c r="GN49">
        <v>2.78</v>
      </c>
      <c r="GO49">
        <v>2.79</v>
      </c>
      <c r="GP49">
        <v>2.8</v>
      </c>
      <c r="GQ49">
        <v>2.8</v>
      </c>
      <c r="GR49">
        <v>2.81</v>
      </c>
      <c r="GU49">
        <v>2.83</v>
      </c>
      <c r="GV49">
        <v>2.84</v>
      </c>
      <c r="GW49">
        <v>2.87</v>
      </c>
      <c r="GX49">
        <v>2.91</v>
      </c>
      <c r="GY49">
        <v>2.96</v>
      </c>
      <c r="GZ49">
        <v>3</v>
      </c>
      <c r="HA49">
        <v>3.02</v>
      </c>
      <c r="HB49">
        <v>3.04</v>
      </c>
      <c r="HC49">
        <v>3.09</v>
      </c>
      <c r="HD49">
        <v>3.13</v>
      </c>
      <c r="HE49">
        <v>3.17</v>
      </c>
      <c r="HF49">
        <v>3.23</v>
      </c>
      <c r="HI49">
        <v>3.25</v>
      </c>
      <c r="HJ49">
        <v>3.27</v>
      </c>
      <c r="HK49">
        <v>3.29</v>
      </c>
      <c r="HL49">
        <v>3.32</v>
      </c>
      <c r="HM49">
        <v>3.35</v>
      </c>
      <c r="HN49">
        <v>3.38</v>
      </c>
      <c r="HO49">
        <v>3.4</v>
      </c>
      <c r="HP49">
        <v>3.41</v>
      </c>
      <c r="HQ49">
        <v>3.43</v>
      </c>
      <c r="HR49">
        <v>3.43</v>
      </c>
      <c r="HT49">
        <v>3.48</v>
      </c>
      <c r="HU49">
        <v>3.51</v>
      </c>
      <c r="HV49">
        <v>3.54</v>
      </c>
      <c r="HW49">
        <v>3.55</v>
      </c>
      <c r="HX49">
        <v>3.58</v>
      </c>
      <c r="HY49">
        <v>3.64</v>
      </c>
      <c r="HZ49">
        <v>3.7</v>
      </c>
      <c r="IA49">
        <v>3.75</v>
      </c>
      <c r="IB49">
        <v>3.82</v>
      </c>
      <c r="IC49">
        <v>3.87</v>
      </c>
      <c r="ID49">
        <v>3.88</v>
      </c>
      <c r="IE49">
        <v>4.05</v>
      </c>
      <c r="IF49">
        <v>4.16</v>
      </c>
      <c r="IG49">
        <v>4.24</v>
      </c>
      <c r="IH49">
        <v>4.25</v>
      </c>
      <c r="II49">
        <v>4.32</v>
      </c>
      <c r="IJ49">
        <v>4.33</v>
      </c>
      <c r="IK49">
        <v>4.3499999999999996</v>
      </c>
      <c r="IL49">
        <v>4.42</v>
      </c>
      <c r="IM49">
        <v>4.4800000000000004</v>
      </c>
      <c r="IN49">
        <v>4.53</v>
      </c>
      <c r="IO49">
        <v>4.57</v>
      </c>
      <c r="IP49">
        <v>4.6100000000000003</v>
      </c>
      <c r="IR49">
        <v>4.6500000000000004</v>
      </c>
      <c r="IS49">
        <v>4.72</v>
      </c>
      <c r="IT49">
        <v>4.72</v>
      </c>
      <c r="IU49">
        <v>4.75</v>
      </c>
      <c r="IV49">
        <v>4.67</v>
      </c>
      <c r="IW49">
        <v>4.6900000000000004</v>
      </c>
      <c r="IX49">
        <v>4.71</v>
      </c>
      <c r="IY49">
        <v>4.72</v>
      </c>
      <c r="IZ49">
        <v>4.76</v>
      </c>
      <c r="JA49">
        <v>4.78</v>
      </c>
      <c r="JB49">
        <v>4.8</v>
      </c>
      <c r="JG49">
        <v>5</v>
      </c>
      <c r="JH49">
        <v>5.0599999999999996</v>
      </c>
      <c r="JM49">
        <v>5.34</v>
      </c>
      <c r="JN49">
        <v>5.39</v>
      </c>
      <c r="JQ49">
        <v>5.57</v>
      </c>
      <c r="JS49">
        <v>5.7</v>
      </c>
      <c r="JT49">
        <v>5.72</v>
      </c>
      <c r="JU49">
        <v>5.81</v>
      </c>
      <c r="JV49">
        <v>5.99</v>
      </c>
      <c r="JW49">
        <v>6.15</v>
      </c>
      <c r="JX49">
        <v>6.28</v>
      </c>
      <c r="JZ49">
        <v>6.51</v>
      </c>
      <c r="KA49">
        <v>6.56</v>
      </c>
      <c r="KC49">
        <v>6.79</v>
      </c>
      <c r="KD49">
        <v>6.91</v>
      </c>
      <c r="KE49">
        <v>7.03</v>
      </c>
      <c r="KF49">
        <v>7.19</v>
      </c>
      <c r="KG49">
        <v>7.28</v>
      </c>
      <c r="KL49">
        <v>8.14</v>
      </c>
      <c r="QK49">
        <v>36.86</v>
      </c>
      <c r="RG49">
        <v>38.31</v>
      </c>
    </row>
    <row r="50" spans="1:812">
      <c r="A50" s="1" t="s">
        <v>122</v>
      </c>
      <c r="B50" s="1" t="s">
        <v>258</v>
      </c>
      <c r="W50">
        <v>0.19</v>
      </c>
      <c r="AA50">
        <v>0.3</v>
      </c>
      <c r="AC50">
        <v>0.34</v>
      </c>
      <c r="AE50">
        <v>0.5</v>
      </c>
      <c r="AF50">
        <v>0.61</v>
      </c>
      <c r="AG50">
        <v>0.73</v>
      </c>
      <c r="AK50">
        <v>0.84</v>
      </c>
      <c r="AL50">
        <v>0.93</v>
      </c>
      <c r="AM50">
        <v>1.01</v>
      </c>
      <c r="AN50">
        <v>1.1200000000000001</v>
      </c>
      <c r="AQ50">
        <v>1.32</v>
      </c>
      <c r="AT50">
        <v>1.58</v>
      </c>
      <c r="AW50">
        <v>1.7</v>
      </c>
      <c r="BA50">
        <v>1.95</v>
      </c>
      <c r="BD50">
        <v>2.04</v>
      </c>
      <c r="BF50">
        <v>2.14</v>
      </c>
      <c r="BG50">
        <v>2.33</v>
      </c>
      <c r="BL50">
        <v>2.4900000000000002</v>
      </c>
      <c r="BN50">
        <v>2.75</v>
      </c>
      <c r="BR50">
        <v>2.94</v>
      </c>
      <c r="BU50">
        <v>3.46</v>
      </c>
      <c r="BY50">
        <v>4.05</v>
      </c>
      <c r="CA50">
        <v>4.4800000000000004</v>
      </c>
      <c r="CB50">
        <v>4.7300000000000004</v>
      </c>
      <c r="CF50">
        <v>5.19</v>
      </c>
      <c r="CI50">
        <v>5.89</v>
      </c>
      <c r="CM50">
        <v>6.46</v>
      </c>
      <c r="CQ50">
        <v>7.33</v>
      </c>
      <c r="CX50">
        <v>8.89</v>
      </c>
      <c r="DA50">
        <v>9.52</v>
      </c>
      <c r="DE50">
        <v>10.15</v>
      </c>
      <c r="DG50">
        <v>10.48</v>
      </c>
      <c r="DJ50">
        <v>11.61</v>
      </c>
      <c r="DK50">
        <v>12.14</v>
      </c>
      <c r="DL50">
        <v>12.6</v>
      </c>
      <c r="DN50">
        <v>12.77</v>
      </c>
      <c r="DP50">
        <v>12.82</v>
      </c>
      <c r="DQ50">
        <v>12.99</v>
      </c>
      <c r="DR50">
        <v>13.24</v>
      </c>
      <c r="DS50">
        <v>13.78</v>
      </c>
      <c r="DT50">
        <v>14.22</v>
      </c>
      <c r="DU50">
        <v>14.33</v>
      </c>
      <c r="DV50">
        <v>14.5</v>
      </c>
      <c r="DW50">
        <v>14.75</v>
      </c>
      <c r="DX50">
        <v>15.04</v>
      </c>
      <c r="DY50">
        <v>15.68</v>
      </c>
      <c r="DZ50">
        <v>16.37</v>
      </c>
      <c r="EA50">
        <v>16.84</v>
      </c>
      <c r="EB50">
        <v>16.89</v>
      </c>
      <c r="EC50">
        <v>17</v>
      </c>
      <c r="ED50">
        <v>17.27</v>
      </c>
      <c r="EE50">
        <v>17.690000000000001</v>
      </c>
      <c r="EF50">
        <v>18.190000000000001</v>
      </c>
      <c r="EG50">
        <v>18.760000000000002</v>
      </c>
      <c r="EH50">
        <v>19.14</v>
      </c>
      <c r="EI50">
        <v>19.38</v>
      </c>
      <c r="EJ50">
        <v>19.46</v>
      </c>
      <c r="EK50">
        <v>19.8</v>
      </c>
      <c r="EL50">
        <v>20.12</v>
      </c>
      <c r="EM50">
        <v>21.26</v>
      </c>
      <c r="EN50">
        <v>21.95</v>
      </c>
      <c r="EO50">
        <v>22.11</v>
      </c>
      <c r="EP50">
        <v>22.14</v>
      </c>
      <c r="EQ50">
        <v>22.45</v>
      </c>
      <c r="ER50">
        <v>23</v>
      </c>
      <c r="ES50">
        <v>23.85</v>
      </c>
      <c r="ET50">
        <v>24.98</v>
      </c>
      <c r="EU50">
        <v>26.28</v>
      </c>
      <c r="EV50">
        <v>27.23</v>
      </c>
      <c r="EW50">
        <v>27.56</v>
      </c>
      <c r="EX50">
        <v>28.12</v>
      </c>
      <c r="EY50">
        <v>28.9</v>
      </c>
      <c r="FA50">
        <v>30.89</v>
      </c>
      <c r="FB50">
        <v>31.92</v>
      </c>
      <c r="FC50">
        <v>32.81</v>
      </c>
      <c r="FD50">
        <v>32.869999999999997</v>
      </c>
      <c r="FE50">
        <v>33.369999999999997</v>
      </c>
      <c r="FF50">
        <v>34.26</v>
      </c>
      <c r="FG50">
        <v>35.32</v>
      </c>
      <c r="FI50">
        <v>37.74</v>
      </c>
      <c r="FJ50">
        <v>38.520000000000003</v>
      </c>
      <c r="FK50">
        <v>38.56</v>
      </c>
      <c r="FL50">
        <v>39.1</v>
      </c>
      <c r="FM50">
        <v>39.18</v>
      </c>
      <c r="FN50">
        <v>40.08</v>
      </c>
      <c r="FO50">
        <v>41.08</v>
      </c>
      <c r="FP50">
        <v>41.96</v>
      </c>
      <c r="FQ50">
        <v>42.6</v>
      </c>
      <c r="FR50">
        <v>42.65</v>
      </c>
      <c r="FS50">
        <v>43.2</v>
      </c>
      <c r="FT50">
        <v>43.93</v>
      </c>
      <c r="FU50">
        <v>45</v>
      </c>
      <c r="FV50">
        <v>45.19</v>
      </c>
      <c r="FW50">
        <v>45.94</v>
      </c>
      <c r="FX50">
        <v>46.33</v>
      </c>
      <c r="FY50">
        <v>46.37</v>
      </c>
      <c r="FZ50">
        <v>46.79</v>
      </c>
      <c r="GA50">
        <v>47.45</v>
      </c>
      <c r="GC50">
        <v>49.76</v>
      </c>
      <c r="GD50">
        <v>50.84</v>
      </c>
      <c r="GF50">
        <v>52.12</v>
      </c>
      <c r="GG50">
        <v>52.73</v>
      </c>
      <c r="GH50">
        <v>53.51</v>
      </c>
      <c r="GI50">
        <v>54.06</v>
      </c>
      <c r="GK50">
        <v>56.47</v>
      </c>
      <c r="GM50">
        <v>57.47</v>
      </c>
      <c r="GN50">
        <v>57.97</v>
      </c>
      <c r="GO50">
        <v>58.21</v>
      </c>
      <c r="GP50">
        <v>59.06</v>
      </c>
      <c r="GR50">
        <v>60.97</v>
      </c>
      <c r="GS50">
        <v>61.5</v>
      </c>
      <c r="GT50">
        <v>61.62</v>
      </c>
      <c r="GU50">
        <v>61.99</v>
      </c>
      <c r="GV50">
        <v>62.69</v>
      </c>
      <c r="GY50">
        <v>64.14</v>
      </c>
      <c r="GZ50">
        <v>64.900000000000006</v>
      </c>
      <c r="HA50">
        <v>65.02</v>
      </c>
      <c r="HB50">
        <v>65.47</v>
      </c>
      <c r="HC50">
        <v>66.11</v>
      </c>
      <c r="HD50">
        <v>66.77</v>
      </c>
      <c r="HF50">
        <v>68.02</v>
      </c>
      <c r="HG50">
        <v>68.55</v>
      </c>
      <c r="HH50">
        <v>68.62</v>
      </c>
      <c r="HI50">
        <v>69.010000000000005</v>
      </c>
      <c r="HJ50">
        <v>69.39</v>
      </c>
      <c r="HK50">
        <v>69.930000000000007</v>
      </c>
      <c r="HM50">
        <v>70.8</v>
      </c>
      <c r="HN50">
        <v>71.02</v>
      </c>
      <c r="HO50">
        <v>71.06</v>
      </c>
      <c r="HP50">
        <v>71.39</v>
      </c>
      <c r="HQ50">
        <v>71.83</v>
      </c>
      <c r="HR50">
        <v>72.23</v>
      </c>
      <c r="HS50">
        <v>72.61</v>
      </c>
      <c r="HT50">
        <v>73.010000000000005</v>
      </c>
      <c r="HV50">
        <v>73.290000000000006</v>
      </c>
      <c r="HW50">
        <v>73.53</v>
      </c>
      <c r="HX50">
        <v>73.849999999999994</v>
      </c>
      <c r="HY50">
        <v>74.12</v>
      </c>
      <c r="IA50">
        <v>74.75</v>
      </c>
      <c r="IB50">
        <v>74.989999999999995</v>
      </c>
      <c r="IC50">
        <v>75.040000000000006</v>
      </c>
      <c r="ID50">
        <v>75.3</v>
      </c>
      <c r="IE50">
        <v>75.489999999999995</v>
      </c>
      <c r="IF50">
        <v>75.75</v>
      </c>
      <c r="IG50">
        <v>75.760000000000005</v>
      </c>
      <c r="IH50">
        <v>75.97</v>
      </c>
      <c r="II50">
        <v>76.09</v>
      </c>
      <c r="IJ50">
        <v>76.13</v>
      </c>
      <c r="IK50">
        <v>76.290000000000006</v>
      </c>
      <c r="IL50">
        <v>76.510000000000005</v>
      </c>
      <c r="IM50">
        <v>76.7</v>
      </c>
      <c r="IN50">
        <v>76.92</v>
      </c>
      <c r="IO50">
        <v>77.13</v>
      </c>
      <c r="IQ50">
        <v>77.22</v>
      </c>
      <c r="IR50">
        <v>77.38</v>
      </c>
      <c r="IS50">
        <v>77.52</v>
      </c>
      <c r="IT50">
        <v>77.739999999999995</v>
      </c>
      <c r="IU50">
        <v>77.959999999999994</v>
      </c>
      <c r="IV50">
        <v>78.599999999999994</v>
      </c>
      <c r="IW50">
        <v>78.7</v>
      </c>
      <c r="IX50">
        <v>78.709999999999994</v>
      </c>
      <c r="IY50">
        <v>78.88</v>
      </c>
      <c r="IZ50">
        <v>79.08</v>
      </c>
      <c r="JB50">
        <v>79.5</v>
      </c>
      <c r="JC50">
        <v>79.7</v>
      </c>
      <c r="JD50">
        <v>79.8</v>
      </c>
      <c r="JE50">
        <v>79.83</v>
      </c>
      <c r="JF50">
        <v>79.989999999999995</v>
      </c>
      <c r="JI50">
        <v>80.52</v>
      </c>
      <c r="JK50">
        <v>80.77</v>
      </c>
      <c r="JM50">
        <v>80.91</v>
      </c>
      <c r="JO50">
        <v>81.2</v>
      </c>
      <c r="JQ50">
        <v>81.510000000000005</v>
      </c>
      <c r="JS50">
        <v>81.62</v>
      </c>
      <c r="JT50">
        <v>81.73</v>
      </c>
      <c r="JU50">
        <v>81.88</v>
      </c>
      <c r="JV50">
        <v>82.05</v>
      </c>
      <c r="JW50">
        <v>82.24</v>
      </c>
      <c r="JX50">
        <v>82.43</v>
      </c>
      <c r="JZ50">
        <v>82.54</v>
      </c>
      <c r="KA50">
        <v>82.66</v>
      </c>
      <c r="KB50">
        <v>82.82</v>
      </c>
      <c r="KC50">
        <v>83.01</v>
      </c>
      <c r="KD50">
        <v>83.23</v>
      </c>
      <c r="KE50">
        <v>83.4</v>
      </c>
      <c r="KF50">
        <v>83.48</v>
      </c>
      <c r="KG50">
        <v>83.5</v>
      </c>
      <c r="KH50">
        <v>83.62</v>
      </c>
      <c r="KI50">
        <v>83.77</v>
      </c>
      <c r="KJ50">
        <v>83.99</v>
      </c>
      <c r="KM50">
        <v>84.45</v>
      </c>
      <c r="KO50">
        <v>84.6</v>
      </c>
      <c r="KP50">
        <v>84.79</v>
      </c>
      <c r="KT50">
        <v>85.41</v>
      </c>
      <c r="LM50">
        <v>88.19</v>
      </c>
      <c r="LN50">
        <v>88.45</v>
      </c>
      <c r="LP50">
        <v>88.6</v>
      </c>
      <c r="MB50">
        <v>93.53</v>
      </c>
      <c r="MF50">
        <v>95.53</v>
      </c>
      <c r="MK50">
        <v>97.65</v>
      </c>
      <c r="ML50">
        <v>98.02</v>
      </c>
      <c r="MM50">
        <v>98.56</v>
      </c>
      <c r="MX50">
        <v>104.02</v>
      </c>
      <c r="ND50">
        <v>106.85</v>
      </c>
      <c r="NE50">
        <v>107.35</v>
      </c>
      <c r="NG50">
        <v>107.97</v>
      </c>
      <c r="NH50">
        <v>108.57</v>
      </c>
      <c r="NK50">
        <v>110.72</v>
      </c>
      <c r="OE50">
        <v>117.44</v>
      </c>
      <c r="OU50">
        <v>123.61</v>
      </c>
      <c r="PH50">
        <v>125.63</v>
      </c>
      <c r="PI50">
        <v>125.75</v>
      </c>
      <c r="PV50">
        <v>126.86</v>
      </c>
      <c r="PW50">
        <v>126.93</v>
      </c>
      <c r="PZ50">
        <v>127.04</v>
      </c>
      <c r="QB50">
        <v>127.17</v>
      </c>
      <c r="QD50">
        <v>127.26</v>
      </c>
      <c r="QF50">
        <v>127.29</v>
      </c>
      <c r="QH50">
        <v>127.37</v>
      </c>
      <c r="QJ50">
        <v>127.44</v>
      </c>
      <c r="QK50">
        <v>127.45</v>
      </c>
      <c r="QO50">
        <v>127.55</v>
      </c>
      <c r="QP50">
        <v>127.58</v>
      </c>
      <c r="QQ50">
        <v>127.61</v>
      </c>
      <c r="QS50">
        <v>127.63</v>
      </c>
      <c r="QU50">
        <v>127.67</v>
      </c>
      <c r="QV50">
        <v>127.72</v>
      </c>
      <c r="QY50">
        <v>127.8</v>
      </c>
      <c r="RE50">
        <v>127.94</v>
      </c>
      <c r="RF50">
        <v>127.95</v>
      </c>
      <c r="RI50">
        <v>127.99</v>
      </c>
      <c r="RM50">
        <v>128.11000000000001</v>
      </c>
      <c r="RO50">
        <v>128.16999999999999</v>
      </c>
      <c r="RR50">
        <v>128.24</v>
      </c>
      <c r="RU50">
        <v>128.29</v>
      </c>
      <c r="RW50">
        <v>128.31</v>
      </c>
      <c r="RY50">
        <v>128.35</v>
      </c>
      <c r="SA50">
        <v>128.38</v>
      </c>
      <c r="SC50">
        <v>128.38999999999999</v>
      </c>
      <c r="SE50">
        <v>128.41</v>
      </c>
      <c r="SI50">
        <v>128.47</v>
      </c>
      <c r="SJ50">
        <v>128.47</v>
      </c>
      <c r="SN50">
        <v>128.53</v>
      </c>
      <c r="SP50">
        <v>128.54</v>
      </c>
      <c r="ST50">
        <v>128.58000000000001</v>
      </c>
      <c r="SV50">
        <v>128.6</v>
      </c>
      <c r="SW50">
        <v>128.6</v>
      </c>
      <c r="SZ50">
        <v>128.61000000000001</v>
      </c>
      <c r="TC50">
        <v>128.65</v>
      </c>
      <c r="TD50">
        <v>128.65</v>
      </c>
      <c r="TF50">
        <v>128.66</v>
      </c>
      <c r="TG50">
        <v>128.66</v>
      </c>
      <c r="TH50">
        <v>128.66999999999999</v>
      </c>
      <c r="TM50">
        <v>128.69999999999999</v>
      </c>
      <c r="TP50">
        <v>128.72</v>
      </c>
      <c r="TQ50">
        <v>128.72999999999999</v>
      </c>
      <c r="TR50">
        <v>128.72999999999999</v>
      </c>
      <c r="TS50">
        <v>128.72999999999999</v>
      </c>
      <c r="TU50">
        <v>128.74</v>
      </c>
      <c r="TV50">
        <v>128.75</v>
      </c>
      <c r="TW50">
        <v>128.75</v>
      </c>
      <c r="TX50">
        <v>128.76</v>
      </c>
      <c r="TY50">
        <v>128.76</v>
      </c>
      <c r="UB50">
        <v>128.77000000000001</v>
      </c>
      <c r="UC50">
        <v>128.78</v>
      </c>
      <c r="UD50">
        <v>128.78</v>
      </c>
      <c r="UG50">
        <v>128.79</v>
      </c>
      <c r="UH50">
        <v>128.79</v>
      </c>
      <c r="UI50">
        <v>128.79</v>
      </c>
      <c r="UK50">
        <v>128.80000000000001</v>
      </c>
      <c r="UP50">
        <v>128.82</v>
      </c>
      <c r="UR50">
        <v>128.83000000000001</v>
      </c>
      <c r="UU50">
        <v>128.84</v>
      </c>
      <c r="UV50">
        <v>128.85</v>
      </c>
      <c r="UW50">
        <v>128.85</v>
      </c>
      <c r="UZ50">
        <v>128.87</v>
      </c>
      <c r="VA50">
        <v>128.87</v>
      </c>
      <c r="VB50">
        <v>129.56</v>
      </c>
      <c r="VC50">
        <v>129.56</v>
      </c>
      <c r="VF50">
        <v>129.59</v>
      </c>
      <c r="VH50">
        <v>129.6</v>
      </c>
      <c r="VJ50">
        <v>129.6</v>
      </c>
      <c r="VL50">
        <v>129.62</v>
      </c>
      <c r="VM50">
        <v>129.62</v>
      </c>
      <c r="VN50">
        <v>129.63</v>
      </c>
      <c r="VO50">
        <v>129.63</v>
      </c>
      <c r="VQ50">
        <v>129.63999999999999</v>
      </c>
      <c r="VS50">
        <v>129.65</v>
      </c>
      <c r="YF50">
        <v>130.56</v>
      </c>
      <c r="YL50">
        <v>130.75</v>
      </c>
      <c r="YM50">
        <v>130.76</v>
      </c>
      <c r="YO50">
        <v>130.82</v>
      </c>
      <c r="YP50">
        <v>130.82</v>
      </c>
      <c r="YQ50">
        <v>130.86000000000001</v>
      </c>
      <c r="YR50">
        <v>130.91</v>
      </c>
      <c r="YS50">
        <v>130.94999999999999</v>
      </c>
      <c r="YT50">
        <v>130.96</v>
      </c>
      <c r="ZA50">
        <v>131.13</v>
      </c>
      <c r="ZC50">
        <v>131.15</v>
      </c>
      <c r="ZE50">
        <v>132.16</v>
      </c>
      <c r="ZG50">
        <v>132.22</v>
      </c>
      <c r="ZL50">
        <v>132.26</v>
      </c>
      <c r="ZM50">
        <v>132.28</v>
      </c>
      <c r="ZN50">
        <v>132.30000000000001</v>
      </c>
      <c r="ZO50">
        <v>132.31</v>
      </c>
      <c r="ZS50">
        <v>132.38</v>
      </c>
      <c r="ZU50">
        <v>132.43</v>
      </c>
      <c r="ZV50">
        <v>132.43</v>
      </c>
      <c r="ZX50">
        <v>132.44</v>
      </c>
      <c r="ZY50">
        <v>132.47</v>
      </c>
      <c r="AAA50">
        <v>132.52000000000001</v>
      </c>
      <c r="AAB50">
        <v>132.52000000000001</v>
      </c>
      <c r="AAD50">
        <v>132.52000000000001</v>
      </c>
      <c r="AAG50">
        <v>132.56</v>
      </c>
      <c r="AAH50">
        <v>132.58000000000001</v>
      </c>
      <c r="AAI50">
        <v>132.6</v>
      </c>
      <c r="AAJ50">
        <v>132.61000000000001</v>
      </c>
      <c r="AAL50">
        <v>132.62</v>
      </c>
      <c r="AAN50">
        <v>132.65</v>
      </c>
      <c r="AAO50">
        <v>132.66</v>
      </c>
      <c r="AAP50">
        <v>132.68</v>
      </c>
      <c r="AAQ50">
        <v>132.68</v>
      </c>
      <c r="AAS50">
        <v>132.69</v>
      </c>
      <c r="AAV50">
        <v>132.72</v>
      </c>
      <c r="AAZ50">
        <v>132.74</v>
      </c>
      <c r="ABA50">
        <v>132.75</v>
      </c>
      <c r="ABB50">
        <v>132.76</v>
      </c>
      <c r="ABC50">
        <v>132.77000000000001</v>
      </c>
      <c r="ABD50">
        <v>132.78</v>
      </c>
      <c r="ABE50">
        <v>132.78</v>
      </c>
      <c r="ABG50">
        <v>132.78</v>
      </c>
      <c r="ABH50">
        <v>132.79</v>
      </c>
      <c r="ABI50">
        <v>132.80000000000001</v>
      </c>
      <c r="ABJ50">
        <v>132.81</v>
      </c>
      <c r="ABK50">
        <v>132.82</v>
      </c>
      <c r="ABM50">
        <v>132.82</v>
      </c>
      <c r="ABN50">
        <v>132.82</v>
      </c>
      <c r="ABO50">
        <v>132.82</v>
      </c>
      <c r="ABP50">
        <v>132.83000000000001</v>
      </c>
      <c r="ABQ50">
        <v>132.84</v>
      </c>
      <c r="ABT50">
        <v>132.84</v>
      </c>
      <c r="ABU50">
        <v>132.85</v>
      </c>
      <c r="ABV50">
        <v>132.85</v>
      </c>
      <c r="ABW50">
        <v>132.86000000000001</v>
      </c>
      <c r="ABX50">
        <v>132.87</v>
      </c>
      <c r="ABY50">
        <v>132.87</v>
      </c>
      <c r="ABZ50">
        <v>132.87</v>
      </c>
      <c r="ACA50">
        <v>132.87</v>
      </c>
      <c r="ACC50">
        <v>132.88</v>
      </c>
      <c r="ACD50">
        <v>132.88999999999999</v>
      </c>
      <c r="ACE50">
        <v>132.91</v>
      </c>
      <c r="ACF50">
        <v>132.91</v>
      </c>
      <c r="ACI50">
        <v>132.91999999999999</v>
      </c>
      <c r="ACJ50">
        <v>132.91999999999999</v>
      </c>
      <c r="ACK50">
        <v>132.93</v>
      </c>
      <c r="ACL50">
        <v>132.94</v>
      </c>
      <c r="ACN50">
        <v>132.94</v>
      </c>
      <c r="ACQ50">
        <v>132.94999999999999</v>
      </c>
      <c r="ACR50">
        <v>132.96</v>
      </c>
      <c r="ACS50">
        <v>132.96</v>
      </c>
      <c r="ACU50">
        <v>132.96</v>
      </c>
      <c r="ACV50">
        <v>132.96</v>
      </c>
      <c r="ACW50">
        <v>132.96</v>
      </c>
      <c r="ACX50">
        <v>132.97</v>
      </c>
      <c r="ACY50">
        <v>132.97</v>
      </c>
      <c r="ADA50">
        <v>132.97</v>
      </c>
      <c r="ADB50">
        <v>132.97999999999999</v>
      </c>
      <c r="ADD50">
        <v>132.97999999999999</v>
      </c>
      <c r="ADE50">
        <v>132.97999999999999</v>
      </c>
      <c r="ADF50">
        <v>132.97999999999999</v>
      </c>
      <c r="ADG50">
        <v>132.97999999999999</v>
      </c>
      <c r="ADI50">
        <v>132.97999999999999</v>
      </c>
      <c r="ADJ50">
        <v>132.97999999999999</v>
      </c>
      <c r="ADK50">
        <v>132.99</v>
      </c>
      <c r="ADL50">
        <v>132.99</v>
      </c>
      <c r="ADM50">
        <v>132.99</v>
      </c>
      <c r="ADN50">
        <v>132.99</v>
      </c>
      <c r="ADO50">
        <v>132.99</v>
      </c>
      <c r="ADR50">
        <v>132.99</v>
      </c>
      <c r="ADX50">
        <v>133</v>
      </c>
      <c r="AEE50">
        <v>133</v>
      </c>
    </row>
    <row r="51" spans="1:812">
      <c r="A51" s="1" t="s">
        <v>140</v>
      </c>
      <c r="B51" s="1" t="s">
        <v>140</v>
      </c>
      <c r="FS51">
        <v>17.989999999999998</v>
      </c>
      <c r="FT51">
        <v>19.63</v>
      </c>
      <c r="FU51">
        <v>21.26</v>
      </c>
      <c r="FV51">
        <v>22.89</v>
      </c>
      <c r="FW51">
        <v>24.15</v>
      </c>
      <c r="FX51">
        <v>25.12</v>
      </c>
      <c r="FY51">
        <v>25.45</v>
      </c>
      <c r="FZ51">
        <v>26.01</v>
      </c>
      <c r="GA51">
        <v>26.63</v>
      </c>
      <c r="GB51">
        <v>27.62</v>
      </c>
      <c r="GC51">
        <v>28.89</v>
      </c>
      <c r="GD51">
        <v>30.19</v>
      </c>
      <c r="GE51">
        <v>31.64</v>
      </c>
      <c r="GF51">
        <v>32.07</v>
      </c>
      <c r="GG51">
        <v>33.979999999999997</v>
      </c>
      <c r="GH51">
        <v>36.06</v>
      </c>
      <c r="GI51">
        <v>38.21</v>
      </c>
      <c r="GJ51">
        <v>40.06</v>
      </c>
      <c r="GK51">
        <v>41.69</v>
      </c>
      <c r="GL51">
        <v>42.87</v>
      </c>
      <c r="GM51">
        <v>43.19</v>
      </c>
      <c r="GN51">
        <v>43.96</v>
      </c>
      <c r="GO51">
        <v>45.15</v>
      </c>
      <c r="GP51">
        <v>46.17</v>
      </c>
      <c r="GQ51">
        <v>47.04</v>
      </c>
      <c r="GR51">
        <v>48.49</v>
      </c>
      <c r="GS51">
        <v>49.36</v>
      </c>
      <c r="GT51">
        <v>50.11</v>
      </c>
      <c r="GU51">
        <v>51.63</v>
      </c>
      <c r="GV51">
        <v>52.87</v>
      </c>
      <c r="GW51">
        <v>54.14</v>
      </c>
      <c r="GX51">
        <v>56.45</v>
      </c>
      <c r="GY51">
        <v>58.03</v>
      </c>
      <c r="GZ51">
        <v>58.94</v>
      </c>
      <c r="HA51">
        <v>59.32</v>
      </c>
      <c r="HB51">
        <v>59.67</v>
      </c>
      <c r="HC51">
        <v>60.33</v>
      </c>
      <c r="HD51">
        <v>61.85</v>
      </c>
      <c r="HE51">
        <v>63.22</v>
      </c>
      <c r="HF51">
        <v>64.23</v>
      </c>
      <c r="HG51">
        <v>65.95</v>
      </c>
      <c r="HH51">
        <v>66.28</v>
      </c>
      <c r="HI51">
        <v>67.260000000000005</v>
      </c>
      <c r="HJ51">
        <v>68.58</v>
      </c>
      <c r="HK51">
        <v>69.75</v>
      </c>
      <c r="HL51">
        <v>70.89</v>
      </c>
      <c r="HM51">
        <v>71.930000000000007</v>
      </c>
      <c r="HN51">
        <v>72.62</v>
      </c>
      <c r="HO51">
        <v>72.930000000000007</v>
      </c>
      <c r="HP51">
        <v>73.430000000000007</v>
      </c>
      <c r="HQ51">
        <v>74.06</v>
      </c>
      <c r="HR51">
        <v>75.459999999999994</v>
      </c>
      <c r="HS51">
        <v>76.650000000000006</v>
      </c>
      <c r="HT51">
        <v>77.73</v>
      </c>
      <c r="HU51">
        <v>78.58</v>
      </c>
      <c r="HV51">
        <v>78.69</v>
      </c>
      <c r="HW51">
        <v>78.97</v>
      </c>
      <c r="HX51">
        <v>80.209999999999994</v>
      </c>
      <c r="HY51">
        <v>80.95</v>
      </c>
      <c r="IA51">
        <v>85.2</v>
      </c>
      <c r="IB51">
        <v>87.35</v>
      </c>
      <c r="IC51">
        <v>88.83</v>
      </c>
      <c r="ID51">
        <v>90.65</v>
      </c>
      <c r="IE51">
        <v>92.5</v>
      </c>
      <c r="IF51">
        <v>93.73</v>
      </c>
      <c r="IG51">
        <v>94.58</v>
      </c>
      <c r="IH51">
        <v>95.23</v>
      </c>
      <c r="II51">
        <v>95.6</v>
      </c>
      <c r="IJ51">
        <v>95.78</v>
      </c>
      <c r="IK51">
        <v>96.41</v>
      </c>
      <c r="IL51">
        <v>97.13</v>
      </c>
      <c r="IM51">
        <v>97.64</v>
      </c>
      <c r="IN51">
        <v>99.18</v>
      </c>
      <c r="IO51">
        <v>100.73</v>
      </c>
      <c r="IP51">
        <v>102.7</v>
      </c>
      <c r="IQ51">
        <v>106.57</v>
      </c>
      <c r="IR51">
        <v>107.93</v>
      </c>
      <c r="IS51">
        <v>108.48</v>
      </c>
      <c r="IT51">
        <v>108.78</v>
      </c>
      <c r="IU51">
        <v>109.04</v>
      </c>
      <c r="IV51">
        <v>109.83</v>
      </c>
      <c r="IW51">
        <v>110.51</v>
      </c>
      <c r="IX51">
        <v>111.22</v>
      </c>
      <c r="IY51">
        <v>112.21</v>
      </c>
      <c r="IZ51">
        <v>113.57</v>
      </c>
      <c r="JA51">
        <v>114.5</v>
      </c>
      <c r="JB51">
        <v>116.46</v>
      </c>
      <c r="JC51">
        <v>118.22</v>
      </c>
      <c r="JE51">
        <v>121.4</v>
      </c>
      <c r="JF51">
        <v>123.02</v>
      </c>
      <c r="KC51">
        <v>171.58</v>
      </c>
      <c r="KD51">
        <v>174.52</v>
      </c>
      <c r="KE51">
        <v>176.64</v>
      </c>
      <c r="LN51">
        <v>227.24</v>
      </c>
      <c r="PH51">
        <v>304.88</v>
      </c>
      <c r="QO51">
        <v>310.26</v>
      </c>
      <c r="SV51">
        <v>321.20999999999998</v>
      </c>
      <c r="TC51">
        <v>322.5</v>
      </c>
      <c r="TD51">
        <v>322.73</v>
      </c>
      <c r="TF51">
        <v>323.13</v>
      </c>
      <c r="TG51">
        <v>323.64</v>
      </c>
      <c r="TP51">
        <v>329.96</v>
      </c>
      <c r="TQ51">
        <v>330.41</v>
      </c>
      <c r="TU51">
        <v>331.25</v>
      </c>
      <c r="TV51">
        <v>331.76</v>
      </c>
      <c r="TX51">
        <v>333.03</v>
      </c>
      <c r="UB51">
        <v>334.85</v>
      </c>
      <c r="UC51">
        <v>335.54</v>
      </c>
      <c r="UD51">
        <v>336.29</v>
      </c>
      <c r="UE51">
        <v>337.77</v>
      </c>
      <c r="UG51">
        <v>338.02</v>
      </c>
      <c r="UH51">
        <v>338.52</v>
      </c>
      <c r="UI51">
        <v>339.11</v>
      </c>
      <c r="UJ51">
        <v>339.52</v>
      </c>
      <c r="UK51">
        <v>339.87</v>
      </c>
      <c r="UL51">
        <v>340.23</v>
      </c>
      <c r="UR51">
        <v>341.69</v>
      </c>
      <c r="US51">
        <v>342.07</v>
      </c>
      <c r="UT51">
        <v>342.18</v>
      </c>
      <c r="UU51">
        <v>342.2</v>
      </c>
      <c r="UV51">
        <v>342.42</v>
      </c>
      <c r="UZ51">
        <v>343.46</v>
      </c>
      <c r="VB51">
        <v>345.46</v>
      </c>
      <c r="VL51">
        <v>347.31</v>
      </c>
      <c r="VM51">
        <v>347.69</v>
      </c>
      <c r="VN51">
        <v>348.22</v>
      </c>
      <c r="VQ51">
        <v>348.61</v>
      </c>
      <c r="VU51">
        <v>349.23</v>
      </c>
      <c r="YL51">
        <v>374.35</v>
      </c>
      <c r="YQ51">
        <v>374.65</v>
      </c>
      <c r="YR51">
        <v>374.84</v>
      </c>
      <c r="YS51">
        <v>374.94</v>
      </c>
      <c r="YZ51">
        <v>375.52</v>
      </c>
      <c r="ZM51">
        <v>378.13</v>
      </c>
      <c r="ZN51">
        <v>378.21</v>
      </c>
      <c r="ZU51">
        <v>378.53</v>
      </c>
      <c r="ZX51">
        <v>378.63</v>
      </c>
      <c r="AAB51">
        <v>378.87</v>
      </c>
      <c r="AAC51">
        <v>378.89</v>
      </c>
      <c r="AAD51">
        <v>378.89</v>
      </c>
      <c r="AAG51">
        <v>379.12</v>
      </c>
      <c r="AAH51">
        <v>379.2</v>
      </c>
      <c r="AAI51">
        <v>379.25</v>
      </c>
      <c r="AAO51">
        <v>379.53</v>
      </c>
      <c r="AAP51">
        <v>379.62</v>
      </c>
      <c r="AAS51">
        <v>379.72</v>
      </c>
      <c r="AAT51">
        <v>379.76</v>
      </c>
      <c r="AAU51">
        <v>379.8</v>
      </c>
      <c r="AAW51">
        <v>379.91</v>
      </c>
      <c r="AAZ51">
        <v>380</v>
      </c>
      <c r="ABA51">
        <v>380.05</v>
      </c>
      <c r="ABB51">
        <v>380.13</v>
      </c>
      <c r="ABD51">
        <v>380.27</v>
      </c>
      <c r="ABG51">
        <v>380.36</v>
      </c>
      <c r="ABH51">
        <v>380.42</v>
      </c>
      <c r="ABI51">
        <v>380.48</v>
      </c>
      <c r="ABJ51">
        <v>380.53</v>
      </c>
      <c r="ABL51">
        <v>380.59</v>
      </c>
      <c r="ABM51">
        <v>380.6</v>
      </c>
      <c r="ABN51">
        <v>380.65</v>
      </c>
      <c r="ABO51">
        <v>380.7</v>
      </c>
      <c r="ABQ51">
        <v>380.95</v>
      </c>
      <c r="ABV51">
        <v>381.26</v>
      </c>
      <c r="ABW51">
        <v>381.34</v>
      </c>
      <c r="ABY51">
        <v>381.62</v>
      </c>
      <c r="ABZ51">
        <v>381.7</v>
      </c>
      <c r="ACD51">
        <v>382.34</v>
      </c>
      <c r="ACE51">
        <v>382.64</v>
      </c>
      <c r="ACF51">
        <v>382.81</v>
      </c>
      <c r="ACI51">
        <v>383.18</v>
      </c>
      <c r="ACJ51">
        <v>383.51</v>
      </c>
      <c r="ACP51">
        <v>384.96</v>
      </c>
      <c r="ACQ51">
        <v>385.41</v>
      </c>
      <c r="ACR51">
        <v>385.41</v>
      </c>
      <c r="ACS51">
        <v>386.11</v>
      </c>
      <c r="ACT51">
        <v>386.12</v>
      </c>
      <c r="ACU51">
        <v>386.54</v>
      </c>
      <c r="ACV51">
        <v>386.62</v>
      </c>
      <c r="ACW51">
        <v>386.77</v>
      </c>
      <c r="ACX51">
        <v>386.99</v>
      </c>
      <c r="ACY51">
        <v>387.27</v>
      </c>
      <c r="ACZ51">
        <v>387.48</v>
      </c>
      <c r="ADA51">
        <v>387.63</v>
      </c>
      <c r="ADD51">
        <v>387.84</v>
      </c>
      <c r="ADE51">
        <v>387.99</v>
      </c>
      <c r="ADG51">
        <v>388.17</v>
      </c>
      <c r="ADH51">
        <v>388.3</v>
      </c>
      <c r="ADI51">
        <v>388.33</v>
      </c>
      <c r="ADJ51">
        <v>388.36</v>
      </c>
      <c r="ADK51">
        <v>388.47</v>
      </c>
      <c r="ADL51">
        <v>388.54</v>
      </c>
      <c r="ADN51">
        <v>388.8</v>
      </c>
      <c r="ADO51">
        <v>388.92</v>
      </c>
      <c r="ADR51">
        <v>388.99</v>
      </c>
      <c r="ADS51">
        <v>389.08</v>
      </c>
      <c r="ADU51">
        <v>389.2</v>
      </c>
      <c r="ADV51">
        <v>389.3</v>
      </c>
      <c r="ADW51">
        <v>389.33</v>
      </c>
      <c r="ADZ51">
        <v>389.46</v>
      </c>
      <c r="AEA51">
        <v>389.49</v>
      </c>
      <c r="AEC51">
        <v>389.63</v>
      </c>
      <c r="AED51">
        <v>389.64</v>
      </c>
    </row>
    <row r="52" spans="1:812">
      <c r="A52" s="1" t="s">
        <v>400</v>
      </c>
      <c r="B52" s="1" t="s">
        <v>401</v>
      </c>
      <c r="DK52">
        <v>13.61</v>
      </c>
      <c r="DO52">
        <v>17.149999999999999</v>
      </c>
      <c r="DP52">
        <v>18.41</v>
      </c>
      <c r="DQ52">
        <v>19.7</v>
      </c>
      <c r="DR52">
        <v>20.8</v>
      </c>
      <c r="DS52">
        <v>22.47</v>
      </c>
      <c r="DT52">
        <v>24.77</v>
      </c>
      <c r="DW52">
        <v>30.42</v>
      </c>
      <c r="DX52">
        <v>32.61</v>
      </c>
      <c r="DY52">
        <v>35.450000000000003</v>
      </c>
      <c r="DZ52">
        <v>37.19</v>
      </c>
      <c r="EA52">
        <v>39.270000000000003</v>
      </c>
      <c r="EC52">
        <v>41.9</v>
      </c>
      <c r="ED52">
        <v>43.86</v>
      </c>
      <c r="EE52">
        <v>45.61</v>
      </c>
      <c r="EF52">
        <v>47.34</v>
      </c>
      <c r="EG52">
        <v>48.97</v>
      </c>
      <c r="EH52">
        <v>51.2</v>
      </c>
      <c r="EI52">
        <v>51.62</v>
      </c>
      <c r="EJ52">
        <v>52.88</v>
      </c>
      <c r="EK52">
        <v>54.35</v>
      </c>
      <c r="EL52">
        <v>54.69</v>
      </c>
      <c r="EM52">
        <v>57.23</v>
      </c>
      <c r="EN52">
        <v>58.31</v>
      </c>
      <c r="EO52">
        <v>59.41</v>
      </c>
      <c r="EP52">
        <v>59.42</v>
      </c>
      <c r="EQ52">
        <v>61.26</v>
      </c>
      <c r="ER52">
        <v>62.65</v>
      </c>
      <c r="ES52">
        <v>64.42</v>
      </c>
      <c r="ET52">
        <v>65.19</v>
      </c>
      <c r="EV52">
        <v>65.94</v>
      </c>
      <c r="EW52">
        <v>66.69</v>
      </c>
      <c r="EX52">
        <v>67.099999999999994</v>
      </c>
      <c r="EY52">
        <v>67.91</v>
      </c>
      <c r="EZ52">
        <v>68.84</v>
      </c>
      <c r="FA52">
        <v>70.42</v>
      </c>
      <c r="FB52">
        <v>71.67</v>
      </c>
      <c r="FC52">
        <v>73.19</v>
      </c>
      <c r="FD52">
        <v>75.34</v>
      </c>
      <c r="FE52">
        <v>76.56</v>
      </c>
      <c r="FF52">
        <v>78.650000000000006</v>
      </c>
      <c r="FG52">
        <v>80.69</v>
      </c>
      <c r="FH52">
        <v>82.45</v>
      </c>
      <c r="FI52">
        <v>85.31</v>
      </c>
      <c r="FJ52">
        <v>86.59</v>
      </c>
      <c r="FK52">
        <v>87.2</v>
      </c>
      <c r="FL52">
        <v>88.1</v>
      </c>
      <c r="FM52">
        <v>89.58</v>
      </c>
      <c r="FN52">
        <v>89.79</v>
      </c>
      <c r="FO52">
        <v>90.61</v>
      </c>
      <c r="FP52">
        <v>91.6</v>
      </c>
      <c r="FQ52">
        <v>92.2</v>
      </c>
      <c r="FR52">
        <v>92.78</v>
      </c>
      <c r="FS52">
        <v>93.71</v>
      </c>
      <c r="FT52">
        <v>94.1</v>
      </c>
      <c r="FU52">
        <v>94.58</v>
      </c>
      <c r="FV52">
        <v>95.18</v>
      </c>
      <c r="FW52">
        <v>95.34</v>
      </c>
      <c r="FX52">
        <v>95.76</v>
      </c>
      <c r="FY52">
        <v>96.01</v>
      </c>
      <c r="FZ52">
        <v>96.45</v>
      </c>
      <c r="GA52">
        <v>96.88</v>
      </c>
      <c r="GB52">
        <v>97.23</v>
      </c>
      <c r="GC52">
        <v>97.52</v>
      </c>
      <c r="GD52">
        <v>97.86</v>
      </c>
      <c r="GE52">
        <v>98.2</v>
      </c>
      <c r="GF52">
        <v>98.41</v>
      </c>
      <c r="GG52">
        <v>98.73</v>
      </c>
      <c r="GH52">
        <v>99</v>
      </c>
      <c r="GI52">
        <v>99.23</v>
      </c>
      <c r="GJ52">
        <v>99.44</v>
      </c>
      <c r="GK52">
        <v>99.75</v>
      </c>
      <c r="GL52">
        <v>99.96</v>
      </c>
      <c r="GM52">
        <v>100.18</v>
      </c>
      <c r="GN52">
        <v>100.29</v>
      </c>
      <c r="GO52">
        <v>100.48</v>
      </c>
      <c r="GP52">
        <v>100.71</v>
      </c>
      <c r="GQ52">
        <v>100.88</v>
      </c>
      <c r="GR52">
        <v>101.12</v>
      </c>
      <c r="GS52">
        <v>101.26</v>
      </c>
      <c r="GT52">
        <v>101.44</v>
      </c>
      <c r="GU52">
        <v>101.73</v>
      </c>
      <c r="GV52">
        <v>101.86</v>
      </c>
      <c r="GW52">
        <v>102.07</v>
      </c>
      <c r="GX52">
        <v>102.13</v>
      </c>
      <c r="GY52">
        <v>102.18</v>
      </c>
      <c r="GZ52">
        <v>102.35</v>
      </c>
      <c r="HA52">
        <v>102.38</v>
      </c>
      <c r="HC52">
        <v>102.68</v>
      </c>
      <c r="HD52">
        <v>102.91</v>
      </c>
      <c r="HF52">
        <v>103.25</v>
      </c>
      <c r="HG52">
        <v>103.58</v>
      </c>
      <c r="HJ52">
        <v>103.88</v>
      </c>
      <c r="HK52">
        <v>104.12</v>
      </c>
      <c r="HL52">
        <v>104.35</v>
      </c>
      <c r="HM52">
        <v>104.38</v>
      </c>
      <c r="HN52">
        <v>104.7</v>
      </c>
      <c r="HO52">
        <v>104.71</v>
      </c>
      <c r="HP52">
        <v>104.96</v>
      </c>
      <c r="HQ52">
        <v>104.98</v>
      </c>
      <c r="HR52">
        <v>105.24</v>
      </c>
      <c r="HS52">
        <v>105.38</v>
      </c>
      <c r="HT52">
        <v>105.43</v>
      </c>
      <c r="HU52">
        <v>105.71</v>
      </c>
      <c r="HX52">
        <v>105.92</v>
      </c>
      <c r="HY52">
        <v>106.21</v>
      </c>
      <c r="IA52">
        <v>106.35</v>
      </c>
      <c r="IB52">
        <v>106.72</v>
      </c>
      <c r="IE52">
        <v>106.98</v>
      </c>
      <c r="IF52">
        <v>107.14</v>
      </c>
      <c r="IH52">
        <v>107.21</v>
      </c>
      <c r="II52">
        <v>107.72</v>
      </c>
      <c r="IK52">
        <v>107.94</v>
      </c>
      <c r="IL52">
        <v>108.06</v>
      </c>
      <c r="IM52">
        <v>108.54</v>
      </c>
      <c r="IO52">
        <v>108.66</v>
      </c>
      <c r="IP52">
        <v>109.16</v>
      </c>
      <c r="IS52">
        <v>109.25</v>
      </c>
      <c r="IT52">
        <v>109.61</v>
      </c>
      <c r="IV52">
        <v>109.22</v>
      </c>
      <c r="IW52">
        <v>109.62</v>
      </c>
      <c r="IZ52">
        <v>109.67</v>
      </c>
      <c r="JA52">
        <v>109.97</v>
      </c>
      <c r="JC52">
        <v>110.03</v>
      </c>
      <c r="JD52">
        <v>110.42</v>
      </c>
      <c r="JE52">
        <v>110.51</v>
      </c>
      <c r="JF52">
        <v>110.6</v>
      </c>
      <c r="JG52">
        <v>110.83</v>
      </c>
      <c r="JH52">
        <v>111</v>
      </c>
      <c r="JI52">
        <v>111.02</v>
      </c>
      <c r="JJ52">
        <v>111.03</v>
      </c>
      <c r="JK52">
        <v>111.39</v>
      </c>
      <c r="JM52">
        <v>111.41</v>
      </c>
      <c r="JN52">
        <v>111.41</v>
      </c>
      <c r="JO52">
        <v>111.69</v>
      </c>
      <c r="JQ52">
        <v>111.71</v>
      </c>
      <c r="JR52">
        <v>112.03</v>
      </c>
      <c r="JU52">
        <v>112.05</v>
      </c>
      <c r="JV52">
        <v>112.34</v>
      </c>
      <c r="JW52">
        <v>112.36</v>
      </c>
      <c r="JY52">
        <v>112.68</v>
      </c>
      <c r="JZ52">
        <v>112.69</v>
      </c>
      <c r="KB52">
        <v>112.96</v>
      </c>
      <c r="KC52">
        <v>113</v>
      </c>
      <c r="KD52">
        <v>113</v>
      </c>
      <c r="KE52">
        <v>113.02</v>
      </c>
      <c r="KF52">
        <v>113.35</v>
      </c>
      <c r="KI52">
        <v>113.37</v>
      </c>
      <c r="KJ52">
        <v>113.63</v>
      </c>
      <c r="KL52">
        <v>113.65</v>
      </c>
      <c r="KM52">
        <v>113.94</v>
      </c>
      <c r="KP52">
        <v>113.96</v>
      </c>
      <c r="KQ52">
        <v>114.23</v>
      </c>
      <c r="KS52">
        <v>114.26</v>
      </c>
      <c r="KT52">
        <v>114.58</v>
      </c>
      <c r="KU52">
        <v>114.61</v>
      </c>
      <c r="KX52">
        <v>114.87</v>
      </c>
      <c r="KZ52">
        <v>114.87</v>
      </c>
      <c r="LB52">
        <v>115.6</v>
      </c>
      <c r="LC52">
        <v>115.6</v>
      </c>
      <c r="LD52">
        <v>115.64</v>
      </c>
      <c r="LE52">
        <v>115.98</v>
      </c>
      <c r="LF52">
        <v>115.98</v>
      </c>
      <c r="LG52">
        <v>116.1</v>
      </c>
      <c r="LH52">
        <v>116.52</v>
      </c>
      <c r="LJ52">
        <v>116.52</v>
      </c>
      <c r="LK52">
        <v>116.52</v>
      </c>
      <c r="LL52">
        <v>116.87</v>
      </c>
      <c r="LM52">
        <v>116.87</v>
      </c>
      <c r="LN52">
        <v>116.88</v>
      </c>
      <c r="LO52">
        <v>117.23</v>
      </c>
      <c r="LS52">
        <v>117.59</v>
      </c>
      <c r="LV52">
        <v>117.99</v>
      </c>
      <c r="LZ52">
        <v>118.34</v>
      </c>
      <c r="MA52">
        <v>118.35</v>
      </c>
      <c r="MC52">
        <v>118.76</v>
      </c>
      <c r="MG52">
        <v>119.11</v>
      </c>
      <c r="MJ52">
        <v>119.44</v>
      </c>
      <c r="MM52">
        <v>119.53</v>
      </c>
      <c r="MN52">
        <v>119.76</v>
      </c>
      <c r="MO52">
        <v>119.76</v>
      </c>
      <c r="MP52">
        <v>119.77</v>
      </c>
      <c r="MQ52">
        <v>120.07</v>
      </c>
      <c r="MT52">
        <v>120.07</v>
      </c>
      <c r="MU52">
        <v>120.26</v>
      </c>
      <c r="MV52">
        <v>120.29</v>
      </c>
      <c r="MX52">
        <v>120.54</v>
      </c>
      <c r="MZ52">
        <v>120.55</v>
      </c>
      <c r="NB52">
        <v>120.77</v>
      </c>
      <c r="NC52">
        <v>120.77</v>
      </c>
      <c r="ND52">
        <v>120.77</v>
      </c>
      <c r="NE52">
        <v>120.99</v>
      </c>
      <c r="NG52">
        <v>121.17</v>
      </c>
      <c r="NH52">
        <v>121.45</v>
      </c>
      <c r="NI52">
        <v>121.96</v>
      </c>
      <c r="NJ52">
        <v>122.42</v>
      </c>
      <c r="NK52">
        <v>122.91</v>
      </c>
      <c r="NL52">
        <v>123.25</v>
      </c>
      <c r="NN52">
        <v>123.34</v>
      </c>
      <c r="NO52">
        <v>123.92</v>
      </c>
      <c r="NP52">
        <v>124.28</v>
      </c>
      <c r="NQ52">
        <v>124.65</v>
      </c>
      <c r="NR52">
        <v>125.1</v>
      </c>
      <c r="NT52">
        <v>126.62</v>
      </c>
      <c r="NU52">
        <v>127.99</v>
      </c>
      <c r="NV52">
        <v>129.47</v>
      </c>
      <c r="NY52">
        <v>131.72999999999999</v>
      </c>
      <c r="OA52">
        <v>132.72</v>
      </c>
      <c r="OB52">
        <v>133.57</v>
      </c>
      <c r="OC52">
        <v>134.6</v>
      </c>
      <c r="OD52">
        <v>135.59</v>
      </c>
      <c r="OE52">
        <v>136.72999999999999</v>
      </c>
      <c r="OF52">
        <v>137.77000000000001</v>
      </c>
      <c r="OG52">
        <v>139.07</v>
      </c>
      <c r="OH52">
        <v>139.63999999999999</v>
      </c>
      <c r="OI52">
        <v>140.36000000000001</v>
      </c>
      <c r="OJ52">
        <v>140.9</v>
      </c>
      <c r="OK52">
        <v>141.47999999999999</v>
      </c>
      <c r="OL52">
        <v>141.87</v>
      </c>
      <c r="OM52">
        <v>142.29</v>
      </c>
      <c r="ON52">
        <v>142.74</v>
      </c>
      <c r="OO52">
        <v>142.96</v>
      </c>
      <c r="OP52">
        <v>143.22999999999999</v>
      </c>
      <c r="OQ52">
        <v>143.58000000000001</v>
      </c>
      <c r="OR52">
        <v>143.81</v>
      </c>
      <c r="OS52">
        <v>144.06</v>
      </c>
      <c r="OT52">
        <v>144.27000000000001</v>
      </c>
      <c r="OU52">
        <v>144.53</v>
      </c>
      <c r="OV52">
        <v>144.61000000000001</v>
      </c>
      <c r="OX52">
        <v>144.9</v>
      </c>
      <c r="OZ52">
        <v>145.19</v>
      </c>
      <c r="PA52">
        <v>145.4</v>
      </c>
      <c r="PB52">
        <v>145.61000000000001</v>
      </c>
      <c r="PC52">
        <v>145.69999999999999</v>
      </c>
      <c r="PD52">
        <v>145.86000000000001</v>
      </c>
      <c r="PE52">
        <v>146</v>
      </c>
      <c r="PF52">
        <v>146.16</v>
      </c>
      <c r="PG52">
        <v>146.28</v>
      </c>
      <c r="PH52">
        <v>146.43</v>
      </c>
      <c r="PI52">
        <v>146.63</v>
      </c>
      <c r="PJ52">
        <v>146.66</v>
      </c>
      <c r="PK52">
        <v>146.77000000000001</v>
      </c>
      <c r="PL52">
        <v>146.88</v>
      </c>
      <c r="PM52">
        <v>146.97</v>
      </c>
      <c r="PN52">
        <v>147.04</v>
      </c>
      <c r="PO52">
        <v>147.16</v>
      </c>
      <c r="PP52">
        <v>147.28</v>
      </c>
      <c r="PQ52">
        <v>147.33000000000001</v>
      </c>
      <c r="PR52">
        <v>147.38999999999999</v>
      </c>
      <c r="PS52">
        <v>147.47</v>
      </c>
      <c r="PT52">
        <v>147.53</v>
      </c>
      <c r="PU52">
        <v>147.6</v>
      </c>
      <c r="PV52">
        <v>147.68</v>
      </c>
      <c r="PW52">
        <v>147.88</v>
      </c>
      <c r="PX52">
        <v>147.93</v>
      </c>
      <c r="PY52">
        <v>147.97999999999999</v>
      </c>
      <c r="PZ52">
        <v>148.02000000000001</v>
      </c>
      <c r="QA52">
        <v>148.06</v>
      </c>
      <c r="QB52">
        <v>148.11000000000001</v>
      </c>
      <c r="QC52">
        <v>148.15</v>
      </c>
      <c r="QD52">
        <v>148.37</v>
      </c>
      <c r="QE52">
        <v>148.38999999999999</v>
      </c>
      <c r="QI52">
        <v>148.52000000000001</v>
      </c>
      <c r="QJ52">
        <v>148.58000000000001</v>
      </c>
      <c r="QK52">
        <v>148.63999999999999</v>
      </c>
      <c r="QL52">
        <v>148.69</v>
      </c>
      <c r="QN52">
        <v>148.75</v>
      </c>
      <c r="QO52">
        <v>148.80000000000001</v>
      </c>
      <c r="QP52">
        <v>148.86000000000001</v>
      </c>
      <c r="QR52">
        <v>149.05000000000001</v>
      </c>
      <c r="QU52">
        <v>149.12</v>
      </c>
      <c r="QV52">
        <v>149.16</v>
      </c>
      <c r="QW52">
        <v>149.22</v>
      </c>
      <c r="QX52">
        <v>149.26</v>
      </c>
      <c r="QY52">
        <v>149.31</v>
      </c>
      <c r="RA52">
        <v>149.33000000000001</v>
      </c>
      <c r="RB52">
        <v>149.37</v>
      </c>
      <c r="RC52">
        <v>149.41</v>
      </c>
      <c r="RD52">
        <v>149.44999999999999</v>
      </c>
      <c r="RE52">
        <v>149.47</v>
      </c>
      <c r="RF52">
        <v>149.56</v>
      </c>
      <c r="RG52">
        <v>149.57</v>
      </c>
      <c r="RH52">
        <v>149.58000000000001</v>
      </c>
      <c r="RI52">
        <v>149.62</v>
      </c>
      <c r="RJ52">
        <v>149.65</v>
      </c>
      <c r="RK52">
        <v>149.69</v>
      </c>
      <c r="RL52">
        <v>149.80000000000001</v>
      </c>
      <c r="RN52">
        <v>149.84</v>
      </c>
      <c r="RO52">
        <v>149.88</v>
      </c>
      <c r="RP52">
        <v>149.91999999999999</v>
      </c>
      <c r="RQ52">
        <v>150.08000000000001</v>
      </c>
      <c r="RS52">
        <v>150.31</v>
      </c>
      <c r="RT52">
        <v>150.51</v>
      </c>
      <c r="RU52">
        <v>150.72</v>
      </c>
      <c r="RV52">
        <v>150.88999999999999</v>
      </c>
      <c r="RX52">
        <v>151.09</v>
      </c>
      <c r="RY52">
        <v>151.24</v>
      </c>
      <c r="RZ52">
        <v>151.36000000000001</v>
      </c>
      <c r="SA52">
        <v>151.55000000000001</v>
      </c>
      <c r="SC52">
        <v>151.74</v>
      </c>
      <c r="SE52">
        <v>151.87</v>
      </c>
      <c r="SG52">
        <v>151.97999999999999</v>
      </c>
      <c r="SH52">
        <v>152.07</v>
      </c>
      <c r="SI52">
        <v>152.18</v>
      </c>
      <c r="SL52">
        <v>152.29</v>
      </c>
      <c r="SM52">
        <v>152.35</v>
      </c>
      <c r="SN52">
        <v>152.41999999999999</v>
      </c>
      <c r="SO52">
        <v>152.47</v>
      </c>
      <c r="SP52">
        <v>152.53</v>
      </c>
      <c r="SS52">
        <v>152.69</v>
      </c>
      <c r="ST52">
        <v>152.75</v>
      </c>
      <c r="SU52">
        <v>152.79</v>
      </c>
      <c r="SV52">
        <v>152.84</v>
      </c>
      <c r="SW52">
        <v>152.88</v>
      </c>
      <c r="SX52">
        <v>152.97999999999999</v>
      </c>
      <c r="SY52">
        <v>152.97999999999999</v>
      </c>
      <c r="SZ52">
        <v>153.07</v>
      </c>
      <c r="TA52">
        <v>153.11000000000001</v>
      </c>
      <c r="TB52">
        <v>153.18</v>
      </c>
      <c r="TC52">
        <v>153.22999999999999</v>
      </c>
      <c r="TD52">
        <v>153.28</v>
      </c>
      <c r="TG52">
        <v>153.34</v>
      </c>
      <c r="TH52">
        <v>153.4</v>
      </c>
      <c r="TJ52">
        <v>153.46</v>
      </c>
      <c r="TK52">
        <v>153.5</v>
      </c>
      <c r="TL52">
        <v>153.57</v>
      </c>
      <c r="TM52">
        <v>153.57</v>
      </c>
      <c r="TN52">
        <v>153.61000000000001</v>
      </c>
      <c r="TO52">
        <v>153.61000000000001</v>
      </c>
      <c r="TP52">
        <v>153.66999999999999</v>
      </c>
      <c r="TQ52">
        <v>153.71</v>
      </c>
      <c r="TR52">
        <v>153.71</v>
      </c>
      <c r="TT52">
        <v>153.74</v>
      </c>
      <c r="TU52">
        <v>153.78</v>
      </c>
      <c r="TV52">
        <v>153.80000000000001</v>
      </c>
      <c r="TW52">
        <v>153.84</v>
      </c>
      <c r="TX52">
        <v>153.87</v>
      </c>
      <c r="UA52">
        <v>153.9</v>
      </c>
      <c r="UB52">
        <v>153.93</v>
      </c>
      <c r="UC52">
        <v>153.94999999999999</v>
      </c>
      <c r="UD52">
        <v>153.97999999999999</v>
      </c>
      <c r="UE52">
        <v>154.01</v>
      </c>
      <c r="UH52">
        <v>154.03</v>
      </c>
      <c r="UI52">
        <v>154.06</v>
      </c>
      <c r="UJ52">
        <v>154.1</v>
      </c>
      <c r="UK52">
        <v>154.13</v>
      </c>
      <c r="UL52">
        <v>154.16</v>
      </c>
      <c r="UO52">
        <v>154.19</v>
      </c>
      <c r="UP52">
        <v>154.21</v>
      </c>
      <c r="UQ52">
        <v>154.22999999999999</v>
      </c>
      <c r="UR52">
        <v>154.24</v>
      </c>
      <c r="US52">
        <v>154.25</v>
      </c>
      <c r="UV52">
        <v>154.27000000000001</v>
      </c>
      <c r="UW52">
        <v>154.29</v>
      </c>
      <c r="UX52">
        <v>154.31</v>
      </c>
      <c r="UY52">
        <v>154.33000000000001</v>
      </c>
      <c r="UZ52">
        <v>154.35</v>
      </c>
      <c r="VC52">
        <v>133.66</v>
      </c>
      <c r="VD52">
        <v>133.68</v>
      </c>
      <c r="VE52">
        <v>133.68</v>
      </c>
      <c r="VF52">
        <v>133.69999999999999</v>
      </c>
      <c r="VG52">
        <v>133.72</v>
      </c>
      <c r="VJ52">
        <v>133.74</v>
      </c>
      <c r="VK52">
        <v>133.76</v>
      </c>
      <c r="VL52">
        <v>133.77000000000001</v>
      </c>
      <c r="VM52">
        <v>133.79</v>
      </c>
      <c r="VN52">
        <v>133.81</v>
      </c>
      <c r="VQ52">
        <v>133.83000000000001</v>
      </c>
      <c r="VR52">
        <v>133.84</v>
      </c>
      <c r="VS52">
        <v>133.85</v>
      </c>
      <c r="VT52">
        <v>133.87</v>
      </c>
      <c r="VU52">
        <v>133.88999999999999</v>
      </c>
      <c r="VW52">
        <v>133.91</v>
      </c>
      <c r="VX52">
        <v>133.91999999999999</v>
      </c>
      <c r="VY52">
        <v>133.93</v>
      </c>
      <c r="VZ52">
        <v>133.94999999999999</v>
      </c>
      <c r="WA52">
        <v>133.97</v>
      </c>
      <c r="WD52">
        <v>133.97999999999999</v>
      </c>
      <c r="WE52">
        <v>134</v>
      </c>
      <c r="WF52">
        <v>134.01</v>
      </c>
      <c r="WG52">
        <v>134.03</v>
      </c>
      <c r="WH52">
        <v>134.04</v>
      </c>
      <c r="WN52">
        <v>134.07</v>
      </c>
      <c r="WO52">
        <v>134.08000000000001</v>
      </c>
      <c r="WR52">
        <v>134.09</v>
      </c>
      <c r="WS52">
        <v>134.1</v>
      </c>
      <c r="WT52">
        <v>134.1</v>
      </c>
      <c r="WU52">
        <v>134.12</v>
      </c>
      <c r="WV52">
        <v>134.12</v>
      </c>
      <c r="WY52">
        <v>134.13</v>
      </c>
      <c r="WZ52">
        <v>134.13999999999999</v>
      </c>
      <c r="XA52">
        <v>134.22</v>
      </c>
      <c r="XB52">
        <v>134.24</v>
      </c>
      <c r="XC52">
        <v>134.24</v>
      </c>
      <c r="XF52">
        <v>134.25</v>
      </c>
      <c r="XG52">
        <v>134.25</v>
      </c>
      <c r="XI52">
        <v>134.26</v>
      </c>
      <c r="XJ52">
        <v>134.27000000000001</v>
      </c>
      <c r="XM52">
        <v>134.29</v>
      </c>
      <c r="XN52">
        <v>134.29</v>
      </c>
      <c r="XP52">
        <v>134.31</v>
      </c>
      <c r="XQ52">
        <v>134.32</v>
      </c>
      <c r="XT52">
        <v>134.32</v>
      </c>
      <c r="XU52">
        <v>134.33000000000001</v>
      </c>
      <c r="XV52">
        <v>134.34</v>
      </c>
      <c r="XW52">
        <v>134.34</v>
      </c>
      <c r="XX52">
        <v>134.35</v>
      </c>
      <c r="YA52">
        <v>134.35</v>
      </c>
      <c r="YB52">
        <v>134.36000000000001</v>
      </c>
      <c r="YD52">
        <v>134.37</v>
      </c>
      <c r="YE52">
        <v>134.37</v>
      </c>
      <c r="YH52">
        <v>134.38</v>
      </c>
      <c r="YI52">
        <v>134.38999999999999</v>
      </c>
      <c r="YK52">
        <v>134.38999999999999</v>
      </c>
      <c r="YL52">
        <v>134.4</v>
      </c>
      <c r="YO52">
        <v>134.41</v>
      </c>
      <c r="YP52">
        <v>134.41</v>
      </c>
      <c r="YR52">
        <v>134.41</v>
      </c>
      <c r="YS52">
        <v>134.41</v>
      </c>
      <c r="YT52">
        <v>134.41</v>
      </c>
      <c r="YV52">
        <v>134.41999999999999</v>
      </c>
      <c r="YW52">
        <v>134.41999999999999</v>
      </c>
      <c r="YY52">
        <v>134.43</v>
      </c>
      <c r="YZ52">
        <v>134.44</v>
      </c>
      <c r="ZC52">
        <v>134.44</v>
      </c>
      <c r="ZD52">
        <v>134.44999999999999</v>
      </c>
      <c r="ZF52">
        <v>133.87</v>
      </c>
      <c r="ZG52">
        <v>133.88</v>
      </c>
      <c r="ZJ52">
        <v>133.88</v>
      </c>
      <c r="ZL52">
        <v>133.88</v>
      </c>
      <c r="ZM52">
        <v>133.88</v>
      </c>
      <c r="ZN52">
        <v>133.88999999999999</v>
      </c>
      <c r="ZQ52">
        <v>133.88999999999999</v>
      </c>
      <c r="ZR52">
        <v>133.91</v>
      </c>
      <c r="ZT52">
        <v>133.91</v>
      </c>
      <c r="ZU52">
        <v>133.91999999999999</v>
      </c>
      <c r="ZX52">
        <v>133.91999999999999</v>
      </c>
      <c r="ZY52">
        <v>133.91999999999999</v>
      </c>
      <c r="ZZ52">
        <v>133.93</v>
      </c>
    </row>
    <row r="53" spans="1:812">
      <c r="A53" s="1" t="s">
        <v>166</v>
      </c>
      <c r="B53" s="1" t="s">
        <v>259</v>
      </c>
      <c r="AD53">
        <v>0.45</v>
      </c>
      <c r="AH53">
        <v>0.69</v>
      </c>
      <c r="AN53">
        <v>1.17</v>
      </c>
      <c r="AU53">
        <v>2.0299999999999998</v>
      </c>
      <c r="BB53">
        <v>2.91</v>
      </c>
      <c r="BI53">
        <v>3.75</v>
      </c>
      <c r="BP53">
        <v>5.07</v>
      </c>
      <c r="BW53">
        <v>6.48</v>
      </c>
      <c r="BZ53">
        <v>7.37</v>
      </c>
      <c r="CC53">
        <v>8.6999999999999993</v>
      </c>
      <c r="CL53">
        <v>11.33</v>
      </c>
      <c r="CY53">
        <v>14.78</v>
      </c>
      <c r="DM53">
        <v>18.440000000000001</v>
      </c>
      <c r="DQ53">
        <v>19.940000000000001</v>
      </c>
      <c r="DS53">
        <v>20.92</v>
      </c>
      <c r="DZ53">
        <v>23.11</v>
      </c>
      <c r="EC53">
        <v>24.51</v>
      </c>
      <c r="ED53">
        <v>25.08</v>
      </c>
      <c r="EE53">
        <v>25.61</v>
      </c>
      <c r="EG53">
        <v>26.97</v>
      </c>
      <c r="EO53">
        <v>32.409999999999997</v>
      </c>
      <c r="ET53">
        <v>37.43</v>
      </c>
      <c r="EX53">
        <v>41.83</v>
      </c>
      <c r="EY53">
        <v>43.31</v>
      </c>
      <c r="EZ53">
        <v>45.05</v>
      </c>
      <c r="FB53">
        <v>47.8</v>
      </c>
      <c r="FD53">
        <v>48.94</v>
      </c>
      <c r="FE53">
        <v>50.53</v>
      </c>
      <c r="FF53">
        <v>52.02</v>
      </c>
      <c r="FG53">
        <v>53.61</v>
      </c>
      <c r="FI53">
        <v>56.76</v>
      </c>
      <c r="FK53">
        <v>58.8</v>
      </c>
      <c r="FL53">
        <v>60.05</v>
      </c>
      <c r="FN53">
        <v>63.14</v>
      </c>
      <c r="FO53">
        <v>64.459999999999994</v>
      </c>
      <c r="FR53">
        <v>67.11</v>
      </c>
      <c r="FT53">
        <v>69.290000000000006</v>
      </c>
      <c r="FU53">
        <v>70.08</v>
      </c>
      <c r="FV53">
        <v>71.22</v>
      </c>
      <c r="FY53">
        <v>73.09</v>
      </c>
      <c r="FZ53">
        <v>73.75</v>
      </c>
      <c r="GA53">
        <v>74.56</v>
      </c>
      <c r="GB53">
        <v>75.8</v>
      </c>
      <c r="GC53">
        <v>76.709999999999994</v>
      </c>
      <c r="GD53">
        <v>77.680000000000007</v>
      </c>
      <c r="GE53">
        <v>78.98</v>
      </c>
      <c r="GH53">
        <v>80.94</v>
      </c>
      <c r="GI53">
        <v>82.03</v>
      </c>
      <c r="GJ53">
        <v>83.26</v>
      </c>
      <c r="GL53">
        <v>84.81</v>
      </c>
      <c r="GP53">
        <v>86.52</v>
      </c>
      <c r="GQ53">
        <v>87.6</v>
      </c>
      <c r="GW53">
        <v>91.13</v>
      </c>
      <c r="GY53">
        <v>93.44</v>
      </c>
      <c r="GZ53">
        <v>94.14</v>
      </c>
      <c r="HB53">
        <v>95.63</v>
      </c>
      <c r="HC53">
        <v>96.5</v>
      </c>
      <c r="HD53">
        <v>97.64</v>
      </c>
      <c r="HE53">
        <v>98.68</v>
      </c>
      <c r="HF53">
        <v>99.53</v>
      </c>
      <c r="HG53">
        <v>99.9</v>
      </c>
      <c r="HI53">
        <v>101.05</v>
      </c>
      <c r="HJ53">
        <v>101.78</v>
      </c>
      <c r="HK53">
        <v>102.52</v>
      </c>
      <c r="HL53">
        <v>103.24</v>
      </c>
      <c r="HN53">
        <v>104.22</v>
      </c>
      <c r="HP53">
        <v>105.19</v>
      </c>
      <c r="HQ53">
        <v>106.01</v>
      </c>
      <c r="HR53">
        <v>106.54</v>
      </c>
      <c r="HS53">
        <v>107.09</v>
      </c>
      <c r="HU53">
        <v>107.97</v>
      </c>
      <c r="HV53">
        <v>108.05</v>
      </c>
      <c r="HX53">
        <v>109.24</v>
      </c>
      <c r="HY53">
        <v>109.79</v>
      </c>
      <c r="HZ53">
        <v>110.41</v>
      </c>
      <c r="ID53">
        <v>111.98</v>
      </c>
      <c r="IE53">
        <v>112.73</v>
      </c>
      <c r="IF53">
        <v>113.46</v>
      </c>
      <c r="IG53">
        <v>114.21</v>
      </c>
      <c r="II53">
        <v>115.02</v>
      </c>
      <c r="IK53">
        <v>115.73</v>
      </c>
      <c r="IL53">
        <v>116.24</v>
      </c>
      <c r="IM53">
        <v>116.74</v>
      </c>
      <c r="IN53">
        <v>117.22</v>
      </c>
      <c r="IO53">
        <v>117.94</v>
      </c>
      <c r="IR53">
        <v>118.41</v>
      </c>
      <c r="IS53">
        <v>118.93</v>
      </c>
      <c r="IT53">
        <v>119.45</v>
      </c>
      <c r="IV53">
        <v>120.38</v>
      </c>
      <c r="IW53">
        <v>120.4</v>
      </c>
      <c r="JB53">
        <v>122.19</v>
      </c>
      <c r="JF53">
        <v>123.24</v>
      </c>
      <c r="JH53">
        <v>123.69</v>
      </c>
      <c r="JI53">
        <v>123.99</v>
      </c>
      <c r="JM53">
        <v>125</v>
      </c>
      <c r="JO53">
        <v>125.62</v>
      </c>
      <c r="JT53">
        <v>126.66</v>
      </c>
      <c r="JU53">
        <v>126.86</v>
      </c>
      <c r="JV53">
        <v>127.03</v>
      </c>
      <c r="JW53">
        <v>127.21</v>
      </c>
      <c r="KB53">
        <v>128.58000000000001</v>
      </c>
      <c r="KC53">
        <v>128.85</v>
      </c>
      <c r="KD53">
        <v>129.09</v>
      </c>
      <c r="KJ53">
        <v>130.75</v>
      </c>
      <c r="KP53">
        <v>130.72</v>
      </c>
      <c r="KU53">
        <v>131.93</v>
      </c>
      <c r="KV53">
        <v>132.41999999999999</v>
      </c>
      <c r="LD53">
        <v>134.08000000000001</v>
      </c>
      <c r="LO53">
        <v>135.68</v>
      </c>
      <c r="MM53">
        <v>143.11000000000001</v>
      </c>
      <c r="NH53">
        <v>160.19999999999999</v>
      </c>
      <c r="OK53">
        <v>180.6</v>
      </c>
      <c r="PF53">
        <v>192.97</v>
      </c>
      <c r="PL53">
        <v>194.63</v>
      </c>
      <c r="PZ53">
        <v>197.34</v>
      </c>
      <c r="UC53">
        <v>199.52</v>
      </c>
      <c r="ABI53">
        <v>200.62</v>
      </c>
    </row>
    <row r="54" spans="1:812">
      <c r="A54" s="1" t="s">
        <v>101</v>
      </c>
      <c r="B54" s="1" t="s">
        <v>325</v>
      </c>
      <c r="T54">
        <v>0.01</v>
      </c>
      <c r="U54">
        <v>0.03</v>
      </c>
      <c r="V54">
        <v>7.0000000000000007E-2</v>
      </c>
      <c r="W54">
        <v>0.1</v>
      </c>
      <c r="X54">
        <v>0.11</v>
      </c>
      <c r="Y54">
        <v>0.11</v>
      </c>
      <c r="Z54">
        <v>0.12</v>
      </c>
      <c r="AA54">
        <v>0.13</v>
      </c>
      <c r="AB54">
        <v>0.17</v>
      </c>
      <c r="AC54">
        <v>0.21</v>
      </c>
      <c r="AD54">
        <v>0.26</v>
      </c>
      <c r="AE54">
        <v>0.34</v>
      </c>
      <c r="AF54">
        <v>0.43</v>
      </c>
      <c r="AG54">
        <v>0.45</v>
      </c>
      <c r="AH54">
        <v>0.46</v>
      </c>
      <c r="AI54">
        <v>0.55000000000000004</v>
      </c>
      <c r="AJ54">
        <v>0.68</v>
      </c>
      <c r="AK54">
        <v>0.81</v>
      </c>
      <c r="AL54">
        <v>0.95</v>
      </c>
      <c r="AM54">
        <v>1.08</v>
      </c>
      <c r="AN54">
        <v>1.1100000000000001</v>
      </c>
      <c r="AO54">
        <v>1.1399999999999999</v>
      </c>
      <c r="AP54">
        <v>1.27</v>
      </c>
      <c r="AQ54">
        <v>1.41</v>
      </c>
      <c r="AR54">
        <v>1.56</v>
      </c>
      <c r="AS54">
        <v>1.72</v>
      </c>
      <c r="AT54">
        <v>1.87</v>
      </c>
      <c r="AU54">
        <v>1.91</v>
      </c>
      <c r="AV54">
        <v>1.94</v>
      </c>
      <c r="AW54">
        <v>2.06</v>
      </c>
      <c r="AX54">
        <v>2.19</v>
      </c>
      <c r="AY54">
        <v>2.3199999999999998</v>
      </c>
      <c r="AZ54">
        <v>2.44</v>
      </c>
      <c r="BA54">
        <v>2.57</v>
      </c>
      <c r="BB54">
        <v>2.59</v>
      </c>
      <c r="BC54">
        <v>2.6</v>
      </c>
      <c r="BD54">
        <v>2.71</v>
      </c>
      <c r="BE54">
        <v>2.85</v>
      </c>
      <c r="BF54">
        <v>2.99</v>
      </c>
      <c r="BG54">
        <v>3.15</v>
      </c>
      <c r="BH54">
        <v>3.3</v>
      </c>
      <c r="BI54">
        <v>3.33</v>
      </c>
      <c r="BJ54">
        <v>3.36</v>
      </c>
      <c r="BK54">
        <v>3.51</v>
      </c>
      <c r="BL54">
        <v>3.66</v>
      </c>
      <c r="BM54">
        <v>3.84</v>
      </c>
      <c r="BN54">
        <v>4.04</v>
      </c>
      <c r="BO54">
        <v>4.24</v>
      </c>
      <c r="BP54">
        <v>4.29</v>
      </c>
      <c r="BQ54">
        <v>4.3099999999999996</v>
      </c>
      <c r="BR54">
        <v>4.45</v>
      </c>
      <c r="BS54">
        <v>4.62</v>
      </c>
      <c r="BT54">
        <v>4.78</v>
      </c>
      <c r="BU54">
        <v>4.97</v>
      </c>
      <c r="BV54">
        <v>5.15</v>
      </c>
      <c r="BW54">
        <v>5.18</v>
      </c>
      <c r="BX54">
        <v>5.2</v>
      </c>
      <c r="BY54">
        <v>5.35</v>
      </c>
      <c r="BZ54">
        <v>5.53</v>
      </c>
      <c r="CA54">
        <v>5.71</v>
      </c>
      <c r="CB54">
        <v>5.93</v>
      </c>
      <c r="CC54">
        <v>6.13</v>
      </c>
      <c r="CD54">
        <v>6.16</v>
      </c>
      <c r="CE54">
        <v>6.19</v>
      </c>
      <c r="CF54">
        <v>6.41</v>
      </c>
      <c r="CG54">
        <v>6.69</v>
      </c>
      <c r="CH54">
        <v>7.01</v>
      </c>
      <c r="CI54">
        <v>7.36</v>
      </c>
      <c r="CJ54">
        <v>7.68</v>
      </c>
      <c r="CK54">
        <v>7.8</v>
      </c>
      <c r="CL54">
        <v>7.91</v>
      </c>
      <c r="CM54">
        <v>8.23</v>
      </c>
      <c r="CN54">
        <v>8.6199999999999992</v>
      </c>
      <c r="CO54">
        <v>9.07</v>
      </c>
      <c r="CP54">
        <v>9.56</v>
      </c>
      <c r="CQ54">
        <v>9.99</v>
      </c>
      <c r="CR54">
        <v>10.16</v>
      </c>
      <c r="CS54">
        <v>10.29</v>
      </c>
      <c r="CT54">
        <v>10.63</v>
      </c>
      <c r="CU54">
        <v>11.08</v>
      </c>
      <c r="CV54">
        <v>11.53</v>
      </c>
      <c r="CW54">
        <v>11.99</v>
      </c>
      <c r="CX54">
        <v>12.43</v>
      </c>
      <c r="CY54">
        <v>12.59</v>
      </c>
      <c r="CZ54">
        <v>12.68</v>
      </c>
      <c r="DA54">
        <v>13.01</v>
      </c>
      <c r="DB54">
        <v>13.38</v>
      </c>
      <c r="DC54">
        <v>13.77</v>
      </c>
      <c r="DD54">
        <v>14.18</v>
      </c>
      <c r="DE54">
        <v>14.57</v>
      </c>
      <c r="DF54">
        <v>14.69</v>
      </c>
      <c r="DG54">
        <v>14.78</v>
      </c>
      <c r="DH54">
        <v>15.15</v>
      </c>
      <c r="DI54">
        <v>15.58</v>
      </c>
      <c r="DJ54">
        <v>16.04</v>
      </c>
      <c r="DK54">
        <v>16.649999999999999</v>
      </c>
      <c r="DL54">
        <v>16.829999999999998</v>
      </c>
      <c r="DM54">
        <v>16.97</v>
      </c>
      <c r="DN54">
        <v>17.07</v>
      </c>
      <c r="DO54">
        <v>17.16</v>
      </c>
      <c r="DP54">
        <v>17.579999999999998</v>
      </c>
      <c r="DQ54">
        <v>18</v>
      </c>
      <c r="DR54">
        <v>18.649999999999999</v>
      </c>
      <c r="DS54">
        <v>19.29</v>
      </c>
      <c r="DT54">
        <v>19.57</v>
      </c>
      <c r="DU54">
        <v>19.760000000000002</v>
      </c>
      <c r="DV54">
        <v>20.34</v>
      </c>
      <c r="DW54">
        <v>20.91</v>
      </c>
      <c r="DX54">
        <v>21.53</v>
      </c>
      <c r="DY54">
        <v>22.21</v>
      </c>
      <c r="DZ54">
        <v>22.86</v>
      </c>
      <c r="EA54">
        <v>23.1</v>
      </c>
      <c r="EB54">
        <v>23.26</v>
      </c>
      <c r="EC54">
        <v>23.81</v>
      </c>
      <c r="ED54">
        <v>24.35</v>
      </c>
      <c r="EE54">
        <v>24.93</v>
      </c>
      <c r="EF54">
        <v>25.59</v>
      </c>
      <c r="EG54">
        <v>26.16</v>
      </c>
      <c r="EH54">
        <v>26.38</v>
      </c>
      <c r="EI54">
        <v>26.55</v>
      </c>
      <c r="EJ54">
        <v>27.07</v>
      </c>
      <c r="EK54">
        <v>27.63</v>
      </c>
      <c r="EL54">
        <v>28.29</v>
      </c>
      <c r="EM54">
        <v>29.02</v>
      </c>
      <c r="EN54">
        <v>29.68</v>
      </c>
      <c r="EO54">
        <v>29.97</v>
      </c>
      <c r="EP54">
        <v>30.17</v>
      </c>
      <c r="EQ54">
        <v>30.83</v>
      </c>
      <c r="ER54">
        <v>31.51</v>
      </c>
      <c r="ES54">
        <v>32.26</v>
      </c>
      <c r="ET54">
        <v>33.090000000000003</v>
      </c>
      <c r="EU54">
        <v>33.880000000000003</v>
      </c>
      <c r="EV54">
        <v>34.17</v>
      </c>
      <c r="EW54">
        <v>34.409999999999997</v>
      </c>
      <c r="EX54">
        <v>35.14</v>
      </c>
      <c r="EY54">
        <v>35.909999999999997</v>
      </c>
      <c r="EZ54">
        <v>36.72</v>
      </c>
      <c r="FA54">
        <v>37.57</v>
      </c>
      <c r="FB54">
        <v>38.380000000000003</v>
      </c>
      <c r="FC54">
        <v>38.69</v>
      </c>
      <c r="FD54">
        <v>38.94</v>
      </c>
      <c r="FE54">
        <v>39.67</v>
      </c>
      <c r="FF54">
        <v>40.450000000000003</v>
      </c>
      <c r="FG54">
        <v>41.3</v>
      </c>
      <c r="FH54">
        <v>42.24</v>
      </c>
      <c r="FI54">
        <v>43.12</v>
      </c>
      <c r="FJ54">
        <v>43.53</v>
      </c>
      <c r="FK54">
        <v>43.82</v>
      </c>
      <c r="FL54">
        <v>44.55</v>
      </c>
      <c r="FM54">
        <v>45.35</v>
      </c>
      <c r="FN54">
        <v>46.31</v>
      </c>
      <c r="FO54">
        <v>47.3</v>
      </c>
      <c r="FP54">
        <v>48.28</v>
      </c>
      <c r="FQ54">
        <v>48.71</v>
      </c>
      <c r="FR54">
        <v>49.05</v>
      </c>
      <c r="FS54">
        <v>49.99</v>
      </c>
      <c r="FT54">
        <v>50.97</v>
      </c>
      <c r="FU54">
        <v>52.03</v>
      </c>
      <c r="FV54">
        <v>53.1</v>
      </c>
      <c r="FW54">
        <v>54.19</v>
      </c>
      <c r="FX54">
        <v>54.68</v>
      </c>
      <c r="FY54">
        <v>55.07</v>
      </c>
      <c r="FZ54">
        <v>56.15</v>
      </c>
      <c r="GA54">
        <v>57.22</v>
      </c>
      <c r="GB54">
        <v>58.33</v>
      </c>
      <c r="GC54">
        <v>59.45</v>
      </c>
      <c r="GD54">
        <v>60.54</v>
      </c>
      <c r="GE54">
        <v>61.03</v>
      </c>
      <c r="GF54">
        <v>61.42</v>
      </c>
      <c r="GG54">
        <v>62.49</v>
      </c>
      <c r="GH54">
        <v>63.55</v>
      </c>
      <c r="GI54">
        <v>64.650000000000006</v>
      </c>
      <c r="GJ54">
        <v>65.77</v>
      </c>
      <c r="GK54">
        <v>66.88</v>
      </c>
      <c r="GL54">
        <v>67.349999999999994</v>
      </c>
      <c r="GM54">
        <v>67.73</v>
      </c>
      <c r="GN54">
        <v>68.75</v>
      </c>
      <c r="GO54">
        <v>69.790000000000006</v>
      </c>
      <c r="GP54">
        <v>70.849999999999994</v>
      </c>
      <c r="GQ54">
        <v>71.95</v>
      </c>
      <c r="GR54">
        <v>73.02</v>
      </c>
      <c r="GS54">
        <v>73.48</v>
      </c>
      <c r="GT54">
        <v>73.86</v>
      </c>
      <c r="GU54">
        <v>74.900000000000006</v>
      </c>
      <c r="GV54">
        <v>75.95</v>
      </c>
      <c r="GW54">
        <v>77.03</v>
      </c>
      <c r="GX54">
        <v>78.31</v>
      </c>
      <c r="GY54">
        <v>79.34</v>
      </c>
      <c r="GZ54">
        <v>79.7</v>
      </c>
      <c r="HA54">
        <v>79.97</v>
      </c>
      <c r="HB54">
        <v>80.27</v>
      </c>
      <c r="HC54">
        <v>80.58</v>
      </c>
      <c r="HD54">
        <v>81.540000000000006</v>
      </c>
      <c r="HE54">
        <v>82.43</v>
      </c>
      <c r="HF54">
        <v>83.32</v>
      </c>
      <c r="HG54">
        <v>83.67</v>
      </c>
      <c r="HH54">
        <v>83.96</v>
      </c>
      <c r="HI54">
        <v>84.85</v>
      </c>
      <c r="HJ54">
        <v>85.72</v>
      </c>
      <c r="HK54">
        <v>86.61</v>
      </c>
      <c r="HL54">
        <v>87.47</v>
      </c>
      <c r="HM54">
        <v>88.38</v>
      </c>
      <c r="HN54">
        <v>88.75</v>
      </c>
      <c r="HO54">
        <v>89.06</v>
      </c>
      <c r="HP54">
        <v>89.89</v>
      </c>
      <c r="HQ54">
        <v>90.69</v>
      </c>
      <c r="HR54">
        <v>91.47</v>
      </c>
      <c r="HS54">
        <v>92.19</v>
      </c>
      <c r="HT54">
        <v>92.88</v>
      </c>
      <c r="HU54">
        <v>93.2</v>
      </c>
      <c r="HV54">
        <v>93.46</v>
      </c>
      <c r="HW54">
        <v>94.09</v>
      </c>
      <c r="HX54">
        <v>94.7</v>
      </c>
      <c r="HY54">
        <v>95.28</v>
      </c>
      <c r="HZ54">
        <v>95.83</v>
      </c>
      <c r="IA54">
        <v>96.39</v>
      </c>
      <c r="IB54">
        <v>96.64</v>
      </c>
      <c r="IC54">
        <v>97.05</v>
      </c>
      <c r="ID54">
        <v>97.54</v>
      </c>
      <c r="IE54">
        <v>98.03</v>
      </c>
      <c r="IF54">
        <v>98.49</v>
      </c>
      <c r="IG54">
        <v>98.99</v>
      </c>
      <c r="IH54">
        <v>99.51</v>
      </c>
      <c r="II54">
        <v>99.72</v>
      </c>
      <c r="IJ54">
        <v>99.89</v>
      </c>
      <c r="IK54">
        <v>100.41</v>
      </c>
      <c r="IL54">
        <v>100.87</v>
      </c>
      <c r="IM54">
        <v>101.35</v>
      </c>
      <c r="IN54">
        <v>101.78</v>
      </c>
      <c r="IO54">
        <v>102.23</v>
      </c>
      <c r="IP54">
        <v>102.35</v>
      </c>
      <c r="IQ54">
        <v>102.47</v>
      </c>
      <c r="IR54">
        <v>102.85</v>
      </c>
      <c r="IS54">
        <v>103.18</v>
      </c>
      <c r="IT54">
        <v>103.6</v>
      </c>
      <c r="IU54">
        <v>104.02</v>
      </c>
      <c r="IV54">
        <v>104.36</v>
      </c>
      <c r="IW54">
        <v>104.49</v>
      </c>
      <c r="IX54">
        <v>104.62</v>
      </c>
      <c r="IY54">
        <v>105.06</v>
      </c>
      <c r="IZ54">
        <v>105.43</v>
      </c>
      <c r="JA54">
        <v>105.76</v>
      </c>
      <c r="JB54">
        <v>106.06</v>
      </c>
      <c r="JC54">
        <v>106.36</v>
      </c>
      <c r="JD54">
        <v>106.45</v>
      </c>
      <c r="JE54">
        <v>106.54</v>
      </c>
      <c r="JF54">
        <v>106.8</v>
      </c>
      <c r="JG54">
        <v>107.02</v>
      </c>
      <c r="JH54">
        <v>107.18</v>
      </c>
      <c r="JI54">
        <v>107.36</v>
      </c>
      <c r="JJ54">
        <v>107.58</v>
      </c>
      <c r="JK54">
        <v>107.63</v>
      </c>
      <c r="JL54">
        <v>107.67</v>
      </c>
      <c r="JM54">
        <v>107.85</v>
      </c>
      <c r="JN54">
        <v>107.98</v>
      </c>
      <c r="JO54">
        <v>108.1</v>
      </c>
      <c r="JP54">
        <v>108.25</v>
      </c>
      <c r="JQ54">
        <v>108.42</v>
      </c>
      <c r="JR54">
        <v>108.45</v>
      </c>
      <c r="JS54">
        <v>108.49</v>
      </c>
      <c r="JT54">
        <v>108.63</v>
      </c>
      <c r="JU54">
        <v>108.75</v>
      </c>
      <c r="JV54">
        <v>108.87</v>
      </c>
      <c r="JW54">
        <v>109.05</v>
      </c>
      <c r="JX54">
        <v>109.18</v>
      </c>
      <c r="JY54">
        <v>109.21</v>
      </c>
      <c r="JZ54">
        <v>109.25</v>
      </c>
      <c r="KA54">
        <v>109.35</v>
      </c>
      <c r="KB54">
        <v>109.45</v>
      </c>
      <c r="KC54">
        <v>109.55</v>
      </c>
      <c r="KD54">
        <v>109.64</v>
      </c>
      <c r="KE54">
        <v>109.77</v>
      </c>
      <c r="KF54">
        <v>109.79</v>
      </c>
      <c r="KG54">
        <v>109.81</v>
      </c>
      <c r="KH54">
        <v>109.89</v>
      </c>
      <c r="KI54">
        <v>109.91</v>
      </c>
      <c r="KJ54">
        <v>110</v>
      </c>
      <c r="KK54">
        <v>110.1</v>
      </c>
      <c r="KL54">
        <v>110.21</v>
      </c>
      <c r="KM54">
        <v>110.23</v>
      </c>
      <c r="KN54">
        <v>110.24</v>
      </c>
      <c r="KO54">
        <v>110.31</v>
      </c>
      <c r="KP54">
        <v>110.38</v>
      </c>
      <c r="KQ54">
        <v>110.46</v>
      </c>
      <c r="KR54">
        <v>110.53</v>
      </c>
      <c r="KS54">
        <v>110.62</v>
      </c>
      <c r="KT54">
        <v>110.64</v>
      </c>
      <c r="KU54">
        <v>110.66</v>
      </c>
      <c r="KV54">
        <v>110.72</v>
      </c>
      <c r="KW54">
        <v>110.78</v>
      </c>
      <c r="KX54">
        <v>110.84</v>
      </c>
      <c r="KY54">
        <v>110.91</v>
      </c>
      <c r="KZ54">
        <v>111</v>
      </c>
      <c r="LA54">
        <v>111.03</v>
      </c>
      <c r="LB54">
        <v>111.04</v>
      </c>
      <c r="LC54">
        <v>111.11</v>
      </c>
      <c r="LD54">
        <v>111.15</v>
      </c>
      <c r="LE54">
        <v>111.22</v>
      </c>
      <c r="LF54">
        <v>111.33</v>
      </c>
      <c r="LG54">
        <v>111.45</v>
      </c>
      <c r="LH54">
        <v>111.5</v>
      </c>
      <c r="LI54">
        <v>111.53</v>
      </c>
      <c r="LJ54">
        <v>111.64</v>
      </c>
      <c r="LK54">
        <v>113.23</v>
      </c>
      <c r="LL54">
        <v>113.63</v>
      </c>
      <c r="LM54">
        <v>113.72</v>
      </c>
      <c r="LN54">
        <v>114.08</v>
      </c>
      <c r="LO54">
        <v>114.16</v>
      </c>
      <c r="LP54">
        <v>114.23</v>
      </c>
      <c r="LQ54">
        <v>114.59</v>
      </c>
      <c r="LR54">
        <v>114.99</v>
      </c>
      <c r="LS54">
        <v>115.46</v>
      </c>
      <c r="LT54">
        <v>115.93</v>
      </c>
      <c r="LU54">
        <v>116.47</v>
      </c>
      <c r="LV54">
        <v>116.62</v>
      </c>
      <c r="LW54">
        <v>116.72</v>
      </c>
      <c r="LX54">
        <v>117.12</v>
      </c>
      <c r="LY54">
        <v>117.56</v>
      </c>
      <c r="MA54">
        <v>118.46</v>
      </c>
      <c r="MB54">
        <v>118.98</v>
      </c>
      <c r="MC54">
        <v>119.09</v>
      </c>
      <c r="MD54">
        <v>119.18</v>
      </c>
      <c r="ME54">
        <v>119.58</v>
      </c>
      <c r="MF54">
        <v>120.06</v>
      </c>
      <c r="MG54">
        <v>120.18</v>
      </c>
      <c r="MH54">
        <v>120.65</v>
      </c>
      <c r="MI54">
        <v>121.23</v>
      </c>
      <c r="MJ54">
        <v>121.4</v>
      </c>
      <c r="MK54">
        <v>121.52</v>
      </c>
      <c r="ML54">
        <v>121.97</v>
      </c>
      <c r="MM54">
        <v>122.52</v>
      </c>
      <c r="MN54">
        <v>123.1</v>
      </c>
      <c r="MO54">
        <v>123.7</v>
      </c>
      <c r="MP54">
        <v>124.36</v>
      </c>
      <c r="MQ54">
        <v>124.56</v>
      </c>
      <c r="MR54">
        <v>124.69</v>
      </c>
      <c r="MS54">
        <v>125.29</v>
      </c>
      <c r="MT54">
        <v>125.96</v>
      </c>
      <c r="MU54">
        <v>126.8</v>
      </c>
      <c r="MV54">
        <v>127.69</v>
      </c>
      <c r="MW54">
        <v>128.62</v>
      </c>
      <c r="MX54">
        <v>128.93</v>
      </c>
      <c r="MY54">
        <v>129.16</v>
      </c>
      <c r="MZ54">
        <v>129.94</v>
      </c>
      <c r="NA54">
        <v>130.84</v>
      </c>
      <c r="NB54">
        <v>131.75</v>
      </c>
      <c r="NC54">
        <v>132.69999999999999</v>
      </c>
      <c r="ND54">
        <v>133.66</v>
      </c>
      <c r="NE54">
        <v>133.94999999999999</v>
      </c>
      <c r="NF54">
        <v>134.16999999999999</v>
      </c>
      <c r="NG54">
        <v>134.91</v>
      </c>
      <c r="NH54">
        <v>135.82</v>
      </c>
      <c r="NI54">
        <v>136.65</v>
      </c>
      <c r="NJ54">
        <v>137.53</v>
      </c>
      <c r="NM54">
        <v>139.01</v>
      </c>
      <c r="NN54">
        <v>139.80000000000001</v>
      </c>
      <c r="NO54">
        <v>140.63</v>
      </c>
      <c r="NP54">
        <v>141.36000000000001</v>
      </c>
      <c r="NQ54">
        <v>141.71</v>
      </c>
      <c r="NR54">
        <v>141.72</v>
      </c>
      <c r="NS54">
        <v>141.72</v>
      </c>
      <c r="NT54">
        <v>141.74</v>
      </c>
      <c r="NU54">
        <v>142.31</v>
      </c>
      <c r="NV54">
        <v>142.99</v>
      </c>
      <c r="NX54">
        <v>144.13999999999999</v>
      </c>
      <c r="NY54">
        <v>144.25</v>
      </c>
      <c r="NZ54">
        <v>144.26</v>
      </c>
      <c r="OA54">
        <v>144.4</v>
      </c>
      <c r="OB54">
        <v>145.06</v>
      </c>
      <c r="OC54">
        <v>145.88999999999999</v>
      </c>
      <c r="OD54">
        <v>146.77000000000001</v>
      </c>
      <c r="OE54">
        <v>147.72999999999999</v>
      </c>
      <c r="OF54">
        <v>148.77000000000001</v>
      </c>
      <c r="OG54">
        <v>149.11000000000001</v>
      </c>
      <c r="OH54">
        <v>149.31</v>
      </c>
      <c r="OI54">
        <v>150.04</v>
      </c>
      <c r="OJ54">
        <v>150.84</v>
      </c>
      <c r="OK54">
        <v>151.68</v>
      </c>
      <c r="OL54">
        <v>152.47999999999999</v>
      </c>
      <c r="OM54">
        <v>153.34</v>
      </c>
      <c r="ON54">
        <v>153.59</v>
      </c>
      <c r="OO54">
        <v>153.71</v>
      </c>
      <c r="OP54">
        <v>154.22999999999999</v>
      </c>
      <c r="OQ54">
        <v>154.78</v>
      </c>
      <c r="OR54">
        <v>155.26</v>
      </c>
      <c r="OS54">
        <v>155.79</v>
      </c>
      <c r="OT54">
        <v>156.37</v>
      </c>
      <c r="OU54">
        <v>156.47999999999999</v>
      </c>
      <c r="OV54">
        <v>156.55000000000001</v>
      </c>
      <c r="OW54">
        <v>156.91</v>
      </c>
      <c r="OX54">
        <v>157.27000000000001</v>
      </c>
      <c r="OY54">
        <v>157.65</v>
      </c>
      <c r="OZ54">
        <v>158.02000000000001</v>
      </c>
      <c r="PA54">
        <v>158.55000000000001</v>
      </c>
      <c r="PB54">
        <v>158.66999999999999</v>
      </c>
      <c r="PC54">
        <v>158.72</v>
      </c>
      <c r="PD54">
        <v>159.01</v>
      </c>
      <c r="PE54">
        <v>159.26</v>
      </c>
      <c r="PF54">
        <v>159.51</v>
      </c>
      <c r="PG54">
        <v>159.76</v>
      </c>
      <c r="PH54">
        <v>160.11000000000001</v>
      </c>
      <c r="PI54">
        <v>160.16</v>
      </c>
      <c r="PJ54">
        <v>160.18</v>
      </c>
      <c r="PK54">
        <v>160.34</v>
      </c>
      <c r="PL54">
        <v>160.49</v>
      </c>
      <c r="PN54">
        <v>160.79</v>
      </c>
      <c r="PO54">
        <v>161</v>
      </c>
      <c r="PP54">
        <v>161.03</v>
      </c>
      <c r="PQ54">
        <v>161.05000000000001</v>
      </c>
      <c r="PR54">
        <v>161.15</v>
      </c>
      <c r="PS54">
        <v>161.24</v>
      </c>
      <c r="PT54">
        <v>161.29</v>
      </c>
      <c r="PU54">
        <v>161.38</v>
      </c>
      <c r="PV54">
        <v>161.55000000000001</v>
      </c>
      <c r="PW54">
        <v>161.57</v>
      </c>
      <c r="PX54">
        <v>161.58000000000001</v>
      </c>
      <c r="PY54">
        <v>161.72</v>
      </c>
      <c r="PZ54">
        <v>161.79</v>
      </c>
      <c r="QA54">
        <v>161.86000000000001</v>
      </c>
      <c r="QB54">
        <v>161.94999999999999</v>
      </c>
      <c r="QC54">
        <v>162.06</v>
      </c>
      <c r="QD54">
        <v>162.08000000000001</v>
      </c>
      <c r="QF54">
        <v>162.16</v>
      </c>
      <c r="QG54">
        <v>162.19</v>
      </c>
      <c r="QH54">
        <v>162.24</v>
      </c>
      <c r="QI54">
        <v>162.28</v>
      </c>
      <c r="QJ54">
        <v>162.37</v>
      </c>
      <c r="QK54">
        <v>162.38</v>
      </c>
      <c r="QL54">
        <v>162.38</v>
      </c>
      <c r="QM54">
        <v>162.41999999999999</v>
      </c>
      <c r="QN54">
        <v>162.44999999999999</v>
      </c>
      <c r="QO54">
        <v>162.49</v>
      </c>
      <c r="QP54">
        <v>162.53</v>
      </c>
      <c r="QQ54">
        <v>162.6</v>
      </c>
      <c r="QR54">
        <v>162.61000000000001</v>
      </c>
      <c r="QS54">
        <v>162.62</v>
      </c>
      <c r="QT54">
        <v>162.65</v>
      </c>
      <c r="QU54">
        <v>162.68</v>
      </c>
      <c r="QV54">
        <v>162.72</v>
      </c>
      <c r="QW54">
        <v>162.75</v>
      </c>
      <c r="QX54">
        <v>162.83000000000001</v>
      </c>
      <c r="QY54">
        <v>162.84</v>
      </c>
      <c r="QZ54">
        <v>162.84</v>
      </c>
      <c r="RA54">
        <v>162.87</v>
      </c>
      <c r="RB54">
        <v>162.88999999999999</v>
      </c>
      <c r="RC54">
        <v>162.93</v>
      </c>
      <c r="RD54">
        <v>162.97</v>
      </c>
      <c r="RE54">
        <v>163.04</v>
      </c>
      <c r="RF54">
        <v>163.04</v>
      </c>
      <c r="RG54">
        <v>163.05000000000001</v>
      </c>
      <c r="RH54">
        <v>163.07</v>
      </c>
      <c r="RI54">
        <v>163.1</v>
      </c>
      <c r="RJ54">
        <v>163.13999999999999</v>
      </c>
      <c r="RK54">
        <v>163.18</v>
      </c>
      <c r="RL54">
        <v>163.26</v>
      </c>
      <c r="RM54">
        <v>163.28</v>
      </c>
      <c r="RN54">
        <v>163.30000000000001</v>
      </c>
      <c r="RO54">
        <v>163.33000000000001</v>
      </c>
      <c r="RP54">
        <v>163.36000000000001</v>
      </c>
      <c r="RQ54">
        <v>163.44</v>
      </c>
      <c r="RR54">
        <v>163.46</v>
      </c>
      <c r="RS54">
        <v>163.47999999999999</v>
      </c>
      <c r="RT54">
        <v>163.52000000000001</v>
      </c>
      <c r="RU54">
        <v>163.56</v>
      </c>
      <c r="RV54">
        <v>163.57</v>
      </c>
      <c r="RW54">
        <v>163.57</v>
      </c>
      <c r="RX54">
        <v>163.59</v>
      </c>
      <c r="RY54">
        <v>163.62</v>
      </c>
      <c r="RZ54">
        <v>163.63999999999999</v>
      </c>
      <c r="SA54">
        <v>163.71</v>
      </c>
      <c r="SB54">
        <v>163.72</v>
      </c>
      <c r="SC54">
        <v>163.72</v>
      </c>
      <c r="SD54">
        <v>163.74</v>
      </c>
      <c r="SE54">
        <v>163.76</v>
      </c>
      <c r="SF54">
        <v>163.79</v>
      </c>
      <c r="SG54">
        <v>163.81</v>
      </c>
      <c r="SH54">
        <v>163.87</v>
      </c>
      <c r="SI54">
        <v>163.88</v>
      </c>
      <c r="SJ54">
        <v>163.88</v>
      </c>
      <c r="SK54">
        <v>163.89</v>
      </c>
      <c r="SL54">
        <v>163.91</v>
      </c>
      <c r="SM54">
        <v>163.93</v>
      </c>
      <c r="SN54">
        <v>163.96</v>
      </c>
      <c r="SO54">
        <v>164.01</v>
      </c>
      <c r="SP54">
        <v>164.01</v>
      </c>
      <c r="SQ54">
        <v>164.01</v>
      </c>
      <c r="SR54">
        <v>164.03</v>
      </c>
      <c r="SS54">
        <v>164.05</v>
      </c>
      <c r="ST54">
        <v>164.08</v>
      </c>
      <c r="SU54">
        <v>164.1</v>
      </c>
      <c r="SV54">
        <v>164.15</v>
      </c>
      <c r="SW54">
        <v>164.15</v>
      </c>
      <c r="SX54">
        <v>164.15</v>
      </c>
      <c r="SY54">
        <v>164.17</v>
      </c>
      <c r="TB54">
        <v>164.23</v>
      </c>
      <c r="TC54">
        <v>164.28</v>
      </c>
      <c r="TD54">
        <v>164.28</v>
      </c>
      <c r="TE54">
        <v>164.28</v>
      </c>
      <c r="TF54">
        <v>164.3</v>
      </c>
      <c r="TG54">
        <v>164.32</v>
      </c>
      <c r="TH54">
        <v>164.34</v>
      </c>
      <c r="TI54">
        <v>164.36</v>
      </c>
      <c r="TJ54">
        <v>164.4</v>
      </c>
      <c r="TK54">
        <v>164.41</v>
      </c>
      <c r="TL54">
        <v>164.41</v>
      </c>
      <c r="TM54">
        <v>164.42</v>
      </c>
      <c r="TN54">
        <v>164.44</v>
      </c>
      <c r="TO54">
        <v>164.46</v>
      </c>
      <c r="TP54">
        <v>164.48</v>
      </c>
      <c r="TQ54">
        <v>164.51</v>
      </c>
      <c r="TR54">
        <v>164.51</v>
      </c>
      <c r="TS54">
        <v>164.51</v>
      </c>
      <c r="TT54">
        <v>164.53</v>
      </c>
      <c r="TU54">
        <v>164.54</v>
      </c>
      <c r="TV54">
        <v>164.56</v>
      </c>
      <c r="TW54">
        <v>164.57</v>
      </c>
      <c r="TX54">
        <v>164.59</v>
      </c>
      <c r="TY54">
        <v>164.6</v>
      </c>
      <c r="TZ54">
        <v>164.6</v>
      </c>
      <c r="UA54">
        <v>164.61</v>
      </c>
      <c r="UB54">
        <v>164.62</v>
      </c>
      <c r="UC54">
        <v>164.63</v>
      </c>
      <c r="UD54">
        <v>164.64</v>
      </c>
      <c r="UE54">
        <v>164.67</v>
      </c>
      <c r="UF54">
        <v>164.67</v>
      </c>
      <c r="UG54">
        <v>164.67</v>
      </c>
      <c r="UH54">
        <v>164.68</v>
      </c>
      <c r="UI54">
        <v>164.69</v>
      </c>
      <c r="UJ54">
        <v>164.7</v>
      </c>
      <c r="UK54">
        <v>164.71</v>
      </c>
      <c r="UL54">
        <v>164.73</v>
      </c>
      <c r="UM54">
        <v>164.74</v>
      </c>
      <c r="UN54">
        <v>164.74</v>
      </c>
      <c r="UO54">
        <v>164.75</v>
      </c>
      <c r="UP54">
        <v>164.76</v>
      </c>
      <c r="UQ54">
        <v>164.77</v>
      </c>
      <c r="UR54">
        <v>164.79</v>
      </c>
      <c r="US54">
        <v>164.81</v>
      </c>
      <c r="UT54">
        <v>164.81</v>
      </c>
      <c r="UU54">
        <v>164.81</v>
      </c>
      <c r="UV54">
        <v>164.82</v>
      </c>
      <c r="UW54">
        <v>164.82</v>
      </c>
      <c r="UX54">
        <v>164.82</v>
      </c>
      <c r="UY54">
        <v>164.83</v>
      </c>
      <c r="UZ54">
        <v>164.86</v>
      </c>
      <c r="VA54">
        <v>164.86</v>
      </c>
      <c r="VB54">
        <v>168.21</v>
      </c>
      <c r="VC54">
        <v>168.22</v>
      </c>
      <c r="VD54">
        <v>168.24</v>
      </c>
      <c r="VE54">
        <v>168.26</v>
      </c>
      <c r="VF54">
        <v>168.27</v>
      </c>
      <c r="VG54">
        <v>168.3</v>
      </c>
      <c r="VH54">
        <v>168.31</v>
      </c>
      <c r="VI54">
        <v>168.31</v>
      </c>
      <c r="VJ54">
        <v>168.28</v>
      </c>
      <c r="VL54">
        <v>168.45</v>
      </c>
      <c r="VM54">
        <v>168.5</v>
      </c>
      <c r="VN54">
        <v>168.61</v>
      </c>
      <c r="VO54">
        <v>168.61</v>
      </c>
      <c r="VP54">
        <v>168.61</v>
      </c>
      <c r="VQ54">
        <v>168.67</v>
      </c>
      <c r="VR54">
        <v>168.72</v>
      </c>
      <c r="VS54">
        <v>168.81</v>
      </c>
      <c r="VT54">
        <v>168.87</v>
      </c>
      <c r="VU54">
        <v>168.97</v>
      </c>
      <c r="VV54">
        <v>168.98</v>
      </c>
      <c r="VW54">
        <v>169.02</v>
      </c>
      <c r="VX54">
        <v>169.07</v>
      </c>
      <c r="VY54">
        <v>169.13</v>
      </c>
      <c r="VZ54">
        <v>169.19</v>
      </c>
      <c r="WA54">
        <v>169.27</v>
      </c>
      <c r="WB54">
        <v>169.28</v>
      </c>
      <c r="WC54">
        <v>169.28</v>
      </c>
      <c r="WD54">
        <v>169.31</v>
      </c>
      <c r="WE54">
        <v>169.37</v>
      </c>
      <c r="WF54">
        <v>169.43</v>
      </c>
      <c r="WG54">
        <v>169.49</v>
      </c>
      <c r="WH54">
        <v>169.57</v>
      </c>
      <c r="WI54">
        <v>169.57</v>
      </c>
      <c r="WJ54">
        <v>169.57</v>
      </c>
      <c r="WK54">
        <v>169.57</v>
      </c>
      <c r="WM54">
        <v>169.72</v>
      </c>
      <c r="WN54">
        <v>169.79</v>
      </c>
      <c r="WO54">
        <v>169.88</v>
      </c>
      <c r="WP54">
        <v>169.89</v>
      </c>
      <c r="WQ54">
        <v>169.9</v>
      </c>
      <c r="WR54">
        <v>169.94</v>
      </c>
      <c r="WS54">
        <v>170</v>
      </c>
      <c r="WT54">
        <v>170.06</v>
      </c>
      <c r="WU54">
        <v>170.13</v>
      </c>
      <c r="WV54">
        <v>170.22</v>
      </c>
      <c r="WW54">
        <v>170.22</v>
      </c>
      <c r="WX54">
        <v>170.23</v>
      </c>
      <c r="WY54">
        <v>170.27</v>
      </c>
      <c r="WZ54">
        <v>170.32</v>
      </c>
      <c r="XA54">
        <v>170.38</v>
      </c>
      <c r="XB54">
        <v>170.45</v>
      </c>
      <c r="XC54">
        <v>170.52</v>
      </c>
      <c r="XD54">
        <v>170.53</v>
      </c>
      <c r="XE54">
        <v>170.53</v>
      </c>
      <c r="XF54">
        <v>170.57</v>
      </c>
      <c r="XG54">
        <v>170.62</v>
      </c>
      <c r="XH54">
        <v>170.68</v>
      </c>
      <c r="XI54">
        <v>170.75</v>
      </c>
      <c r="XJ54">
        <v>170.81</v>
      </c>
      <c r="XK54">
        <v>170.81</v>
      </c>
      <c r="XL54">
        <v>170.81</v>
      </c>
      <c r="XM54">
        <v>170.86</v>
      </c>
      <c r="XP54">
        <v>171.07</v>
      </c>
      <c r="XQ54">
        <v>171.18</v>
      </c>
      <c r="XR54">
        <v>171.19</v>
      </c>
      <c r="XS54">
        <v>171.19</v>
      </c>
      <c r="XT54">
        <v>171.25</v>
      </c>
      <c r="XU54">
        <v>171.34</v>
      </c>
      <c r="XV54">
        <v>171.44</v>
      </c>
      <c r="XW54">
        <v>171.54</v>
      </c>
      <c r="XX54">
        <v>171.65</v>
      </c>
      <c r="XY54">
        <v>171.66</v>
      </c>
      <c r="YA54">
        <v>171.73</v>
      </c>
      <c r="YB54">
        <v>171.82</v>
      </c>
      <c r="YC54">
        <v>171.83</v>
      </c>
      <c r="YD54">
        <v>171.92</v>
      </c>
      <c r="YE54">
        <v>172.05</v>
      </c>
      <c r="YF54">
        <v>172.06</v>
      </c>
      <c r="YG54">
        <v>172.07</v>
      </c>
      <c r="YH54">
        <v>172.15</v>
      </c>
      <c r="YI54">
        <v>172.21</v>
      </c>
      <c r="YJ54">
        <v>172.35</v>
      </c>
      <c r="YK54">
        <v>172.5</v>
      </c>
      <c r="YL54">
        <v>172.7</v>
      </c>
      <c r="YM54">
        <v>172.71</v>
      </c>
      <c r="YN54">
        <v>172.71</v>
      </c>
      <c r="YO54">
        <v>172.93</v>
      </c>
      <c r="YP54">
        <v>172.93</v>
      </c>
      <c r="YQ54">
        <v>173.08</v>
      </c>
      <c r="YR54">
        <v>173.23</v>
      </c>
      <c r="YS54">
        <v>173.43</v>
      </c>
      <c r="YT54">
        <v>173.44</v>
      </c>
      <c r="YU54">
        <v>173.44</v>
      </c>
      <c r="YV54">
        <v>173.53</v>
      </c>
      <c r="YW54">
        <v>173.66</v>
      </c>
      <c r="YX54">
        <v>173.8</v>
      </c>
      <c r="YY54">
        <v>173.96</v>
      </c>
      <c r="YZ54">
        <v>174.17</v>
      </c>
      <c r="ZA54">
        <v>174.18</v>
      </c>
      <c r="ZB54">
        <v>174.18</v>
      </c>
      <c r="ZC54">
        <v>174.27</v>
      </c>
      <c r="ZE54">
        <v>174.81</v>
      </c>
      <c r="ZF54">
        <v>174.94</v>
      </c>
      <c r="ZG54">
        <v>174.95</v>
      </c>
      <c r="ZH54">
        <v>174.96</v>
      </c>
      <c r="ZJ54">
        <v>175.05</v>
      </c>
      <c r="ZL54">
        <v>175.26</v>
      </c>
      <c r="ZM54">
        <v>175.38</v>
      </c>
      <c r="ZN54">
        <v>175.54</v>
      </c>
      <c r="ZO54">
        <v>175.55</v>
      </c>
      <c r="ZP54">
        <v>175.55</v>
      </c>
      <c r="ZQ54">
        <v>175.62</v>
      </c>
      <c r="ZR54">
        <v>175.7</v>
      </c>
      <c r="ZS54">
        <v>175.8</v>
      </c>
      <c r="ZT54">
        <v>175.89</v>
      </c>
      <c r="ZU54">
        <v>176.01</v>
      </c>
      <c r="ZV54">
        <v>176.01</v>
      </c>
      <c r="ZW54">
        <v>176.01</v>
      </c>
      <c r="ZX54">
        <v>176.06</v>
      </c>
      <c r="ZY54">
        <v>176.14</v>
      </c>
      <c r="ZZ54">
        <v>176.22</v>
      </c>
      <c r="AAA54">
        <v>176.23</v>
      </c>
      <c r="AAB54">
        <v>176.29</v>
      </c>
      <c r="AAC54">
        <v>176.29</v>
      </c>
      <c r="AAD54">
        <v>176.3</v>
      </c>
      <c r="AAE54">
        <v>176.34</v>
      </c>
      <c r="AAF54">
        <v>176.39</v>
      </c>
      <c r="AAG54">
        <v>176.45</v>
      </c>
      <c r="AAH54">
        <v>176.52</v>
      </c>
      <c r="AAI54">
        <v>176.6</v>
      </c>
      <c r="AAJ54">
        <v>176.6</v>
      </c>
      <c r="AAK54">
        <v>176.61</v>
      </c>
      <c r="AAL54">
        <v>176.64</v>
      </c>
      <c r="AAN54">
        <v>176.73</v>
      </c>
      <c r="AAO54">
        <v>176.77</v>
      </c>
      <c r="AAP54">
        <v>176.82</v>
      </c>
      <c r="AAQ54">
        <v>176.82</v>
      </c>
      <c r="AAR54">
        <v>176.82</v>
      </c>
      <c r="AAS54">
        <v>176.84</v>
      </c>
      <c r="AAT54">
        <v>176.88</v>
      </c>
      <c r="AAU54">
        <v>176.91</v>
      </c>
      <c r="AAV54">
        <v>176.95</v>
      </c>
      <c r="AAW54">
        <v>176.98</v>
      </c>
      <c r="AAX54">
        <v>176.98</v>
      </c>
      <c r="AAY54">
        <v>176.98</v>
      </c>
      <c r="AAZ54">
        <v>177</v>
      </c>
      <c r="ABA54">
        <v>177.02</v>
      </c>
      <c r="ABB54">
        <v>177.04</v>
      </c>
      <c r="ABC54">
        <v>177.06</v>
      </c>
      <c r="ABD54">
        <v>177.09</v>
      </c>
      <c r="ABE54">
        <v>177.09</v>
      </c>
      <c r="ABF54">
        <v>177.09</v>
      </c>
      <c r="ABG54">
        <v>177.11</v>
      </c>
      <c r="ABH54">
        <v>177.12</v>
      </c>
      <c r="ABI54">
        <v>177.13</v>
      </c>
      <c r="ABJ54">
        <v>177.14</v>
      </c>
      <c r="ABK54">
        <v>177.14</v>
      </c>
      <c r="ABM54">
        <v>177.14</v>
      </c>
      <c r="ABO54">
        <v>177.14</v>
      </c>
      <c r="ABP54">
        <v>177.14</v>
      </c>
      <c r="ABQ54">
        <v>177.15</v>
      </c>
      <c r="ABR54">
        <v>177.15</v>
      </c>
      <c r="ABS54">
        <v>177.15</v>
      </c>
      <c r="ABT54">
        <v>177.15</v>
      </c>
      <c r="ABU54">
        <v>177.15</v>
      </c>
      <c r="ABV54">
        <v>177.16</v>
      </c>
      <c r="ABW54">
        <v>177.17</v>
      </c>
      <c r="ABX54">
        <v>177.18</v>
      </c>
      <c r="ABY54">
        <v>177.19</v>
      </c>
      <c r="ABZ54">
        <v>177.2</v>
      </c>
      <c r="ACA54">
        <v>177.2</v>
      </c>
      <c r="ACB54">
        <v>177.2</v>
      </c>
      <c r="ACC54">
        <v>177.21</v>
      </c>
      <c r="ACD54">
        <v>177.22</v>
      </c>
      <c r="ACE54">
        <v>177.24</v>
      </c>
      <c r="ACF54">
        <v>177.25</v>
      </c>
      <c r="ACG54">
        <v>177.25</v>
      </c>
      <c r="ACH54">
        <v>177.25</v>
      </c>
      <c r="ACI54">
        <v>177.3</v>
      </c>
      <c r="ACJ54">
        <v>177.31</v>
      </c>
      <c r="ACK54">
        <v>177.32</v>
      </c>
      <c r="ACL54">
        <v>177.33</v>
      </c>
      <c r="ACM54">
        <v>177.34</v>
      </c>
      <c r="ACN54">
        <v>177.34</v>
      </c>
      <c r="ACO54">
        <v>177.34</v>
      </c>
      <c r="ACP54">
        <v>177.34</v>
      </c>
      <c r="ACQ54">
        <v>177.35</v>
      </c>
      <c r="ACR54">
        <v>177.35</v>
      </c>
      <c r="ACS54">
        <v>177.36</v>
      </c>
      <c r="ACT54">
        <v>177.37</v>
      </c>
      <c r="ACU54">
        <v>177.37</v>
      </c>
      <c r="ACW54">
        <v>177.37</v>
      </c>
      <c r="ACX54">
        <v>177.38</v>
      </c>
      <c r="ACY54">
        <v>177.38</v>
      </c>
      <c r="ACZ54">
        <v>177.39</v>
      </c>
      <c r="ADA54">
        <v>177.39</v>
      </c>
      <c r="ADB54">
        <v>177.39</v>
      </c>
      <c r="ADC54">
        <v>177.39</v>
      </c>
      <c r="ADD54">
        <v>177.36</v>
      </c>
      <c r="ADE54">
        <v>177.36</v>
      </c>
      <c r="ADF54">
        <v>177.36</v>
      </c>
      <c r="ADG54">
        <v>177.37</v>
      </c>
      <c r="ADH54">
        <v>177.37</v>
      </c>
      <c r="ADI54">
        <v>177.37</v>
      </c>
      <c r="ADJ54">
        <v>177.37</v>
      </c>
      <c r="ADK54">
        <v>177.38</v>
      </c>
      <c r="ADL54">
        <v>177.38</v>
      </c>
      <c r="ADM54">
        <v>177.38</v>
      </c>
      <c r="ADN54">
        <v>177.38</v>
      </c>
      <c r="ADO54">
        <v>177.39</v>
      </c>
      <c r="ADP54">
        <v>177.39</v>
      </c>
      <c r="ADR54">
        <v>177.39</v>
      </c>
      <c r="ADS54">
        <v>177.39</v>
      </c>
      <c r="ADT54">
        <v>177.4</v>
      </c>
      <c r="ADU54">
        <v>177.4</v>
      </c>
      <c r="ADV54">
        <v>177.4</v>
      </c>
      <c r="ADW54">
        <v>177.4</v>
      </c>
      <c r="ADX54">
        <v>177.4</v>
      </c>
      <c r="ADY54">
        <v>177.41</v>
      </c>
      <c r="ADZ54">
        <v>177.41</v>
      </c>
      <c r="AEA54">
        <v>177.41</v>
      </c>
      <c r="AEB54">
        <v>177.41</v>
      </c>
      <c r="AEC54">
        <v>177.42</v>
      </c>
      <c r="AED54">
        <v>177.42</v>
      </c>
      <c r="AEE54">
        <v>177.42</v>
      </c>
      <c r="AEF54">
        <v>177.42</v>
      </c>
    </row>
    <row r="55" spans="1:812">
      <c r="A55" s="1" t="s">
        <v>306</v>
      </c>
      <c r="B55" s="1" t="s">
        <v>326</v>
      </c>
      <c r="EB55">
        <v>0</v>
      </c>
      <c r="EI55">
        <v>0</v>
      </c>
      <c r="EZ55">
        <v>0.01</v>
      </c>
      <c r="FF55">
        <v>0.01</v>
      </c>
      <c r="FI55">
        <v>0.02</v>
      </c>
      <c r="FL55">
        <v>0.02</v>
      </c>
      <c r="FN55">
        <v>0.02</v>
      </c>
      <c r="FS55">
        <v>0.03</v>
      </c>
      <c r="GA55">
        <v>0.03</v>
      </c>
      <c r="GC55">
        <v>0.04</v>
      </c>
      <c r="GG55">
        <v>0.04</v>
      </c>
      <c r="GM55">
        <v>0.05</v>
      </c>
      <c r="GQ55">
        <v>0.06</v>
      </c>
      <c r="GU55">
        <v>7.0000000000000007E-2</v>
      </c>
      <c r="HB55">
        <v>7.0000000000000007E-2</v>
      </c>
      <c r="HI55">
        <v>0.08</v>
      </c>
      <c r="HP55">
        <v>0.09</v>
      </c>
      <c r="HU55">
        <v>0.09</v>
      </c>
      <c r="IE55">
        <v>0.1</v>
      </c>
      <c r="IK55">
        <v>0.1</v>
      </c>
      <c r="IV55">
        <v>0.09</v>
      </c>
      <c r="IY55">
        <v>0.1</v>
      </c>
      <c r="JG55">
        <v>0.11</v>
      </c>
      <c r="KA55">
        <v>0.14000000000000001</v>
      </c>
      <c r="KC55">
        <v>0.15</v>
      </c>
      <c r="LJ55">
        <v>0.16</v>
      </c>
      <c r="ML55">
        <v>0.18</v>
      </c>
      <c r="NV55">
        <v>0.32</v>
      </c>
    </row>
    <row r="56" spans="1:812">
      <c r="A56" s="1" t="s">
        <v>102</v>
      </c>
      <c r="B56" s="1" t="s">
        <v>260</v>
      </c>
      <c r="T56">
        <v>0.11</v>
      </c>
      <c r="U56">
        <v>0.15</v>
      </c>
      <c r="V56">
        <v>0.3</v>
      </c>
      <c r="W56">
        <v>0.5</v>
      </c>
      <c r="X56">
        <v>0.6</v>
      </c>
      <c r="Y56">
        <v>0.64</v>
      </c>
      <c r="Z56">
        <v>0.8</v>
      </c>
      <c r="AA56">
        <v>0.89</v>
      </c>
      <c r="AB56">
        <v>0.93</v>
      </c>
      <c r="AC56">
        <v>1.17</v>
      </c>
      <c r="AD56">
        <v>1.5</v>
      </c>
      <c r="AE56">
        <v>1.8</v>
      </c>
      <c r="AF56">
        <v>1.95</v>
      </c>
      <c r="AG56">
        <v>1.98</v>
      </c>
      <c r="AH56">
        <v>1.99</v>
      </c>
      <c r="AI56">
        <v>2</v>
      </c>
      <c r="AJ56">
        <v>2.0099999999999998</v>
      </c>
      <c r="AK56">
        <v>2.23</v>
      </c>
      <c r="AL56">
        <v>2.54</v>
      </c>
      <c r="AM56">
        <v>2.8</v>
      </c>
      <c r="AN56">
        <v>2.88</v>
      </c>
      <c r="AO56">
        <v>2.94</v>
      </c>
      <c r="AP56">
        <v>3.04</v>
      </c>
      <c r="AQ56">
        <v>3.12</v>
      </c>
      <c r="AR56">
        <v>3.18</v>
      </c>
      <c r="AS56">
        <v>3.24</v>
      </c>
      <c r="AT56">
        <v>3.35</v>
      </c>
      <c r="AU56">
        <v>3.49</v>
      </c>
      <c r="AV56">
        <v>3.61</v>
      </c>
      <c r="AW56">
        <v>3.66</v>
      </c>
      <c r="AX56">
        <v>3.69</v>
      </c>
      <c r="AY56">
        <v>3.77</v>
      </c>
      <c r="AZ56">
        <v>3.91</v>
      </c>
      <c r="BA56">
        <v>4.25</v>
      </c>
      <c r="BB56">
        <v>4.49</v>
      </c>
      <c r="BC56">
        <v>4.7300000000000004</v>
      </c>
      <c r="BD56">
        <v>4.88</v>
      </c>
      <c r="BE56">
        <v>4.96</v>
      </c>
      <c r="BF56">
        <v>5.0999999999999996</v>
      </c>
      <c r="BG56">
        <v>5.31</v>
      </c>
      <c r="BH56">
        <v>5.57</v>
      </c>
      <c r="BI56">
        <v>5.7</v>
      </c>
      <c r="BJ56">
        <v>5.8</v>
      </c>
      <c r="BK56">
        <v>5.96</v>
      </c>
      <c r="BL56">
        <v>6.11</v>
      </c>
      <c r="BM56">
        <v>6.23</v>
      </c>
      <c r="BN56">
        <v>6.37</v>
      </c>
      <c r="BO56">
        <v>6.71</v>
      </c>
      <c r="BP56">
        <v>6.84</v>
      </c>
      <c r="BQ56">
        <v>6.96</v>
      </c>
      <c r="BR56">
        <v>7.26</v>
      </c>
      <c r="BS56">
        <v>7.51</v>
      </c>
      <c r="BT56">
        <v>7.7</v>
      </c>
      <c r="BU56">
        <v>7.9</v>
      </c>
      <c r="BV56">
        <v>8.16</v>
      </c>
      <c r="BW56">
        <v>8.35</v>
      </c>
      <c r="BX56">
        <v>8.5399999999999991</v>
      </c>
      <c r="BY56">
        <v>8.7899999999999991</v>
      </c>
      <c r="BZ56">
        <v>9.08</v>
      </c>
      <c r="CA56">
        <v>9.35</v>
      </c>
      <c r="CB56">
        <v>9.61</v>
      </c>
      <c r="CC56">
        <v>10.25</v>
      </c>
      <c r="CD56">
        <v>10.39</v>
      </c>
      <c r="CE56">
        <v>10.6</v>
      </c>
      <c r="CF56">
        <v>10.95</v>
      </c>
      <c r="CG56">
        <v>11.26</v>
      </c>
      <c r="CH56">
        <v>11.5</v>
      </c>
      <c r="CI56">
        <v>11.83</v>
      </c>
      <c r="CJ56">
        <v>12.22</v>
      </c>
      <c r="CK56">
        <v>12.54</v>
      </c>
      <c r="CL56">
        <v>12.82</v>
      </c>
      <c r="CM56">
        <v>13.1</v>
      </c>
      <c r="CN56">
        <v>13.42</v>
      </c>
      <c r="CO56">
        <v>13.75</v>
      </c>
      <c r="CP56">
        <v>13.97</v>
      </c>
      <c r="CQ56">
        <v>14.21</v>
      </c>
      <c r="CR56">
        <v>14.39</v>
      </c>
      <c r="CS56">
        <v>14.58</v>
      </c>
      <c r="CT56">
        <v>14.8</v>
      </c>
      <c r="CU56">
        <v>15.08</v>
      </c>
      <c r="CV56">
        <v>15.43</v>
      </c>
      <c r="CW56">
        <v>15.81</v>
      </c>
      <c r="CX56">
        <v>16.149999999999999</v>
      </c>
      <c r="CY56">
        <v>16.28</v>
      </c>
      <c r="CZ56">
        <v>16.45</v>
      </c>
      <c r="DA56">
        <v>16.66</v>
      </c>
      <c r="DB56">
        <v>16.89</v>
      </c>
      <c r="DC56">
        <v>17.3</v>
      </c>
      <c r="DD56">
        <v>17.579999999999998</v>
      </c>
      <c r="DE56">
        <v>17.82</v>
      </c>
      <c r="DF56">
        <v>18.05</v>
      </c>
      <c r="DG56">
        <v>18.28</v>
      </c>
      <c r="DH56">
        <v>18.7</v>
      </c>
      <c r="DI56">
        <v>19.18</v>
      </c>
      <c r="DJ56">
        <v>19.579999999999998</v>
      </c>
      <c r="DK56">
        <v>19.68</v>
      </c>
      <c r="DL56">
        <v>19.89</v>
      </c>
      <c r="DM56">
        <v>20.14</v>
      </c>
      <c r="DN56">
        <v>20.37</v>
      </c>
      <c r="DO56">
        <v>20.61</v>
      </c>
      <c r="DP56">
        <v>20.99</v>
      </c>
      <c r="DQ56">
        <v>21.42</v>
      </c>
      <c r="DR56">
        <v>21.81</v>
      </c>
      <c r="DS56">
        <v>22.24</v>
      </c>
      <c r="DT56">
        <v>22.63</v>
      </c>
      <c r="DU56">
        <v>22.95</v>
      </c>
      <c r="DV56">
        <v>24.78</v>
      </c>
      <c r="DW56">
        <v>25.21</v>
      </c>
      <c r="DX56">
        <v>25.6</v>
      </c>
      <c r="DY56">
        <v>26.02</v>
      </c>
      <c r="DZ56">
        <v>26.46</v>
      </c>
      <c r="EA56">
        <v>26.84</v>
      </c>
      <c r="EB56">
        <v>27.18</v>
      </c>
      <c r="EC56">
        <v>27.85</v>
      </c>
      <c r="ED56">
        <v>28.53</v>
      </c>
      <c r="EE56">
        <v>29.14</v>
      </c>
      <c r="EF56">
        <v>29.72</v>
      </c>
      <c r="EG56">
        <v>30.3</v>
      </c>
      <c r="EH56">
        <v>30.69</v>
      </c>
      <c r="EI56">
        <v>31.04</v>
      </c>
      <c r="EJ56">
        <v>31.72</v>
      </c>
      <c r="EK56">
        <v>32.54</v>
      </c>
      <c r="EL56">
        <v>33.32</v>
      </c>
      <c r="EM56">
        <v>34.07</v>
      </c>
      <c r="EN56">
        <v>34.369999999999997</v>
      </c>
      <c r="EO56">
        <v>34.51</v>
      </c>
      <c r="EP56">
        <v>35.04</v>
      </c>
      <c r="EQ56">
        <v>36.18</v>
      </c>
      <c r="ER56">
        <v>37.090000000000003</v>
      </c>
      <c r="ES56">
        <v>38.06</v>
      </c>
      <c r="ET56">
        <v>38.869999999999997</v>
      </c>
      <c r="EU56">
        <v>39.58</v>
      </c>
      <c r="EV56">
        <v>40.28</v>
      </c>
      <c r="EW56">
        <v>40.840000000000003</v>
      </c>
      <c r="EX56">
        <v>41.92</v>
      </c>
      <c r="EY56">
        <v>42.89</v>
      </c>
      <c r="EZ56">
        <v>43.81</v>
      </c>
      <c r="FA56">
        <v>44.49</v>
      </c>
      <c r="FB56">
        <v>45.38</v>
      </c>
      <c r="FC56">
        <v>45.98</v>
      </c>
      <c r="FD56">
        <v>46.57</v>
      </c>
      <c r="FE56">
        <v>47.62</v>
      </c>
      <c r="FF56">
        <v>48.67</v>
      </c>
      <c r="FG56">
        <v>49.61</v>
      </c>
      <c r="FH56">
        <v>50.55</v>
      </c>
      <c r="FI56">
        <v>51.49</v>
      </c>
      <c r="FJ56">
        <v>52.15</v>
      </c>
      <c r="FK56">
        <v>52.64</v>
      </c>
      <c r="FL56">
        <v>53.22</v>
      </c>
      <c r="FM56">
        <v>54.19</v>
      </c>
      <c r="FN56">
        <v>55.22</v>
      </c>
      <c r="GX56">
        <v>92.12</v>
      </c>
      <c r="GY56">
        <v>93.21</v>
      </c>
      <c r="GZ56">
        <v>93.97</v>
      </c>
      <c r="HA56">
        <v>94.69</v>
      </c>
      <c r="HB56">
        <v>95.99</v>
      </c>
      <c r="HD56">
        <v>97.42</v>
      </c>
      <c r="HE56">
        <v>100.34</v>
      </c>
      <c r="HF56">
        <v>101.69</v>
      </c>
      <c r="HG56">
        <v>102.6</v>
      </c>
      <c r="HH56">
        <v>103.57</v>
      </c>
      <c r="HJ56">
        <v>105.12</v>
      </c>
      <c r="HK56">
        <v>108.2</v>
      </c>
      <c r="HM56">
        <v>109.68</v>
      </c>
      <c r="HN56">
        <v>111.83</v>
      </c>
      <c r="HP56">
        <v>112.77</v>
      </c>
      <c r="HQ56">
        <v>115.81</v>
      </c>
      <c r="HR56">
        <v>117.28</v>
      </c>
      <c r="HS56">
        <v>118.59</v>
      </c>
      <c r="HT56">
        <v>119.77</v>
      </c>
      <c r="HV56">
        <v>120.48</v>
      </c>
      <c r="HW56">
        <v>122.41</v>
      </c>
      <c r="HY56">
        <v>123.58</v>
      </c>
      <c r="HZ56">
        <v>125.65</v>
      </c>
      <c r="IA56">
        <v>126.49</v>
      </c>
      <c r="IB56">
        <v>126.95</v>
      </c>
      <c r="IC56">
        <v>127.43</v>
      </c>
      <c r="ID56">
        <v>128.4</v>
      </c>
      <c r="IE56">
        <v>129.37</v>
      </c>
      <c r="IF56">
        <v>130.34</v>
      </c>
      <c r="IG56">
        <v>131.22</v>
      </c>
      <c r="IH56">
        <v>132.09</v>
      </c>
      <c r="II56">
        <v>132.68</v>
      </c>
      <c r="IJ56">
        <v>133.38</v>
      </c>
      <c r="IL56">
        <v>134.5</v>
      </c>
      <c r="IM56">
        <v>136.71</v>
      </c>
      <c r="IN56">
        <v>137.68</v>
      </c>
      <c r="IO56">
        <v>138.6</v>
      </c>
      <c r="IP56">
        <v>139.29</v>
      </c>
      <c r="IQ56">
        <v>140.02000000000001</v>
      </c>
      <c r="IR56">
        <v>140.91</v>
      </c>
      <c r="IS56">
        <v>141.68</v>
      </c>
      <c r="IT56">
        <v>142.4</v>
      </c>
      <c r="IU56">
        <v>142.97</v>
      </c>
      <c r="IV56">
        <v>143.02000000000001</v>
      </c>
      <c r="IW56">
        <v>143.44</v>
      </c>
      <c r="IX56">
        <v>143.77000000000001</v>
      </c>
      <c r="IY56">
        <v>144.38</v>
      </c>
      <c r="IZ56">
        <v>144.97</v>
      </c>
      <c r="JA56">
        <v>145.38</v>
      </c>
      <c r="JB56">
        <v>145.77000000000001</v>
      </c>
      <c r="JC56">
        <v>146.19</v>
      </c>
      <c r="JD56">
        <v>146.41</v>
      </c>
      <c r="JE56">
        <v>146.66</v>
      </c>
      <c r="JF56">
        <v>147.13</v>
      </c>
      <c r="JG56">
        <v>147.49</v>
      </c>
      <c r="JI56">
        <v>147.93</v>
      </c>
      <c r="JK56">
        <v>148.28</v>
      </c>
      <c r="JM56">
        <v>148.6</v>
      </c>
      <c r="JO56">
        <v>148.77000000000001</v>
      </c>
      <c r="JQ56">
        <v>149.22</v>
      </c>
      <c r="JS56">
        <v>149.46</v>
      </c>
      <c r="JT56">
        <v>149.59</v>
      </c>
      <c r="JU56">
        <v>149.71</v>
      </c>
      <c r="JV56">
        <v>149.83000000000001</v>
      </c>
      <c r="JW56">
        <v>149.94</v>
      </c>
      <c r="JX56">
        <v>150.05000000000001</v>
      </c>
      <c r="JZ56">
        <v>150.19999999999999</v>
      </c>
      <c r="KA56">
        <v>150.32</v>
      </c>
      <c r="KB56">
        <v>150.41999999999999</v>
      </c>
      <c r="KC56">
        <v>150.51</v>
      </c>
      <c r="KD56">
        <v>150.59</v>
      </c>
      <c r="KG56">
        <v>150.78</v>
      </c>
      <c r="KI56">
        <v>150.91999999999999</v>
      </c>
      <c r="ML56">
        <v>153.71</v>
      </c>
      <c r="MM56">
        <v>153.87</v>
      </c>
      <c r="NG56">
        <v>179.56</v>
      </c>
      <c r="NH56">
        <v>180.84</v>
      </c>
      <c r="NN56">
        <v>193.78</v>
      </c>
      <c r="NQ56">
        <v>200.26</v>
      </c>
      <c r="NR56">
        <v>201.69</v>
      </c>
      <c r="NU56">
        <v>202.72</v>
      </c>
      <c r="NW56">
        <v>206.31</v>
      </c>
      <c r="OD56">
        <v>212.16</v>
      </c>
      <c r="OE56">
        <v>214.2</v>
      </c>
      <c r="OI56">
        <v>216.45</v>
      </c>
      <c r="PZ56">
        <v>226.46</v>
      </c>
      <c r="QB56">
        <v>226.52</v>
      </c>
      <c r="QF56">
        <v>226.58</v>
      </c>
      <c r="QO56">
        <v>226.03</v>
      </c>
      <c r="QP56">
        <v>226.05</v>
      </c>
      <c r="QS56">
        <v>226.09</v>
      </c>
      <c r="QU56">
        <v>226.02</v>
      </c>
      <c r="QV56">
        <v>226.03</v>
      </c>
      <c r="RR56">
        <v>227.32</v>
      </c>
      <c r="RW56">
        <v>227.35</v>
      </c>
      <c r="RY56">
        <v>227.31</v>
      </c>
      <c r="SC56">
        <v>227.34</v>
      </c>
      <c r="SE56">
        <v>227.34</v>
      </c>
      <c r="SI56">
        <v>227.35</v>
      </c>
      <c r="SJ56">
        <v>227.37</v>
      </c>
      <c r="SN56">
        <v>227.36</v>
      </c>
      <c r="ST56">
        <v>227.4</v>
      </c>
      <c r="SZ56">
        <v>227.42</v>
      </c>
      <c r="TF56">
        <v>227.44</v>
      </c>
      <c r="TM56">
        <v>227.47</v>
      </c>
      <c r="TP56">
        <v>227.47</v>
      </c>
      <c r="TU56">
        <v>227.45</v>
      </c>
      <c r="TV56">
        <v>227.47</v>
      </c>
      <c r="TW56">
        <v>227.48</v>
      </c>
      <c r="UB56">
        <v>227.48</v>
      </c>
      <c r="UC56">
        <v>227.5</v>
      </c>
      <c r="UD56">
        <v>227.51</v>
      </c>
      <c r="UG56">
        <v>227.54</v>
      </c>
      <c r="UH56">
        <v>227.56</v>
      </c>
      <c r="UI56">
        <v>227.57</v>
      </c>
      <c r="UJ56">
        <v>227.59</v>
      </c>
      <c r="UK56">
        <v>227.6</v>
      </c>
      <c r="UP56">
        <v>227.53</v>
      </c>
      <c r="UR56">
        <v>227.53</v>
      </c>
      <c r="UT56">
        <v>227.51</v>
      </c>
      <c r="UU56">
        <v>227.51</v>
      </c>
      <c r="UV56">
        <v>227.52</v>
      </c>
      <c r="UW56">
        <v>227.53</v>
      </c>
      <c r="VB56">
        <v>225.91</v>
      </c>
      <c r="VC56">
        <v>225.92</v>
      </c>
      <c r="VD56">
        <v>225.92</v>
      </c>
      <c r="VF56">
        <v>225.94</v>
      </c>
      <c r="VJ56">
        <v>225.96</v>
      </c>
      <c r="VL56">
        <v>225.89</v>
      </c>
      <c r="VM56">
        <v>225.9</v>
      </c>
      <c r="VS56">
        <v>225.87</v>
      </c>
      <c r="VW56">
        <v>225.82</v>
      </c>
      <c r="WG56">
        <v>225.78</v>
      </c>
      <c r="YQ56">
        <v>225.39</v>
      </c>
      <c r="YR56">
        <v>225.4</v>
      </c>
      <c r="ZC56">
        <v>225.37</v>
      </c>
      <c r="ZE56">
        <v>224.3</v>
      </c>
      <c r="ZJ56">
        <v>224.29</v>
      </c>
      <c r="ZL56">
        <v>224.27</v>
      </c>
      <c r="ZM56">
        <v>224.28</v>
      </c>
      <c r="ZS56">
        <v>224.27</v>
      </c>
      <c r="ZX56">
        <v>224.24</v>
      </c>
      <c r="ZY56">
        <v>224.24</v>
      </c>
      <c r="AAA56">
        <v>224.26</v>
      </c>
      <c r="AAB56">
        <v>224.26</v>
      </c>
      <c r="AAC56">
        <v>224.26</v>
      </c>
      <c r="AAD56">
        <v>224.26</v>
      </c>
      <c r="AAE56">
        <v>224.27</v>
      </c>
      <c r="AAF56">
        <v>224.27</v>
      </c>
      <c r="AAG56">
        <v>224.2</v>
      </c>
      <c r="AAH56">
        <v>224.2</v>
      </c>
      <c r="AAL56">
        <v>224.19</v>
      </c>
      <c r="AAN56">
        <v>224.16</v>
      </c>
      <c r="AAO56">
        <v>224.16</v>
      </c>
      <c r="AAS56">
        <v>224.1</v>
      </c>
      <c r="AAT56">
        <v>224.11</v>
      </c>
      <c r="AAU56">
        <v>224.11</v>
      </c>
      <c r="AAV56">
        <v>224.11</v>
      </c>
      <c r="AAW56">
        <v>224.11</v>
      </c>
      <c r="AAZ56">
        <v>224.06</v>
      </c>
      <c r="ABA56">
        <v>224.07</v>
      </c>
      <c r="ABB56">
        <v>224.07</v>
      </c>
      <c r="ABG56">
        <v>223.93</v>
      </c>
      <c r="ABH56">
        <v>223.93</v>
      </c>
      <c r="ABI56">
        <v>223.94</v>
      </c>
      <c r="ABJ56">
        <v>223.94</v>
      </c>
      <c r="ABK56">
        <v>223.94</v>
      </c>
      <c r="ABL56">
        <v>223.94</v>
      </c>
      <c r="ABM56">
        <v>223.94</v>
      </c>
      <c r="ABN56">
        <v>223.94</v>
      </c>
      <c r="ABO56">
        <v>223.94</v>
      </c>
      <c r="ABP56">
        <v>223.94</v>
      </c>
      <c r="ABQ56">
        <v>223.94</v>
      </c>
      <c r="ABU56">
        <v>223.84</v>
      </c>
      <c r="ABV56">
        <v>223.85</v>
      </c>
      <c r="ABW56">
        <v>223.85</v>
      </c>
      <c r="ABX56">
        <v>223.85</v>
      </c>
      <c r="ABY56">
        <v>223.85</v>
      </c>
      <c r="ABZ56">
        <v>223.85</v>
      </c>
      <c r="ACA56">
        <v>223.85</v>
      </c>
      <c r="ACC56">
        <v>223.8</v>
      </c>
      <c r="ACD56">
        <v>223.8</v>
      </c>
      <c r="ACE56">
        <v>223.8</v>
      </c>
      <c r="ACI56">
        <v>223.74</v>
      </c>
      <c r="ACJ56">
        <v>223.74</v>
      </c>
      <c r="ACK56">
        <v>223.74</v>
      </c>
      <c r="ACL56">
        <v>223.74</v>
      </c>
      <c r="ACP56">
        <v>223.62</v>
      </c>
      <c r="ACQ56">
        <v>223.62</v>
      </c>
      <c r="ACR56">
        <v>223.62</v>
      </c>
      <c r="ACS56">
        <v>223.62</v>
      </c>
      <c r="ACT56">
        <v>223.62</v>
      </c>
      <c r="ACU56">
        <v>223.62</v>
      </c>
      <c r="ACV56">
        <v>223.62</v>
      </c>
      <c r="ACW56">
        <v>223.62</v>
      </c>
      <c r="ACX56">
        <v>223.63</v>
      </c>
      <c r="ACY56">
        <v>223.63</v>
      </c>
      <c r="ACZ56">
        <v>223.63</v>
      </c>
      <c r="ADD56">
        <v>223.5</v>
      </c>
      <c r="ADE56">
        <v>223.5</v>
      </c>
      <c r="ADF56">
        <v>223.5</v>
      </c>
      <c r="ADG56">
        <v>223.5</v>
      </c>
      <c r="ADH56">
        <v>223.5</v>
      </c>
      <c r="ADI56">
        <v>223.5</v>
      </c>
      <c r="ADJ56">
        <v>223.5</v>
      </c>
      <c r="ADK56">
        <v>223.5</v>
      </c>
      <c r="ADL56">
        <v>223.51</v>
      </c>
      <c r="ADM56">
        <v>223.51</v>
      </c>
      <c r="ADN56">
        <v>223.51</v>
      </c>
      <c r="ADR56">
        <v>223.47</v>
      </c>
      <c r="ADS56">
        <v>223.47</v>
      </c>
      <c r="ADT56">
        <v>223.47</v>
      </c>
      <c r="ADU56">
        <v>223.47</v>
      </c>
      <c r="ADV56">
        <v>223.47</v>
      </c>
      <c r="ADW56">
        <v>223.47</v>
      </c>
      <c r="ADX56">
        <v>223.47</v>
      </c>
      <c r="ADZ56">
        <v>223.39</v>
      </c>
      <c r="AEA56">
        <v>223.39</v>
      </c>
      <c r="AEB56">
        <v>223.39</v>
      </c>
      <c r="AEC56">
        <v>223.39</v>
      </c>
      <c r="AED56">
        <v>223.39</v>
      </c>
      <c r="AEE56">
        <v>223.39</v>
      </c>
    </row>
    <row r="57" spans="1:812">
      <c r="A57" s="1" t="s">
        <v>123</v>
      </c>
      <c r="B57" s="1" t="s">
        <v>123</v>
      </c>
      <c r="EA57">
        <v>1.04</v>
      </c>
      <c r="EL57">
        <v>1.32</v>
      </c>
      <c r="FL57">
        <v>1.51</v>
      </c>
      <c r="FT57">
        <v>2.16</v>
      </c>
      <c r="GP57">
        <v>2.71</v>
      </c>
      <c r="IG57">
        <v>5.1100000000000003</v>
      </c>
      <c r="IN57">
        <v>5.37</v>
      </c>
      <c r="IU57">
        <v>5.49</v>
      </c>
      <c r="JA57">
        <v>5.81</v>
      </c>
      <c r="JH57">
        <v>6</v>
      </c>
      <c r="JP57">
        <v>6.46</v>
      </c>
      <c r="JV57">
        <v>6.59</v>
      </c>
      <c r="KC57">
        <v>6.71</v>
      </c>
      <c r="KK57">
        <v>9.19</v>
      </c>
      <c r="LS57">
        <v>9.19</v>
      </c>
      <c r="MH57">
        <v>9.6</v>
      </c>
      <c r="MN57">
        <v>9.9499999999999993</v>
      </c>
      <c r="MV57">
        <v>10.42</v>
      </c>
      <c r="NC57">
        <v>10.87</v>
      </c>
      <c r="NI57">
        <v>13.47</v>
      </c>
      <c r="NX57">
        <v>19.989999999999998</v>
      </c>
      <c r="OE57">
        <v>20.64</v>
      </c>
      <c r="OK57">
        <v>20.75</v>
      </c>
      <c r="RW57">
        <v>17.43</v>
      </c>
      <c r="SN57">
        <v>17.95</v>
      </c>
      <c r="ADJ57">
        <v>34.31</v>
      </c>
    </row>
    <row r="58" spans="1:812">
      <c r="A58" s="1" t="s">
        <v>214</v>
      </c>
      <c r="B58" s="1" t="s">
        <v>214</v>
      </c>
      <c r="BN58">
        <v>0</v>
      </c>
      <c r="CF58">
        <v>10</v>
      </c>
      <c r="CG58">
        <v>11.44</v>
      </c>
      <c r="CH58">
        <v>13.15</v>
      </c>
      <c r="CI58">
        <v>14.55</v>
      </c>
      <c r="CJ58">
        <v>15.79</v>
      </c>
      <c r="CM58">
        <v>17.05</v>
      </c>
      <c r="CO58">
        <v>18.25</v>
      </c>
      <c r="CP58">
        <v>18.84</v>
      </c>
      <c r="DA58">
        <v>21.26</v>
      </c>
      <c r="DD58">
        <v>22.31</v>
      </c>
      <c r="DJ58">
        <v>24.55</v>
      </c>
      <c r="DK58">
        <v>25.16</v>
      </c>
      <c r="DV58">
        <v>25.59</v>
      </c>
      <c r="ED58">
        <v>28.78</v>
      </c>
      <c r="EF58">
        <v>32.020000000000003</v>
      </c>
      <c r="EL58">
        <v>38.65</v>
      </c>
      <c r="EU58">
        <v>44.46</v>
      </c>
      <c r="EZ58">
        <v>45.89</v>
      </c>
      <c r="FE58">
        <v>47.16</v>
      </c>
      <c r="FF58">
        <v>47.53</v>
      </c>
      <c r="FN58">
        <v>50.63</v>
      </c>
      <c r="FP58">
        <v>51.3</v>
      </c>
      <c r="FS58">
        <v>51.51</v>
      </c>
      <c r="FU58">
        <v>51.57</v>
      </c>
      <c r="FX58">
        <v>51.95</v>
      </c>
      <c r="GB58">
        <v>52.34</v>
      </c>
      <c r="GG58">
        <v>52.75</v>
      </c>
      <c r="GJ58">
        <v>53.05</v>
      </c>
      <c r="GR58">
        <v>54.6</v>
      </c>
      <c r="GY58">
        <v>55.48</v>
      </c>
      <c r="HF58">
        <v>55.57</v>
      </c>
      <c r="HM58">
        <v>55.92</v>
      </c>
      <c r="HT58">
        <v>56.03</v>
      </c>
      <c r="IA58">
        <v>56.19</v>
      </c>
      <c r="IO58">
        <v>56.67</v>
      </c>
      <c r="IV58">
        <v>57.41</v>
      </c>
      <c r="JC58">
        <v>58.1</v>
      </c>
      <c r="JJ58">
        <v>59.35</v>
      </c>
      <c r="JQ58">
        <v>60.13</v>
      </c>
      <c r="JX58">
        <v>60.93</v>
      </c>
      <c r="KE58">
        <v>61.83</v>
      </c>
      <c r="KL58">
        <v>64.7</v>
      </c>
      <c r="KS58">
        <v>66.63</v>
      </c>
      <c r="KZ58">
        <v>67.66</v>
      </c>
      <c r="LG58">
        <v>70.650000000000006</v>
      </c>
      <c r="LN58">
        <v>72.81</v>
      </c>
      <c r="LU58">
        <v>73.86</v>
      </c>
      <c r="MB58">
        <v>74.760000000000005</v>
      </c>
      <c r="MI58">
        <v>76.39</v>
      </c>
      <c r="MS58">
        <v>76.930000000000007</v>
      </c>
      <c r="MW58">
        <v>77.260000000000005</v>
      </c>
      <c r="NB58">
        <v>77.28</v>
      </c>
      <c r="ND58">
        <v>77.84</v>
      </c>
      <c r="NI58">
        <v>78.290000000000006</v>
      </c>
      <c r="NK58">
        <v>78.39</v>
      </c>
      <c r="NP58">
        <v>79.040000000000006</v>
      </c>
      <c r="OD58">
        <v>81.98</v>
      </c>
      <c r="OF58">
        <v>82.21</v>
      </c>
      <c r="OK58">
        <v>82.51</v>
      </c>
      <c r="OM58">
        <v>82.61</v>
      </c>
      <c r="OR58">
        <v>82.82</v>
      </c>
      <c r="OT58">
        <v>83.06</v>
      </c>
      <c r="OY58">
        <v>83.27</v>
      </c>
      <c r="PA58">
        <v>83.49</v>
      </c>
      <c r="PF58">
        <v>84.44</v>
      </c>
      <c r="PH58">
        <v>84.52</v>
      </c>
      <c r="PM58">
        <v>84.66</v>
      </c>
      <c r="PO58">
        <v>84.77</v>
      </c>
      <c r="PT58">
        <v>85</v>
      </c>
      <c r="PV58">
        <v>85.11</v>
      </c>
      <c r="QC58">
        <v>85.42</v>
      </c>
      <c r="QH58">
        <v>85.51</v>
      </c>
      <c r="QJ58">
        <v>85.57</v>
      </c>
      <c r="QO58">
        <v>85.65</v>
      </c>
      <c r="QQ58">
        <v>85.93</v>
      </c>
      <c r="QV58">
        <v>85.95</v>
      </c>
      <c r="QX58">
        <v>86.06</v>
      </c>
      <c r="RC58">
        <v>86.37</v>
      </c>
      <c r="RE58">
        <v>86.37</v>
      </c>
      <c r="RJ58">
        <v>91.42</v>
      </c>
      <c r="SA58">
        <v>91.94</v>
      </c>
      <c r="SH58">
        <v>92.05</v>
      </c>
      <c r="SO58">
        <v>92.11</v>
      </c>
      <c r="SV58">
        <v>92.15</v>
      </c>
      <c r="TC58">
        <v>92.22</v>
      </c>
      <c r="TJ58">
        <v>92.43</v>
      </c>
      <c r="TQ58">
        <v>92.46</v>
      </c>
      <c r="TX58">
        <v>92.59</v>
      </c>
      <c r="UC58">
        <v>92.66</v>
      </c>
      <c r="UJ58">
        <v>92.77</v>
      </c>
      <c r="UL58">
        <v>92.8</v>
      </c>
      <c r="UR58">
        <v>92.82</v>
      </c>
      <c r="WA58">
        <v>93.12</v>
      </c>
      <c r="YE58">
        <v>93.41</v>
      </c>
      <c r="YL58">
        <v>93.42</v>
      </c>
    </row>
    <row r="59" spans="1:812">
      <c r="A59" s="1" t="s">
        <v>66</v>
      </c>
      <c r="B59" s="1" t="s">
        <v>327</v>
      </c>
      <c r="BR59">
        <v>0</v>
      </c>
      <c r="BS59">
        <v>0</v>
      </c>
      <c r="BT59">
        <v>0.01</v>
      </c>
      <c r="BU59">
        <v>0.05</v>
      </c>
      <c r="BV59">
        <v>0.09</v>
      </c>
      <c r="BW59">
        <v>0.12</v>
      </c>
      <c r="BX59">
        <v>0.13</v>
      </c>
      <c r="CA59">
        <v>0.24</v>
      </c>
      <c r="CF59">
        <v>0.55000000000000004</v>
      </c>
      <c r="CG59">
        <v>0.97</v>
      </c>
      <c r="CH59">
        <v>1.49</v>
      </c>
      <c r="CI59">
        <v>2.1</v>
      </c>
      <c r="CJ59">
        <v>2.8</v>
      </c>
      <c r="CK59">
        <v>3.46</v>
      </c>
      <c r="CM59">
        <v>3.69</v>
      </c>
      <c r="CN59">
        <v>4.43</v>
      </c>
      <c r="CO59">
        <v>5.04</v>
      </c>
      <c r="CP59">
        <v>5.59</v>
      </c>
      <c r="CT59">
        <v>6.22</v>
      </c>
      <c r="DB59">
        <v>7.37</v>
      </c>
      <c r="DI59">
        <v>8.4</v>
      </c>
      <c r="DX59">
        <v>13.92</v>
      </c>
      <c r="EI59">
        <v>16.11</v>
      </c>
      <c r="EJ59">
        <v>16.57</v>
      </c>
      <c r="EK59">
        <v>17.03</v>
      </c>
      <c r="EL59">
        <v>17.46</v>
      </c>
      <c r="EM59">
        <v>17.84</v>
      </c>
      <c r="EN59">
        <v>18.16</v>
      </c>
      <c r="EO59">
        <v>18.27</v>
      </c>
      <c r="EP59">
        <v>18.34</v>
      </c>
      <c r="EQ59">
        <v>18.920000000000002</v>
      </c>
      <c r="ER59">
        <v>19.579999999999998</v>
      </c>
      <c r="ES59">
        <v>20.25</v>
      </c>
      <c r="ET59">
        <v>20.87</v>
      </c>
      <c r="EU59">
        <v>21.43</v>
      </c>
      <c r="EV59">
        <v>21.62</v>
      </c>
      <c r="EW59">
        <v>21.7</v>
      </c>
      <c r="EX59">
        <v>22.9</v>
      </c>
      <c r="EY59">
        <v>24.34</v>
      </c>
      <c r="EZ59">
        <v>25.82</v>
      </c>
      <c r="FA59">
        <v>27.11</v>
      </c>
      <c r="FB59">
        <v>28.31</v>
      </c>
      <c r="FC59">
        <v>28.62</v>
      </c>
      <c r="FD59">
        <v>28.76</v>
      </c>
      <c r="FF59">
        <v>31.07</v>
      </c>
      <c r="FG59">
        <v>32.15</v>
      </c>
      <c r="FH59">
        <v>33.130000000000003</v>
      </c>
      <c r="FI59">
        <v>34.06</v>
      </c>
      <c r="FJ59">
        <v>34.340000000000003</v>
      </c>
      <c r="FK59">
        <v>34.47</v>
      </c>
      <c r="FL59">
        <v>35.450000000000003</v>
      </c>
      <c r="FM59">
        <v>36.39</v>
      </c>
      <c r="FN59">
        <v>37.25</v>
      </c>
      <c r="FO59">
        <v>37.99</v>
      </c>
      <c r="FP59">
        <v>38.619999999999997</v>
      </c>
      <c r="FQ59">
        <v>38.81</v>
      </c>
      <c r="FR59">
        <v>38.85</v>
      </c>
      <c r="FS59">
        <v>39.74</v>
      </c>
      <c r="FT59">
        <v>41.08</v>
      </c>
      <c r="FU59">
        <v>42.64</v>
      </c>
      <c r="FV59">
        <v>43.89</v>
      </c>
      <c r="FW59">
        <v>46</v>
      </c>
      <c r="FX59">
        <v>47.16</v>
      </c>
      <c r="FY59">
        <v>47.91</v>
      </c>
      <c r="FZ59">
        <v>49.94</v>
      </c>
      <c r="GA59">
        <v>52.14</v>
      </c>
      <c r="GB59">
        <v>54.39</v>
      </c>
      <c r="GC59">
        <v>55.78</v>
      </c>
      <c r="GD59">
        <v>56.91</v>
      </c>
      <c r="GE59">
        <v>57.34</v>
      </c>
      <c r="GF59">
        <v>57.63</v>
      </c>
      <c r="GG59">
        <v>58.73</v>
      </c>
      <c r="GH59">
        <v>59.67</v>
      </c>
      <c r="GI59">
        <v>60.41</v>
      </c>
      <c r="GJ59">
        <v>61.54</v>
      </c>
      <c r="GK59">
        <v>63.01</v>
      </c>
      <c r="GL59">
        <v>64.010000000000005</v>
      </c>
      <c r="GM59">
        <v>64.64</v>
      </c>
      <c r="GN59">
        <v>66.12</v>
      </c>
      <c r="GO59">
        <v>67.31</v>
      </c>
      <c r="GP59">
        <v>68.239999999999995</v>
      </c>
      <c r="GQ59">
        <v>68.98</v>
      </c>
      <c r="GR59">
        <v>69.56</v>
      </c>
      <c r="GS59">
        <v>69.78</v>
      </c>
      <c r="GT59">
        <v>69.900000000000006</v>
      </c>
      <c r="GU59">
        <v>70.55</v>
      </c>
      <c r="GV59">
        <v>71.41</v>
      </c>
      <c r="GW59">
        <v>72.290000000000006</v>
      </c>
      <c r="GY59">
        <v>74.069999999999993</v>
      </c>
      <c r="GZ59">
        <v>74.47</v>
      </c>
      <c r="HA59">
        <v>74.849999999999994</v>
      </c>
      <c r="HB59">
        <v>76.09</v>
      </c>
      <c r="HC59">
        <v>77.400000000000006</v>
      </c>
      <c r="HD59">
        <v>79.03</v>
      </c>
      <c r="HE59">
        <v>80.09</v>
      </c>
      <c r="HF59">
        <v>80.97</v>
      </c>
      <c r="HG59">
        <v>81.430000000000007</v>
      </c>
      <c r="HH59">
        <v>81.67</v>
      </c>
      <c r="HI59">
        <v>82.27</v>
      </c>
      <c r="HJ59">
        <v>82.95</v>
      </c>
      <c r="HK59">
        <v>83.58</v>
      </c>
      <c r="HL59">
        <v>84.19</v>
      </c>
      <c r="HM59">
        <v>84.83</v>
      </c>
      <c r="HN59">
        <v>85.24</v>
      </c>
      <c r="HO59">
        <v>85.4</v>
      </c>
      <c r="HP59">
        <v>86.25</v>
      </c>
      <c r="HQ59">
        <v>87.11</v>
      </c>
      <c r="HR59">
        <v>88</v>
      </c>
      <c r="HS59">
        <v>88.84</v>
      </c>
      <c r="HT59">
        <v>89.56</v>
      </c>
      <c r="HU59">
        <v>89.8</v>
      </c>
      <c r="HV59">
        <v>89.85</v>
      </c>
      <c r="HW59">
        <v>90.48</v>
      </c>
      <c r="HX59">
        <v>91.3</v>
      </c>
      <c r="HY59">
        <v>92.11</v>
      </c>
      <c r="HZ59">
        <v>92.74</v>
      </c>
      <c r="IA59">
        <v>93.29</v>
      </c>
      <c r="IB59">
        <v>93.48</v>
      </c>
      <c r="IC59">
        <v>93.55</v>
      </c>
      <c r="ID59">
        <v>94.08</v>
      </c>
      <c r="IE59">
        <v>94.64</v>
      </c>
      <c r="IF59">
        <v>95.2</v>
      </c>
      <c r="IG59">
        <v>95.7</v>
      </c>
      <c r="IH59">
        <v>96.12</v>
      </c>
      <c r="II59">
        <v>96.28</v>
      </c>
      <c r="IJ59">
        <v>96.35</v>
      </c>
      <c r="IK59">
        <v>96.79</v>
      </c>
      <c r="IL59">
        <v>97.29</v>
      </c>
      <c r="IM59">
        <v>97.54</v>
      </c>
      <c r="IN59">
        <v>97.73</v>
      </c>
      <c r="IO59">
        <v>98.07</v>
      </c>
      <c r="IP59">
        <v>98.19</v>
      </c>
      <c r="IQ59">
        <v>98.24</v>
      </c>
      <c r="IR59">
        <v>98.25</v>
      </c>
      <c r="IS59">
        <v>98.61</v>
      </c>
      <c r="IT59">
        <v>99.04</v>
      </c>
      <c r="IU59">
        <v>99.46</v>
      </c>
      <c r="IV59">
        <v>98.83</v>
      </c>
      <c r="IW59">
        <v>98.97</v>
      </c>
      <c r="IX59">
        <v>99.03</v>
      </c>
      <c r="IY59">
        <v>99.41</v>
      </c>
      <c r="IZ59">
        <v>99.81</v>
      </c>
      <c r="JA59">
        <v>100.22</v>
      </c>
      <c r="JB59">
        <v>100.6</v>
      </c>
      <c r="JC59">
        <v>100.94</v>
      </c>
      <c r="JD59">
        <v>101.07</v>
      </c>
      <c r="JE59">
        <v>101.11</v>
      </c>
      <c r="JF59">
        <v>101.44</v>
      </c>
      <c r="JG59">
        <v>101.81</v>
      </c>
      <c r="JI59">
        <v>102.5</v>
      </c>
      <c r="JK59">
        <v>102.91</v>
      </c>
      <c r="JM59">
        <v>103.24</v>
      </c>
      <c r="JN59">
        <v>103.57</v>
      </c>
      <c r="JQ59">
        <v>104.48</v>
      </c>
      <c r="JS59">
        <v>104.61</v>
      </c>
      <c r="JT59">
        <v>104.89</v>
      </c>
      <c r="JU59">
        <v>105.18</v>
      </c>
      <c r="JV59">
        <v>105.47</v>
      </c>
      <c r="JW59">
        <v>105.77</v>
      </c>
      <c r="JX59">
        <v>106.09</v>
      </c>
      <c r="JZ59">
        <v>106.24</v>
      </c>
      <c r="KA59">
        <v>106.56</v>
      </c>
      <c r="KB59">
        <v>106.89</v>
      </c>
      <c r="KC59">
        <v>107.19</v>
      </c>
      <c r="KD59">
        <v>107.49</v>
      </c>
      <c r="KE59">
        <v>107.57</v>
      </c>
      <c r="KF59">
        <v>107.67</v>
      </c>
      <c r="KI59">
        <v>108.27</v>
      </c>
      <c r="KT59">
        <v>110.62</v>
      </c>
      <c r="LN59">
        <v>121.08</v>
      </c>
      <c r="LO59">
        <v>121.18</v>
      </c>
      <c r="MB59">
        <v>123.76</v>
      </c>
      <c r="MI59">
        <v>124.86</v>
      </c>
      <c r="MJ59">
        <v>124.92</v>
      </c>
      <c r="MK59">
        <v>124.96</v>
      </c>
      <c r="ML59">
        <v>125.14</v>
      </c>
      <c r="MM59">
        <v>125.33</v>
      </c>
      <c r="ND59">
        <v>127.26</v>
      </c>
      <c r="NG59">
        <v>127.4</v>
      </c>
      <c r="NH59">
        <v>127.5</v>
      </c>
      <c r="NK59">
        <v>127.79</v>
      </c>
      <c r="NP59">
        <v>128.09</v>
      </c>
      <c r="NQ59">
        <v>128.13</v>
      </c>
      <c r="OE59">
        <v>129.47</v>
      </c>
      <c r="OS59">
        <v>132.01</v>
      </c>
      <c r="OT59">
        <v>132.07</v>
      </c>
      <c r="OU59">
        <v>132.15</v>
      </c>
      <c r="OY59">
        <v>133.01</v>
      </c>
      <c r="OZ59">
        <v>133.46</v>
      </c>
      <c r="PA59">
        <v>134.02000000000001</v>
      </c>
      <c r="PB59">
        <v>134.25</v>
      </c>
      <c r="PF59">
        <v>135.69999999999999</v>
      </c>
      <c r="PH59">
        <v>136.22999999999999</v>
      </c>
      <c r="PI59">
        <v>136.34</v>
      </c>
      <c r="PV59">
        <v>138.49</v>
      </c>
      <c r="PW59">
        <v>138.52000000000001</v>
      </c>
      <c r="PZ59">
        <v>138.79</v>
      </c>
      <c r="QB59">
        <v>139.03</v>
      </c>
      <c r="QD59">
        <v>139.13999999999999</v>
      </c>
      <c r="QF59">
        <v>139.24</v>
      </c>
      <c r="QM59">
        <v>139.69</v>
      </c>
      <c r="QN59">
        <v>139.78</v>
      </c>
      <c r="QO59">
        <v>139.88</v>
      </c>
      <c r="QP59">
        <v>140.07</v>
      </c>
      <c r="QR59">
        <v>140.15</v>
      </c>
      <c r="QS59">
        <v>140.18</v>
      </c>
      <c r="QT59">
        <v>140.29</v>
      </c>
      <c r="QV59">
        <v>140.4</v>
      </c>
      <c r="QW59">
        <v>140.53</v>
      </c>
      <c r="QX59">
        <v>140.66</v>
      </c>
      <c r="QY59">
        <v>140.77000000000001</v>
      </c>
      <c r="QZ59">
        <v>140.80000000000001</v>
      </c>
      <c r="RA59">
        <v>140.81</v>
      </c>
      <c r="RB59">
        <v>140.9</v>
      </c>
      <c r="RC59">
        <v>141.01</v>
      </c>
      <c r="RE59">
        <v>141.21</v>
      </c>
      <c r="RF59">
        <v>141.30000000000001</v>
      </c>
      <c r="RH59">
        <v>141.31</v>
      </c>
      <c r="RI59">
        <v>141.37</v>
      </c>
      <c r="RJ59">
        <v>141.44999999999999</v>
      </c>
      <c r="RL59">
        <v>141.63999999999999</v>
      </c>
      <c r="RM59">
        <v>141.65</v>
      </c>
      <c r="RN59">
        <v>141.69</v>
      </c>
      <c r="RP59">
        <v>141.81</v>
      </c>
      <c r="RQ59">
        <v>141.93</v>
      </c>
      <c r="RR59">
        <v>141.99</v>
      </c>
      <c r="RT59">
        <v>142.03</v>
      </c>
      <c r="RV59">
        <v>142.08000000000001</v>
      </c>
      <c r="RW59">
        <v>142.11000000000001</v>
      </c>
      <c r="RY59">
        <v>142.19</v>
      </c>
      <c r="SA59">
        <v>142.25</v>
      </c>
      <c r="SC59">
        <v>142.27000000000001</v>
      </c>
      <c r="SE59">
        <v>142.31</v>
      </c>
      <c r="SH59">
        <v>142.37</v>
      </c>
      <c r="SI59">
        <v>142.38</v>
      </c>
      <c r="SJ59">
        <v>142.38</v>
      </c>
      <c r="SN59">
        <v>142.44999999999999</v>
      </c>
      <c r="SP59">
        <v>142.47</v>
      </c>
      <c r="ST59">
        <v>142.55000000000001</v>
      </c>
      <c r="SV59">
        <v>142.59</v>
      </c>
      <c r="SW59">
        <v>142.61000000000001</v>
      </c>
      <c r="SZ59">
        <v>142.66</v>
      </c>
      <c r="TC59">
        <v>142.77000000000001</v>
      </c>
      <c r="TD59">
        <v>142.78</v>
      </c>
      <c r="TE59">
        <v>142.79</v>
      </c>
      <c r="TF59">
        <v>142.82</v>
      </c>
      <c r="TG59">
        <v>142.85</v>
      </c>
      <c r="TH59">
        <v>142.88999999999999</v>
      </c>
      <c r="TJ59">
        <v>142.94999999999999</v>
      </c>
      <c r="TK59">
        <v>142.96</v>
      </c>
      <c r="TM59">
        <v>143</v>
      </c>
      <c r="TP59">
        <v>143.12</v>
      </c>
      <c r="TR59">
        <v>143.16999999999999</v>
      </c>
      <c r="TS59">
        <v>143.18</v>
      </c>
      <c r="TU59">
        <v>143.26</v>
      </c>
      <c r="TV59">
        <v>143.30000000000001</v>
      </c>
      <c r="TW59">
        <v>143.34</v>
      </c>
      <c r="TX59">
        <v>143.38999999999999</v>
      </c>
      <c r="TY59">
        <v>143.41</v>
      </c>
      <c r="UB59">
        <v>143.5</v>
      </c>
      <c r="UC59">
        <v>143.55000000000001</v>
      </c>
      <c r="UD59">
        <v>143.56</v>
      </c>
      <c r="UE59">
        <v>143.6</v>
      </c>
      <c r="UF59">
        <v>143.62</v>
      </c>
      <c r="UG59">
        <v>143.63</v>
      </c>
      <c r="UH59">
        <v>143.66999999999999</v>
      </c>
      <c r="UI59">
        <v>143.71</v>
      </c>
      <c r="UJ59">
        <v>143.76</v>
      </c>
      <c r="UK59">
        <v>143.80000000000001</v>
      </c>
      <c r="UL59">
        <v>143.84</v>
      </c>
      <c r="UM59">
        <v>143.86000000000001</v>
      </c>
      <c r="UP59">
        <v>143.94999999999999</v>
      </c>
      <c r="UR59">
        <v>144.04</v>
      </c>
      <c r="US59">
        <v>144.08000000000001</v>
      </c>
      <c r="UT59">
        <v>144.1</v>
      </c>
      <c r="UU59">
        <v>144.1</v>
      </c>
      <c r="UV59">
        <v>144.13999999999999</v>
      </c>
      <c r="UW59">
        <v>144.18</v>
      </c>
      <c r="UZ59">
        <v>144.31</v>
      </c>
      <c r="VA59">
        <v>144.33000000000001</v>
      </c>
      <c r="VB59">
        <v>142.21</v>
      </c>
      <c r="VC59">
        <v>142.24</v>
      </c>
      <c r="VD59">
        <v>142.28</v>
      </c>
      <c r="VF59">
        <v>142.36000000000001</v>
      </c>
      <c r="VH59">
        <v>142.41999999999999</v>
      </c>
      <c r="VJ59">
        <v>142.46</v>
      </c>
      <c r="VL59">
        <v>142.54</v>
      </c>
      <c r="VM59">
        <v>142.57</v>
      </c>
      <c r="VO59">
        <v>142.62</v>
      </c>
      <c r="VQ59">
        <v>142.66999999999999</v>
      </c>
      <c r="VS59">
        <v>142.74</v>
      </c>
      <c r="VW59">
        <v>142.87</v>
      </c>
      <c r="YF59">
        <v>144.24</v>
      </c>
      <c r="YL59">
        <v>144.36000000000001</v>
      </c>
      <c r="YM59">
        <v>144.37</v>
      </c>
      <c r="YR59">
        <v>144.46</v>
      </c>
      <c r="YS59">
        <v>144.47999999999999</v>
      </c>
      <c r="YZ59">
        <v>144.59</v>
      </c>
      <c r="ZA59">
        <v>144.6</v>
      </c>
      <c r="ZC59">
        <v>144.62</v>
      </c>
      <c r="ZE59">
        <v>143.22999999999999</v>
      </c>
      <c r="ZG59">
        <v>143.26</v>
      </c>
      <c r="ZJ59">
        <v>143.29</v>
      </c>
      <c r="ZL59">
        <v>143.32</v>
      </c>
      <c r="ZM59">
        <v>143.34</v>
      </c>
      <c r="ZN59">
        <v>143.36000000000001</v>
      </c>
      <c r="ZO59">
        <v>143.36000000000001</v>
      </c>
      <c r="ZS59">
        <v>143.41999999999999</v>
      </c>
      <c r="ZU59">
        <v>143.46</v>
      </c>
      <c r="ZV59">
        <v>143.46</v>
      </c>
      <c r="ZX59">
        <v>143.47999999999999</v>
      </c>
      <c r="ZY59">
        <v>143.5</v>
      </c>
      <c r="AAA59">
        <v>143.53</v>
      </c>
      <c r="AAB59">
        <v>143.55000000000001</v>
      </c>
      <c r="AAD59">
        <v>143.56</v>
      </c>
      <c r="AAE59">
        <v>143.58000000000001</v>
      </c>
      <c r="AAG59">
        <v>143.61000000000001</v>
      </c>
      <c r="AAJ59">
        <v>143.63999999999999</v>
      </c>
      <c r="AAL59">
        <v>143.66</v>
      </c>
      <c r="AAN59">
        <v>143.68</v>
      </c>
      <c r="AAP59">
        <v>143.72</v>
      </c>
      <c r="AAQ59">
        <v>143.72999999999999</v>
      </c>
      <c r="AAS59">
        <v>143.76</v>
      </c>
      <c r="AAT59">
        <v>143.78</v>
      </c>
      <c r="AAU59">
        <v>143.79</v>
      </c>
      <c r="AAW59">
        <v>143.82</v>
      </c>
      <c r="AAZ59">
        <v>143.85</v>
      </c>
      <c r="ABA59">
        <v>143.86000000000001</v>
      </c>
      <c r="ABB59">
        <v>143.88</v>
      </c>
      <c r="ABG59">
        <v>143.93</v>
      </c>
      <c r="ABH59">
        <v>143.94999999999999</v>
      </c>
      <c r="ABI59">
        <v>143.96</v>
      </c>
      <c r="ABJ59">
        <v>143.97</v>
      </c>
      <c r="ABO59">
        <v>144.01</v>
      </c>
      <c r="ABP59">
        <v>144.02000000000001</v>
      </c>
      <c r="ABU59">
        <v>144.04</v>
      </c>
      <c r="ABX59">
        <v>144.09</v>
      </c>
      <c r="ACC59">
        <v>144.13999999999999</v>
      </c>
      <c r="ACI59">
        <v>144.22</v>
      </c>
      <c r="ACL59">
        <v>144.26</v>
      </c>
      <c r="ACQ59">
        <v>144.31</v>
      </c>
      <c r="ACW59">
        <v>144.36000000000001</v>
      </c>
      <c r="ACX59">
        <v>144.37</v>
      </c>
      <c r="ADG59">
        <v>144.46</v>
      </c>
      <c r="ADL59">
        <v>144.51</v>
      </c>
      <c r="ADS59">
        <v>144.57</v>
      </c>
      <c r="ADU59">
        <v>144.59</v>
      </c>
      <c r="AEA59">
        <v>144.63</v>
      </c>
    </row>
    <row r="60" spans="1:812">
      <c r="A60" s="1" t="s">
        <v>34</v>
      </c>
      <c r="B60" s="1" t="s">
        <v>34</v>
      </c>
      <c r="AS60">
        <v>0</v>
      </c>
      <c r="AT60">
        <v>0</v>
      </c>
      <c r="AY60">
        <v>0.02</v>
      </c>
      <c r="BG60">
        <v>0.04</v>
      </c>
      <c r="BT60">
        <v>0.05</v>
      </c>
      <c r="CA60">
        <v>0.14000000000000001</v>
      </c>
      <c r="CF60">
        <v>0.24</v>
      </c>
      <c r="CI60">
        <v>0.34</v>
      </c>
      <c r="CJ60">
        <v>0.4</v>
      </c>
      <c r="CM60">
        <v>0.42</v>
      </c>
      <c r="CN60">
        <v>0.43</v>
      </c>
      <c r="CP60">
        <v>0.54</v>
      </c>
      <c r="CQ60">
        <v>0.7</v>
      </c>
      <c r="CR60">
        <v>0.79</v>
      </c>
      <c r="CT60">
        <v>0.8</v>
      </c>
      <c r="CZ60">
        <v>1.01</v>
      </c>
      <c r="DB60">
        <v>1.03</v>
      </c>
      <c r="DC60">
        <v>1.08</v>
      </c>
      <c r="DE60">
        <v>1.31</v>
      </c>
      <c r="DF60">
        <v>1.33</v>
      </c>
      <c r="DH60">
        <v>1.39</v>
      </c>
      <c r="DK60">
        <v>1.6</v>
      </c>
      <c r="DN60">
        <v>1.71</v>
      </c>
      <c r="DO60">
        <v>1.9</v>
      </c>
      <c r="DP60">
        <v>2.02</v>
      </c>
      <c r="DR60">
        <v>2.06</v>
      </c>
      <c r="DX60">
        <v>2.73</v>
      </c>
      <c r="DY60">
        <v>2.75</v>
      </c>
      <c r="DZ60">
        <v>2.91</v>
      </c>
      <c r="EA60">
        <v>3.09</v>
      </c>
      <c r="EB60">
        <v>3.14</v>
      </c>
      <c r="EC60">
        <v>3.27</v>
      </c>
      <c r="ED60">
        <v>3.41</v>
      </c>
      <c r="EE60">
        <v>3.65</v>
      </c>
      <c r="EF60">
        <v>3.83</v>
      </c>
      <c r="EG60">
        <v>4.03</v>
      </c>
      <c r="EH60">
        <v>4.1500000000000004</v>
      </c>
      <c r="EI60">
        <v>4.22</v>
      </c>
      <c r="EJ60">
        <v>4.34</v>
      </c>
      <c r="EK60">
        <v>4.63</v>
      </c>
      <c r="EL60">
        <v>4.88</v>
      </c>
      <c r="EM60">
        <v>5.22</v>
      </c>
      <c r="EN60">
        <v>5.6</v>
      </c>
      <c r="EO60">
        <v>5.88</v>
      </c>
      <c r="EP60">
        <v>6.05</v>
      </c>
      <c r="ER60">
        <v>6.47</v>
      </c>
      <c r="ES60">
        <v>6.7</v>
      </c>
      <c r="ET60">
        <v>6.89</v>
      </c>
      <c r="EU60">
        <v>7.06</v>
      </c>
      <c r="EW60">
        <v>7.31</v>
      </c>
      <c r="EY60">
        <v>7.59</v>
      </c>
      <c r="EZ60">
        <v>7.68</v>
      </c>
      <c r="FA60">
        <v>7.97</v>
      </c>
      <c r="FB60">
        <v>8.25</v>
      </c>
      <c r="FC60">
        <v>8.42</v>
      </c>
      <c r="FD60">
        <v>8.64</v>
      </c>
      <c r="FE60">
        <v>8.84</v>
      </c>
      <c r="FF60">
        <v>8.9700000000000006</v>
      </c>
      <c r="FG60">
        <v>9.2200000000000006</v>
      </c>
      <c r="FH60">
        <v>9.7899999999999991</v>
      </c>
      <c r="FJ60">
        <v>10.73</v>
      </c>
      <c r="FK60">
        <v>11.03</v>
      </c>
      <c r="FM60">
        <v>11.48</v>
      </c>
      <c r="FO60">
        <v>11.96</v>
      </c>
      <c r="FP60">
        <v>12.31</v>
      </c>
      <c r="FQ60">
        <v>12.5</v>
      </c>
      <c r="FR60">
        <v>12.61</v>
      </c>
      <c r="FT60">
        <v>13.53</v>
      </c>
      <c r="FU60">
        <v>13.87</v>
      </c>
      <c r="FV60">
        <v>14.34</v>
      </c>
      <c r="FW60">
        <v>14.72</v>
      </c>
      <c r="FX60">
        <v>15</v>
      </c>
      <c r="FY60">
        <v>15.11</v>
      </c>
      <c r="FZ60">
        <v>15.4</v>
      </c>
      <c r="GA60">
        <v>15.8</v>
      </c>
      <c r="GF60">
        <v>17.46</v>
      </c>
      <c r="GH60">
        <v>17.760000000000002</v>
      </c>
      <c r="GL60">
        <v>20.170000000000002</v>
      </c>
      <c r="GM60">
        <v>20.3</v>
      </c>
      <c r="GN60">
        <v>20.73</v>
      </c>
      <c r="GO60">
        <v>21.12</v>
      </c>
      <c r="GP60">
        <v>21.52</v>
      </c>
      <c r="GQ60">
        <v>21.99</v>
      </c>
      <c r="GR60">
        <v>22.36</v>
      </c>
      <c r="GS60">
        <v>22.62</v>
      </c>
      <c r="GT60">
        <v>22.81</v>
      </c>
      <c r="GU60">
        <v>23.19</v>
      </c>
      <c r="GV60">
        <v>23.54</v>
      </c>
      <c r="GW60">
        <v>23.93</v>
      </c>
      <c r="GX60">
        <v>24.38</v>
      </c>
      <c r="GY60">
        <v>24.63</v>
      </c>
      <c r="GZ60">
        <v>25.23</v>
      </c>
      <c r="HA60">
        <v>25.61</v>
      </c>
      <c r="HB60">
        <v>26.34</v>
      </c>
      <c r="HC60">
        <v>27.18</v>
      </c>
      <c r="HD60">
        <v>28.1</v>
      </c>
      <c r="HE60">
        <v>29.15</v>
      </c>
      <c r="HF60">
        <v>30.37</v>
      </c>
      <c r="HG60">
        <v>31.85</v>
      </c>
      <c r="HH60">
        <v>32.799999999999997</v>
      </c>
      <c r="HJ60">
        <v>36.18</v>
      </c>
      <c r="HK60">
        <v>39.06</v>
      </c>
      <c r="HL60">
        <v>41.27</v>
      </c>
      <c r="HM60">
        <v>43.03</v>
      </c>
      <c r="HN60">
        <v>44.68</v>
      </c>
      <c r="HO60">
        <v>46.35</v>
      </c>
      <c r="HP60">
        <v>48</v>
      </c>
      <c r="HQ60">
        <v>49.35</v>
      </c>
      <c r="HR60">
        <v>51.33</v>
      </c>
      <c r="HS60">
        <v>52.69</v>
      </c>
      <c r="HT60">
        <v>53.91</v>
      </c>
      <c r="HU60">
        <v>54.85</v>
      </c>
      <c r="HV60">
        <v>56</v>
      </c>
      <c r="HW60">
        <v>56.97</v>
      </c>
      <c r="HX60">
        <v>58.35</v>
      </c>
      <c r="HY60">
        <v>59.99</v>
      </c>
      <c r="HZ60">
        <v>61.95</v>
      </c>
      <c r="IA60">
        <v>63.61</v>
      </c>
      <c r="IB60">
        <v>64.73</v>
      </c>
      <c r="ID60">
        <v>66.5</v>
      </c>
      <c r="IE60">
        <v>67.55</v>
      </c>
      <c r="IF60">
        <v>68.8</v>
      </c>
      <c r="IG60">
        <v>70.19</v>
      </c>
      <c r="IH60">
        <v>71.7</v>
      </c>
      <c r="II60">
        <v>73.02</v>
      </c>
      <c r="IJ60">
        <v>75.680000000000007</v>
      </c>
      <c r="IM60">
        <v>79.900000000000006</v>
      </c>
      <c r="IN60">
        <v>81.41</v>
      </c>
      <c r="IO60">
        <v>82.63</v>
      </c>
      <c r="IP60">
        <v>83.23</v>
      </c>
      <c r="IQ60">
        <v>83.56</v>
      </c>
      <c r="IS60">
        <v>87.95</v>
      </c>
      <c r="IT60">
        <v>90</v>
      </c>
      <c r="IU60">
        <v>92.02</v>
      </c>
      <c r="IV60">
        <v>92.24</v>
      </c>
      <c r="IW60">
        <v>93.32</v>
      </c>
      <c r="IX60">
        <v>94.11</v>
      </c>
      <c r="IY60">
        <v>95.41</v>
      </c>
      <c r="IZ60">
        <v>96.63</v>
      </c>
      <c r="JA60">
        <v>97.91</v>
      </c>
      <c r="JB60">
        <v>99.23</v>
      </c>
      <c r="JC60">
        <v>100.64</v>
      </c>
      <c r="JE60">
        <v>107.67</v>
      </c>
      <c r="JG60">
        <v>109.08</v>
      </c>
      <c r="JK60">
        <v>111.6</v>
      </c>
      <c r="JW60">
        <v>114.36</v>
      </c>
      <c r="JZ60">
        <v>116.35</v>
      </c>
      <c r="KC60">
        <v>114.78</v>
      </c>
      <c r="KD60">
        <v>115</v>
      </c>
      <c r="KI60">
        <v>116.13</v>
      </c>
      <c r="QS60">
        <v>182.57</v>
      </c>
      <c r="QY60">
        <v>184.13</v>
      </c>
      <c r="TP60">
        <v>197.34</v>
      </c>
      <c r="TU60">
        <v>197.99</v>
      </c>
      <c r="TV60">
        <v>198.2</v>
      </c>
      <c r="TW60">
        <v>198.4</v>
      </c>
      <c r="UB60">
        <v>199.07</v>
      </c>
      <c r="UC60">
        <v>199.22</v>
      </c>
      <c r="UD60">
        <v>199.36</v>
      </c>
      <c r="UE60">
        <v>199.47</v>
      </c>
      <c r="UG60">
        <v>199.51</v>
      </c>
      <c r="AAP60">
        <v>216.85</v>
      </c>
      <c r="AAU60">
        <v>217.27</v>
      </c>
      <c r="AAW60">
        <v>217.39</v>
      </c>
      <c r="ABC60">
        <v>217.92</v>
      </c>
      <c r="ABJ60">
        <v>218.3</v>
      </c>
      <c r="ABV60">
        <v>218.44</v>
      </c>
      <c r="ABY60">
        <v>218.49</v>
      </c>
      <c r="ACE60">
        <v>218.64</v>
      </c>
      <c r="ACF60">
        <v>218.67</v>
      </c>
      <c r="ACM60">
        <v>218.85</v>
      </c>
      <c r="ACT60">
        <v>219.01</v>
      </c>
      <c r="ADA60">
        <v>219.14</v>
      </c>
      <c r="ADH60">
        <v>219.24</v>
      </c>
      <c r="ADV60">
        <v>219.41</v>
      </c>
      <c r="AEC60">
        <v>219.55</v>
      </c>
    </row>
    <row r="61" spans="1:812">
      <c r="A61" s="1" t="s">
        <v>60</v>
      </c>
      <c r="B61" s="1" t="s">
        <v>261</v>
      </c>
      <c r="AV61">
        <v>0</v>
      </c>
      <c r="BB61">
        <v>0</v>
      </c>
      <c r="DF61">
        <v>0.16</v>
      </c>
      <c r="EB61">
        <v>0.64</v>
      </c>
      <c r="EW61">
        <v>1.27</v>
      </c>
      <c r="EY61">
        <v>1.34</v>
      </c>
      <c r="FJ61">
        <v>1.84</v>
      </c>
      <c r="FK61">
        <v>1.92</v>
      </c>
      <c r="FL61">
        <v>2.0099999999999998</v>
      </c>
      <c r="FM61">
        <v>2.08</v>
      </c>
      <c r="FQ61">
        <v>2.5299999999999998</v>
      </c>
      <c r="FT61">
        <v>2.76</v>
      </c>
      <c r="GB61">
        <v>3.26</v>
      </c>
      <c r="GE61">
        <v>3.43</v>
      </c>
      <c r="GG61">
        <v>3.66</v>
      </c>
      <c r="GI61">
        <v>3.71</v>
      </c>
      <c r="GM61">
        <v>3.92</v>
      </c>
      <c r="GP61">
        <v>4.04</v>
      </c>
      <c r="GT61">
        <v>4.16</v>
      </c>
      <c r="GU61">
        <v>4.18</v>
      </c>
      <c r="HA61">
        <v>4.34</v>
      </c>
      <c r="HC61">
        <v>4.4000000000000004</v>
      </c>
      <c r="HD61">
        <v>4.43</v>
      </c>
      <c r="HE61">
        <v>4.46</v>
      </c>
      <c r="HI61">
        <v>4.9400000000000004</v>
      </c>
      <c r="HV61">
        <v>5.18</v>
      </c>
      <c r="HW61">
        <v>5.22</v>
      </c>
      <c r="IC61">
        <v>5.44</v>
      </c>
      <c r="IG61">
        <v>5.52</v>
      </c>
      <c r="IL61">
        <v>5.62</v>
      </c>
      <c r="IR61">
        <v>6.33</v>
      </c>
      <c r="JA61">
        <v>7.68</v>
      </c>
      <c r="JH61">
        <v>9.01</v>
      </c>
      <c r="JP61">
        <v>10.33</v>
      </c>
      <c r="JV61">
        <v>11.5</v>
      </c>
      <c r="KC61">
        <v>13.24</v>
      </c>
      <c r="QD61">
        <v>67.8</v>
      </c>
      <c r="UB61">
        <v>84.46</v>
      </c>
      <c r="UH61">
        <v>85.52</v>
      </c>
      <c r="ACV61">
        <v>91.37</v>
      </c>
    </row>
    <row r="62" spans="1:812">
      <c r="A62" s="1" t="s">
        <v>99</v>
      </c>
      <c r="B62" s="1" t="s">
        <v>99</v>
      </c>
      <c r="BT62">
        <v>0</v>
      </c>
      <c r="BY62">
        <v>0.09</v>
      </c>
      <c r="CB62">
        <v>0.25</v>
      </c>
      <c r="CS62">
        <v>0.39</v>
      </c>
      <c r="CV62">
        <v>0.56000000000000005</v>
      </c>
      <c r="CW62">
        <v>0.64</v>
      </c>
      <c r="CZ62">
        <v>0.76</v>
      </c>
      <c r="DG62">
        <v>1.08</v>
      </c>
      <c r="DJ62">
        <v>1.54</v>
      </c>
      <c r="DK62">
        <v>1.86</v>
      </c>
      <c r="DL62">
        <v>2.06</v>
      </c>
      <c r="DQ62">
        <v>2.4700000000000002</v>
      </c>
      <c r="DS62">
        <v>2.78</v>
      </c>
      <c r="DU62">
        <v>3.08</v>
      </c>
      <c r="DV62">
        <v>4.07</v>
      </c>
      <c r="DW62">
        <v>4.79</v>
      </c>
      <c r="DX62">
        <v>5.57</v>
      </c>
      <c r="DY62">
        <v>6.33</v>
      </c>
      <c r="DZ62">
        <v>7.1</v>
      </c>
      <c r="EA62">
        <v>7.74</v>
      </c>
      <c r="EC62">
        <v>8.44</v>
      </c>
      <c r="ED62">
        <v>9.6</v>
      </c>
      <c r="EF62">
        <v>10.119999999999999</v>
      </c>
      <c r="EG62">
        <v>10.77</v>
      </c>
      <c r="EJ62">
        <v>11.5</v>
      </c>
      <c r="EK62">
        <v>12.15</v>
      </c>
      <c r="EL62">
        <v>12.86</v>
      </c>
      <c r="EM62">
        <v>13.49</v>
      </c>
      <c r="EN62">
        <v>14.12</v>
      </c>
      <c r="ER62">
        <v>15.28</v>
      </c>
      <c r="ES62">
        <v>15.88</v>
      </c>
      <c r="ET62">
        <v>16.47</v>
      </c>
      <c r="EU62">
        <v>17.18</v>
      </c>
      <c r="EY62">
        <v>18</v>
      </c>
      <c r="FA62">
        <v>19.43</v>
      </c>
      <c r="FB62">
        <v>20.2</v>
      </c>
      <c r="FC62">
        <v>20.82</v>
      </c>
      <c r="FE62">
        <v>21.62</v>
      </c>
      <c r="FF62">
        <v>22.38</v>
      </c>
      <c r="FG62">
        <v>23.08</v>
      </c>
      <c r="FH62">
        <v>23.8</v>
      </c>
      <c r="FI62">
        <v>24.65</v>
      </c>
      <c r="FJ62">
        <v>25.32</v>
      </c>
      <c r="FL62">
        <v>26.1</v>
      </c>
      <c r="FM62">
        <v>26.85</v>
      </c>
      <c r="FN62">
        <v>27.56</v>
      </c>
      <c r="FO62">
        <v>28.25</v>
      </c>
      <c r="FS62">
        <v>29.69</v>
      </c>
      <c r="FT62">
        <v>30.39</v>
      </c>
      <c r="FU62">
        <v>31.07</v>
      </c>
      <c r="FZ62">
        <v>33.1</v>
      </c>
      <c r="GB62">
        <v>34.4</v>
      </c>
      <c r="GD62">
        <v>35.630000000000003</v>
      </c>
      <c r="GH62">
        <v>36.83</v>
      </c>
      <c r="GI62">
        <v>37.42</v>
      </c>
      <c r="GK62">
        <v>38.03</v>
      </c>
      <c r="GN62">
        <v>38.64</v>
      </c>
      <c r="GO62">
        <v>39.26</v>
      </c>
      <c r="GP62">
        <v>39.880000000000003</v>
      </c>
      <c r="GR62">
        <v>41.24</v>
      </c>
      <c r="GX62">
        <v>43.88</v>
      </c>
      <c r="GY62">
        <v>44.56</v>
      </c>
      <c r="HC62">
        <v>46.02</v>
      </c>
      <c r="HE62">
        <v>48.36</v>
      </c>
      <c r="HF62">
        <v>49.53</v>
      </c>
      <c r="HI62">
        <v>50.63</v>
      </c>
      <c r="HJ62">
        <v>51.69</v>
      </c>
      <c r="HK62">
        <v>52.76</v>
      </c>
      <c r="HM62">
        <v>54.94</v>
      </c>
      <c r="HP62">
        <v>56.09</v>
      </c>
      <c r="HQ62">
        <v>57.21</v>
      </c>
      <c r="HR62">
        <v>58.34</v>
      </c>
      <c r="HS62">
        <v>59.52</v>
      </c>
      <c r="HT62">
        <v>60.71</v>
      </c>
      <c r="HW62">
        <v>61.93</v>
      </c>
      <c r="HX62">
        <v>63.11</v>
      </c>
      <c r="HY62">
        <v>64.260000000000005</v>
      </c>
      <c r="HZ62">
        <v>65.33</v>
      </c>
      <c r="IA62">
        <v>66.44</v>
      </c>
      <c r="ID62">
        <v>67.75</v>
      </c>
      <c r="IE62">
        <v>69.099999999999994</v>
      </c>
      <c r="IF62">
        <v>70.59</v>
      </c>
      <c r="IG62">
        <v>71.91</v>
      </c>
      <c r="IK62">
        <v>73.430000000000007</v>
      </c>
      <c r="IL62">
        <v>74.91</v>
      </c>
      <c r="IM62">
        <v>76.33</v>
      </c>
      <c r="IN62">
        <v>77.8</v>
      </c>
      <c r="IO62">
        <v>79.31</v>
      </c>
      <c r="IR62">
        <v>80.709999999999994</v>
      </c>
      <c r="IS62">
        <v>82.14</v>
      </c>
      <c r="IT62">
        <v>83.52</v>
      </c>
      <c r="IU62">
        <v>84.94</v>
      </c>
      <c r="IV62">
        <v>85.94</v>
      </c>
      <c r="IY62">
        <v>87.46</v>
      </c>
      <c r="IZ62">
        <v>88.89</v>
      </c>
      <c r="JA62">
        <v>90.45</v>
      </c>
      <c r="JC62">
        <v>93.66</v>
      </c>
      <c r="JF62">
        <v>95.24</v>
      </c>
      <c r="JG62">
        <v>96.62</v>
      </c>
      <c r="JI62">
        <v>99.26</v>
      </c>
      <c r="JJ62">
        <v>100.47</v>
      </c>
      <c r="JM62">
        <v>101.64</v>
      </c>
      <c r="JN62">
        <v>102.66</v>
      </c>
      <c r="JP62">
        <v>104.73</v>
      </c>
      <c r="JQ62">
        <v>105.74</v>
      </c>
      <c r="JT62">
        <v>106.69</v>
      </c>
      <c r="JU62">
        <v>107.55</v>
      </c>
      <c r="JW62">
        <v>108.4</v>
      </c>
      <c r="JZ62">
        <v>109.75</v>
      </c>
      <c r="KB62">
        <v>110.22</v>
      </c>
      <c r="KC62">
        <v>110.97</v>
      </c>
      <c r="KD62">
        <v>111.96</v>
      </c>
      <c r="KG62">
        <v>112.75</v>
      </c>
      <c r="KH62">
        <v>113.48</v>
      </c>
      <c r="KJ62">
        <v>115.45</v>
      </c>
      <c r="KK62">
        <v>116.36</v>
      </c>
      <c r="KN62">
        <v>117.41</v>
      </c>
      <c r="KO62">
        <v>118.4</v>
      </c>
      <c r="KP62">
        <v>119.39</v>
      </c>
      <c r="KQ62">
        <v>120.22</v>
      </c>
      <c r="KR62">
        <v>121.07</v>
      </c>
      <c r="KU62">
        <v>121.92</v>
      </c>
      <c r="KV62">
        <v>122.65</v>
      </c>
      <c r="KW62">
        <v>123.22</v>
      </c>
      <c r="KX62">
        <v>123.68</v>
      </c>
      <c r="KY62">
        <v>124.21</v>
      </c>
      <c r="LB62">
        <v>124.91</v>
      </c>
      <c r="LC62">
        <v>125.46</v>
      </c>
      <c r="LM62">
        <v>130.65</v>
      </c>
      <c r="LS62">
        <v>132.54</v>
      </c>
      <c r="LT62">
        <v>133.08000000000001</v>
      </c>
      <c r="LX62">
        <v>134.32</v>
      </c>
      <c r="LY62">
        <v>134.82</v>
      </c>
      <c r="LZ62">
        <v>135.29</v>
      </c>
      <c r="MA62">
        <v>135.78</v>
      </c>
      <c r="MD62">
        <v>136.36000000000001</v>
      </c>
      <c r="MF62">
        <v>137.24</v>
      </c>
      <c r="MK62">
        <v>138.46</v>
      </c>
      <c r="ML62">
        <v>138.88</v>
      </c>
      <c r="MM62">
        <v>139.21</v>
      </c>
      <c r="MN62">
        <v>139.54</v>
      </c>
      <c r="MR62">
        <v>140.28</v>
      </c>
      <c r="MT62">
        <v>140.83000000000001</v>
      </c>
      <c r="MY62">
        <v>141.77000000000001</v>
      </c>
      <c r="MZ62">
        <v>142.06</v>
      </c>
      <c r="NA62">
        <v>142.4</v>
      </c>
      <c r="NB62">
        <v>142.75</v>
      </c>
      <c r="NF62">
        <v>143.66</v>
      </c>
      <c r="NG62">
        <v>144.13</v>
      </c>
      <c r="NJ62">
        <v>145.22</v>
      </c>
      <c r="OC62">
        <v>148.06</v>
      </c>
      <c r="PS62">
        <v>155.12</v>
      </c>
      <c r="QE62">
        <v>156.54</v>
      </c>
      <c r="QF62">
        <v>156.65</v>
      </c>
      <c r="QT62">
        <v>157.83000000000001</v>
      </c>
      <c r="QW62">
        <v>158.12</v>
      </c>
      <c r="RC62">
        <v>159.11000000000001</v>
      </c>
      <c r="RD62">
        <v>159.83000000000001</v>
      </c>
      <c r="RM62">
        <v>161.59</v>
      </c>
      <c r="RW62">
        <v>162.93</v>
      </c>
      <c r="SE62">
        <v>163.85</v>
      </c>
      <c r="TM62">
        <v>165.99</v>
      </c>
      <c r="TQ62">
        <v>166.22</v>
      </c>
      <c r="TU62">
        <v>166.35</v>
      </c>
      <c r="UD62">
        <v>166.84</v>
      </c>
      <c r="UI62">
        <v>167.11</v>
      </c>
      <c r="UZ62">
        <v>168.73</v>
      </c>
    </row>
    <row r="63" spans="1:812">
      <c r="A63" s="1" t="s">
        <v>125</v>
      </c>
      <c r="B63" s="1" t="s">
        <v>328</v>
      </c>
      <c r="CU63">
        <v>0.47</v>
      </c>
      <c r="DH63">
        <v>0.87</v>
      </c>
      <c r="DK63">
        <v>1</v>
      </c>
      <c r="DZ63">
        <v>2.34</v>
      </c>
      <c r="ED63">
        <v>3.24</v>
      </c>
      <c r="EF63">
        <v>3.98</v>
      </c>
      <c r="EL63">
        <v>5.38</v>
      </c>
      <c r="FF63">
        <v>12.53</v>
      </c>
      <c r="FJ63">
        <v>13.75</v>
      </c>
      <c r="FM63">
        <v>14.73</v>
      </c>
      <c r="FP63">
        <v>15.66</v>
      </c>
      <c r="FS63">
        <v>16</v>
      </c>
      <c r="FV63">
        <v>16.829999999999998</v>
      </c>
      <c r="GC63">
        <v>17.62</v>
      </c>
      <c r="GE63">
        <v>17.690000000000001</v>
      </c>
      <c r="GH63">
        <v>18.18</v>
      </c>
      <c r="GJ63">
        <v>18.329999999999998</v>
      </c>
      <c r="GP63">
        <v>18.489999999999998</v>
      </c>
      <c r="GR63">
        <v>18.57</v>
      </c>
      <c r="GU63">
        <v>18.88</v>
      </c>
      <c r="GW63">
        <v>18.899999999999999</v>
      </c>
      <c r="GY63">
        <v>19.239999999999998</v>
      </c>
      <c r="HB63">
        <v>19.3</v>
      </c>
      <c r="HD63">
        <v>19.75</v>
      </c>
      <c r="HG63">
        <v>19.88</v>
      </c>
      <c r="HJ63">
        <v>19.89</v>
      </c>
      <c r="HN63">
        <v>20.57</v>
      </c>
      <c r="HR63">
        <v>20.93</v>
      </c>
      <c r="HU63">
        <v>21.48</v>
      </c>
      <c r="HZ63">
        <v>21.83</v>
      </c>
      <c r="ID63">
        <v>22.01</v>
      </c>
      <c r="IF63">
        <v>22.22</v>
      </c>
      <c r="II63">
        <v>22.4</v>
      </c>
      <c r="IN63">
        <v>22.98</v>
      </c>
      <c r="IR63">
        <v>23.2</v>
      </c>
      <c r="IT63">
        <v>23.47</v>
      </c>
      <c r="IW63">
        <v>22.88</v>
      </c>
      <c r="IZ63">
        <v>23.21</v>
      </c>
      <c r="JC63">
        <v>23.84</v>
      </c>
      <c r="JQ63">
        <v>25.3</v>
      </c>
      <c r="KA63">
        <v>26.34</v>
      </c>
      <c r="KK63">
        <v>27.39</v>
      </c>
      <c r="LN63">
        <v>29.73</v>
      </c>
      <c r="NH63">
        <v>30.94</v>
      </c>
    </row>
    <row r="64" spans="1:812">
      <c r="A64" s="1" t="s">
        <v>191</v>
      </c>
      <c r="B64" s="1" t="s">
        <v>191</v>
      </c>
    </row>
    <row r="65" spans="1:812">
      <c r="A65" s="1" t="s">
        <v>148</v>
      </c>
      <c r="B65" s="1" t="s">
        <v>148</v>
      </c>
      <c r="U65">
        <v>0.02</v>
      </c>
      <c r="V65">
        <v>0.04</v>
      </c>
      <c r="W65">
        <v>7.0000000000000007E-2</v>
      </c>
      <c r="X65">
        <v>0.14000000000000001</v>
      </c>
      <c r="Y65">
        <v>0.19</v>
      </c>
      <c r="AA65">
        <v>0.19</v>
      </c>
      <c r="AB65">
        <v>0.19</v>
      </c>
      <c r="AC65">
        <v>0.24</v>
      </c>
      <c r="AD65">
        <v>0.38</v>
      </c>
      <c r="AE65">
        <v>0.5</v>
      </c>
      <c r="AF65">
        <v>0.6</v>
      </c>
      <c r="AG65">
        <v>0.77</v>
      </c>
      <c r="AH65">
        <v>0.81</v>
      </c>
      <c r="AI65">
        <v>0.83</v>
      </c>
      <c r="AJ65">
        <v>0.9</v>
      </c>
      <c r="AK65">
        <v>1.02</v>
      </c>
      <c r="AL65">
        <v>1.1200000000000001</v>
      </c>
      <c r="AM65">
        <v>1.26</v>
      </c>
      <c r="AN65">
        <v>1.35</v>
      </c>
      <c r="AO65">
        <v>1.37</v>
      </c>
      <c r="AP65">
        <v>1.38</v>
      </c>
      <c r="AQ65">
        <v>1.46</v>
      </c>
      <c r="AR65">
        <v>1.54</v>
      </c>
      <c r="AS65">
        <v>1.66</v>
      </c>
      <c r="AT65">
        <v>1.82</v>
      </c>
      <c r="AU65">
        <v>1.94</v>
      </c>
      <c r="AV65">
        <v>1.96</v>
      </c>
      <c r="AW65">
        <v>1.97</v>
      </c>
      <c r="AX65">
        <v>2.0499999999999998</v>
      </c>
      <c r="AY65">
        <v>2.23</v>
      </c>
      <c r="AZ65">
        <v>2.38</v>
      </c>
      <c r="BA65">
        <v>2.56</v>
      </c>
      <c r="BB65">
        <v>2.81</v>
      </c>
      <c r="BC65">
        <v>2.87</v>
      </c>
      <c r="BD65">
        <v>2.91</v>
      </c>
      <c r="BE65">
        <v>3.03</v>
      </c>
      <c r="BF65">
        <v>3.24</v>
      </c>
      <c r="BG65">
        <v>3.48</v>
      </c>
      <c r="BH65">
        <v>3.75</v>
      </c>
      <c r="BI65">
        <v>3.99</v>
      </c>
      <c r="BJ65">
        <v>4.03</v>
      </c>
      <c r="BK65">
        <v>4.03</v>
      </c>
      <c r="BM65">
        <v>4.3899999999999997</v>
      </c>
      <c r="BN65">
        <v>4.66</v>
      </c>
      <c r="BO65">
        <v>4.96</v>
      </c>
      <c r="BP65">
        <v>5.14</v>
      </c>
      <c r="BQ65">
        <v>5.16</v>
      </c>
      <c r="BR65">
        <v>5.16</v>
      </c>
      <c r="BS65">
        <v>5.23</v>
      </c>
      <c r="BT65">
        <v>5.41</v>
      </c>
      <c r="BU65">
        <v>5.73</v>
      </c>
      <c r="BV65">
        <v>6.21</v>
      </c>
      <c r="BW65">
        <v>6.57</v>
      </c>
      <c r="BX65">
        <v>6.63</v>
      </c>
      <c r="BY65">
        <v>6.69</v>
      </c>
      <c r="BZ65">
        <v>6.92</v>
      </c>
      <c r="CA65">
        <v>7.28</v>
      </c>
      <c r="CB65">
        <v>7.31</v>
      </c>
      <c r="CD65">
        <v>8.3699999999999992</v>
      </c>
      <c r="CF65">
        <v>8.5</v>
      </c>
      <c r="CG65">
        <v>8.77</v>
      </c>
      <c r="CI65">
        <v>9.56</v>
      </c>
      <c r="CJ65">
        <v>10.14</v>
      </c>
      <c r="CL65">
        <v>10.96</v>
      </c>
      <c r="CN65">
        <v>11.31</v>
      </c>
      <c r="CO65">
        <v>11.7</v>
      </c>
      <c r="CP65">
        <v>12.19</v>
      </c>
      <c r="CR65">
        <v>13.6</v>
      </c>
      <c r="CS65">
        <v>14.01</v>
      </c>
      <c r="CT65">
        <v>14.41</v>
      </c>
      <c r="CU65">
        <v>14.69</v>
      </c>
      <c r="CV65">
        <v>15.03</v>
      </c>
      <c r="CW65">
        <v>15.44</v>
      </c>
      <c r="CX65">
        <v>16</v>
      </c>
      <c r="CY65">
        <v>16.649999999999999</v>
      </c>
      <c r="CZ65">
        <v>16.82</v>
      </c>
      <c r="DA65">
        <v>16.920000000000002</v>
      </c>
      <c r="DB65">
        <v>17.11</v>
      </c>
      <c r="DC65">
        <v>17.329999999999998</v>
      </c>
      <c r="DD65">
        <v>17.760000000000002</v>
      </c>
      <c r="DF65">
        <v>19.02</v>
      </c>
      <c r="DG65">
        <v>19.2</v>
      </c>
      <c r="DH65">
        <v>19.239999999999998</v>
      </c>
      <c r="DJ65">
        <v>19.68</v>
      </c>
      <c r="DK65">
        <v>21.01</v>
      </c>
      <c r="DL65">
        <v>21.31</v>
      </c>
      <c r="DM65">
        <v>21.95</v>
      </c>
      <c r="DN65">
        <v>22.26</v>
      </c>
      <c r="DO65">
        <v>22.52</v>
      </c>
      <c r="DP65">
        <v>22.8</v>
      </c>
      <c r="DQ65">
        <v>23.25</v>
      </c>
      <c r="DR65">
        <v>24.22</v>
      </c>
      <c r="DS65">
        <v>25.02</v>
      </c>
      <c r="DT65">
        <v>25.15</v>
      </c>
      <c r="DU65">
        <v>25.17</v>
      </c>
      <c r="DV65">
        <v>25.32</v>
      </c>
      <c r="DW65">
        <v>25.53</v>
      </c>
      <c r="DX65">
        <v>26.08</v>
      </c>
      <c r="DY65">
        <v>27.02</v>
      </c>
      <c r="DZ65">
        <v>27.89</v>
      </c>
      <c r="EA65">
        <v>28.05</v>
      </c>
      <c r="EB65">
        <v>28.15</v>
      </c>
      <c r="EC65">
        <v>28.35</v>
      </c>
      <c r="ED65">
        <v>28.67</v>
      </c>
      <c r="EE65">
        <v>29.05</v>
      </c>
      <c r="EF65">
        <v>29.93</v>
      </c>
      <c r="EG65">
        <v>30.6</v>
      </c>
      <c r="EH65">
        <v>30.83</v>
      </c>
      <c r="EI65">
        <v>31.01</v>
      </c>
      <c r="EJ65">
        <v>31.25</v>
      </c>
      <c r="EK65">
        <v>31.77</v>
      </c>
      <c r="EL65">
        <v>32.61</v>
      </c>
      <c r="EM65">
        <v>33.729999999999997</v>
      </c>
      <c r="EN65">
        <v>34.619999999999997</v>
      </c>
      <c r="EO65">
        <v>34.85</v>
      </c>
      <c r="EP65">
        <v>35.03</v>
      </c>
      <c r="EQ65">
        <v>35.46</v>
      </c>
      <c r="ER65">
        <v>36.119999999999997</v>
      </c>
      <c r="ES65">
        <v>37.11</v>
      </c>
      <c r="ET65">
        <v>38.43</v>
      </c>
      <c r="EU65">
        <v>39.47</v>
      </c>
      <c r="EV65">
        <v>39.89</v>
      </c>
      <c r="EW65">
        <v>40.130000000000003</v>
      </c>
      <c r="EX65">
        <v>40.450000000000003</v>
      </c>
      <c r="EY65">
        <v>40.92</v>
      </c>
      <c r="EZ65">
        <v>41.68</v>
      </c>
      <c r="FA65">
        <v>42.66</v>
      </c>
      <c r="FB65">
        <v>43.32</v>
      </c>
      <c r="FC65">
        <v>43.58</v>
      </c>
      <c r="FD65">
        <v>43.65</v>
      </c>
      <c r="FE65">
        <v>44.18</v>
      </c>
      <c r="FF65">
        <v>44.77</v>
      </c>
      <c r="FG65">
        <v>45.45</v>
      </c>
      <c r="FH65">
        <v>46.56</v>
      </c>
      <c r="FI65">
        <v>47.64</v>
      </c>
      <c r="FJ65">
        <v>48</v>
      </c>
      <c r="FK65">
        <v>48.29</v>
      </c>
      <c r="FL65">
        <v>48.7</v>
      </c>
      <c r="FM65">
        <v>49.23</v>
      </c>
      <c r="FN65">
        <v>50.09</v>
      </c>
      <c r="FO65">
        <v>51.31</v>
      </c>
      <c r="FP65">
        <v>52.25</v>
      </c>
      <c r="FQ65">
        <v>52.64</v>
      </c>
      <c r="FR65">
        <v>52.99</v>
      </c>
      <c r="FS65">
        <v>53.27</v>
      </c>
      <c r="FT65">
        <v>53.91</v>
      </c>
      <c r="FU65">
        <v>54.74</v>
      </c>
      <c r="FV65">
        <v>55.8</v>
      </c>
      <c r="FW65">
        <v>56.67</v>
      </c>
      <c r="FX65">
        <v>57.07</v>
      </c>
      <c r="FY65">
        <v>57.46</v>
      </c>
      <c r="FZ65">
        <v>57.93</v>
      </c>
      <c r="GA65">
        <v>58.66</v>
      </c>
      <c r="GB65">
        <v>59.67</v>
      </c>
      <c r="GC65">
        <v>60.8</v>
      </c>
      <c r="GD65">
        <v>61.7</v>
      </c>
      <c r="GE65">
        <v>62.21</v>
      </c>
      <c r="GF65">
        <v>62.56</v>
      </c>
      <c r="GG65">
        <v>63.14</v>
      </c>
      <c r="GH65">
        <v>63.94</v>
      </c>
      <c r="GI65">
        <v>64.94</v>
      </c>
      <c r="GJ65">
        <v>66</v>
      </c>
      <c r="GK65">
        <v>67.06</v>
      </c>
      <c r="GL65">
        <v>67.53</v>
      </c>
      <c r="GM65">
        <v>67.84</v>
      </c>
      <c r="GN65">
        <v>68.489999999999995</v>
      </c>
      <c r="GO65">
        <v>68.930000000000007</v>
      </c>
      <c r="GP65">
        <v>68.94</v>
      </c>
      <c r="GQ65">
        <v>68.95</v>
      </c>
      <c r="GR65">
        <v>69.53</v>
      </c>
      <c r="GS65">
        <v>69.86</v>
      </c>
      <c r="GT65">
        <v>70.2</v>
      </c>
      <c r="GU65">
        <v>70.760000000000005</v>
      </c>
      <c r="GV65">
        <v>71.400000000000006</v>
      </c>
      <c r="GW65">
        <v>72.06</v>
      </c>
      <c r="GX65">
        <v>72.62</v>
      </c>
      <c r="GY65">
        <v>73.17</v>
      </c>
      <c r="GZ65">
        <v>73.55</v>
      </c>
      <c r="HA65">
        <v>73.97</v>
      </c>
      <c r="HB65">
        <v>74.319999999999993</v>
      </c>
      <c r="HC65">
        <v>74.95</v>
      </c>
      <c r="HD65">
        <v>75.45</v>
      </c>
      <c r="HE65">
        <v>76.06</v>
      </c>
      <c r="HF65">
        <v>76.56</v>
      </c>
      <c r="HG65">
        <v>76.81</v>
      </c>
      <c r="HH65">
        <v>77.16</v>
      </c>
      <c r="HI65">
        <v>77.5</v>
      </c>
      <c r="HJ65">
        <v>78</v>
      </c>
      <c r="HK65">
        <v>78.540000000000006</v>
      </c>
      <c r="HL65">
        <v>79.099999999999994</v>
      </c>
      <c r="HM65">
        <v>79.48</v>
      </c>
      <c r="HN65">
        <v>79.62</v>
      </c>
      <c r="HO65">
        <v>79.95</v>
      </c>
      <c r="HP65">
        <v>80.39</v>
      </c>
      <c r="HQ65">
        <v>81.010000000000005</v>
      </c>
      <c r="HR65">
        <v>81.53</v>
      </c>
      <c r="HS65">
        <v>82.11</v>
      </c>
      <c r="HT65">
        <v>82.67</v>
      </c>
      <c r="HU65">
        <v>82.92</v>
      </c>
      <c r="HV65">
        <v>83.16</v>
      </c>
      <c r="HW65">
        <v>83.59</v>
      </c>
      <c r="HX65">
        <v>84.05</v>
      </c>
      <c r="HY65">
        <v>84.47</v>
      </c>
      <c r="HZ65">
        <v>84.86</v>
      </c>
      <c r="IA65">
        <v>85.25</v>
      </c>
      <c r="IB65">
        <v>85.47</v>
      </c>
      <c r="IC65">
        <v>85.67</v>
      </c>
      <c r="ID65">
        <v>86.12</v>
      </c>
      <c r="IE65">
        <v>86.59</v>
      </c>
      <c r="IF65">
        <v>87.06</v>
      </c>
      <c r="IG65">
        <v>87.46</v>
      </c>
      <c r="IH65">
        <v>87.97</v>
      </c>
      <c r="II65">
        <v>88.24</v>
      </c>
      <c r="IJ65">
        <v>88.4</v>
      </c>
      <c r="IK65">
        <v>88.81</v>
      </c>
      <c r="IL65">
        <v>89.28</v>
      </c>
      <c r="IM65">
        <v>89.71</v>
      </c>
      <c r="IN65">
        <v>90.14</v>
      </c>
      <c r="IO65">
        <v>90.59</v>
      </c>
      <c r="IP65">
        <v>90.93</v>
      </c>
      <c r="IQ65">
        <v>91.11</v>
      </c>
      <c r="IR65">
        <v>91.52</v>
      </c>
      <c r="IS65">
        <v>91.89</v>
      </c>
      <c r="IT65">
        <v>92.29</v>
      </c>
      <c r="IU65">
        <v>92.73</v>
      </c>
      <c r="IV65">
        <v>92.92</v>
      </c>
      <c r="IW65">
        <v>93.13</v>
      </c>
      <c r="IX65">
        <v>93.24</v>
      </c>
      <c r="IY65">
        <v>93.55</v>
      </c>
      <c r="IZ65">
        <v>93.86</v>
      </c>
      <c r="JA65">
        <v>94.21</v>
      </c>
      <c r="JB65">
        <v>94.49</v>
      </c>
      <c r="JC65">
        <v>94.85</v>
      </c>
      <c r="JD65">
        <v>95.13</v>
      </c>
      <c r="JE65">
        <v>95.41</v>
      </c>
      <c r="JF65">
        <v>95.7</v>
      </c>
      <c r="JG65">
        <v>96.09</v>
      </c>
      <c r="JI65">
        <v>96.53</v>
      </c>
      <c r="JK65">
        <v>97.02</v>
      </c>
      <c r="JL65">
        <v>97.2</v>
      </c>
      <c r="JM65">
        <v>97.48</v>
      </c>
      <c r="JN65">
        <v>97.75</v>
      </c>
      <c r="JO65">
        <v>98</v>
      </c>
      <c r="JQ65">
        <v>98.53</v>
      </c>
      <c r="JR65">
        <v>98.74</v>
      </c>
      <c r="JS65">
        <v>98.9</v>
      </c>
      <c r="JT65">
        <v>99.18</v>
      </c>
      <c r="JU65">
        <v>99.49</v>
      </c>
      <c r="JV65">
        <v>99.79</v>
      </c>
      <c r="JW65">
        <v>100.07</v>
      </c>
      <c r="JX65">
        <v>100.37</v>
      </c>
      <c r="JZ65">
        <v>100.73</v>
      </c>
      <c r="KA65">
        <v>100.97</v>
      </c>
      <c r="KB65">
        <v>101.26</v>
      </c>
      <c r="KC65">
        <v>101.56</v>
      </c>
      <c r="KD65">
        <v>101.87</v>
      </c>
      <c r="KE65">
        <v>102.21</v>
      </c>
      <c r="KF65">
        <v>102.47</v>
      </c>
      <c r="KG65">
        <v>102.62</v>
      </c>
      <c r="KH65">
        <v>102.74</v>
      </c>
      <c r="KI65">
        <v>103</v>
      </c>
      <c r="KJ65">
        <v>103.21</v>
      </c>
      <c r="KK65">
        <v>103.42</v>
      </c>
      <c r="KL65">
        <v>103.59</v>
      </c>
      <c r="KM65">
        <v>103.76</v>
      </c>
      <c r="KN65">
        <v>103.8</v>
      </c>
      <c r="KO65">
        <v>103.93</v>
      </c>
      <c r="KP65">
        <v>104.1</v>
      </c>
      <c r="KQ65">
        <v>104.25</v>
      </c>
      <c r="KR65">
        <v>104.4</v>
      </c>
      <c r="KS65">
        <v>104.57</v>
      </c>
      <c r="KT65">
        <v>104.72</v>
      </c>
      <c r="KU65">
        <v>104.81</v>
      </c>
      <c r="KV65">
        <v>104.94</v>
      </c>
      <c r="KW65">
        <v>105.09</v>
      </c>
      <c r="LD65">
        <v>106</v>
      </c>
      <c r="LE65">
        <v>106.18</v>
      </c>
      <c r="LF65">
        <v>106.38</v>
      </c>
      <c r="LH65">
        <v>106.83</v>
      </c>
      <c r="LJ65">
        <v>106.98</v>
      </c>
      <c r="LM65">
        <v>107.69</v>
      </c>
      <c r="LN65">
        <v>107.96</v>
      </c>
      <c r="LO65">
        <v>108.09</v>
      </c>
      <c r="LP65">
        <v>108.17</v>
      </c>
      <c r="LR65">
        <v>108.55</v>
      </c>
      <c r="MD65">
        <v>110.14</v>
      </c>
      <c r="ME65">
        <v>110.26</v>
      </c>
      <c r="MF65">
        <v>110.37</v>
      </c>
      <c r="MG65">
        <v>110.48</v>
      </c>
      <c r="MI65">
        <v>110.75</v>
      </c>
      <c r="MK65">
        <v>110.86</v>
      </c>
      <c r="ML65">
        <v>110.95</v>
      </c>
      <c r="MM65">
        <v>111.07</v>
      </c>
      <c r="MN65">
        <v>111.18</v>
      </c>
      <c r="MO65">
        <v>111.29</v>
      </c>
      <c r="MQ65">
        <v>111.5</v>
      </c>
      <c r="MR65">
        <v>111.53</v>
      </c>
      <c r="MS65">
        <v>111.63</v>
      </c>
      <c r="MT65">
        <v>111.75</v>
      </c>
      <c r="MU65">
        <v>111.87</v>
      </c>
      <c r="MV65">
        <v>111.98</v>
      </c>
      <c r="MW65">
        <v>112.14</v>
      </c>
      <c r="MX65">
        <v>112.21</v>
      </c>
      <c r="MY65">
        <v>112.24</v>
      </c>
      <c r="NB65">
        <v>112.6</v>
      </c>
      <c r="ND65">
        <v>112.89</v>
      </c>
      <c r="NE65">
        <v>112.95</v>
      </c>
      <c r="NF65">
        <v>112.98</v>
      </c>
      <c r="NG65">
        <v>113.09</v>
      </c>
      <c r="NH65">
        <v>113.21</v>
      </c>
      <c r="NI65">
        <v>113.34</v>
      </c>
      <c r="NJ65">
        <v>113.46</v>
      </c>
      <c r="NK65">
        <v>113.61</v>
      </c>
      <c r="NL65">
        <v>113.67</v>
      </c>
      <c r="NM65">
        <v>113.71</v>
      </c>
      <c r="NN65">
        <v>113.81</v>
      </c>
      <c r="NV65">
        <v>114.37</v>
      </c>
      <c r="NX65">
        <v>114.54</v>
      </c>
      <c r="NY65">
        <v>114.55</v>
      </c>
      <c r="OA65">
        <v>114.58</v>
      </c>
      <c r="OB65">
        <v>114.64</v>
      </c>
      <c r="OC65">
        <v>114.73</v>
      </c>
      <c r="OE65">
        <v>114.91</v>
      </c>
      <c r="OG65">
        <v>115.04</v>
      </c>
      <c r="OH65">
        <v>115.06</v>
      </c>
      <c r="OI65">
        <v>115.11</v>
      </c>
      <c r="OJ65">
        <v>115.18</v>
      </c>
      <c r="OL65">
        <v>115.32</v>
      </c>
      <c r="OM65">
        <v>115.41</v>
      </c>
      <c r="ON65">
        <v>115.45</v>
      </c>
      <c r="OO65">
        <v>115.46</v>
      </c>
      <c r="OQ65">
        <v>115.56</v>
      </c>
      <c r="OS65">
        <v>115.67</v>
      </c>
      <c r="OT65">
        <v>115.74</v>
      </c>
      <c r="OU65">
        <v>115.77</v>
      </c>
      <c r="PF65">
        <v>113.55</v>
      </c>
      <c r="PL65">
        <v>113.67</v>
      </c>
      <c r="PN65">
        <v>113.73</v>
      </c>
      <c r="PR65">
        <v>146.44999999999999</v>
      </c>
      <c r="PT65">
        <v>146.63999999999999</v>
      </c>
      <c r="PV65">
        <v>146.85</v>
      </c>
      <c r="PW65">
        <v>146.9</v>
      </c>
      <c r="PX65">
        <v>146.93</v>
      </c>
      <c r="PY65">
        <v>147.01</v>
      </c>
      <c r="PZ65">
        <v>147.12</v>
      </c>
      <c r="QB65">
        <v>147.19999999999999</v>
      </c>
      <c r="QC65">
        <v>147.32</v>
      </c>
      <c r="QD65">
        <v>147.37</v>
      </c>
      <c r="QE65">
        <v>147.38999999999999</v>
      </c>
      <c r="QF65">
        <v>147.47</v>
      </c>
      <c r="QG65">
        <v>147.55000000000001</v>
      </c>
      <c r="QH65">
        <v>147.61000000000001</v>
      </c>
      <c r="QI65">
        <v>147.69</v>
      </c>
      <c r="QJ65">
        <v>147.78</v>
      </c>
      <c r="QK65">
        <v>147.81</v>
      </c>
      <c r="QL65">
        <v>147.83000000000001</v>
      </c>
      <c r="QM65">
        <v>147.88999999999999</v>
      </c>
      <c r="QN65">
        <v>147.94999999999999</v>
      </c>
      <c r="QO65">
        <v>148</v>
      </c>
      <c r="QP65">
        <v>148.07</v>
      </c>
      <c r="QQ65">
        <v>148.13999999999999</v>
      </c>
      <c r="QS65">
        <v>148.19</v>
      </c>
      <c r="QU65">
        <v>148.28</v>
      </c>
      <c r="QV65">
        <v>148.32</v>
      </c>
      <c r="QY65">
        <v>148.43</v>
      </c>
      <c r="QZ65">
        <v>148.44999999999999</v>
      </c>
      <c r="RB65">
        <v>148.53</v>
      </c>
      <c r="RE65">
        <v>148.66999999999999</v>
      </c>
      <c r="RF65">
        <v>148.69</v>
      </c>
      <c r="RG65">
        <v>148.69999999999999</v>
      </c>
      <c r="RI65">
        <v>148.78</v>
      </c>
      <c r="RJ65">
        <v>148.82</v>
      </c>
      <c r="RK65">
        <v>148.86000000000001</v>
      </c>
      <c r="RL65">
        <v>148.91999999999999</v>
      </c>
      <c r="RO65">
        <v>149.03</v>
      </c>
      <c r="RR65">
        <v>149.16</v>
      </c>
      <c r="RU65">
        <v>149.28</v>
      </c>
      <c r="RW65">
        <v>149.34</v>
      </c>
      <c r="RY65">
        <v>149.4</v>
      </c>
      <c r="SA65">
        <v>149.46</v>
      </c>
      <c r="SC65">
        <v>149.47999999999999</v>
      </c>
      <c r="SE65">
        <v>149.54</v>
      </c>
      <c r="SG65">
        <v>149.59</v>
      </c>
      <c r="SH65">
        <v>149.62</v>
      </c>
      <c r="SZ65">
        <v>149.94999999999999</v>
      </c>
      <c r="TF65">
        <v>150.05000000000001</v>
      </c>
      <c r="TG65">
        <v>150.07</v>
      </c>
      <c r="TM65">
        <v>150.16</v>
      </c>
      <c r="TN65">
        <v>150.18</v>
      </c>
      <c r="TU65">
        <v>150.26</v>
      </c>
      <c r="UB65">
        <v>150.34</v>
      </c>
      <c r="UG65">
        <v>150.4</v>
      </c>
      <c r="UH65">
        <v>150.41</v>
      </c>
      <c r="UI65">
        <v>150.43</v>
      </c>
      <c r="UP65">
        <v>150.46</v>
      </c>
      <c r="UT65">
        <v>150.5</v>
      </c>
      <c r="UU65">
        <v>150.51</v>
      </c>
      <c r="UV65">
        <v>150.52000000000001</v>
      </c>
      <c r="VB65">
        <v>150.18</v>
      </c>
      <c r="VC65">
        <v>150.19999999999999</v>
      </c>
      <c r="VJ65">
        <v>150.31</v>
      </c>
      <c r="VQ65">
        <v>150.51</v>
      </c>
      <c r="VW65">
        <v>150.81</v>
      </c>
      <c r="ZC65">
        <v>155.84</v>
      </c>
      <c r="ZJ65">
        <v>156.58000000000001</v>
      </c>
      <c r="ZL65">
        <v>156.77000000000001</v>
      </c>
      <c r="ZM65">
        <v>156.86000000000001</v>
      </c>
      <c r="ZX65">
        <v>157.32</v>
      </c>
      <c r="AAA65">
        <v>157.47999999999999</v>
      </c>
      <c r="AAB65">
        <v>157.53</v>
      </c>
      <c r="AAC65">
        <v>157.55000000000001</v>
      </c>
      <c r="AAD65">
        <v>157.55000000000001</v>
      </c>
      <c r="AAE65">
        <v>157.6</v>
      </c>
      <c r="AAL65">
        <v>157.80000000000001</v>
      </c>
      <c r="AAS65">
        <v>157.99</v>
      </c>
      <c r="AAZ65">
        <v>158.15</v>
      </c>
      <c r="ABG65">
        <v>158.30000000000001</v>
      </c>
      <c r="ABH65">
        <v>158.33000000000001</v>
      </c>
      <c r="ABI65">
        <v>158.36000000000001</v>
      </c>
      <c r="ABJ65">
        <v>158.38</v>
      </c>
      <c r="ABK65">
        <v>158.4</v>
      </c>
      <c r="ABL65">
        <v>158.4</v>
      </c>
      <c r="ABM65">
        <v>158.4</v>
      </c>
      <c r="ABN65">
        <v>158.4</v>
      </c>
      <c r="ABT65">
        <v>158.47</v>
      </c>
      <c r="ABU65">
        <v>158.47999999999999</v>
      </c>
      <c r="ACI65">
        <v>158.74</v>
      </c>
      <c r="ACP65">
        <v>158.83000000000001</v>
      </c>
      <c r="ACQ65">
        <v>158.85</v>
      </c>
      <c r="ACR65">
        <v>158.86000000000001</v>
      </c>
      <c r="ACS65">
        <v>158.88</v>
      </c>
      <c r="ACT65">
        <v>158.9</v>
      </c>
      <c r="ACU65">
        <v>158.91</v>
      </c>
      <c r="ACV65">
        <v>158.91</v>
      </c>
      <c r="ACW65">
        <v>158.91999999999999</v>
      </c>
      <c r="ADD65">
        <v>158.97</v>
      </c>
      <c r="ADE65">
        <v>158.97999999999999</v>
      </c>
      <c r="ADF65">
        <v>158.99</v>
      </c>
      <c r="ADG65">
        <v>159</v>
      </c>
      <c r="ADH65">
        <v>159.01</v>
      </c>
      <c r="ADI65">
        <v>159.02000000000001</v>
      </c>
      <c r="ADJ65">
        <v>159.02000000000001</v>
      </c>
      <c r="ADK65">
        <v>159.02000000000001</v>
      </c>
      <c r="ADR65">
        <v>159.07</v>
      </c>
    </row>
    <row r="66" spans="1:812">
      <c r="A66" s="1" t="s">
        <v>139</v>
      </c>
      <c r="B66" s="1" t="s">
        <v>139</v>
      </c>
      <c r="DI66">
        <v>0</v>
      </c>
      <c r="DO66">
        <v>1.75</v>
      </c>
      <c r="DR66">
        <v>2.38</v>
      </c>
      <c r="EC66">
        <v>2.74</v>
      </c>
      <c r="ED66">
        <v>2.84</v>
      </c>
      <c r="EF66">
        <v>2.87</v>
      </c>
      <c r="EG66">
        <v>2.89</v>
      </c>
      <c r="EI66">
        <v>3.01</v>
      </c>
      <c r="FA66">
        <v>3.04</v>
      </c>
      <c r="GP66">
        <v>3.82</v>
      </c>
      <c r="GR66">
        <v>4.03</v>
      </c>
      <c r="GS66">
        <v>4.0999999999999996</v>
      </c>
      <c r="HC66">
        <v>4.18</v>
      </c>
      <c r="HD66">
        <v>4.43</v>
      </c>
      <c r="HK66">
        <v>5.18</v>
      </c>
      <c r="HO66">
        <v>5.47</v>
      </c>
      <c r="HR66">
        <v>5.66</v>
      </c>
      <c r="ID66">
        <v>5.72</v>
      </c>
      <c r="IE66">
        <v>6.59</v>
      </c>
      <c r="IF66">
        <v>7.58</v>
      </c>
      <c r="IG66">
        <v>8.9600000000000009</v>
      </c>
      <c r="IH66">
        <v>10.29</v>
      </c>
      <c r="II66">
        <v>10.29</v>
      </c>
      <c r="IK66">
        <v>11.74</v>
      </c>
      <c r="IL66">
        <v>12.86</v>
      </c>
      <c r="IM66">
        <v>14.15</v>
      </c>
      <c r="IN66">
        <v>15.63</v>
      </c>
      <c r="IU66">
        <v>18.28</v>
      </c>
      <c r="JA66">
        <v>20.43</v>
      </c>
      <c r="JZ66">
        <v>19.71</v>
      </c>
      <c r="KC66">
        <v>20.43</v>
      </c>
      <c r="KU66">
        <v>22.05</v>
      </c>
      <c r="LX66">
        <v>24.45</v>
      </c>
      <c r="NB66">
        <v>29.36</v>
      </c>
      <c r="NQ66">
        <v>33.82</v>
      </c>
      <c r="NV66">
        <v>34.090000000000003</v>
      </c>
      <c r="OB66">
        <v>34.49</v>
      </c>
      <c r="OD66">
        <v>35.06</v>
      </c>
      <c r="OP66">
        <v>37.04</v>
      </c>
    </row>
    <row r="67" spans="1:812">
      <c r="A67" s="1" t="s">
        <v>97</v>
      </c>
      <c r="B67" s="1" t="s">
        <v>329</v>
      </c>
      <c r="DR67">
        <v>0.37</v>
      </c>
      <c r="EL67">
        <v>0.93</v>
      </c>
      <c r="EM67">
        <v>0.96</v>
      </c>
      <c r="EN67">
        <v>0.97</v>
      </c>
      <c r="EO67">
        <v>0.99</v>
      </c>
      <c r="EP67">
        <v>0.99</v>
      </c>
      <c r="EQ67">
        <v>1.02</v>
      </c>
      <c r="ER67">
        <v>1.04</v>
      </c>
      <c r="ES67">
        <v>1.06</v>
      </c>
      <c r="ET67">
        <v>1.08</v>
      </c>
      <c r="EU67">
        <v>1.1200000000000001</v>
      </c>
      <c r="EV67">
        <v>1.1200000000000001</v>
      </c>
      <c r="EW67">
        <v>1.1299999999999999</v>
      </c>
      <c r="EX67">
        <v>1.1299999999999999</v>
      </c>
      <c r="EY67">
        <v>1.18</v>
      </c>
      <c r="EZ67">
        <v>1.22</v>
      </c>
      <c r="FA67">
        <v>1.24</v>
      </c>
      <c r="FB67">
        <v>1.25</v>
      </c>
      <c r="FC67">
        <v>1.27</v>
      </c>
      <c r="FD67">
        <v>1.27</v>
      </c>
      <c r="FE67">
        <v>1.28</v>
      </c>
      <c r="FF67">
        <v>1.29</v>
      </c>
      <c r="FG67">
        <v>1.31</v>
      </c>
      <c r="FH67">
        <v>1.33</v>
      </c>
      <c r="FI67">
        <v>1.38</v>
      </c>
      <c r="FJ67">
        <v>1.4</v>
      </c>
      <c r="FK67">
        <v>1.44</v>
      </c>
      <c r="FL67">
        <v>1.47</v>
      </c>
      <c r="FM67">
        <v>1.49</v>
      </c>
      <c r="FN67">
        <v>1.51</v>
      </c>
      <c r="FO67">
        <v>1.55</v>
      </c>
      <c r="FP67">
        <v>1.56</v>
      </c>
      <c r="FQ67">
        <v>1.57</v>
      </c>
      <c r="FR67">
        <v>1.57</v>
      </c>
      <c r="FS67">
        <v>1.58</v>
      </c>
      <c r="FT67">
        <v>1.59</v>
      </c>
      <c r="FU67">
        <v>1.6</v>
      </c>
      <c r="FV67">
        <v>1.61</v>
      </c>
      <c r="FW67">
        <v>1.62</v>
      </c>
      <c r="FX67">
        <v>1.63</v>
      </c>
      <c r="FY67">
        <v>1.64</v>
      </c>
      <c r="FZ67">
        <v>1.64</v>
      </c>
      <c r="GA67">
        <v>1.65</v>
      </c>
      <c r="GB67">
        <v>1.65</v>
      </c>
      <c r="GC67">
        <v>1.67</v>
      </c>
      <c r="GD67">
        <v>1.68</v>
      </c>
      <c r="GE67">
        <v>1.68</v>
      </c>
      <c r="GF67">
        <v>1.69</v>
      </c>
      <c r="GG67">
        <v>1.69</v>
      </c>
      <c r="GH67">
        <v>1.7</v>
      </c>
      <c r="GI67">
        <v>1.71</v>
      </c>
      <c r="GJ67">
        <v>1.71</v>
      </c>
      <c r="GK67">
        <v>1.72</v>
      </c>
      <c r="GL67">
        <v>1.72</v>
      </c>
      <c r="GM67">
        <v>1.72</v>
      </c>
      <c r="GO67">
        <v>1.72</v>
      </c>
      <c r="GP67">
        <v>1.73</v>
      </c>
      <c r="GQ67">
        <v>1.73</v>
      </c>
      <c r="GR67">
        <v>1.73</v>
      </c>
      <c r="GS67">
        <v>1.73</v>
      </c>
      <c r="GT67">
        <v>1.73</v>
      </c>
      <c r="GU67">
        <v>1.74</v>
      </c>
      <c r="GV67">
        <v>1.75</v>
      </c>
      <c r="GW67">
        <v>1.76</v>
      </c>
      <c r="GX67">
        <v>1.76</v>
      </c>
      <c r="GY67">
        <v>1.77</v>
      </c>
      <c r="GZ67">
        <v>1.77</v>
      </c>
      <c r="HA67">
        <v>1.77</v>
      </c>
      <c r="HB67">
        <v>1.78</v>
      </c>
      <c r="HC67">
        <v>1.78</v>
      </c>
      <c r="HD67">
        <v>1.79</v>
      </c>
      <c r="HE67">
        <v>1.79</v>
      </c>
      <c r="HF67">
        <v>1.79</v>
      </c>
      <c r="HG67">
        <v>1.79</v>
      </c>
      <c r="HH67">
        <v>1.79</v>
      </c>
      <c r="HI67">
        <v>1.79</v>
      </c>
      <c r="HJ67">
        <v>1.8</v>
      </c>
      <c r="HK67">
        <v>1.81</v>
      </c>
      <c r="HL67">
        <v>1.82</v>
      </c>
      <c r="HM67">
        <v>1.84</v>
      </c>
      <c r="HN67">
        <v>1.85</v>
      </c>
      <c r="HQ67">
        <v>1.87</v>
      </c>
      <c r="HS67">
        <v>1.88</v>
      </c>
      <c r="HT67">
        <v>1.88</v>
      </c>
      <c r="HU67">
        <v>1.89</v>
      </c>
      <c r="HV67">
        <v>1.89</v>
      </c>
      <c r="HW67">
        <v>1.9</v>
      </c>
      <c r="HX67">
        <v>1.9</v>
      </c>
      <c r="HY67">
        <v>1.91</v>
      </c>
      <c r="HZ67">
        <v>1.92</v>
      </c>
      <c r="IA67">
        <v>1.93</v>
      </c>
      <c r="IB67">
        <v>1.93</v>
      </c>
      <c r="ID67">
        <v>1.93</v>
      </c>
      <c r="IE67">
        <v>1.94</v>
      </c>
      <c r="IF67">
        <v>1.96</v>
      </c>
      <c r="IG67">
        <v>1.96</v>
      </c>
      <c r="IH67">
        <v>1.97</v>
      </c>
      <c r="IJ67">
        <v>1.97</v>
      </c>
      <c r="IK67">
        <v>1.99</v>
      </c>
      <c r="IL67">
        <v>1.99</v>
      </c>
      <c r="IM67">
        <v>2</v>
      </c>
      <c r="IN67">
        <v>2</v>
      </c>
      <c r="IO67">
        <v>2.0099999999999998</v>
      </c>
      <c r="IR67">
        <v>2.0099999999999998</v>
      </c>
      <c r="IS67">
        <v>2.02</v>
      </c>
      <c r="IY67">
        <v>1.99</v>
      </c>
      <c r="IZ67">
        <v>2.02</v>
      </c>
      <c r="JA67">
        <v>2.0299999999999998</v>
      </c>
      <c r="JB67">
        <v>2.0299999999999998</v>
      </c>
      <c r="JE67">
        <v>2.0699999999999998</v>
      </c>
      <c r="JG67">
        <v>2.08</v>
      </c>
      <c r="JH67">
        <v>2.08</v>
      </c>
      <c r="JM67">
        <v>2.19</v>
      </c>
      <c r="JN67">
        <v>2.19</v>
      </c>
      <c r="JO67">
        <v>2.25</v>
      </c>
      <c r="JR67">
        <v>2.34</v>
      </c>
      <c r="JT67">
        <v>2.4</v>
      </c>
      <c r="JU67">
        <v>2.41</v>
      </c>
      <c r="JV67">
        <v>2.44</v>
      </c>
      <c r="JW67">
        <v>2.4700000000000002</v>
      </c>
      <c r="JX67">
        <v>2.5099999999999998</v>
      </c>
      <c r="JZ67">
        <v>2.56</v>
      </c>
      <c r="KA67">
        <v>2.7</v>
      </c>
      <c r="KB67">
        <v>2.74</v>
      </c>
      <c r="KC67">
        <v>2.78</v>
      </c>
      <c r="KD67">
        <v>2.94</v>
      </c>
      <c r="KE67">
        <v>2.96</v>
      </c>
      <c r="KF67">
        <v>2.97</v>
      </c>
      <c r="KG67">
        <v>3</v>
      </c>
      <c r="KI67">
        <v>3.06</v>
      </c>
      <c r="KJ67">
        <v>3.11</v>
      </c>
      <c r="KL67">
        <v>3.15</v>
      </c>
      <c r="LN67">
        <v>3.96</v>
      </c>
      <c r="LO67">
        <v>4.03</v>
      </c>
      <c r="LT67">
        <v>4.2300000000000004</v>
      </c>
      <c r="LW67">
        <v>4.2699999999999996</v>
      </c>
      <c r="LX67">
        <v>4.28</v>
      </c>
      <c r="MB67">
        <v>4.3</v>
      </c>
      <c r="MF67">
        <v>4.3099999999999996</v>
      </c>
      <c r="MK67">
        <v>4.63</v>
      </c>
      <c r="MN67">
        <v>5.85</v>
      </c>
      <c r="MP67">
        <v>6.79</v>
      </c>
      <c r="MS67">
        <v>7.65</v>
      </c>
      <c r="MT67">
        <v>7.9</v>
      </c>
      <c r="MU67">
        <v>8.11</v>
      </c>
      <c r="MV67">
        <v>8.2899999999999991</v>
      </c>
      <c r="MY67">
        <v>8.5299999999999994</v>
      </c>
      <c r="NA67">
        <v>8.68</v>
      </c>
      <c r="NB67">
        <v>8.73</v>
      </c>
      <c r="ND67">
        <v>8.7899999999999991</v>
      </c>
      <c r="NG67">
        <v>8.8699999999999992</v>
      </c>
      <c r="NH67">
        <v>8.9</v>
      </c>
      <c r="NK67">
        <v>8.99</v>
      </c>
      <c r="OA67">
        <v>9.2799999999999994</v>
      </c>
      <c r="OF67">
        <v>9.2899999999999991</v>
      </c>
      <c r="OJ67">
        <v>9.3000000000000007</v>
      </c>
      <c r="OK67">
        <v>9.3000000000000007</v>
      </c>
      <c r="OW67">
        <v>9.31</v>
      </c>
      <c r="PD67">
        <v>9.31</v>
      </c>
      <c r="PT67">
        <v>10.14</v>
      </c>
      <c r="PW67">
        <v>13.83</v>
      </c>
      <c r="PX67">
        <v>14.96</v>
      </c>
      <c r="PZ67">
        <v>17.690000000000001</v>
      </c>
      <c r="QK67">
        <v>22.07</v>
      </c>
      <c r="QL67">
        <v>22.21</v>
      </c>
      <c r="QO67">
        <v>23.13</v>
      </c>
      <c r="QS67">
        <v>24.35</v>
      </c>
      <c r="QX67">
        <v>24.75</v>
      </c>
      <c r="RG67">
        <v>24.92</v>
      </c>
    </row>
    <row r="68" spans="1:812">
      <c r="A68" s="1" t="s">
        <v>193</v>
      </c>
      <c r="B68" s="1" t="s">
        <v>262</v>
      </c>
      <c r="BA68">
        <v>8.17</v>
      </c>
      <c r="BI68">
        <v>9.5299999999999994</v>
      </c>
      <c r="BK68">
        <v>9.7899999999999991</v>
      </c>
      <c r="BM68">
        <v>10.96</v>
      </c>
      <c r="BX68">
        <v>11.63</v>
      </c>
      <c r="BZ68">
        <v>12.81</v>
      </c>
      <c r="CA68">
        <v>13.74</v>
      </c>
      <c r="CH68">
        <v>14.41</v>
      </c>
      <c r="CI68">
        <v>15.13</v>
      </c>
      <c r="CJ68">
        <v>15.48</v>
      </c>
      <c r="CK68">
        <v>16.22</v>
      </c>
      <c r="CM68">
        <v>16.510000000000002</v>
      </c>
      <c r="CQ68">
        <v>18.07</v>
      </c>
      <c r="CU68">
        <v>18.350000000000001</v>
      </c>
      <c r="CV68">
        <v>18.77</v>
      </c>
      <c r="CW68">
        <v>19.12</v>
      </c>
      <c r="DA68">
        <v>19.29</v>
      </c>
      <c r="DE68">
        <v>19.77</v>
      </c>
      <c r="DF68">
        <v>20.38</v>
      </c>
      <c r="DI68">
        <v>22.04</v>
      </c>
      <c r="DR68">
        <v>23.52</v>
      </c>
      <c r="DV68">
        <v>25.84</v>
      </c>
      <c r="DW68">
        <v>26.87</v>
      </c>
      <c r="DX68">
        <v>28.1</v>
      </c>
      <c r="DY68">
        <v>29.27</v>
      </c>
      <c r="EC68">
        <v>29.9</v>
      </c>
      <c r="EE68">
        <v>30.36</v>
      </c>
      <c r="EF68">
        <v>31.78</v>
      </c>
      <c r="EH68">
        <v>35.36</v>
      </c>
      <c r="EJ68">
        <v>37.44</v>
      </c>
      <c r="EK68">
        <v>39.42</v>
      </c>
      <c r="EL68">
        <v>41.42</v>
      </c>
      <c r="ET68">
        <v>43.24</v>
      </c>
      <c r="EV68">
        <v>46.49</v>
      </c>
      <c r="EW68">
        <v>48.13</v>
      </c>
      <c r="EY68">
        <v>52.04</v>
      </c>
      <c r="FA68">
        <v>53.73</v>
      </c>
      <c r="FD68">
        <v>55.21</v>
      </c>
      <c r="FJ68">
        <v>56.65</v>
      </c>
      <c r="FK68">
        <v>58.62</v>
      </c>
      <c r="FL68">
        <v>60.71</v>
      </c>
      <c r="FM68">
        <v>61.77</v>
      </c>
      <c r="FN68">
        <v>62.87</v>
      </c>
      <c r="FP68">
        <v>66.39</v>
      </c>
      <c r="FR68">
        <v>66.7</v>
      </c>
      <c r="FV68">
        <v>69.75</v>
      </c>
      <c r="FW68">
        <v>70.709999999999994</v>
      </c>
      <c r="FY68">
        <v>72.72</v>
      </c>
      <c r="FZ68">
        <v>74.58</v>
      </c>
      <c r="GB68">
        <v>78.260000000000005</v>
      </c>
      <c r="GF68">
        <v>81.83</v>
      </c>
      <c r="GH68">
        <v>82.54</v>
      </c>
      <c r="GI68">
        <v>82.85</v>
      </c>
      <c r="GK68">
        <v>84.87</v>
      </c>
      <c r="GL68">
        <v>85.24</v>
      </c>
      <c r="GM68">
        <v>86.89</v>
      </c>
      <c r="GN68">
        <v>89.01</v>
      </c>
      <c r="GO68">
        <v>90.89</v>
      </c>
      <c r="GQ68">
        <v>93.02</v>
      </c>
      <c r="GR68">
        <v>94.3</v>
      </c>
      <c r="GU68">
        <v>95.93</v>
      </c>
      <c r="GW68">
        <v>96.81</v>
      </c>
      <c r="GX68">
        <v>98.94</v>
      </c>
      <c r="HA68">
        <v>101.96</v>
      </c>
      <c r="HB68">
        <v>104.25</v>
      </c>
      <c r="HC68">
        <v>106.19</v>
      </c>
      <c r="HD68">
        <v>108.41</v>
      </c>
      <c r="HE68">
        <v>109.67</v>
      </c>
      <c r="HH68">
        <v>116.29</v>
      </c>
      <c r="HI68">
        <v>117.67</v>
      </c>
      <c r="HJ68">
        <v>118.41</v>
      </c>
      <c r="HK68">
        <v>119.42</v>
      </c>
      <c r="HL68">
        <v>120.42</v>
      </c>
      <c r="HP68">
        <v>123.65</v>
      </c>
      <c r="HQ68">
        <v>124.37</v>
      </c>
      <c r="HR68">
        <v>125.96</v>
      </c>
      <c r="HS68">
        <v>126.3</v>
      </c>
      <c r="HV68">
        <v>127.42</v>
      </c>
      <c r="HX68">
        <v>128.86000000000001</v>
      </c>
      <c r="HY68">
        <v>130.28</v>
      </c>
      <c r="IE68">
        <v>133.07</v>
      </c>
      <c r="IG68">
        <v>134.26</v>
      </c>
      <c r="IH68">
        <v>137.21</v>
      </c>
      <c r="IK68">
        <v>138.77000000000001</v>
      </c>
      <c r="IL68">
        <v>139.36000000000001</v>
      </c>
      <c r="IM68">
        <v>139.97</v>
      </c>
      <c r="IN68">
        <v>140.88</v>
      </c>
      <c r="IQ68">
        <v>140.93</v>
      </c>
      <c r="IR68">
        <v>141.9</v>
      </c>
      <c r="IS68">
        <v>142.43</v>
      </c>
      <c r="IT68">
        <v>142.68</v>
      </c>
      <c r="IU68">
        <v>143.15</v>
      </c>
      <c r="IZ68">
        <v>143.52000000000001</v>
      </c>
      <c r="JB68">
        <v>144.13</v>
      </c>
      <c r="JF68">
        <v>144.62</v>
      </c>
      <c r="JG68">
        <v>145.09</v>
      </c>
      <c r="JI68">
        <v>145.79</v>
      </c>
      <c r="JM68">
        <v>146.46</v>
      </c>
      <c r="JN68">
        <v>146.63999999999999</v>
      </c>
      <c r="JO68">
        <v>147.28</v>
      </c>
      <c r="JQ68">
        <v>147.97999999999999</v>
      </c>
      <c r="JU68">
        <v>148.71</v>
      </c>
      <c r="JV68">
        <v>148.91999999999999</v>
      </c>
      <c r="JW68">
        <v>149.24</v>
      </c>
      <c r="KA68">
        <v>149.63999999999999</v>
      </c>
      <c r="KC68">
        <v>150.11000000000001</v>
      </c>
      <c r="KD68">
        <v>150.6</v>
      </c>
      <c r="KG68">
        <v>150.77000000000001</v>
      </c>
      <c r="KH68">
        <v>151.12</v>
      </c>
      <c r="KI68">
        <v>151.44999999999999</v>
      </c>
      <c r="KL68">
        <v>152.12</v>
      </c>
      <c r="KP68">
        <v>152.91</v>
      </c>
      <c r="KS68">
        <v>153.63</v>
      </c>
      <c r="KU68">
        <v>153.69</v>
      </c>
      <c r="KV68">
        <v>153.94999999999999</v>
      </c>
      <c r="KX68">
        <v>154.21</v>
      </c>
      <c r="KZ68">
        <v>154.66</v>
      </c>
      <c r="LC68">
        <v>155.06</v>
      </c>
      <c r="LD68">
        <v>155.26</v>
      </c>
      <c r="LE68">
        <v>155.72</v>
      </c>
      <c r="LF68">
        <v>155.99</v>
      </c>
      <c r="LK68">
        <v>156.41</v>
      </c>
      <c r="LL68">
        <v>156.72</v>
      </c>
      <c r="LM68">
        <v>157.54</v>
      </c>
      <c r="LP68">
        <v>158.1</v>
      </c>
      <c r="LR68">
        <v>159.03</v>
      </c>
      <c r="LS68">
        <v>159.16999999999999</v>
      </c>
      <c r="LU68">
        <v>159.72</v>
      </c>
      <c r="NU68">
        <v>191.64</v>
      </c>
      <c r="NX68">
        <v>196.19</v>
      </c>
      <c r="OB68">
        <v>197.66</v>
      </c>
      <c r="OD68">
        <v>198.03</v>
      </c>
      <c r="OE68">
        <v>200.74</v>
      </c>
      <c r="OH68">
        <v>203.03</v>
      </c>
      <c r="OJ68">
        <v>204</v>
      </c>
      <c r="OL68">
        <v>205.12</v>
      </c>
      <c r="OQ68">
        <v>205.96</v>
      </c>
      <c r="OR68">
        <v>206.54</v>
      </c>
      <c r="OS68">
        <v>207.54</v>
      </c>
      <c r="OX68">
        <v>208.51</v>
      </c>
      <c r="PA68">
        <v>210.03</v>
      </c>
      <c r="PD68">
        <v>210.43</v>
      </c>
      <c r="PE68">
        <v>210.55</v>
      </c>
      <c r="PF68">
        <v>210.69</v>
      </c>
      <c r="PG68">
        <v>210.95</v>
      </c>
      <c r="PK68">
        <v>211.14</v>
      </c>
      <c r="PL68">
        <v>211.23</v>
      </c>
      <c r="PN68">
        <v>211.42</v>
      </c>
      <c r="PR68">
        <v>211.48</v>
      </c>
      <c r="PT68">
        <v>211.72</v>
      </c>
      <c r="PV68">
        <v>211.8</v>
      </c>
    </row>
    <row r="69" spans="1:812">
      <c r="A69" s="1" t="s">
        <v>218</v>
      </c>
      <c r="B69" s="1" t="s">
        <v>384</v>
      </c>
      <c r="BJ69">
        <v>0</v>
      </c>
      <c r="BR69">
        <v>43.5</v>
      </c>
      <c r="BY69">
        <v>49.73</v>
      </c>
      <c r="DE69">
        <v>62.79</v>
      </c>
      <c r="DQ69">
        <v>124.09</v>
      </c>
      <c r="DX69">
        <v>126.53</v>
      </c>
    </row>
    <row r="70" spans="1:812">
      <c r="A70" s="1" t="s">
        <v>209</v>
      </c>
      <c r="B70" s="1" t="s">
        <v>330</v>
      </c>
      <c r="CV70">
        <v>0</v>
      </c>
      <c r="DW70">
        <v>0.7</v>
      </c>
      <c r="DY70">
        <v>3.09</v>
      </c>
      <c r="DZ70">
        <v>6.25</v>
      </c>
      <c r="ED70">
        <v>6.25</v>
      </c>
      <c r="EY70">
        <v>10.37</v>
      </c>
      <c r="FM70">
        <v>12.26</v>
      </c>
      <c r="FT70">
        <v>15.2</v>
      </c>
      <c r="GA70">
        <v>24.92</v>
      </c>
      <c r="GH70">
        <v>27.06</v>
      </c>
      <c r="GN70">
        <v>30.57</v>
      </c>
      <c r="GV70">
        <v>35.950000000000003</v>
      </c>
      <c r="HC70">
        <v>42.3</v>
      </c>
      <c r="HJ70">
        <v>46.85</v>
      </c>
      <c r="HQ70">
        <v>52.62</v>
      </c>
      <c r="HX70">
        <v>60.06</v>
      </c>
      <c r="ID70">
        <v>70.150000000000006</v>
      </c>
      <c r="IK70">
        <v>77.069999999999993</v>
      </c>
      <c r="IR70">
        <v>83.13</v>
      </c>
      <c r="IY70">
        <v>86.18</v>
      </c>
      <c r="JN70">
        <v>95.93</v>
      </c>
      <c r="JU70">
        <v>101.02</v>
      </c>
      <c r="KB70">
        <v>108.02</v>
      </c>
      <c r="KI70">
        <v>112.66</v>
      </c>
      <c r="KP70">
        <v>116.94</v>
      </c>
      <c r="KW70">
        <v>120.83</v>
      </c>
      <c r="LC70">
        <v>125.92</v>
      </c>
      <c r="LJ70">
        <v>129.15</v>
      </c>
      <c r="LQ70">
        <v>131.71</v>
      </c>
      <c r="LX70">
        <v>132.56</v>
      </c>
      <c r="ME70">
        <v>133.88</v>
      </c>
      <c r="ML70">
        <v>134.37</v>
      </c>
      <c r="MT70">
        <v>137.02000000000001</v>
      </c>
      <c r="MZ70">
        <v>137.91999999999999</v>
      </c>
      <c r="NG70">
        <v>139.26</v>
      </c>
      <c r="NN70">
        <v>140.33000000000001</v>
      </c>
      <c r="OC70">
        <v>140.97</v>
      </c>
      <c r="OJ70">
        <v>141.22999999999999</v>
      </c>
      <c r="OQ70">
        <v>141.35</v>
      </c>
      <c r="PD70">
        <v>141.66999999999999</v>
      </c>
      <c r="PK70">
        <v>141.85</v>
      </c>
      <c r="PR70">
        <v>142.12</v>
      </c>
      <c r="PY70">
        <v>142.36000000000001</v>
      </c>
      <c r="QF70">
        <v>142.62</v>
      </c>
      <c r="QM70">
        <v>142.78</v>
      </c>
      <c r="QT70">
        <v>144.33000000000001</v>
      </c>
      <c r="RA70">
        <v>144.68</v>
      </c>
      <c r="RM70">
        <v>158.19</v>
      </c>
      <c r="RR70">
        <v>158.96</v>
      </c>
      <c r="RW70">
        <v>159.25</v>
      </c>
      <c r="SD70">
        <v>159.31</v>
      </c>
      <c r="SK70">
        <v>160.1</v>
      </c>
      <c r="SR70">
        <v>160.32</v>
      </c>
      <c r="SY70">
        <v>162.47</v>
      </c>
      <c r="TF70">
        <v>162.5</v>
      </c>
      <c r="TM70">
        <v>162.71</v>
      </c>
      <c r="TT70">
        <v>163.31</v>
      </c>
      <c r="UA70">
        <v>163.35</v>
      </c>
      <c r="UH70">
        <v>163.38999999999999</v>
      </c>
      <c r="VW70">
        <v>164.32</v>
      </c>
      <c r="WD70">
        <v>164.73</v>
      </c>
      <c r="WR70">
        <v>165.62</v>
      </c>
      <c r="WY70">
        <v>166.17</v>
      </c>
      <c r="XF70">
        <v>166.23</v>
      </c>
      <c r="XM70">
        <v>166.44</v>
      </c>
      <c r="XT70">
        <v>166.58</v>
      </c>
      <c r="YA70">
        <v>166.73</v>
      </c>
      <c r="YI70">
        <v>166.82</v>
      </c>
      <c r="YV70">
        <v>167.01</v>
      </c>
      <c r="ZC70">
        <v>167.07</v>
      </c>
      <c r="ZJ70">
        <v>166.2</v>
      </c>
      <c r="ZQ70">
        <v>166.28</v>
      </c>
      <c r="ZX70">
        <v>166.36</v>
      </c>
      <c r="AAE70">
        <v>166.42</v>
      </c>
      <c r="AAL70">
        <v>166.54</v>
      </c>
      <c r="AAS70">
        <v>166.6</v>
      </c>
      <c r="AAZ70">
        <v>166.78</v>
      </c>
      <c r="ABG70">
        <v>166.84</v>
      </c>
      <c r="ABW70">
        <v>166.89</v>
      </c>
      <c r="ACB70">
        <v>166.9</v>
      </c>
      <c r="ACI70">
        <v>166.92</v>
      </c>
      <c r="ACP70">
        <v>166.94</v>
      </c>
      <c r="ACX70">
        <v>166.96</v>
      </c>
      <c r="ADD70">
        <v>166.97</v>
      </c>
      <c r="ADK70">
        <v>167</v>
      </c>
      <c r="ADR70">
        <v>167.01</v>
      </c>
      <c r="ADY70">
        <v>167.04</v>
      </c>
      <c r="AEF70">
        <v>167.05</v>
      </c>
    </row>
    <row r="71" spans="1:812">
      <c r="A71" s="1" t="s">
        <v>115</v>
      </c>
      <c r="B71" s="1" t="s">
        <v>263</v>
      </c>
      <c r="X71">
        <v>0.03</v>
      </c>
      <c r="AB71">
        <v>7.0000000000000007E-2</v>
      </c>
      <c r="AC71">
        <v>0.1</v>
      </c>
      <c r="AE71">
        <v>0.15</v>
      </c>
      <c r="AF71">
        <v>0.2</v>
      </c>
      <c r="AI71">
        <v>0.26</v>
      </c>
      <c r="AJ71">
        <v>0.32</v>
      </c>
      <c r="AK71">
        <v>0.42</v>
      </c>
      <c r="AL71">
        <v>0.6</v>
      </c>
      <c r="AM71">
        <v>0.78</v>
      </c>
      <c r="AP71">
        <v>0.98</v>
      </c>
      <c r="AQ71">
        <v>1.01</v>
      </c>
      <c r="AR71">
        <v>1.1200000000000001</v>
      </c>
      <c r="AS71">
        <v>1.41</v>
      </c>
      <c r="AT71">
        <v>1.65</v>
      </c>
      <c r="AW71">
        <v>2</v>
      </c>
      <c r="AX71">
        <v>2.11</v>
      </c>
      <c r="AY71">
        <v>2.29</v>
      </c>
      <c r="AZ71">
        <v>2.5</v>
      </c>
      <c r="BA71">
        <v>2.74</v>
      </c>
      <c r="BB71">
        <v>2.93</v>
      </c>
      <c r="BD71">
        <v>2.96</v>
      </c>
      <c r="BE71">
        <v>2.96</v>
      </c>
      <c r="BF71">
        <v>3.13</v>
      </c>
      <c r="BG71">
        <v>3.5</v>
      </c>
      <c r="BH71">
        <v>3.74</v>
      </c>
      <c r="BI71">
        <v>3.93</v>
      </c>
      <c r="BJ71">
        <v>3.97</v>
      </c>
      <c r="BK71">
        <v>3.98</v>
      </c>
      <c r="BL71">
        <v>4.0999999999999996</v>
      </c>
      <c r="BM71">
        <v>4.22</v>
      </c>
      <c r="BN71">
        <v>4.47</v>
      </c>
      <c r="BO71">
        <v>4.72</v>
      </c>
      <c r="BP71">
        <v>4.93</v>
      </c>
      <c r="BQ71">
        <v>4.99</v>
      </c>
      <c r="BR71">
        <v>5</v>
      </c>
      <c r="BS71">
        <v>5.12</v>
      </c>
      <c r="BT71">
        <v>5.38</v>
      </c>
      <c r="BU71">
        <v>5.67</v>
      </c>
      <c r="BV71">
        <v>6.02</v>
      </c>
      <c r="BW71">
        <v>6.3</v>
      </c>
      <c r="BX71">
        <v>6.57</v>
      </c>
      <c r="CA71">
        <v>6.81</v>
      </c>
      <c r="CB71">
        <v>7.16</v>
      </c>
      <c r="CC71">
        <v>7.7</v>
      </c>
      <c r="CD71">
        <v>7.99</v>
      </c>
      <c r="CE71">
        <v>8.16</v>
      </c>
      <c r="CF71">
        <v>8.42</v>
      </c>
      <c r="CH71">
        <v>8.8000000000000007</v>
      </c>
      <c r="CI71">
        <v>9.19</v>
      </c>
      <c r="CJ71">
        <v>9.6199999999999992</v>
      </c>
      <c r="CK71">
        <v>10.210000000000001</v>
      </c>
      <c r="CM71">
        <v>10.220000000000001</v>
      </c>
      <c r="CN71">
        <v>10.39</v>
      </c>
      <c r="CO71">
        <v>10.84</v>
      </c>
      <c r="CP71">
        <v>11.28</v>
      </c>
      <c r="CQ71">
        <v>11.75</v>
      </c>
      <c r="CR71">
        <v>12.17</v>
      </c>
      <c r="CS71">
        <v>12.33</v>
      </c>
      <c r="CT71">
        <v>12.34</v>
      </c>
      <c r="CU71">
        <v>12.59</v>
      </c>
      <c r="CV71">
        <v>13.05</v>
      </c>
      <c r="CW71">
        <v>13.69</v>
      </c>
      <c r="CX71">
        <v>14.23</v>
      </c>
      <c r="CY71">
        <v>14.66</v>
      </c>
      <c r="CZ71">
        <v>14.79</v>
      </c>
      <c r="DA71">
        <v>14.82</v>
      </c>
      <c r="DB71">
        <v>14.99</v>
      </c>
      <c r="DC71">
        <v>15.3</v>
      </c>
      <c r="DD71">
        <v>15.73</v>
      </c>
      <c r="DE71">
        <v>16.21</v>
      </c>
      <c r="DF71">
        <v>16.62</v>
      </c>
      <c r="DH71">
        <v>16.829999999999998</v>
      </c>
      <c r="DI71">
        <v>17.170000000000002</v>
      </c>
      <c r="DJ71">
        <v>17.71</v>
      </c>
      <c r="DK71">
        <v>18.41</v>
      </c>
      <c r="DL71">
        <v>19.04</v>
      </c>
      <c r="DM71">
        <v>19.16</v>
      </c>
      <c r="DN71">
        <v>19.2</v>
      </c>
      <c r="DO71">
        <v>19.2</v>
      </c>
      <c r="DP71">
        <v>19.23</v>
      </c>
      <c r="DQ71">
        <v>19.559999999999999</v>
      </c>
      <c r="DR71">
        <v>20.23</v>
      </c>
      <c r="DS71">
        <v>20.94</v>
      </c>
      <c r="DT71">
        <v>21.41</v>
      </c>
      <c r="DU71">
        <v>22.01</v>
      </c>
      <c r="DV71">
        <v>22.19</v>
      </c>
      <c r="DW71">
        <v>23.34</v>
      </c>
      <c r="DY71">
        <v>24.2</v>
      </c>
      <c r="DZ71">
        <v>24.98</v>
      </c>
      <c r="EB71">
        <v>26</v>
      </c>
      <c r="EC71">
        <v>26.07</v>
      </c>
      <c r="ED71">
        <v>26.56</v>
      </c>
      <c r="EE71">
        <v>28.35</v>
      </c>
      <c r="EG71">
        <v>29.48</v>
      </c>
      <c r="EI71">
        <v>30.38</v>
      </c>
      <c r="EK71">
        <v>30.75</v>
      </c>
      <c r="EL71">
        <v>31.71</v>
      </c>
      <c r="EN71">
        <v>33.049999999999997</v>
      </c>
      <c r="EO71">
        <v>33.590000000000003</v>
      </c>
      <c r="EP71">
        <v>33.630000000000003</v>
      </c>
      <c r="EQ71">
        <v>33.69</v>
      </c>
      <c r="ER71">
        <v>34.19</v>
      </c>
      <c r="ES71">
        <v>35.93</v>
      </c>
      <c r="EU71">
        <v>38.06</v>
      </c>
      <c r="EV71">
        <v>38.880000000000003</v>
      </c>
      <c r="EX71">
        <v>38.909999999999997</v>
      </c>
      <c r="EY71">
        <v>40.67</v>
      </c>
      <c r="FA71">
        <v>41.13</v>
      </c>
      <c r="FB71">
        <v>42.78</v>
      </c>
      <c r="FC71">
        <v>43.08</v>
      </c>
      <c r="FE71">
        <v>43.76</v>
      </c>
      <c r="FG71">
        <v>44.56</v>
      </c>
      <c r="FH71">
        <v>45.72</v>
      </c>
      <c r="FI71">
        <v>47.56</v>
      </c>
      <c r="FJ71">
        <v>48.04</v>
      </c>
      <c r="FK71">
        <v>48.15</v>
      </c>
      <c r="FM71">
        <v>49.75</v>
      </c>
      <c r="FN71">
        <v>50.73</v>
      </c>
      <c r="FP71">
        <v>52.63</v>
      </c>
      <c r="FQ71">
        <v>53.05</v>
      </c>
      <c r="FS71">
        <v>53.11</v>
      </c>
      <c r="FT71">
        <v>53.72</v>
      </c>
      <c r="FU71">
        <v>54.78</v>
      </c>
      <c r="FV71">
        <v>56.98</v>
      </c>
      <c r="FW71">
        <v>58.15</v>
      </c>
      <c r="FY71">
        <v>58.48</v>
      </c>
      <c r="FZ71">
        <v>58.59</v>
      </c>
      <c r="GA71">
        <v>59.42</v>
      </c>
      <c r="GB71">
        <v>60.13</v>
      </c>
      <c r="GC71">
        <v>61.05</v>
      </c>
      <c r="GD71">
        <v>61.75</v>
      </c>
      <c r="GE71">
        <v>63.05</v>
      </c>
      <c r="GF71">
        <v>64.180000000000007</v>
      </c>
      <c r="GG71">
        <v>64.510000000000005</v>
      </c>
      <c r="GH71">
        <v>64.58</v>
      </c>
      <c r="GI71">
        <v>65.760000000000005</v>
      </c>
      <c r="GJ71">
        <v>66.92</v>
      </c>
      <c r="GK71">
        <v>69.8</v>
      </c>
      <c r="GL71">
        <v>70.69</v>
      </c>
      <c r="GM71">
        <v>70.91</v>
      </c>
      <c r="GN71">
        <v>71.3</v>
      </c>
      <c r="GP71">
        <v>72.400000000000006</v>
      </c>
      <c r="GR71">
        <v>75.81</v>
      </c>
      <c r="GS71">
        <v>75.819999999999993</v>
      </c>
      <c r="GU71">
        <v>76.040000000000006</v>
      </c>
      <c r="GW71">
        <v>78.02</v>
      </c>
      <c r="GY71">
        <v>80.55</v>
      </c>
      <c r="GZ71">
        <v>81.430000000000007</v>
      </c>
      <c r="HA71">
        <v>81.680000000000007</v>
      </c>
      <c r="HC71">
        <v>81.92</v>
      </c>
      <c r="HD71">
        <v>82.82</v>
      </c>
      <c r="HE71">
        <v>83.67</v>
      </c>
      <c r="HF71">
        <v>85.11</v>
      </c>
      <c r="HG71">
        <v>86.04</v>
      </c>
      <c r="HH71">
        <v>87.14</v>
      </c>
      <c r="HI71">
        <v>87.42</v>
      </c>
      <c r="HJ71">
        <v>88.4</v>
      </c>
      <c r="HK71">
        <v>89.37</v>
      </c>
      <c r="HL71">
        <v>90.41</v>
      </c>
      <c r="HN71">
        <v>91.44</v>
      </c>
      <c r="HO71">
        <v>92.07</v>
      </c>
      <c r="HP71">
        <v>92.42</v>
      </c>
      <c r="HQ71">
        <v>93.16</v>
      </c>
      <c r="HR71">
        <v>94</v>
      </c>
      <c r="HS71">
        <v>95.37</v>
      </c>
      <c r="HU71">
        <v>96.44</v>
      </c>
      <c r="HV71">
        <v>97.14</v>
      </c>
      <c r="HW71">
        <v>97.2</v>
      </c>
      <c r="HX71">
        <v>97.45</v>
      </c>
      <c r="HY71">
        <v>98.22</v>
      </c>
      <c r="HZ71">
        <v>99.19</v>
      </c>
      <c r="IA71">
        <v>101.34</v>
      </c>
      <c r="IC71">
        <v>102.04</v>
      </c>
      <c r="ID71">
        <v>102.16</v>
      </c>
      <c r="IE71">
        <v>103.22</v>
      </c>
      <c r="IG71">
        <v>103.98</v>
      </c>
      <c r="IH71">
        <v>105.24</v>
      </c>
      <c r="II71">
        <v>106.14</v>
      </c>
      <c r="IJ71">
        <v>106.75</v>
      </c>
      <c r="IK71">
        <v>106.91</v>
      </c>
      <c r="IL71">
        <v>107.82</v>
      </c>
      <c r="IM71">
        <v>109.19</v>
      </c>
      <c r="IO71">
        <v>110.38</v>
      </c>
      <c r="IP71">
        <v>111.52</v>
      </c>
      <c r="IQ71">
        <v>112.27</v>
      </c>
      <c r="IR71">
        <v>112.47</v>
      </c>
      <c r="IS71">
        <v>112.75</v>
      </c>
      <c r="IT71">
        <v>113.7</v>
      </c>
      <c r="IU71">
        <v>114.69</v>
      </c>
      <c r="IV71">
        <v>115.6</v>
      </c>
      <c r="IW71">
        <v>116.63</v>
      </c>
      <c r="IX71">
        <v>117.45</v>
      </c>
      <c r="IY71">
        <v>117.69</v>
      </c>
      <c r="IZ71">
        <v>117.94</v>
      </c>
      <c r="JA71">
        <v>118.77</v>
      </c>
      <c r="JB71">
        <v>119.69</v>
      </c>
      <c r="JC71">
        <v>121.57</v>
      </c>
      <c r="JD71">
        <v>122.14</v>
      </c>
      <c r="JE71">
        <v>122.32</v>
      </c>
      <c r="JG71">
        <v>123.05</v>
      </c>
      <c r="JI71">
        <v>124.92</v>
      </c>
      <c r="JK71">
        <v>125.71</v>
      </c>
      <c r="JL71">
        <v>126.28</v>
      </c>
      <c r="JM71">
        <v>126.72</v>
      </c>
      <c r="JO71">
        <v>128.04</v>
      </c>
      <c r="JQ71">
        <v>128.93</v>
      </c>
      <c r="JR71">
        <v>129.5</v>
      </c>
      <c r="JS71">
        <v>130.26</v>
      </c>
      <c r="JU71">
        <v>130.4</v>
      </c>
      <c r="JV71">
        <v>131.46</v>
      </c>
      <c r="JX71">
        <v>132.16</v>
      </c>
      <c r="JY71">
        <v>132.63</v>
      </c>
      <c r="JZ71">
        <v>132.91</v>
      </c>
      <c r="KA71">
        <v>132.94999999999999</v>
      </c>
      <c r="KB71">
        <v>133.56</v>
      </c>
      <c r="KD71">
        <v>134.62</v>
      </c>
      <c r="KF71">
        <v>135</v>
      </c>
      <c r="KG71">
        <v>135.6</v>
      </c>
      <c r="KI71">
        <v>135.61000000000001</v>
      </c>
      <c r="KJ71">
        <v>136.19</v>
      </c>
      <c r="KK71">
        <v>136.66</v>
      </c>
      <c r="KL71">
        <v>137.19999999999999</v>
      </c>
      <c r="KM71">
        <v>138.07</v>
      </c>
      <c r="KO71">
        <v>138.16</v>
      </c>
      <c r="KQ71">
        <v>138.52000000000001</v>
      </c>
      <c r="KR71">
        <v>138.87</v>
      </c>
      <c r="KS71">
        <v>139.55000000000001</v>
      </c>
      <c r="KT71">
        <v>140.25</v>
      </c>
      <c r="KW71">
        <v>140.38</v>
      </c>
      <c r="KX71">
        <v>140.82</v>
      </c>
      <c r="KY71">
        <v>141.18</v>
      </c>
      <c r="KZ71">
        <v>141.72</v>
      </c>
      <c r="LA71">
        <v>142.11000000000001</v>
      </c>
      <c r="LB71">
        <v>142.44</v>
      </c>
      <c r="LC71">
        <v>142.52000000000001</v>
      </c>
      <c r="LD71">
        <v>142.61000000000001</v>
      </c>
      <c r="LF71">
        <v>143.28</v>
      </c>
      <c r="LG71">
        <v>143.71</v>
      </c>
      <c r="LH71">
        <v>144.01</v>
      </c>
      <c r="LI71">
        <v>144.32</v>
      </c>
      <c r="LJ71">
        <v>144.38999999999999</v>
      </c>
      <c r="LK71">
        <v>144.41</v>
      </c>
      <c r="LL71">
        <v>144.71</v>
      </c>
      <c r="LM71">
        <v>145.08000000000001</v>
      </c>
      <c r="LN71">
        <v>145.52000000000001</v>
      </c>
      <c r="LO71">
        <v>145.9</v>
      </c>
      <c r="LP71">
        <v>146.26</v>
      </c>
      <c r="LR71">
        <v>146.30000000000001</v>
      </c>
      <c r="LS71">
        <v>146.49</v>
      </c>
      <c r="LT71">
        <v>146.72</v>
      </c>
      <c r="LU71">
        <v>146.96</v>
      </c>
      <c r="LV71">
        <v>147.19999999999999</v>
      </c>
      <c r="LW71">
        <v>147.37</v>
      </c>
      <c r="LX71">
        <v>147.38999999999999</v>
      </c>
      <c r="LY71">
        <v>147.44999999999999</v>
      </c>
      <c r="LZ71">
        <v>147.6</v>
      </c>
      <c r="MA71">
        <v>147.75</v>
      </c>
      <c r="MB71">
        <v>148.11000000000001</v>
      </c>
      <c r="MD71">
        <v>148.22</v>
      </c>
      <c r="ME71">
        <v>148.27000000000001</v>
      </c>
      <c r="MF71">
        <v>148.27000000000001</v>
      </c>
      <c r="MG71">
        <v>148.36000000000001</v>
      </c>
      <c r="MH71">
        <v>148.47999999999999</v>
      </c>
      <c r="MI71">
        <v>148.61000000000001</v>
      </c>
      <c r="MJ71">
        <v>148.72</v>
      </c>
      <c r="MK71">
        <v>148.94</v>
      </c>
      <c r="ML71">
        <v>148.94999999999999</v>
      </c>
      <c r="MM71">
        <v>149.03</v>
      </c>
      <c r="MO71">
        <v>149.16999999999999</v>
      </c>
      <c r="MQ71">
        <v>149.85</v>
      </c>
      <c r="MS71">
        <v>149.88</v>
      </c>
      <c r="MT71">
        <v>149.88999999999999</v>
      </c>
      <c r="MU71">
        <v>149.97</v>
      </c>
      <c r="MV71">
        <v>150.13999999999999</v>
      </c>
      <c r="MX71">
        <v>150.63</v>
      </c>
      <c r="MZ71">
        <v>150.66</v>
      </c>
      <c r="NA71">
        <v>150.68</v>
      </c>
      <c r="NB71">
        <v>150.72999999999999</v>
      </c>
      <c r="NC71">
        <v>150.91999999999999</v>
      </c>
      <c r="NF71">
        <v>160.65</v>
      </c>
      <c r="NR71">
        <v>169.53</v>
      </c>
      <c r="NT71">
        <v>170.04</v>
      </c>
      <c r="NU71">
        <v>170.08</v>
      </c>
      <c r="NV71">
        <v>170.25</v>
      </c>
      <c r="NX71">
        <v>172.03</v>
      </c>
      <c r="NY71">
        <v>173.33</v>
      </c>
      <c r="NZ71">
        <v>174.93</v>
      </c>
      <c r="OB71">
        <v>174.94</v>
      </c>
      <c r="OC71">
        <v>174.94</v>
      </c>
      <c r="OD71">
        <v>175.2</v>
      </c>
      <c r="OE71">
        <v>177.93</v>
      </c>
      <c r="OG71">
        <v>178.54</v>
      </c>
      <c r="OI71">
        <v>180</v>
      </c>
      <c r="OK71">
        <v>182.74</v>
      </c>
      <c r="ON71">
        <v>184.97</v>
      </c>
      <c r="OQ71">
        <v>186.41</v>
      </c>
      <c r="OR71">
        <v>187.58</v>
      </c>
      <c r="OS71">
        <v>188.56</v>
      </c>
      <c r="OX71">
        <v>192.73</v>
      </c>
      <c r="OY71">
        <v>193.69</v>
      </c>
      <c r="OZ71">
        <v>194.37</v>
      </c>
      <c r="PA71">
        <v>195.07</v>
      </c>
      <c r="PB71">
        <v>195.85</v>
      </c>
      <c r="PC71">
        <v>196.56</v>
      </c>
      <c r="PD71">
        <v>198.4</v>
      </c>
      <c r="PE71">
        <v>198.59</v>
      </c>
      <c r="PF71">
        <v>198.97</v>
      </c>
      <c r="PG71">
        <v>199.39</v>
      </c>
      <c r="PH71">
        <v>201.48</v>
      </c>
      <c r="PI71">
        <v>202.19</v>
      </c>
      <c r="PK71">
        <v>202.55</v>
      </c>
      <c r="PL71">
        <v>203.54</v>
      </c>
      <c r="PM71">
        <v>203.84</v>
      </c>
      <c r="PN71">
        <v>204.12</v>
      </c>
      <c r="PO71">
        <v>204.4</v>
      </c>
      <c r="PP71">
        <v>204.67</v>
      </c>
      <c r="PQ71">
        <v>204.88</v>
      </c>
      <c r="PR71">
        <v>204.93</v>
      </c>
      <c r="PS71">
        <v>204.95</v>
      </c>
      <c r="PT71">
        <v>205.15</v>
      </c>
      <c r="PU71">
        <v>205.37</v>
      </c>
      <c r="PV71">
        <v>205.57</v>
      </c>
      <c r="PW71">
        <v>205.71</v>
      </c>
      <c r="PX71">
        <v>205.87</v>
      </c>
      <c r="PY71">
        <v>205.91</v>
      </c>
      <c r="PZ71">
        <v>205.93</v>
      </c>
      <c r="QA71">
        <v>206.06</v>
      </c>
      <c r="QB71">
        <v>206.18</v>
      </c>
      <c r="QF71">
        <v>206.24</v>
      </c>
      <c r="QG71">
        <v>206.26</v>
      </c>
      <c r="QH71">
        <v>206.38</v>
      </c>
      <c r="QI71">
        <v>206.48</v>
      </c>
      <c r="QJ71">
        <v>206.57</v>
      </c>
      <c r="QL71">
        <v>206.9</v>
      </c>
      <c r="QM71">
        <v>206.93</v>
      </c>
      <c r="QN71">
        <v>206.95</v>
      </c>
      <c r="QO71">
        <v>207.06</v>
      </c>
      <c r="QV71">
        <v>209.36</v>
      </c>
      <c r="RC71">
        <v>210.12</v>
      </c>
      <c r="RI71">
        <v>210.5</v>
      </c>
      <c r="RT71">
        <v>211.23</v>
      </c>
      <c r="RY71">
        <v>211.44</v>
      </c>
      <c r="SF71">
        <v>211.72</v>
      </c>
      <c r="SM71">
        <v>211.93</v>
      </c>
      <c r="ST71">
        <v>212.15</v>
      </c>
      <c r="TE71">
        <v>216.54</v>
      </c>
      <c r="TH71">
        <v>217.07</v>
      </c>
      <c r="TO71">
        <v>217.35</v>
      </c>
      <c r="TW71">
        <v>217.73</v>
      </c>
      <c r="UC71">
        <v>218.38</v>
      </c>
      <c r="UK71">
        <v>219.15</v>
      </c>
      <c r="UQ71">
        <v>219.32</v>
      </c>
      <c r="UX71">
        <v>219.63</v>
      </c>
      <c r="VE71">
        <v>220.45</v>
      </c>
      <c r="VY71">
        <v>222.47</v>
      </c>
      <c r="WF71">
        <v>223.99</v>
      </c>
      <c r="WM71">
        <v>225.62</v>
      </c>
      <c r="WT71">
        <v>227.44</v>
      </c>
      <c r="XA71">
        <v>228.67</v>
      </c>
      <c r="XH71">
        <v>229.74</v>
      </c>
      <c r="XO71">
        <v>230.83</v>
      </c>
      <c r="XV71">
        <v>231.37</v>
      </c>
      <c r="YC71">
        <v>231.73</v>
      </c>
      <c r="YJ71">
        <v>232.04</v>
      </c>
      <c r="YO71">
        <v>232.31</v>
      </c>
      <c r="YP71">
        <v>232.31</v>
      </c>
      <c r="YR71">
        <v>232.36</v>
      </c>
      <c r="YX71">
        <v>232.58</v>
      </c>
      <c r="ZE71">
        <v>232.62</v>
      </c>
      <c r="ZL71">
        <v>232.95</v>
      </c>
      <c r="ZT71">
        <v>233.78</v>
      </c>
      <c r="AAA71">
        <v>234.53</v>
      </c>
      <c r="AAG71">
        <v>235.13</v>
      </c>
      <c r="AAN71">
        <v>235.94</v>
      </c>
      <c r="AAR71">
        <v>235.94</v>
      </c>
      <c r="AAS71">
        <v>235.94</v>
      </c>
      <c r="AAU71">
        <v>236.45</v>
      </c>
      <c r="ABB71">
        <v>236.77</v>
      </c>
      <c r="ABI71">
        <v>237.16</v>
      </c>
      <c r="ABP71">
        <v>237.32</v>
      </c>
      <c r="ABW71">
        <v>237.42</v>
      </c>
      <c r="ACD71">
        <v>237.51</v>
      </c>
      <c r="ACF71">
        <v>237.51</v>
      </c>
      <c r="ACH71">
        <v>237.51</v>
      </c>
      <c r="ACJ71">
        <v>237.51</v>
      </c>
      <c r="ACK71">
        <v>237.71</v>
      </c>
      <c r="ACR71">
        <v>237.75</v>
      </c>
      <c r="ACT71">
        <v>237.75</v>
      </c>
      <c r="ACV71">
        <v>237.75</v>
      </c>
      <c r="ACX71">
        <v>237.75</v>
      </c>
      <c r="ACY71">
        <v>237.97</v>
      </c>
      <c r="ADF71">
        <v>238.04</v>
      </c>
      <c r="ADM71">
        <v>238.07</v>
      </c>
      <c r="ADT71">
        <v>238.18</v>
      </c>
      <c r="AEA71">
        <v>238.25</v>
      </c>
    </row>
    <row r="72" spans="1:812">
      <c r="A72" s="1" t="s">
        <v>54</v>
      </c>
      <c r="B72" s="1" t="s">
        <v>264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0.01</v>
      </c>
      <c r="AD72">
        <v>0.03</v>
      </c>
      <c r="AE72">
        <v>0.06</v>
      </c>
      <c r="AF72">
        <v>0.11</v>
      </c>
      <c r="AG72">
        <v>0.13</v>
      </c>
      <c r="AH72">
        <v>0.13</v>
      </c>
      <c r="AI72">
        <v>0.18</v>
      </c>
      <c r="AJ72">
        <v>0.26</v>
      </c>
      <c r="AK72">
        <v>0.35</v>
      </c>
      <c r="AL72">
        <v>0.45</v>
      </c>
      <c r="AM72">
        <v>0.54</v>
      </c>
      <c r="AN72">
        <v>0.56000000000000005</v>
      </c>
      <c r="AO72">
        <v>0.57999999999999996</v>
      </c>
      <c r="AP72">
        <v>0.69</v>
      </c>
      <c r="AQ72">
        <v>0.86</v>
      </c>
      <c r="AR72">
        <v>1.04</v>
      </c>
      <c r="AS72">
        <v>1.25</v>
      </c>
      <c r="AT72">
        <v>1.41</v>
      </c>
      <c r="AU72">
        <v>1.46</v>
      </c>
      <c r="AV72">
        <v>1.47</v>
      </c>
      <c r="AW72">
        <v>1.58</v>
      </c>
      <c r="AX72">
        <v>1.72</v>
      </c>
      <c r="AY72">
        <v>1.87</v>
      </c>
      <c r="AZ72">
        <v>2.0499999999999998</v>
      </c>
      <c r="BA72">
        <v>2.19</v>
      </c>
      <c r="BB72">
        <v>2.2400000000000002</v>
      </c>
      <c r="BC72">
        <v>2.25</v>
      </c>
      <c r="BD72">
        <v>2.36</v>
      </c>
      <c r="BE72">
        <v>2.52</v>
      </c>
      <c r="BF72">
        <v>2.68</v>
      </c>
      <c r="BG72">
        <v>2.88</v>
      </c>
      <c r="BH72">
        <v>3.05</v>
      </c>
      <c r="BI72">
        <v>3.1</v>
      </c>
      <c r="BJ72">
        <v>3.11</v>
      </c>
      <c r="BK72">
        <v>3.25</v>
      </c>
      <c r="BL72">
        <v>3.46</v>
      </c>
      <c r="BM72">
        <v>3.67</v>
      </c>
      <c r="BN72">
        <v>3.94</v>
      </c>
      <c r="BO72">
        <v>4.17</v>
      </c>
      <c r="BP72">
        <v>4.2300000000000004</v>
      </c>
      <c r="BQ72">
        <v>4.25</v>
      </c>
      <c r="BR72">
        <v>4.42</v>
      </c>
      <c r="BS72">
        <v>4.66</v>
      </c>
      <c r="BT72">
        <v>4.8899999999999997</v>
      </c>
      <c r="BU72">
        <v>5.16</v>
      </c>
      <c r="BV72">
        <v>5.38</v>
      </c>
      <c r="BW72">
        <v>5.45</v>
      </c>
      <c r="BX72">
        <v>5.47</v>
      </c>
      <c r="BY72">
        <v>5.63</v>
      </c>
      <c r="BZ72">
        <v>5.83</v>
      </c>
      <c r="CA72">
        <v>6.03</v>
      </c>
      <c r="CB72">
        <v>6.31</v>
      </c>
      <c r="CC72">
        <v>6.57</v>
      </c>
      <c r="CD72">
        <v>6.68</v>
      </c>
      <c r="CE72">
        <v>6.69</v>
      </c>
      <c r="CF72">
        <v>6.86</v>
      </c>
      <c r="CG72">
        <v>7.1</v>
      </c>
      <c r="CH72">
        <v>7.36</v>
      </c>
      <c r="CI72">
        <v>7.68</v>
      </c>
      <c r="CJ72">
        <v>8.0500000000000007</v>
      </c>
      <c r="CK72">
        <v>8.35</v>
      </c>
      <c r="CL72">
        <v>8.52</v>
      </c>
      <c r="CM72">
        <v>8.76</v>
      </c>
      <c r="CN72">
        <v>9.09</v>
      </c>
      <c r="CO72">
        <v>9.43</v>
      </c>
      <c r="CP72">
        <v>9.86</v>
      </c>
      <c r="CQ72">
        <v>10.36</v>
      </c>
      <c r="CR72">
        <v>10.7</v>
      </c>
      <c r="CS72">
        <v>10.8</v>
      </c>
      <c r="CT72">
        <v>11.08</v>
      </c>
      <c r="CV72">
        <v>11.63</v>
      </c>
      <c r="CY72">
        <v>12.58</v>
      </c>
      <c r="CZ72">
        <v>12.66</v>
      </c>
      <c r="DA72">
        <v>12.96</v>
      </c>
      <c r="DB72">
        <v>13.39</v>
      </c>
      <c r="DC72">
        <v>13.82</v>
      </c>
      <c r="DD72">
        <v>14.37</v>
      </c>
      <c r="DE72">
        <v>14.95</v>
      </c>
      <c r="DF72">
        <v>15.25</v>
      </c>
      <c r="DG72">
        <v>15.34</v>
      </c>
      <c r="DH72">
        <v>15.72</v>
      </c>
      <c r="DJ72">
        <v>16.71</v>
      </c>
      <c r="DK72">
        <v>17.71</v>
      </c>
      <c r="DL72">
        <v>18.260000000000002</v>
      </c>
      <c r="DM72">
        <v>18.55</v>
      </c>
      <c r="DN72">
        <v>18.649999999999999</v>
      </c>
      <c r="DO72">
        <v>18.75</v>
      </c>
      <c r="DP72">
        <v>19.23</v>
      </c>
      <c r="DQ72">
        <v>19.78</v>
      </c>
      <c r="DR72">
        <v>20.45</v>
      </c>
      <c r="DS72">
        <v>21.22</v>
      </c>
      <c r="DT72">
        <v>21.65</v>
      </c>
      <c r="DU72">
        <v>21.78</v>
      </c>
      <c r="DV72">
        <v>22.3</v>
      </c>
      <c r="DW72">
        <v>22.97</v>
      </c>
      <c r="DX72">
        <v>23.6</v>
      </c>
      <c r="DY72">
        <v>24.31</v>
      </c>
      <c r="DZ72">
        <v>25.02</v>
      </c>
      <c r="EA72">
        <v>25.43</v>
      </c>
      <c r="EB72">
        <v>25.56</v>
      </c>
      <c r="EC72">
        <v>26.06</v>
      </c>
      <c r="ED72">
        <v>26.68</v>
      </c>
      <c r="EE72">
        <v>27.3</v>
      </c>
      <c r="EF72">
        <v>28</v>
      </c>
      <c r="EG72">
        <v>28.7</v>
      </c>
      <c r="EH72">
        <v>29.14</v>
      </c>
      <c r="EI72">
        <v>29.3</v>
      </c>
      <c r="EJ72">
        <v>29.85</v>
      </c>
      <c r="EK72">
        <v>30.54</v>
      </c>
      <c r="EL72">
        <v>31.25</v>
      </c>
      <c r="EM72">
        <v>32.06</v>
      </c>
      <c r="EN72">
        <v>32.869999999999997</v>
      </c>
      <c r="EO72">
        <v>33.31</v>
      </c>
      <c r="EP72">
        <v>33.5</v>
      </c>
      <c r="EQ72">
        <v>34.17</v>
      </c>
      <c r="ER72">
        <v>34.96</v>
      </c>
      <c r="ES72">
        <v>35.770000000000003</v>
      </c>
      <c r="ET72">
        <v>36.68</v>
      </c>
      <c r="EU72">
        <v>37.61</v>
      </c>
      <c r="EV72">
        <v>38.03</v>
      </c>
      <c r="EW72">
        <v>38.29</v>
      </c>
      <c r="EX72">
        <v>39.090000000000003</v>
      </c>
      <c r="EY72">
        <v>40.06</v>
      </c>
      <c r="EZ72">
        <v>41.04</v>
      </c>
      <c r="FA72">
        <v>41.62</v>
      </c>
      <c r="FB72">
        <v>42.53</v>
      </c>
      <c r="FC72">
        <v>43.22</v>
      </c>
      <c r="FD72">
        <v>43.54</v>
      </c>
      <c r="FE72">
        <v>44.32</v>
      </c>
      <c r="FF72">
        <v>45.21</v>
      </c>
      <c r="FG72">
        <v>46.11</v>
      </c>
      <c r="FH72">
        <v>47.09</v>
      </c>
      <c r="FI72">
        <v>48.07</v>
      </c>
      <c r="FJ72">
        <v>48.7</v>
      </c>
      <c r="FK72">
        <v>48.95</v>
      </c>
      <c r="FL72">
        <v>49.39</v>
      </c>
      <c r="FM72">
        <v>50.25</v>
      </c>
      <c r="FN72">
        <v>51.13</v>
      </c>
      <c r="FO72">
        <v>52.11</v>
      </c>
      <c r="FP72">
        <v>53.12</v>
      </c>
      <c r="FQ72">
        <v>53.78</v>
      </c>
      <c r="FR72">
        <v>53.98</v>
      </c>
      <c r="FS72">
        <v>54.81</v>
      </c>
      <c r="FT72">
        <v>55.79</v>
      </c>
      <c r="FU72">
        <v>56.73</v>
      </c>
      <c r="FV72">
        <v>57.79</v>
      </c>
      <c r="FW72">
        <v>58.89</v>
      </c>
      <c r="FX72">
        <v>59.61</v>
      </c>
      <c r="FY72">
        <v>59.88</v>
      </c>
      <c r="FZ72">
        <v>60.76</v>
      </c>
      <c r="GA72">
        <v>61.75</v>
      </c>
      <c r="GB72">
        <v>62.72</v>
      </c>
      <c r="GC72">
        <v>63.72</v>
      </c>
      <c r="GD72">
        <v>64.8</v>
      </c>
      <c r="GE72">
        <v>65.53</v>
      </c>
      <c r="GF72">
        <v>65.790000000000006</v>
      </c>
      <c r="GG72">
        <v>66.66</v>
      </c>
      <c r="GH72">
        <v>67.67</v>
      </c>
      <c r="GI72">
        <v>68.650000000000006</v>
      </c>
      <c r="GJ72">
        <v>69.650000000000006</v>
      </c>
      <c r="GK72">
        <v>70.77</v>
      </c>
      <c r="GL72">
        <v>71.5</v>
      </c>
      <c r="GM72">
        <v>71.75</v>
      </c>
      <c r="GN72">
        <v>72.63</v>
      </c>
      <c r="GO72">
        <v>73.64</v>
      </c>
      <c r="GP72">
        <v>74.62</v>
      </c>
      <c r="GQ72">
        <v>75.569999999999993</v>
      </c>
      <c r="GR72">
        <v>76.66</v>
      </c>
      <c r="GS72">
        <v>77.430000000000007</v>
      </c>
      <c r="GT72">
        <v>77.75</v>
      </c>
      <c r="GU72">
        <v>78.64</v>
      </c>
      <c r="GV72">
        <v>79.64</v>
      </c>
      <c r="GW72">
        <v>80.64</v>
      </c>
      <c r="GX72">
        <v>82</v>
      </c>
      <c r="GY72">
        <v>83.08</v>
      </c>
      <c r="GZ72">
        <v>83.83</v>
      </c>
      <c r="HA72">
        <v>84.12</v>
      </c>
      <c r="HB72">
        <v>84.98</v>
      </c>
      <c r="HC72">
        <v>85.96</v>
      </c>
      <c r="HD72">
        <v>86.91</v>
      </c>
      <c r="HE72">
        <v>87.87</v>
      </c>
      <c r="HF72">
        <v>88.95</v>
      </c>
      <c r="HG72">
        <v>89.67</v>
      </c>
      <c r="HH72">
        <v>89.92</v>
      </c>
      <c r="HI72">
        <v>90.87</v>
      </c>
      <c r="HJ72">
        <v>92.06</v>
      </c>
      <c r="HK72">
        <v>92.55</v>
      </c>
      <c r="HL72">
        <v>93.8</v>
      </c>
      <c r="HM72">
        <v>95.08</v>
      </c>
      <c r="HN72">
        <v>95.93</v>
      </c>
      <c r="HO72">
        <v>96.26</v>
      </c>
      <c r="HP72">
        <v>97.3</v>
      </c>
      <c r="HQ72">
        <v>98.52</v>
      </c>
      <c r="HR72">
        <v>99.7</v>
      </c>
      <c r="HS72">
        <v>100.91</v>
      </c>
      <c r="HT72">
        <v>102.17</v>
      </c>
      <c r="HU72">
        <v>102.99</v>
      </c>
      <c r="HV72">
        <v>103.31</v>
      </c>
      <c r="HW72">
        <v>104.3</v>
      </c>
      <c r="HX72">
        <v>105.44</v>
      </c>
      <c r="HY72">
        <v>106.54</v>
      </c>
      <c r="HZ72">
        <v>107.66</v>
      </c>
      <c r="IA72">
        <v>108.77</v>
      </c>
      <c r="IB72">
        <v>109.46</v>
      </c>
      <c r="IC72">
        <v>109.89</v>
      </c>
      <c r="ID72">
        <v>110.7</v>
      </c>
      <c r="IE72">
        <v>111.64</v>
      </c>
      <c r="IF72">
        <v>112.5</v>
      </c>
      <c r="IG72">
        <v>113.37</v>
      </c>
      <c r="IH72">
        <v>114.29</v>
      </c>
      <c r="II72">
        <v>114.86</v>
      </c>
      <c r="IJ72">
        <v>115.06</v>
      </c>
      <c r="IK72">
        <v>115.82</v>
      </c>
      <c r="IL72">
        <v>116.67</v>
      </c>
      <c r="IM72">
        <v>117.46</v>
      </c>
      <c r="IN72">
        <v>118.26</v>
      </c>
      <c r="IO72">
        <v>119.03</v>
      </c>
      <c r="IP72">
        <v>119.53</v>
      </c>
      <c r="IQ72">
        <v>119.66</v>
      </c>
      <c r="IR72">
        <v>120.39</v>
      </c>
      <c r="IS72">
        <v>121.2</v>
      </c>
      <c r="IT72">
        <v>121.97</v>
      </c>
      <c r="IU72">
        <v>122.72</v>
      </c>
      <c r="IV72">
        <v>123.62</v>
      </c>
      <c r="IW72">
        <v>124.12</v>
      </c>
      <c r="IX72">
        <v>124.29</v>
      </c>
      <c r="IY72">
        <v>125.02</v>
      </c>
      <c r="IZ72">
        <v>125.82</v>
      </c>
      <c r="JA72">
        <v>126.55</v>
      </c>
      <c r="JB72">
        <v>127.26</v>
      </c>
      <c r="JE72">
        <v>128.75</v>
      </c>
      <c r="JF72">
        <v>129.4</v>
      </c>
      <c r="JG72">
        <v>130.09</v>
      </c>
      <c r="JM72">
        <v>133.16999999999999</v>
      </c>
      <c r="JN72">
        <v>133.59</v>
      </c>
      <c r="JS72">
        <v>135.4</v>
      </c>
      <c r="JT72">
        <v>135.72999999999999</v>
      </c>
      <c r="JU72">
        <v>136.11000000000001</v>
      </c>
      <c r="JV72">
        <v>136.56</v>
      </c>
      <c r="KC72">
        <v>138.59</v>
      </c>
      <c r="KD72">
        <v>138.86000000000001</v>
      </c>
      <c r="KI72">
        <v>139.97999999999999</v>
      </c>
      <c r="NH72">
        <v>169.37</v>
      </c>
      <c r="PZ72">
        <v>208.14</v>
      </c>
      <c r="QB72">
        <v>208.41</v>
      </c>
      <c r="QF72">
        <v>208.81</v>
      </c>
      <c r="QH72">
        <v>209.02</v>
      </c>
      <c r="QO72">
        <v>209.4</v>
      </c>
      <c r="QS72">
        <v>209.54</v>
      </c>
      <c r="QU72">
        <v>209.63</v>
      </c>
      <c r="QV72">
        <v>209.69</v>
      </c>
      <c r="RR72">
        <v>210.94</v>
      </c>
      <c r="RW72">
        <v>211.31</v>
      </c>
      <c r="RY72">
        <v>211.45</v>
      </c>
      <c r="SC72">
        <v>211.66</v>
      </c>
      <c r="SE72">
        <v>211.8</v>
      </c>
      <c r="SI72">
        <v>212.08</v>
      </c>
      <c r="SJ72">
        <v>212.08</v>
      </c>
      <c r="SN72">
        <v>213.04</v>
      </c>
      <c r="ST72">
        <v>213.38</v>
      </c>
      <c r="SZ72">
        <v>213.72</v>
      </c>
      <c r="TC72">
        <v>213.96</v>
      </c>
      <c r="TD72">
        <v>213.99</v>
      </c>
      <c r="TE72">
        <v>213.99</v>
      </c>
      <c r="TF72">
        <v>214.06</v>
      </c>
      <c r="TG72">
        <v>214.13</v>
      </c>
      <c r="TH72">
        <v>214.18</v>
      </c>
      <c r="TM72">
        <v>214.32</v>
      </c>
      <c r="TP72">
        <v>214.53</v>
      </c>
      <c r="TS72">
        <v>214.65</v>
      </c>
      <c r="TU72">
        <v>214.74</v>
      </c>
      <c r="TV72">
        <v>214.8</v>
      </c>
      <c r="TW72">
        <v>214.88</v>
      </c>
      <c r="UB72">
        <v>215.17</v>
      </c>
      <c r="UC72">
        <v>215.23</v>
      </c>
      <c r="UD72">
        <v>215.3</v>
      </c>
      <c r="UG72">
        <v>215.46</v>
      </c>
      <c r="UH72">
        <v>215.51</v>
      </c>
      <c r="UI72">
        <v>215.6</v>
      </c>
      <c r="UJ72">
        <v>215.68</v>
      </c>
      <c r="UK72">
        <v>215.77</v>
      </c>
      <c r="UP72">
        <v>216.23</v>
      </c>
      <c r="UR72">
        <v>216.54</v>
      </c>
      <c r="UT72">
        <v>216.84</v>
      </c>
      <c r="UU72">
        <v>216.86</v>
      </c>
      <c r="UV72">
        <v>217</v>
      </c>
      <c r="UW72">
        <v>217.22</v>
      </c>
      <c r="VB72">
        <v>217.98</v>
      </c>
      <c r="VC72">
        <v>218.13</v>
      </c>
      <c r="VD72">
        <v>218.39</v>
      </c>
      <c r="VJ72">
        <v>218.92</v>
      </c>
      <c r="VL72">
        <v>219.27</v>
      </c>
      <c r="VM72">
        <v>219.41</v>
      </c>
      <c r="VQ72">
        <v>219.73</v>
      </c>
      <c r="VS72">
        <v>220</v>
      </c>
      <c r="VW72">
        <v>220.35</v>
      </c>
      <c r="YQ72">
        <v>222.74</v>
      </c>
      <c r="YR72">
        <v>222.75</v>
      </c>
      <c r="ZC72">
        <v>222.84</v>
      </c>
      <c r="ZE72">
        <v>221.56</v>
      </c>
      <c r="ZL72">
        <v>222.61</v>
      </c>
      <c r="ZM72">
        <v>222.67</v>
      </c>
      <c r="ZS72">
        <v>222.95</v>
      </c>
      <c r="ZX72">
        <v>223.09</v>
      </c>
      <c r="ZY72">
        <v>223.16</v>
      </c>
      <c r="AAA72">
        <v>223.29</v>
      </c>
      <c r="AAB72">
        <v>223.36</v>
      </c>
      <c r="AAC72">
        <v>223.38</v>
      </c>
      <c r="AAD72">
        <v>223.38</v>
      </c>
      <c r="AAE72">
        <v>223.41</v>
      </c>
      <c r="AAG72">
        <v>223.53</v>
      </c>
      <c r="AAH72">
        <v>223.58</v>
      </c>
      <c r="AAL72">
        <v>223.72</v>
      </c>
      <c r="AAN72">
        <v>223.86</v>
      </c>
      <c r="AAO72">
        <v>223.94</v>
      </c>
      <c r="AAS72">
        <v>224.17</v>
      </c>
      <c r="AAT72">
        <v>224.3</v>
      </c>
      <c r="AAU72">
        <v>224.39</v>
      </c>
      <c r="AAV72">
        <v>224.51</v>
      </c>
      <c r="AAZ72">
        <v>224.87</v>
      </c>
      <c r="ABA72">
        <v>225.03</v>
      </c>
      <c r="ABB72">
        <v>225.15</v>
      </c>
      <c r="ABC72">
        <v>225.3</v>
      </c>
      <c r="ABG72">
        <v>225.66</v>
      </c>
      <c r="ABH72">
        <v>225.79</v>
      </c>
      <c r="ABI72">
        <v>225.87</v>
      </c>
      <c r="ABJ72">
        <v>225.95</v>
      </c>
      <c r="ABK72">
        <v>225.99</v>
      </c>
      <c r="ABL72">
        <v>226</v>
      </c>
      <c r="ABM72">
        <v>226</v>
      </c>
      <c r="ABN72">
        <v>226.03</v>
      </c>
      <c r="ABO72">
        <v>226.08</v>
      </c>
      <c r="ABP72">
        <v>226.13</v>
      </c>
      <c r="ABQ72">
        <v>226.17</v>
      </c>
      <c r="ABT72">
        <v>226.23</v>
      </c>
      <c r="ABU72">
        <v>226.26</v>
      </c>
      <c r="ABV72">
        <v>226.34</v>
      </c>
      <c r="ABW72">
        <v>226.39</v>
      </c>
      <c r="ABX72">
        <v>226.46</v>
      </c>
      <c r="ABY72">
        <v>226.54</v>
      </c>
      <c r="ABZ72">
        <v>226.56</v>
      </c>
      <c r="ACA72">
        <v>226.57</v>
      </c>
      <c r="ACC72">
        <v>226.69</v>
      </c>
      <c r="ACD72">
        <v>226.73</v>
      </c>
      <c r="ACE72">
        <v>226.78</v>
      </c>
      <c r="ACI72">
        <v>226.91</v>
      </c>
      <c r="ACJ72">
        <v>226.96</v>
      </c>
      <c r="ACK72">
        <v>226.99</v>
      </c>
      <c r="ACL72">
        <v>227.02</v>
      </c>
      <c r="ACP72">
        <v>227.12</v>
      </c>
      <c r="ACQ72">
        <v>227.16</v>
      </c>
      <c r="ACR72">
        <v>227.18</v>
      </c>
      <c r="ACS72">
        <v>227.21</v>
      </c>
      <c r="ACT72">
        <v>227.24</v>
      </c>
      <c r="ACU72">
        <v>227.25</v>
      </c>
      <c r="ACV72">
        <v>227.25</v>
      </c>
      <c r="ACW72">
        <v>227.27</v>
      </c>
      <c r="ACX72">
        <v>227.29</v>
      </c>
      <c r="ACY72">
        <v>227.31</v>
      </c>
      <c r="ACZ72">
        <v>227.33</v>
      </c>
      <c r="ADD72">
        <v>227.38</v>
      </c>
      <c r="ADE72">
        <v>227.4</v>
      </c>
      <c r="ADF72">
        <v>227.41</v>
      </c>
      <c r="ADG72">
        <v>227.43</v>
      </c>
      <c r="ADH72">
        <v>227.44</v>
      </c>
      <c r="ADI72">
        <v>227.45</v>
      </c>
      <c r="ADJ72">
        <v>227.45</v>
      </c>
      <c r="ADK72">
        <v>227.45</v>
      </c>
      <c r="ADL72">
        <v>227.46</v>
      </c>
      <c r="ADM72">
        <v>227.47</v>
      </c>
      <c r="ADN72">
        <v>227.48</v>
      </c>
      <c r="ADR72">
        <v>227.51</v>
      </c>
      <c r="ADS72">
        <v>227.52</v>
      </c>
      <c r="ADT72">
        <v>227.53</v>
      </c>
      <c r="ADU72">
        <v>227.53</v>
      </c>
      <c r="ADV72">
        <v>227.54</v>
      </c>
      <c r="ADW72">
        <v>227.54</v>
      </c>
      <c r="ADX72">
        <v>227.54</v>
      </c>
      <c r="ADZ72">
        <v>227.56</v>
      </c>
      <c r="AEA72">
        <v>227.56</v>
      </c>
    </row>
    <row r="73" spans="1:812">
      <c r="A73" s="1" t="s">
        <v>408</v>
      </c>
      <c r="B73" s="1" t="s">
        <v>411</v>
      </c>
      <c r="DQ73">
        <v>12.42</v>
      </c>
      <c r="DW73">
        <v>15.8</v>
      </c>
      <c r="ED73">
        <v>18.34</v>
      </c>
      <c r="EK73">
        <v>22.14</v>
      </c>
      <c r="ER73">
        <v>25.5</v>
      </c>
      <c r="EY73">
        <v>28.91</v>
      </c>
      <c r="FF73">
        <v>30.53</v>
      </c>
      <c r="FM73">
        <v>34.020000000000003</v>
      </c>
      <c r="FT73">
        <v>36.76</v>
      </c>
      <c r="GA73">
        <v>41.2</v>
      </c>
      <c r="GH73">
        <v>42.5</v>
      </c>
      <c r="GN73">
        <v>44.67</v>
      </c>
      <c r="GV73">
        <v>47.18</v>
      </c>
      <c r="HJ73">
        <v>50.38</v>
      </c>
      <c r="HQ73">
        <v>52.8</v>
      </c>
      <c r="HX73">
        <v>54.84</v>
      </c>
      <c r="ID73">
        <v>57.49</v>
      </c>
      <c r="IK73">
        <v>61.99</v>
      </c>
      <c r="IR73">
        <v>67.67</v>
      </c>
      <c r="IY73">
        <v>74.11</v>
      </c>
      <c r="JN73">
        <v>91.06</v>
      </c>
      <c r="JU73">
        <v>95.98</v>
      </c>
      <c r="KB73">
        <v>99.87</v>
      </c>
      <c r="KI73">
        <v>102.92</v>
      </c>
    </row>
    <row r="74" spans="1:812">
      <c r="A74" s="1" t="s">
        <v>112</v>
      </c>
      <c r="B74" s="1" t="s">
        <v>331</v>
      </c>
      <c r="DA74">
        <v>0</v>
      </c>
      <c r="DJ74">
        <v>0.01</v>
      </c>
      <c r="DL74">
        <v>0.11</v>
      </c>
      <c r="DS74">
        <v>0.18</v>
      </c>
      <c r="DX74">
        <v>0.22</v>
      </c>
      <c r="DZ74">
        <v>0.26</v>
      </c>
      <c r="EC74">
        <v>0.28999999999999998</v>
      </c>
      <c r="EE74">
        <v>0.35</v>
      </c>
      <c r="EG74">
        <v>0.4</v>
      </c>
      <c r="EN74">
        <v>0.48</v>
      </c>
      <c r="ES74">
        <v>0.56000000000000005</v>
      </c>
      <c r="FE74">
        <v>0.78</v>
      </c>
      <c r="FQ74">
        <v>1.01</v>
      </c>
      <c r="FX74">
        <v>1.05</v>
      </c>
      <c r="GB74">
        <v>1.34</v>
      </c>
      <c r="GD74">
        <v>1.44</v>
      </c>
      <c r="GE74">
        <v>1.51</v>
      </c>
      <c r="GP74">
        <v>2.2200000000000002</v>
      </c>
      <c r="GW74">
        <v>2.5499999999999998</v>
      </c>
      <c r="HB74">
        <v>2.88</v>
      </c>
      <c r="HI74">
        <v>3.25</v>
      </c>
      <c r="HP74">
        <v>3.71</v>
      </c>
      <c r="HU74">
        <v>3.92</v>
      </c>
      <c r="IE74">
        <v>4.5</v>
      </c>
      <c r="IG74">
        <v>4.66</v>
      </c>
      <c r="IK74">
        <v>5.01</v>
      </c>
      <c r="IN74">
        <v>5.42</v>
      </c>
      <c r="IV74">
        <v>5.61</v>
      </c>
      <c r="JA74">
        <v>5.74</v>
      </c>
      <c r="KC74">
        <v>7.78</v>
      </c>
      <c r="KK74">
        <v>7.91</v>
      </c>
      <c r="KR74">
        <v>8.18</v>
      </c>
      <c r="KY74">
        <v>9.06</v>
      </c>
      <c r="LF74">
        <v>9.5500000000000007</v>
      </c>
      <c r="LN74">
        <v>9.8000000000000007</v>
      </c>
      <c r="LQ74">
        <v>10.02</v>
      </c>
      <c r="LT74">
        <v>10.199999999999999</v>
      </c>
      <c r="LX74">
        <v>10.71</v>
      </c>
      <c r="LZ74">
        <v>10.9</v>
      </c>
      <c r="ME74">
        <v>11.28</v>
      </c>
      <c r="ML74">
        <v>12</v>
      </c>
      <c r="MN74">
        <v>12.2</v>
      </c>
      <c r="NG74">
        <v>17.239999999999998</v>
      </c>
      <c r="NI74">
        <v>24.84</v>
      </c>
    </row>
    <row r="75" spans="1:812">
      <c r="A75" s="1" t="s">
        <v>182</v>
      </c>
      <c r="B75" s="1" t="s">
        <v>182</v>
      </c>
      <c r="CN75">
        <v>0</v>
      </c>
      <c r="DG75">
        <v>0.22</v>
      </c>
      <c r="DP75">
        <v>0.52</v>
      </c>
      <c r="DS75">
        <v>0.69</v>
      </c>
      <c r="EH75">
        <v>0.87</v>
      </c>
      <c r="ES75">
        <v>1.02</v>
      </c>
      <c r="EW75">
        <v>1.05</v>
      </c>
      <c r="EY75">
        <v>1.07</v>
      </c>
      <c r="FS75">
        <v>1.21</v>
      </c>
      <c r="GA75">
        <v>1.69</v>
      </c>
      <c r="GP75">
        <v>1.7</v>
      </c>
      <c r="GW75">
        <v>1.78</v>
      </c>
      <c r="HL75">
        <v>1.8</v>
      </c>
      <c r="IL75">
        <v>11.48</v>
      </c>
      <c r="IR75">
        <v>13.09</v>
      </c>
      <c r="IS75">
        <v>13.3</v>
      </c>
    </row>
    <row r="76" spans="1:812">
      <c r="A76" s="1" t="s">
        <v>165</v>
      </c>
      <c r="B76" s="1" t="s">
        <v>165</v>
      </c>
      <c r="CS76">
        <v>0</v>
      </c>
      <c r="DH76">
        <v>0.12</v>
      </c>
      <c r="DJ76">
        <v>0.2</v>
      </c>
      <c r="DO76">
        <v>0.28999999999999998</v>
      </c>
      <c r="DQ76">
        <v>0.39</v>
      </c>
      <c r="DS76">
        <v>0.43</v>
      </c>
      <c r="DT76">
        <v>0.46</v>
      </c>
      <c r="DV76">
        <v>0.52</v>
      </c>
      <c r="DW76">
        <v>0.55000000000000004</v>
      </c>
      <c r="DX76">
        <v>0.59</v>
      </c>
      <c r="DY76">
        <v>0.62</v>
      </c>
      <c r="DZ76">
        <v>0.66</v>
      </c>
      <c r="EA76">
        <v>0.69</v>
      </c>
      <c r="EC76">
        <v>0.76</v>
      </c>
      <c r="ED76">
        <v>0.78</v>
      </c>
      <c r="EE76">
        <v>0.8</v>
      </c>
      <c r="EF76">
        <v>0.84</v>
      </c>
      <c r="EG76">
        <v>0.87</v>
      </c>
      <c r="EH76">
        <v>0.9</v>
      </c>
      <c r="EJ76">
        <v>1.04</v>
      </c>
      <c r="EK76">
        <v>1.1000000000000001</v>
      </c>
      <c r="EL76">
        <v>1.1599999999999999</v>
      </c>
      <c r="EM76">
        <v>1.22</v>
      </c>
      <c r="EN76">
        <v>1.29</v>
      </c>
      <c r="ES76">
        <v>1.38</v>
      </c>
      <c r="ET76">
        <v>1.49</v>
      </c>
      <c r="EU76">
        <v>1.59</v>
      </c>
      <c r="EV76">
        <v>1.71</v>
      </c>
      <c r="EX76">
        <v>1.84</v>
      </c>
      <c r="EY76">
        <v>1.97</v>
      </c>
      <c r="EZ76">
        <v>2.1</v>
      </c>
      <c r="FA76">
        <v>2.27</v>
      </c>
      <c r="FB76">
        <v>2.37</v>
      </c>
      <c r="FC76">
        <v>2.4900000000000002</v>
      </c>
      <c r="FE76">
        <v>2.6</v>
      </c>
      <c r="FF76">
        <v>2.72</v>
      </c>
      <c r="FG76">
        <v>2.82</v>
      </c>
      <c r="FH76">
        <v>2.94</v>
      </c>
      <c r="FI76">
        <v>3.05</v>
      </c>
      <c r="FJ76">
        <v>3.15</v>
      </c>
      <c r="FL76">
        <v>3.25</v>
      </c>
      <c r="FM76">
        <v>3.36</v>
      </c>
      <c r="FN76">
        <v>3.48</v>
      </c>
      <c r="FO76">
        <v>3.63</v>
      </c>
      <c r="FP76">
        <v>3.79</v>
      </c>
      <c r="FQ76">
        <v>3.99</v>
      </c>
      <c r="FS76">
        <v>4.1399999999999997</v>
      </c>
      <c r="FT76">
        <v>4.38</v>
      </c>
      <c r="FU76">
        <v>4.59</v>
      </c>
      <c r="FV76">
        <v>4.8499999999999996</v>
      </c>
      <c r="FW76">
        <v>5.08</v>
      </c>
      <c r="FX76">
        <v>5.31</v>
      </c>
      <c r="FZ76">
        <v>5.54</v>
      </c>
      <c r="GA76">
        <v>5.77</v>
      </c>
      <c r="GB76">
        <v>6</v>
      </c>
      <c r="GC76">
        <v>6.25</v>
      </c>
      <c r="GD76">
        <v>6.48</v>
      </c>
      <c r="GE76">
        <v>6.67</v>
      </c>
      <c r="GG76">
        <v>6.86</v>
      </c>
      <c r="GH76">
        <v>7.05</v>
      </c>
      <c r="GI76">
        <v>7.24</v>
      </c>
      <c r="GJ76">
        <v>7.41</v>
      </c>
      <c r="GK76">
        <v>7.59</v>
      </c>
      <c r="GL76">
        <v>7.75</v>
      </c>
      <c r="GN76">
        <v>7.94</v>
      </c>
      <c r="GO76">
        <v>8.1</v>
      </c>
      <c r="GP76">
        <v>8.26</v>
      </c>
      <c r="GQ76">
        <v>8.3800000000000008</v>
      </c>
      <c r="GR76">
        <v>8.51</v>
      </c>
      <c r="GS76">
        <v>8.6300000000000008</v>
      </c>
      <c r="GU76">
        <v>8.76</v>
      </c>
      <c r="GV76">
        <v>8.9</v>
      </c>
      <c r="GW76">
        <v>9.07</v>
      </c>
      <c r="GY76">
        <v>6.67</v>
      </c>
      <c r="HB76">
        <v>6.75</v>
      </c>
      <c r="HC76">
        <v>6.84</v>
      </c>
      <c r="HD76">
        <v>6.97</v>
      </c>
      <c r="HE76">
        <v>7.11</v>
      </c>
      <c r="HF76">
        <v>7.25</v>
      </c>
      <c r="HS76">
        <v>9.82</v>
      </c>
      <c r="HV76">
        <v>10.14</v>
      </c>
      <c r="HW76">
        <v>10.49</v>
      </c>
      <c r="HX76">
        <v>10.85</v>
      </c>
      <c r="HZ76">
        <v>11.65</v>
      </c>
      <c r="IB76">
        <v>12.07</v>
      </c>
      <c r="IC76">
        <v>12.7</v>
      </c>
      <c r="IE76">
        <v>13.6</v>
      </c>
      <c r="IF76">
        <v>14.16</v>
      </c>
      <c r="IG76">
        <v>14.63</v>
      </c>
      <c r="IH76">
        <v>15.22</v>
      </c>
      <c r="II76">
        <v>15.7</v>
      </c>
      <c r="IJ76">
        <v>16.07</v>
      </c>
      <c r="IK76">
        <v>16.670000000000002</v>
      </c>
      <c r="IL76">
        <v>17.27</v>
      </c>
      <c r="IM76">
        <v>17.95</v>
      </c>
      <c r="IN76">
        <v>18.579999999999998</v>
      </c>
      <c r="IO76">
        <v>19.25</v>
      </c>
      <c r="IP76">
        <v>19.850000000000001</v>
      </c>
      <c r="IR76">
        <v>20.85</v>
      </c>
      <c r="IT76">
        <v>22.15</v>
      </c>
      <c r="IU76">
        <v>22.75</v>
      </c>
      <c r="IX76">
        <v>24.18</v>
      </c>
      <c r="IY76">
        <v>24.62</v>
      </c>
      <c r="IZ76">
        <v>26.09</v>
      </c>
      <c r="JA76">
        <v>26.78</v>
      </c>
      <c r="JB76">
        <v>27.52</v>
      </c>
      <c r="JD76">
        <v>28.79</v>
      </c>
      <c r="JE76">
        <v>29.26</v>
      </c>
      <c r="JG76">
        <v>30.42</v>
      </c>
      <c r="JH76">
        <v>31.04</v>
      </c>
      <c r="JI76">
        <v>31.64</v>
      </c>
      <c r="JK76">
        <v>33.020000000000003</v>
      </c>
      <c r="JL76">
        <v>33.32</v>
      </c>
      <c r="JM76">
        <v>33.67</v>
      </c>
      <c r="JN76">
        <v>34.340000000000003</v>
      </c>
      <c r="JQ76">
        <v>36.01</v>
      </c>
      <c r="JS76">
        <v>37.89</v>
      </c>
      <c r="JU76">
        <v>38.549999999999997</v>
      </c>
      <c r="JW76">
        <v>40.46</v>
      </c>
      <c r="JZ76">
        <v>41.59</v>
      </c>
      <c r="KA76">
        <v>41.99</v>
      </c>
      <c r="KB76">
        <v>42.37</v>
      </c>
      <c r="KC76">
        <v>42.74</v>
      </c>
      <c r="KD76">
        <v>43.09</v>
      </c>
      <c r="KF76">
        <v>43.46</v>
      </c>
      <c r="KG76">
        <v>43.96</v>
      </c>
      <c r="KH76">
        <v>44.25</v>
      </c>
      <c r="KI76">
        <v>44.59</v>
      </c>
      <c r="KM76">
        <v>45.57</v>
      </c>
      <c r="KN76">
        <v>45.69</v>
      </c>
      <c r="KO76">
        <v>45.9</v>
      </c>
      <c r="KQ76">
        <v>46.14</v>
      </c>
      <c r="KT76">
        <v>46.81</v>
      </c>
      <c r="KU76">
        <v>47.11</v>
      </c>
      <c r="KV76">
        <v>47.29</v>
      </c>
      <c r="KX76">
        <v>47.47</v>
      </c>
      <c r="KY76">
        <v>47.74</v>
      </c>
      <c r="LD76">
        <v>48.27</v>
      </c>
      <c r="LS76">
        <v>50.02</v>
      </c>
      <c r="LT76">
        <v>50.13</v>
      </c>
      <c r="LV76">
        <v>50.35</v>
      </c>
      <c r="LW76">
        <v>50.39</v>
      </c>
      <c r="LX76">
        <v>50.53</v>
      </c>
      <c r="LY76">
        <v>50.71</v>
      </c>
      <c r="MA76">
        <v>51.08</v>
      </c>
      <c r="MB76">
        <v>51.29</v>
      </c>
      <c r="MC76">
        <v>51.42</v>
      </c>
      <c r="ME76">
        <v>51.69</v>
      </c>
      <c r="MF76">
        <v>51.92</v>
      </c>
      <c r="MG76">
        <v>52.12</v>
      </c>
      <c r="MI76">
        <v>52.52</v>
      </c>
      <c r="MK76">
        <v>52.7</v>
      </c>
      <c r="ML76">
        <v>52.95</v>
      </c>
      <c r="MM76">
        <v>53.09</v>
      </c>
      <c r="MO76">
        <v>53.62</v>
      </c>
      <c r="MR76">
        <v>54.16</v>
      </c>
      <c r="MT76">
        <v>54.86</v>
      </c>
      <c r="MU76">
        <v>55.23</v>
      </c>
      <c r="MW76">
        <v>55.9</v>
      </c>
      <c r="MY76">
        <v>56.24</v>
      </c>
      <c r="MZ76">
        <v>56.56</v>
      </c>
      <c r="NA76">
        <v>56.9</v>
      </c>
      <c r="NB76">
        <v>57.2</v>
      </c>
      <c r="ND76">
        <v>57.8</v>
      </c>
      <c r="NF76">
        <v>58.09</v>
      </c>
      <c r="NG76">
        <v>58.4</v>
      </c>
      <c r="NH76">
        <v>58.72</v>
      </c>
      <c r="NI76">
        <v>59.04</v>
      </c>
      <c r="NJ76">
        <v>59.34</v>
      </c>
      <c r="NK76">
        <v>59.61</v>
      </c>
      <c r="NL76">
        <v>59.83</v>
      </c>
      <c r="NM76">
        <v>59.91</v>
      </c>
      <c r="NN76">
        <v>60.29</v>
      </c>
      <c r="NO76">
        <v>60.67</v>
      </c>
      <c r="NQ76">
        <v>61.02</v>
      </c>
      <c r="NR76">
        <v>61.35</v>
      </c>
      <c r="NT76">
        <v>61.98</v>
      </c>
      <c r="NV76">
        <v>62.7</v>
      </c>
      <c r="NX76">
        <v>63.14</v>
      </c>
      <c r="OB76">
        <v>63.33</v>
      </c>
      <c r="OC76">
        <v>63.52</v>
      </c>
      <c r="OD76">
        <v>63.74</v>
      </c>
      <c r="OE76">
        <v>63.96</v>
      </c>
      <c r="OG76">
        <v>64.11</v>
      </c>
      <c r="OH76">
        <v>64.17</v>
      </c>
      <c r="OI76">
        <v>64.47</v>
      </c>
      <c r="OJ76">
        <v>64.77</v>
      </c>
      <c r="OK76">
        <v>65.040000000000006</v>
      </c>
      <c r="OL76">
        <v>65.239999999999995</v>
      </c>
      <c r="ON76">
        <v>65.569999999999993</v>
      </c>
      <c r="OO76">
        <v>65.64</v>
      </c>
      <c r="OP76">
        <v>65.89</v>
      </c>
      <c r="OQ76">
        <v>66.150000000000006</v>
      </c>
      <c r="OR76">
        <v>66.22</v>
      </c>
      <c r="OS76">
        <v>66.42</v>
      </c>
      <c r="OT76">
        <v>66.62</v>
      </c>
      <c r="OU76">
        <v>66.760000000000005</v>
      </c>
      <c r="OW76">
        <v>66.8</v>
      </c>
      <c r="OX76">
        <v>67.03</v>
      </c>
      <c r="OY76">
        <v>67.25</v>
      </c>
      <c r="OZ76">
        <v>67.72</v>
      </c>
      <c r="PB76">
        <v>67.97</v>
      </c>
      <c r="PC76">
        <v>68.17</v>
      </c>
      <c r="PD76">
        <v>68.400000000000006</v>
      </c>
      <c r="PE76">
        <v>68.599999999999994</v>
      </c>
      <c r="PF76">
        <v>68.760000000000005</v>
      </c>
      <c r="PG76">
        <v>68.900000000000006</v>
      </c>
      <c r="PH76">
        <v>69.03</v>
      </c>
      <c r="PI76">
        <v>69.11</v>
      </c>
      <c r="PK76">
        <v>69.25</v>
      </c>
      <c r="PL76">
        <v>69.34</v>
      </c>
      <c r="PM76">
        <v>69.459999999999994</v>
      </c>
      <c r="PN76">
        <v>69.56</v>
      </c>
      <c r="PP76">
        <v>69.72</v>
      </c>
      <c r="PQ76">
        <v>69.739999999999995</v>
      </c>
      <c r="PR76">
        <v>69.849999999999994</v>
      </c>
      <c r="PT76">
        <v>70.040000000000006</v>
      </c>
      <c r="PU76">
        <v>70.14</v>
      </c>
      <c r="PV76">
        <v>70.23</v>
      </c>
      <c r="PW76">
        <v>70.28</v>
      </c>
      <c r="PX76">
        <v>70.290000000000006</v>
      </c>
      <c r="PY76">
        <v>70.37</v>
      </c>
      <c r="PZ76">
        <v>70.48</v>
      </c>
      <c r="QB76">
        <v>70.64</v>
      </c>
      <c r="QC76">
        <v>70.72</v>
      </c>
      <c r="QD76">
        <v>70.760000000000005</v>
      </c>
      <c r="QE76">
        <v>70.77</v>
      </c>
      <c r="QF76">
        <v>70.87</v>
      </c>
      <c r="QG76">
        <v>70.91</v>
      </c>
      <c r="QH76">
        <v>70.94</v>
      </c>
      <c r="QI76">
        <v>70.95</v>
      </c>
      <c r="QJ76">
        <v>70.98</v>
      </c>
      <c r="QK76">
        <v>71</v>
      </c>
      <c r="QL76">
        <v>71.010000000000005</v>
      </c>
      <c r="QM76">
        <v>71.05</v>
      </c>
      <c r="QO76">
        <v>71.09</v>
      </c>
      <c r="QP76">
        <v>71.13</v>
      </c>
      <c r="QQ76">
        <v>71.17</v>
      </c>
      <c r="QR76">
        <v>71.180000000000007</v>
      </c>
      <c r="QS76">
        <v>71.19</v>
      </c>
      <c r="QT76">
        <v>71.23</v>
      </c>
      <c r="QU76">
        <v>71.28</v>
      </c>
      <c r="QW76">
        <v>71.36</v>
      </c>
      <c r="QX76">
        <v>71.400000000000006</v>
      </c>
      <c r="QY76">
        <v>71.42</v>
      </c>
      <c r="QZ76">
        <v>71.42</v>
      </c>
      <c r="RA76">
        <v>71.47</v>
      </c>
      <c r="RB76">
        <v>71.52</v>
      </c>
      <c r="RC76">
        <v>71.569999999999993</v>
      </c>
      <c r="RD76">
        <v>71.62</v>
      </c>
      <c r="RE76">
        <v>71.66</v>
      </c>
      <c r="RF76">
        <v>71.69</v>
      </c>
      <c r="RG76">
        <v>71.69</v>
      </c>
      <c r="RI76">
        <v>71.790000000000006</v>
      </c>
      <c r="RJ76">
        <v>71.84</v>
      </c>
      <c r="RK76">
        <v>71.89</v>
      </c>
      <c r="RL76">
        <v>71.91</v>
      </c>
      <c r="RM76">
        <v>71.930000000000007</v>
      </c>
      <c r="RN76">
        <v>71.930000000000007</v>
      </c>
      <c r="RO76">
        <v>71.95</v>
      </c>
      <c r="RP76">
        <v>71.97</v>
      </c>
      <c r="RQ76">
        <v>72.010000000000005</v>
      </c>
      <c r="RR76">
        <v>72.05</v>
      </c>
      <c r="RS76">
        <v>72.08</v>
      </c>
      <c r="RT76">
        <v>72.11</v>
      </c>
      <c r="RU76">
        <v>72.14</v>
      </c>
      <c r="RV76">
        <v>72.19</v>
      </c>
      <c r="RW76">
        <v>72.209999999999994</v>
      </c>
      <c r="RY76">
        <v>72.239999999999995</v>
      </c>
      <c r="RZ76">
        <v>72.290000000000006</v>
      </c>
      <c r="SG76">
        <v>72.349999999999994</v>
      </c>
      <c r="SI76">
        <v>72.42</v>
      </c>
      <c r="SK76">
        <v>72.430000000000007</v>
      </c>
      <c r="SL76">
        <v>72.45</v>
      </c>
      <c r="SO76">
        <v>72.5</v>
      </c>
      <c r="SQ76">
        <v>72.52</v>
      </c>
      <c r="SX76">
        <v>72.58</v>
      </c>
      <c r="TG76">
        <v>72.650000000000006</v>
      </c>
      <c r="TN76">
        <v>72.709999999999994</v>
      </c>
      <c r="TU76">
        <v>72.77</v>
      </c>
      <c r="UB76">
        <v>72.819999999999993</v>
      </c>
      <c r="UI76">
        <v>72.87</v>
      </c>
      <c r="UP76">
        <v>72.92</v>
      </c>
      <c r="VD76">
        <v>77.38</v>
      </c>
      <c r="VK76">
        <v>77.45</v>
      </c>
      <c r="VR76">
        <v>77.53</v>
      </c>
      <c r="WS76">
        <v>77.75</v>
      </c>
      <c r="YR76">
        <v>77.989999999999995</v>
      </c>
    </row>
    <row r="77" spans="1:812">
      <c r="A77" s="1" t="s">
        <v>53</v>
      </c>
      <c r="B77" s="1" t="s">
        <v>265</v>
      </c>
      <c r="T77">
        <v>0.03</v>
      </c>
      <c r="U77">
        <v>0.05</v>
      </c>
      <c r="V77">
        <v>0.1</v>
      </c>
      <c r="W77">
        <v>0.17</v>
      </c>
      <c r="X77">
        <v>0.22</v>
      </c>
      <c r="Y77">
        <v>0.25</v>
      </c>
      <c r="Z77">
        <v>0.31</v>
      </c>
      <c r="AA77">
        <v>0.35</v>
      </c>
      <c r="AB77">
        <v>0.41</v>
      </c>
      <c r="AC77">
        <v>0.47</v>
      </c>
      <c r="AD77">
        <v>0.55000000000000004</v>
      </c>
      <c r="AE77">
        <v>0.62</v>
      </c>
      <c r="AF77">
        <v>0.69</v>
      </c>
      <c r="AG77">
        <v>0.76</v>
      </c>
      <c r="AH77">
        <v>0.81</v>
      </c>
      <c r="AI77">
        <v>0.88</v>
      </c>
      <c r="AJ77">
        <v>0.98</v>
      </c>
      <c r="AK77">
        <v>1.1100000000000001</v>
      </c>
      <c r="AL77">
        <v>1.21</v>
      </c>
      <c r="AM77">
        <v>1.32</v>
      </c>
      <c r="AN77">
        <v>1.39</v>
      </c>
      <c r="AO77">
        <v>1.44</v>
      </c>
      <c r="AP77">
        <v>1.54</v>
      </c>
      <c r="AQ77">
        <v>1.67</v>
      </c>
      <c r="AR77">
        <v>1.83</v>
      </c>
      <c r="AS77">
        <v>1.95</v>
      </c>
      <c r="AT77">
        <v>2.0699999999999998</v>
      </c>
      <c r="AU77">
        <v>2.17</v>
      </c>
      <c r="AV77">
        <v>2.23</v>
      </c>
      <c r="AW77">
        <v>2.34</v>
      </c>
      <c r="AX77">
        <v>2.46</v>
      </c>
      <c r="AY77">
        <v>2.59</v>
      </c>
      <c r="AZ77">
        <v>2.7</v>
      </c>
      <c r="BA77">
        <v>2.83</v>
      </c>
      <c r="BB77">
        <v>2.93</v>
      </c>
      <c r="BC77">
        <v>3</v>
      </c>
      <c r="BD77">
        <v>3.14</v>
      </c>
      <c r="BE77">
        <v>3.3</v>
      </c>
      <c r="BF77">
        <v>3.48</v>
      </c>
      <c r="BG77">
        <v>3.63</v>
      </c>
      <c r="BH77">
        <v>3.8</v>
      </c>
      <c r="BI77">
        <v>3.92</v>
      </c>
      <c r="BJ77">
        <v>3.98</v>
      </c>
      <c r="BK77">
        <v>4.1100000000000003</v>
      </c>
      <c r="BL77">
        <v>4.26</v>
      </c>
      <c r="BM77">
        <v>4.4400000000000004</v>
      </c>
      <c r="BN77">
        <v>4.6100000000000003</v>
      </c>
      <c r="BO77">
        <v>4.79</v>
      </c>
      <c r="BP77">
        <v>4.92</v>
      </c>
      <c r="BQ77">
        <v>5</v>
      </c>
      <c r="BR77">
        <v>5.15</v>
      </c>
      <c r="BS77">
        <v>5.31</v>
      </c>
      <c r="BT77">
        <v>5.49</v>
      </c>
      <c r="BU77">
        <v>5.66</v>
      </c>
      <c r="BV77">
        <v>5.84</v>
      </c>
      <c r="BW77">
        <v>5.97</v>
      </c>
      <c r="BX77">
        <v>6.08</v>
      </c>
      <c r="BY77">
        <v>6.27</v>
      </c>
      <c r="BZ77">
        <v>6.46</v>
      </c>
      <c r="CA77">
        <v>6.67</v>
      </c>
      <c r="CB77">
        <v>6.89</v>
      </c>
      <c r="CC77">
        <v>7.13</v>
      </c>
      <c r="CD77">
        <v>7.31</v>
      </c>
      <c r="CE77">
        <v>7.44</v>
      </c>
      <c r="CF77">
        <v>7.76</v>
      </c>
      <c r="CG77">
        <v>8.02</v>
      </c>
      <c r="CH77">
        <v>8.31</v>
      </c>
      <c r="CI77">
        <v>8.6</v>
      </c>
      <c r="CJ77">
        <v>8.92</v>
      </c>
      <c r="CK77">
        <v>9.16</v>
      </c>
      <c r="CL77">
        <v>9.34</v>
      </c>
      <c r="CM77">
        <v>9.6199999999999992</v>
      </c>
      <c r="CN77">
        <v>9.92</v>
      </c>
      <c r="CO77">
        <v>10.26</v>
      </c>
      <c r="CP77">
        <v>10.6</v>
      </c>
      <c r="CQ77">
        <v>10.98</v>
      </c>
      <c r="CR77">
        <v>11.27</v>
      </c>
      <c r="CS77">
        <v>11.48</v>
      </c>
      <c r="CT77">
        <v>11.77</v>
      </c>
      <c r="CU77">
        <v>11.99</v>
      </c>
      <c r="CV77">
        <v>12.23</v>
      </c>
      <c r="CW77">
        <v>12.46</v>
      </c>
      <c r="CX77">
        <v>12.75</v>
      </c>
      <c r="CY77">
        <v>13.01</v>
      </c>
      <c r="CZ77">
        <v>13.21</v>
      </c>
      <c r="DA77">
        <v>13.53</v>
      </c>
      <c r="DB77">
        <v>13.88</v>
      </c>
      <c r="DC77">
        <v>14.28</v>
      </c>
      <c r="DD77">
        <v>14.68</v>
      </c>
      <c r="DE77">
        <v>15.12</v>
      </c>
      <c r="DF77">
        <v>15.46</v>
      </c>
      <c r="DG77">
        <v>15.69</v>
      </c>
      <c r="DH77">
        <v>16.059999999999999</v>
      </c>
      <c r="DI77">
        <v>16.45</v>
      </c>
      <c r="DJ77">
        <v>16.850000000000001</v>
      </c>
      <c r="DK77">
        <v>17.329999999999998</v>
      </c>
      <c r="DL77">
        <v>17.600000000000001</v>
      </c>
      <c r="DM77">
        <v>17.88</v>
      </c>
      <c r="DN77">
        <v>18.11</v>
      </c>
      <c r="DO77">
        <v>18.41</v>
      </c>
      <c r="DP77">
        <v>18.86</v>
      </c>
      <c r="DQ77">
        <v>19.670000000000002</v>
      </c>
      <c r="DR77">
        <v>20.55</v>
      </c>
      <c r="DS77">
        <v>21.3</v>
      </c>
      <c r="DT77">
        <v>21.74</v>
      </c>
      <c r="DU77">
        <v>22.05</v>
      </c>
      <c r="DV77">
        <v>22.54</v>
      </c>
      <c r="DW77">
        <v>23.23</v>
      </c>
      <c r="DX77">
        <v>24.15</v>
      </c>
      <c r="DY77">
        <v>24.97</v>
      </c>
      <c r="DZ77">
        <v>25.68</v>
      </c>
      <c r="EA77">
        <v>26.11</v>
      </c>
      <c r="EB77">
        <v>26.43</v>
      </c>
      <c r="EC77">
        <v>26.91</v>
      </c>
      <c r="ED77">
        <v>27.57</v>
      </c>
      <c r="EE77">
        <v>28.42</v>
      </c>
      <c r="EF77">
        <v>29.18</v>
      </c>
      <c r="EG77">
        <v>29.84</v>
      </c>
      <c r="EH77">
        <v>30.29</v>
      </c>
      <c r="EI77">
        <v>30.62</v>
      </c>
      <c r="EJ77">
        <v>31.14</v>
      </c>
      <c r="EK77">
        <v>32.07</v>
      </c>
      <c r="EL77">
        <v>33.409999999999997</v>
      </c>
      <c r="EM77">
        <v>34.54</v>
      </c>
      <c r="EN77">
        <v>35.5</v>
      </c>
      <c r="EO77">
        <v>35.78</v>
      </c>
      <c r="EP77">
        <v>36.090000000000003</v>
      </c>
      <c r="EQ77">
        <v>36.630000000000003</v>
      </c>
      <c r="ER77">
        <v>37.64</v>
      </c>
      <c r="ES77">
        <v>39.01</v>
      </c>
      <c r="ET77">
        <v>40.19</v>
      </c>
      <c r="EU77">
        <v>41.25</v>
      </c>
      <c r="EV77">
        <v>41.76</v>
      </c>
      <c r="EW77">
        <v>42.1</v>
      </c>
      <c r="EX77">
        <v>42.8</v>
      </c>
      <c r="EY77">
        <v>44.09</v>
      </c>
      <c r="EZ77">
        <v>45.78</v>
      </c>
      <c r="FA77">
        <v>46.29</v>
      </c>
      <c r="FB77">
        <v>47.2</v>
      </c>
      <c r="FC77">
        <v>47.67</v>
      </c>
      <c r="FD77">
        <v>48.01</v>
      </c>
      <c r="FE77">
        <v>48.67</v>
      </c>
      <c r="FF77">
        <v>49.71</v>
      </c>
      <c r="FG77">
        <v>51.02</v>
      </c>
      <c r="FH77">
        <v>52.15</v>
      </c>
      <c r="FI77">
        <v>53.16</v>
      </c>
      <c r="FJ77">
        <v>53.73</v>
      </c>
      <c r="FK77">
        <v>54.07</v>
      </c>
      <c r="FL77">
        <v>54.46</v>
      </c>
      <c r="FM77">
        <v>55.24</v>
      </c>
      <c r="FN77">
        <v>56.64</v>
      </c>
      <c r="FO77">
        <v>57.87</v>
      </c>
      <c r="FP77">
        <v>58.95</v>
      </c>
      <c r="FQ77">
        <v>59.44</v>
      </c>
      <c r="FR77">
        <v>59.77</v>
      </c>
      <c r="FS77">
        <v>60.43</v>
      </c>
      <c r="FT77">
        <v>61.6</v>
      </c>
      <c r="FU77">
        <v>63.09</v>
      </c>
      <c r="FV77">
        <v>63.85</v>
      </c>
      <c r="FW77">
        <v>64.819999999999993</v>
      </c>
      <c r="FX77">
        <v>65.31</v>
      </c>
      <c r="FY77">
        <v>65.650000000000006</v>
      </c>
      <c r="FZ77">
        <v>66.38</v>
      </c>
      <c r="GA77">
        <v>67.63</v>
      </c>
      <c r="GB77">
        <v>69.31</v>
      </c>
      <c r="GC77">
        <v>70.709999999999994</v>
      </c>
      <c r="GD77">
        <v>71.959999999999994</v>
      </c>
      <c r="GE77">
        <v>72.47</v>
      </c>
      <c r="GF77">
        <v>72.81</v>
      </c>
      <c r="GG77">
        <v>73.58</v>
      </c>
      <c r="GH77">
        <v>74.81</v>
      </c>
      <c r="GI77">
        <v>76.430000000000007</v>
      </c>
      <c r="GJ77">
        <v>77.78</v>
      </c>
      <c r="GK77">
        <v>78.94</v>
      </c>
      <c r="GL77">
        <v>79.45</v>
      </c>
      <c r="GM77">
        <v>79.8</v>
      </c>
      <c r="GN77">
        <v>80.53</v>
      </c>
      <c r="GO77">
        <v>81.8</v>
      </c>
      <c r="GP77">
        <v>83.37</v>
      </c>
      <c r="GQ77">
        <v>84.58</v>
      </c>
      <c r="GR77">
        <v>85.65</v>
      </c>
      <c r="GS77">
        <v>86.13</v>
      </c>
      <c r="GT77">
        <v>86.48</v>
      </c>
      <c r="GU77">
        <v>87.21</v>
      </c>
      <c r="GV77">
        <v>88.31</v>
      </c>
      <c r="GW77">
        <v>89.5</v>
      </c>
      <c r="GX77">
        <v>91.05</v>
      </c>
      <c r="GY77">
        <v>92.06</v>
      </c>
      <c r="GZ77">
        <v>92.51</v>
      </c>
      <c r="HA77">
        <v>92.83</v>
      </c>
      <c r="HB77">
        <v>93.47</v>
      </c>
      <c r="HC77">
        <v>94.39</v>
      </c>
      <c r="HD77">
        <v>95.57</v>
      </c>
      <c r="HE77">
        <v>96.58</v>
      </c>
      <c r="HF77">
        <v>97.48</v>
      </c>
      <c r="HG77">
        <v>97.89</v>
      </c>
      <c r="HH77">
        <v>98.16</v>
      </c>
      <c r="HI77">
        <v>98.71</v>
      </c>
      <c r="HJ77">
        <v>99.62</v>
      </c>
      <c r="HK77">
        <v>100.77</v>
      </c>
      <c r="HL77">
        <v>101.68</v>
      </c>
      <c r="HM77">
        <v>102.46</v>
      </c>
      <c r="HN77">
        <v>102.79</v>
      </c>
      <c r="HO77">
        <v>103.02</v>
      </c>
      <c r="HP77">
        <v>103.47</v>
      </c>
      <c r="HQ77">
        <v>104.19</v>
      </c>
      <c r="HR77">
        <v>105.08</v>
      </c>
      <c r="HS77">
        <v>105.8</v>
      </c>
      <c r="HT77">
        <v>106.47</v>
      </c>
      <c r="HU77">
        <v>106.72</v>
      </c>
      <c r="HV77">
        <v>106.91</v>
      </c>
      <c r="HW77">
        <v>107.31</v>
      </c>
      <c r="HX77">
        <v>107.95</v>
      </c>
      <c r="HY77">
        <v>108.76</v>
      </c>
      <c r="HZ77">
        <v>109.43</v>
      </c>
      <c r="IA77">
        <v>110.01</v>
      </c>
      <c r="IB77">
        <v>110.24</v>
      </c>
      <c r="IC77">
        <v>110.63</v>
      </c>
      <c r="ID77">
        <v>110.97</v>
      </c>
      <c r="IE77">
        <v>111.52</v>
      </c>
      <c r="IF77">
        <v>112.2</v>
      </c>
      <c r="IG77">
        <v>112.81</v>
      </c>
      <c r="IH77">
        <v>113.34</v>
      </c>
      <c r="II77">
        <v>113.55</v>
      </c>
      <c r="IJ77">
        <v>113.69</v>
      </c>
      <c r="IK77">
        <v>114.04</v>
      </c>
      <c r="IL77">
        <v>114.55</v>
      </c>
      <c r="IM77">
        <v>115.19</v>
      </c>
      <c r="IN77">
        <v>115.75</v>
      </c>
      <c r="IO77">
        <v>116.25</v>
      </c>
      <c r="IP77">
        <v>116.48</v>
      </c>
      <c r="IQ77">
        <v>116.62</v>
      </c>
      <c r="IR77">
        <v>116.93</v>
      </c>
      <c r="IS77">
        <v>117.36</v>
      </c>
      <c r="IT77">
        <v>117.85</v>
      </c>
      <c r="IU77">
        <v>118.23</v>
      </c>
      <c r="IV77">
        <v>118.66</v>
      </c>
      <c r="IW77">
        <v>118.85</v>
      </c>
      <c r="IX77">
        <v>118.96</v>
      </c>
      <c r="IY77">
        <v>119.23</v>
      </c>
      <c r="IZ77">
        <v>119.58</v>
      </c>
      <c r="JA77">
        <v>119.98</v>
      </c>
      <c r="JB77">
        <v>120.33</v>
      </c>
      <c r="JC77">
        <v>120.58</v>
      </c>
      <c r="JE77">
        <v>120.94</v>
      </c>
      <c r="JF77">
        <v>121.16</v>
      </c>
      <c r="JG77">
        <v>121.43</v>
      </c>
      <c r="JI77">
        <v>122.09</v>
      </c>
      <c r="JM77">
        <v>122.87</v>
      </c>
      <c r="JN77">
        <v>123.13</v>
      </c>
      <c r="JO77">
        <v>123.43</v>
      </c>
      <c r="JP77">
        <v>123.74</v>
      </c>
      <c r="JQ77">
        <v>123.93</v>
      </c>
      <c r="JS77">
        <v>124.23</v>
      </c>
      <c r="JT77">
        <v>124.42</v>
      </c>
      <c r="JU77">
        <v>124.77</v>
      </c>
      <c r="JV77">
        <v>125.09</v>
      </c>
      <c r="JW77">
        <v>125.42</v>
      </c>
      <c r="JX77">
        <v>125.63</v>
      </c>
      <c r="JZ77">
        <v>125.97</v>
      </c>
      <c r="KA77">
        <v>126.16</v>
      </c>
      <c r="KB77">
        <v>126.45</v>
      </c>
      <c r="KC77">
        <v>126.81</v>
      </c>
      <c r="KD77">
        <v>127.12</v>
      </c>
      <c r="KE77">
        <v>127.4</v>
      </c>
      <c r="KF77">
        <v>127.51</v>
      </c>
      <c r="KG77">
        <v>127.57</v>
      </c>
      <c r="KH77">
        <v>127.77</v>
      </c>
      <c r="KI77">
        <v>128.04</v>
      </c>
      <c r="KK77">
        <v>128.59</v>
      </c>
      <c r="KL77">
        <v>128.74</v>
      </c>
      <c r="KN77">
        <v>128.79</v>
      </c>
      <c r="KO77">
        <v>128.9</v>
      </c>
      <c r="KP77">
        <v>129.12</v>
      </c>
      <c r="KQ77">
        <v>129.43</v>
      </c>
      <c r="KR77">
        <v>129.68</v>
      </c>
      <c r="KS77">
        <v>129.9</v>
      </c>
      <c r="KU77">
        <v>129.97</v>
      </c>
      <c r="KV77">
        <v>130.08000000000001</v>
      </c>
      <c r="KW77">
        <v>130.30000000000001</v>
      </c>
      <c r="KY77">
        <v>130.78</v>
      </c>
      <c r="KZ77">
        <v>130.97999999999999</v>
      </c>
      <c r="LC77">
        <v>131.16</v>
      </c>
      <c r="LD77">
        <v>131.37</v>
      </c>
      <c r="LE77">
        <v>131.62</v>
      </c>
      <c r="LF77">
        <v>131.86000000000001</v>
      </c>
      <c r="LI77">
        <v>132.11000000000001</v>
      </c>
      <c r="LJ77">
        <v>132.24</v>
      </c>
      <c r="LL77">
        <v>132.77000000000001</v>
      </c>
      <c r="LM77">
        <v>133.12</v>
      </c>
      <c r="LN77">
        <v>133.36000000000001</v>
      </c>
      <c r="LO77">
        <v>133.41</v>
      </c>
      <c r="LP77">
        <v>133.43</v>
      </c>
      <c r="LR77">
        <v>133.77000000000001</v>
      </c>
      <c r="LW77">
        <v>134.88</v>
      </c>
      <c r="MA77">
        <v>136.44</v>
      </c>
      <c r="MB77">
        <v>136.83000000000001</v>
      </c>
      <c r="MD77">
        <v>136.97999999999999</v>
      </c>
      <c r="ME77">
        <v>137.30000000000001</v>
      </c>
      <c r="MF77">
        <v>137.85</v>
      </c>
      <c r="MG77">
        <v>138.5</v>
      </c>
      <c r="MI77">
        <v>139.79</v>
      </c>
      <c r="MK77">
        <v>140.13</v>
      </c>
      <c r="ML77">
        <v>140.62</v>
      </c>
      <c r="MM77">
        <v>141.44</v>
      </c>
      <c r="MN77">
        <v>142.46</v>
      </c>
      <c r="MO77">
        <v>143.47</v>
      </c>
      <c r="MR77">
        <v>145.24</v>
      </c>
      <c r="MS77">
        <v>145.97</v>
      </c>
      <c r="MT77">
        <v>147.02000000000001</v>
      </c>
      <c r="MU77">
        <v>148.27000000000001</v>
      </c>
      <c r="MV77">
        <v>149.6</v>
      </c>
      <c r="MW77">
        <v>150.91999999999999</v>
      </c>
      <c r="MY77">
        <v>152.15</v>
      </c>
      <c r="MZ77">
        <v>153.08000000000001</v>
      </c>
      <c r="NA77">
        <v>154.46</v>
      </c>
      <c r="ND77">
        <v>158.9</v>
      </c>
      <c r="NF77">
        <v>160.36000000000001</v>
      </c>
      <c r="NG77">
        <v>161.38999999999999</v>
      </c>
      <c r="NH77">
        <v>162.97</v>
      </c>
      <c r="NI77">
        <v>164.75</v>
      </c>
      <c r="NK77">
        <v>167.96</v>
      </c>
      <c r="NM77">
        <v>169.34</v>
      </c>
      <c r="NN77">
        <v>170.66</v>
      </c>
      <c r="NR77">
        <v>174.71</v>
      </c>
      <c r="NX77">
        <v>178</v>
      </c>
      <c r="NY77">
        <v>178.15</v>
      </c>
      <c r="OA77">
        <v>178.39</v>
      </c>
      <c r="OC77">
        <v>179.96</v>
      </c>
      <c r="OD77">
        <v>180.94</v>
      </c>
      <c r="OE77">
        <v>181.76</v>
      </c>
      <c r="OH77">
        <v>183.43</v>
      </c>
      <c r="OI77">
        <v>184.21</v>
      </c>
      <c r="OJ77">
        <v>185.18</v>
      </c>
      <c r="OK77">
        <v>186.24</v>
      </c>
      <c r="OL77">
        <v>187.28</v>
      </c>
      <c r="OM77">
        <v>188.18</v>
      </c>
      <c r="OO77">
        <v>188.91</v>
      </c>
      <c r="OP77">
        <v>189.55</v>
      </c>
      <c r="OR77">
        <v>191.21</v>
      </c>
      <c r="OS77">
        <v>192.05</v>
      </c>
      <c r="OT77">
        <v>192.74</v>
      </c>
      <c r="PC77">
        <v>196.42</v>
      </c>
      <c r="PD77">
        <v>196.75</v>
      </c>
      <c r="PE77">
        <v>197.13</v>
      </c>
      <c r="PF77">
        <v>197.59</v>
      </c>
      <c r="PG77">
        <v>198.02</v>
      </c>
      <c r="PH77">
        <v>198.38</v>
      </c>
      <c r="PL77">
        <v>199.2</v>
      </c>
      <c r="PM77">
        <v>199.54</v>
      </c>
      <c r="PN77">
        <v>199.84</v>
      </c>
      <c r="PT77">
        <v>200.93</v>
      </c>
      <c r="PU77">
        <v>201.16</v>
      </c>
      <c r="PV77">
        <v>201.37</v>
      </c>
      <c r="PY77">
        <v>201.63</v>
      </c>
      <c r="PZ77">
        <v>201.83</v>
      </c>
      <c r="QB77">
        <v>202.22</v>
      </c>
      <c r="QC77">
        <v>202.36</v>
      </c>
      <c r="QD77">
        <v>202.41</v>
      </c>
      <c r="QE77">
        <v>202.43</v>
      </c>
      <c r="QF77">
        <v>202.57</v>
      </c>
      <c r="QG77">
        <v>202.69</v>
      </c>
      <c r="QH77">
        <v>202.85</v>
      </c>
      <c r="QI77">
        <v>203</v>
      </c>
      <c r="QJ77">
        <v>203.13</v>
      </c>
      <c r="QK77">
        <v>203.18</v>
      </c>
      <c r="QL77">
        <v>203.2</v>
      </c>
      <c r="QM77">
        <v>203.29</v>
      </c>
      <c r="QN77">
        <v>203.42</v>
      </c>
      <c r="QO77">
        <v>203.55</v>
      </c>
      <c r="QP77">
        <v>203.67</v>
      </c>
      <c r="QQ77">
        <v>203.79</v>
      </c>
      <c r="QS77">
        <v>203.86</v>
      </c>
      <c r="QT77">
        <v>203.91</v>
      </c>
      <c r="QU77">
        <v>204.03</v>
      </c>
      <c r="QV77">
        <v>204.15</v>
      </c>
      <c r="QW77">
        <v>204.24</v>
      </c>
      <c r="QX77">
        <v>204.33</v>
      </c>
      <c r="QY77">
        <v>204.36</v>
      </c>
      <c r="QZ77">
        <v>204.38</v>
      </c>
      <c r="RA77">
        <v>204.44</v>
      </c>
      <c r="RB77">
        <v>204.53</v>
      </c>
      <c r="RC77">
        <v>204.61</v>
      </c>
      <c r="RD77">
        <v>204.69</v>
      </c>
      <c r="RE77">
        <v>204.76</v>
      </c>
      <c r="RF77">
        <v>204.79</v>
      </c>
      <c r="RG77">
        <v>204.8</v>
      </c>
      <c r="RI77">
        <v>204.93</v>
      </c>
      <c r="RJ77">
        <v>205</v>
      </c>
      <c r="RK77">
        <v>205.09</v>
      </c>
      <c r="RL77">
        <v>205.18</v>
      </c>
      <c r="RM77">
        <v>205.21</v>
      </c>
      <c r="RN77">
        <v>205.27</v>
      </c>
      <c r="RO77">
        <v>205.34</v>
      </c>
      <c r="RP77">
        <v>205.4</v>
      </c>
      <c r="RQ77">
        <v>205.48</v>
      </c>
      <c r="RR77">
        <v>205.52</v>
      </c>
      <c r="RS77">
        <v>205.55</v>
      </c>
      <c r="RT77">
        <v>205.6</v>
      </c>
      <c r="RV77">
        <v>205.64</v>
      </c>
      <c r="RW77">
        <v>205.65</v>
      </c>
      <c r="RX77">
        <v>205.68</v>
      </c>
      <c r="RY77">
        <v>205.71</v>
      </c>
      <c r="SA77">
        <v>205.78</v>
      </c>
      <c r="SC77">
        <v>205.79</v>
      </c>
      <c r="SE77">
        <v>205.86</v>
      </c>
      <c r="SH77">
        <v>212.78</v>
      </c>
      <c r="SI77">
        <v>212.81</v>
      </c>
      <c r="SJ77">
        <v>212.82</v>
      </c>
      <c r="SN77">
        <v>213.29</v>
      </c>
      <c r="ST77">
        <v>213.65</v>
      </c>
      <c r="SV77">
        <v>213.83</v>
      </c>
      <c r="SZ77">
        <v>213.97</v>
      </c>
      <c r="TC77">
        <v>214.21</v>
      </c>
      <c r="TD77">
        <v>214.22</v>
      </c>
      <c r="TE77">
        <v>214.23</v>
      </c>
      <c r="TF77">
        <v>214.31</v>
      </c>
      <c r="TG77">
        <v>214.39</v>
      </c>
      <c r="TH77">
        <v>214.45</v>
      </c>
      <c r="TJ77">
        <v>214.48</v>
      </c>
      <c r="TM77">
        <v>214.53</v>
      </c>
      <c r="TP77">
        <v>214.71</v>
      </c>
      <c r="TQ77">
        <v>214.76</v>
      </c>
      <c r="TS77">
        <v>214.77</v>
      </c>
      <c r="TU77">
        <v>214.82</v>
      </c>
      <c r="TV77">
        <v>214.87</v>
      </c>
      <c r="TW77">
        <v>214.93</v>
      </c>
      <c r="TX77">
        <v>214.97</v>
      </c>
      <c r="UB77">
        <v>215.07</v>
      </c>
      <c r="UC77">
        <v>215.13</v>
      </c>
      <c r="UD77">
        <v>215.16</v>
      </c>
      <c r="UE77">
        <v>215.19</v>
      </c>
      <c r="UG77">
        <v>217.4</v>
      </c>
      <c r="UH77">
        <v>217.43</v>
      </c>
      <c r="UI77">
        <v>217.49</v>
      </c>
      <c r="UJ77">
        <v>217.55</v>
      </c>
      <c r="UK77">
        <v>217.63</v>
      </c>
      <c r="UL77">
        <v>217.68</v>
      </c>
      <c r="UM77">
        <v>217.69</v>
      </c>
      <c r="UN77">
        <v>217.7</v>
      </c>
      <c r="UP77">
        <v>217.8</v>
      </c>
      <c r="UQ77">
        <v>217.86</v>
      </c>
      <c r="UR77">
        <v>217.95</v>
      </c>
      <c r="US77">
        <v>217.99</v>
      </c>
      <c r="UT77">
        <v>218</v>
      </c>
      <c r="UU77">
        <v>218.01</v>
      </c>
      <c r="UV77">
        <v>218.03</v>
      </c>
      <c r="UW77">
        <v>218.09</v>
      </c>
      <c r="UX77">
        <v>218.15</v>
      </c>
      <c r="UY77">
        <v>218.22</v>
      </c>
      <c r="UZ77">
        <v>218.27</v>
      </c>
      <c r="VA77">
        <v>218.28</v>
      </c>
      <c r="VB77">
        <v>219.58</v>
      </c>
      <c r="VC77">
        <v>219.61</v>
      </c>
      <c r="VD77">
        <v>219.67</v>
      </c>
      <c r="VE77">
        <v>219.74</v>
      </c>
      <c r="VF77">
        <v>219.83</v>
      </c>
      <c r="VG77">
        <v>219.88</v>
      </c>
      <c r="VH77">
        <v>219.9</v>
      </c>
      <c r="VI77">
        <v>219.9</v>
      </c>
      <c r="VJ77">
        <v>219.94</v>
      </c>
      <c r="VK77">
        <v>220</v>
      </c>
      <c r="VL77">
        <v>220.07</v>
      </c>
      <c r="VM77">
        <v>220.14</v>
      </c>
      <c r="VN77">
        <v>220.2</v>
      </c>
      <c r="VO77">
        <v>220.21</v>
      </c>
      <c r="VP77">
        <v>220.21</v>
      </c>
      <c r="VQ77">
        <v>220.25</v>
      </c>
      <c r="VR77">
        <v>220.31</v>
      </c>
      <c r="VS77">
        <v>220.38</v>
      </c>
      <c r="VT77">
        <v>220.44</v>
      </c>
      <c r="VU77">
        <v>220.49</v>
      </c>
      <c r="VV77">
        <v>220.5</v>
      </c>
      <c r="VW77">
        <v>220.53</v>
      </c>
      <c r="VX77">
        <v>220.57</v>
      </c>
      <c r="VY77">
        <v>220.62</v>
      </c>
      <c r="VZ77">
        <v>220.67</v>
      </c>
      <c r="WA77">
        <v>220.71</v>
      </c>
      <c r="WC77">
        <v>220.72</v>
      </c>
      <c r="WD77">
        <v>220.75</v>
      </c>
      <c r="WE77">
        <v>220.79</v>
      </c>
      <c r="WF77">
        <v>220.84</v>
      </c>
      <c r="WG77">
        <v>220.89</v>
      </c>
      <c r="WH77">
        <v>220.92</v>
      </c>
      <c r="WM77">
        <v>221.03</v>
      </c>
      <c r="WN77">
        <v>221.08</v>
      </c>
      <c r="WO77">
        <v>221.12</v>
      </c>
      <c r="WQ77">
        <v>221.13</v>
      </c>
      <c r="WR77">
        <v>221.15</v>
      </c>
      <c r="WS77">
        <v>221.19</v>
      </c>
      <c r="WT77">
        <v>221.25</v>
      </c>
      <c r="WU77">
        <v>221.29</v>
      </c>
      <c r="WV77">
        <v>221.33</v>
      </c>
      <c r="WX77">
        <v>221.33</v>
      </c>
      <c r="WY77">
        <v>221.36</v>
      </c>
      <c r="WZ77">
        <v>221.39</v>
      </c>
      <c r="XA77">
        <v>221.44</v>
      </c>
      <c r="XB77">
        <v>221.47</v>
      </c>
      <c r="XC77">
        <v>221.5</v>
      </c>
      <c r="XF77">
        <v>221.55</v>
      </c>
      <c r="XG77">
        <v>221.58</v>
      </c>
      <c r="XH77">
        <v>221.62</v>
      </c>
      <c r="XJ77">
        <v>221.7</v>
      </c>
      <c r="XL77">
        <v>221.71</v>
      </c>
      <c r="XM77">
        <v>221.73</v>
      </c>
      <c r="XN77">
        <v>221.78</v>
      </c>
      <c r="XO77">
        <v>221.84</v>
      </c>
      <c r="XP77">
        <v>221.9</v>
      </c>
      <c r="XQ77">
        <v>221.96</v>
      </c>
      <c r="XS77">
        <v>221.97</v>
      </c>
      <c r="XT77">
        <v>222.01</v>
      </c>
      <c r="XU77">
        <v>222.07</v>
      </c>
      <c r="XV77">
        <v>222.14</v>
      </c>
      <c r="XW77">
        <v>222.21</v>
      </c>
      <c r="XX77">
        <v>222.26</v>
      </c>
      <c r="YA77">
        <v>222.31</v>
      </c>
      <c r="YI77">
        <v>222.84</v>
      </c>
      <c r="YJ77">
        <v>222.95</v>
      </c>
      <c r="YK77">
        <v>223.07</v>
      </c>
      <c r="YL77">
        <v>223.18</v>
      </c>
      <c r="YM77">
        <v>223.21</v>
      </c>
      <c r="YN77">
        <v>223.21</v>
      </c>
      <c r="YO77">
        <v>223.4</v>
      </c>
      <c r="YP77">
        <v>223.4</v>
      </c>
      <c r="YQ77">
        <v>223.56</v>
      </c>
      <c r="YR77">
        <v>223.71</v>
      </c>
      <c r="YS77">
        <v>223.82</v>
      </c>
      <c r="YT77">
        <v>223.86</v>
      </c>
      <c r="YU77">
        <v>223.87</v>
      </c>
      <c r="YV77">
        <v>223.96</v>
      </c>
      <c r="YX77">
        <v>224.22</v>
      </c>
      <c r="YY77">
        <v>224.37</v>
      </c>
      <c r="YZ77">
        <v>224.51</v>
      </c>
      <c r="ZA77">
        <v>224.54</v>
      </c>
      <c r="ZB77">
        <v>224.55</v>
      </c>
      <c r="ZC77">
        <v>224.66</v>
      </c>
      <c r="ZD77">
        <v>224.78</v>
      </c>
      <c r="ZE77">
        <v>225.01</v>
      </c>
      <c r="ZF77">
        <v>225.15</v>
      </c>
      <c r="ZG77">
        <v>225.27</v>
      </c>
      <c r="ZJ77">
        <v>225.36</v>
      </c>
      <c r="ZL77">
        <v>225.53</v>
      </c>
      <c r="ZM77">
        <v>225.66</v>
      </c>
      <c r="ZN77">
        <v>225.76</v>
      </c>
      <c r="ZS77">
        <v>226.12</v>
      </c>
      <c r="ZU77">
        <v>226.36</v>
      </c>
      <c r="ZX77">
        <v>226.46</v>
      </c>
      <c r="ZY77">
        <v>226.55</v>
      </c>
      <c r="AAA77">
        <v>226.79</v>
      </c>
      <c r="AAB77">
        <v>226.88</v>
      </c>
      <c r="AAC77">
        <v>226.9</v>
      </c>
      <c r="AAD77">
        <v>226.9</v>
      </c>
      <c r="AAE77">
        <v>226.95</v>
      </c>
      <c r="AAG77">
        <v>227.13</v>
      </c>
      <c r="AAH77">
        <v>227.23</v>
      </c>
      <c r="AAI77">
        <v>227.29</v>
      </c>
      <c r="AAL77">
        <v>227.36</v>
      </c>
      <c r="AAN77">
        <v>227.52</v>
      </c>
      <c r="AAO77">
        <v>227.6</v>
      </c>
      <c r="AAP77">
        <v>227.65</v>
      </c>
      <c r="AAS77">
        <v>227.71</v>
      </c>
      <c r="AAT77">
        <v>227.77</v>
      </c>
      <c r="AAU77">
        <v>227.83</v>
      </c>
      <c r="AAV77">
        <v>227.89</v>
      </c>
      <c r="AAW77">
        <v>227.94</v>
      </c>
      <c r="AAZ77">
        <v>227.99</v>
      </c>
      <c r="ABA77">
        <v>228.04</v>
      </c>
      <c r="ABB77">
        <v>228.09</v>
      </c>
      <c r="ABC77">
        <v>228.15</v>
      </c>
      <c r="ABD77">
        <v>228.18</v>
      </c>
      <c r="ABG77">
        <v>228.23</v>
      </c>
      <c r="ABH77">
        <v>228.26</v>
      </c>
      <c r="ABI77">
        <v>228.29</v>
      </c>
      <c r="ABJ77">
        <v>228.32</v>
      </c>
      <c r="ABK77">
        <v>228.34</v>
      </c>
      <c r="ABL77">
        <v>228.34</v>
      </c>
      <c r="ABM77">
        <v>228.34</v>
      </c>
      <c r="ABN77">
        <v>228.34</v>
      </c>
      <c r="ABO77">
        <v>228.35</v>
      </c>
      <c r="ABP77">
        <v>228.36</v>
      </c>
      <c r="ABQ77">
        <v>228.38</v>
      </c>
      <c r="ABT77">
        <v>228.45</v>
      </c>
      <c r="ABU77">
        <v>228.46</v>
      </c>
      <c r="ABV77">
        <v>228.47</v>
      </c>
      <c r="ABW77">
        <v>228.48</v>
      </c>
      <c r="ABX77">
        <v>228.49</v>
      </c>
      <c r="ABY77">
        <v>228.5</v>
      </c>
      <c r="ABZ77">
        <v>228.51</v>
      </c>
      <c r="ACA77">
        <v>228.51</v>
      </c>
      <c r="ACC77">
        <v>228.58</v>
      </c>
      <c r="ACD77">
        <v>228.6</v>
      </c>
      <c r="ACE77">
        <v>228.63</v>
      </c>
      <c r="ACF77">
        <v>228.65</v>
      </c>
      <c r="ACG77">
        <v>228.65</v>
      </c>
      <c r="ACH77">
        <v>228.66</v>
      </c>
      <c r="ACI77">
        <v>228.67</v>
      </c>
      <c r="ACJ77">
        <v>228.69</v>
      </c>
      <c r="ACK77">
        <v>228.7</v>
      </c>
      <c r="ACL77">
        <v>228.72</v>
      </c>
      <c r="ACM77">
        <v>228.74</v>
      </c>
      <c r="ACP77">
        <v>230.15</v>
      </c>
      <c r="ACQ77">
        <v>230.17</v>
      </c>
      <c r="ACR77">
        <v>230.19</v>
      </c>
      <c r="ACS77">
        <v>230.21</v>
      </c>
      <c r="ACT77">
        <v>230.23</v>
      </c>
      <c r="ACU77">
        <v>230.23</v>
      </c>
      <c r="ACV77">
        <v>230.23</v>
      </c>
      <c r="ACW77">
        <v>230.24</v>
      </c>
      <c r="ACX77">
        <v>230.26</v>
      </c>
      <c r="ACY77">
        <v>230.27</v>
      </c>
      <c r="ACZ77">
        <v>230.28</v>
      </c>
      <c r="ADA77">
        <v>230.29</v>
      </c>
      <c r="ADD77">
        <v>230.31</v>
      </c>
      <c r="ADE77">
        <v>230.32</v>
      </c>
      <c r="ADF77">
        <v>230.33</v>
      </c>
      <c r="ADG77">
        <v>230.34</v>
      </c>
      <c r="ADH77">
        <v>230.35</v>
      </c>
      <c r="ADI77">
        <v>230.35</v>
      </c>
      <c r="ADJ77">
        <v>230.35</v>
      </c>
      <c r="ADK77">
        <v>230.36</v>
      </c>
      <c r="ADL77">
        <v>230.37</v>
      </c>
      <c r="ADM77">
        <v>230.38</v>
      </c>
      <c r="ADN77">
        <v>230.39</v>
      </c>
      <c r="ADO77">
        <v>230.39</v>
      </c>
      <c r="ADR77">
        <v>230.4</v>
      </c>
      <c r="ADS77">
        <v>230.4</v>
      </c>
      <c r="ADT77">
        <v>230.41</v>
      </c>
      <c r="ADU77">
        <v>230.42</v>
      </c>
      <c r="ADV77">
        <v>230.42</v>
      </c>
      <c r="ADW77">
        <v>230.42</v>
      </c>
      <c r="ADX77">
        <v>230.42</v>
      </c>
      <c r="ADZ77">
        <v>230.44</v>
      </c>
      <c r="AEA77">
        <v>230.44</v>
      </c>
      <c r="AEB77">
        <v>230.45</v>
      </c>
      <c r="AEC77">
        <v>230.45</v>
      </c>
      <c r="AED77">
        <v>230.45</v>
      </c>
      <c r="AEE77">
        <v>230.45</v>
      </c>
    </row>
    <row r="78" spans="1:812">
      <c r="A78" s="1" t="s">
        <v>80</v>
      </c>
      <c r="B78" s="1" t="s">
        <v>80</v>
      </c>
      <c r="CF78">
        <v>0</v>
      </c>
      <c r="CM78">
        <v>0.65</v>
      </c>
      <c r="CO78">
        <v>0.97</v>
      </c>
      <c r="CW78">
        <v>1.35</v>
      </c>
      <c r="DC78">
        <v>1.61</v>
      </c>
      <c r="DQ78">
        <v>1.93</v>
      </c>
      <c r="DR78">
        <v>2.08</v>
      </c>
      <c r="DS78">
        <v>2.19</v>
      </c>
      <c r="DU78">
        <v>2.2599999999999998</v>
      </c>
      <c r="DV78">
        <v>2.39</v>
      </c>
      <c r="DY78">
        <v>2.4300000000000002</v>
      </c>
      <c r="ED78">
        <v>2.71</v>
      </c>
      <c r="EJ78">
        <v>2.72</v>
      </c>
      <c r="FL78">
        <v>2.73</v>
      </c>
      <c r="FS78">
        <v>3.95</v>
      </c>
      <c r="GM78">
        <v>3.97</v>
      </c>
      <c r="HB78">
        <v>4.0599999999999996</v>
      </c>
      <c r="HI78">
        <v>4.07</v>
      </c>
      <c r="HP78">
        <v>4.09</v>
      </c>
      <c r="KA78">
        <v>5.12</v>
      </c>
      <c r="KR78">
        <v>6.9</v>
      </c>
      <c r="LF78">
        <v>8.6</v>
      </c>
      <c r="LM78">
        <v>9.39</v>
      </c>
      <c r="LT78">
        <v>9.7799999999999994</v>
      </c>
      <c r="LZ78">
        <v>10.050000000000001</v>
      </c>
      <c r="MH78">
        <v>10.61</v>
      </c>
      <c r="MN78">
        <v>11.01</v>
      </c>
      <c r="NI78">
        <v>13.29</v>
      </c>
      <c r="NQ78">
        <v>24.44</v>
      </c>
      <c r="OE78">
        <v>27.88</v>
      </c>
      <c r="OK78">
        <v>30.26</v>
      </c>
    </row>
    <row r="79" spans="1:812">
      <c r="A79" s="1" t="s">
        <v>195</v>
      </c>
      <c r="B79" s="1" t="s">
        <v>195</v>
      </c>
      <c r="AH79">
        <v>1.25</v>
      </c>
      <c r="AI79">
        <v>4.29</v>
      </c>
      <c r="AJ79">
        <v>7.42</v>
      </c>
      <c r="AM79">
        <v>15.24</v>
      </c>
      <c r="AN79">
        <v>17.350000000000001</v>
      </c>
      <c r="AO79">
        <v>17.350000000000001</v>
      </c>
      <c r="AP79">
        <v>19.100000000000001</v>
      </c>
      <c r="AQ79">
        <v>20.83</v>
      </c>
      <c r="AR79">
        <v>20.83</v>
      </c>
      <c r="AS79">
        <v>23.59</v>
      </c>
      <c r="AT79">
        <v>26.35</v>
      </c>
      <c r="AU79">
        <v>29.11</v>
      </c>
      <c r="AV79">
        <v>30.69</v>
      </c>
      <c r="AW79">
        <v>31.28</v>
      </c>
      <c r="AX79">
        <v>32.869999999999997</v>
      </c>
      <c r="AY79">
        <v>34.450000000000003</v>
      </c>
      <c r="AZ79">
        <v>36.6</v>
      </c>
      <c r="BA79">
        <v>38.19</v>
      </c>
      <c r="BB79">
        <v>38.19</v>
      </c>
      <c r="BC79">
        <v>39.43</v>
      </c>
      <c r="BD79">
        <v>42.44</v>
      </c>
      <c r="BE79">
        <v>45.68</v>
      </c>
      <c r="BF79">
        <v>48.02</v>
      </c>
      <c r="BG79">
        <v>51.02</v>
      </c>
      <c r="BH79">
        <v>54.24</v>
      </c>
      <c r="BI79">
        <v>56.61</v>
      </c>
      <c r="BJ79">
        <v>56.61</v>
      </c>
      <c r="BK79">
        <v>59.49</v>
      </c>
      <c r="BL79">
        <v>62.39</v>
      </c>
      <c r="BM79">
        <v>65.3</v>
      </c>
      <c r="BN79">
        <v>68.569999999999993</v>
      </c>
      <c r="BO79">
        <v>71.81</v>
      </c>
      <c r="BP79">
        <v>75.06</v>
      </c>
      <c r="BQ79">
        <v>77</v>
      </c>
      <c r="BR79">
        <v>78.3</v>
      </c>
      <c r="BS79">
        <v>80.239999999999995</v>
      </c>
      <c r="BT79">
        <v>82.18</v>
      </c>
      <c r="BU79">
        <v>85.42</v>
      </c>
      <c r="BV79">
        <v>87.07</v>
      </c>
      <c r="BW79">
        <v>87.07</v>
      </c>
      <c r="BX79">
        <v>90.33</v>
      </c>
      <c r="BY79">
        <v>93.89</v>
      </c>
      <c r="BZ79">
        <v>97.07</v>
      </c>
      <c r="CA79">
        <v>99.05</v>
      </c>
      <c r="CB79">
        <v>102.7</v>
      </c>
      <c r="CC79">
        <v>106.53</v>
      </c>
      <c r="CD79">
        <v>109.25</v>
      </c>
      <c r="CE79">
        <v>109.25</v>
      </c>
      <c r="CG79">
        <v>112.96</v>
      </c>
      <c r="CH79">
        <v>116.71</v>
      </c>
      <c r="CI79">
        <v>120.66</v>
      </c>
      <c r="CJ79">
        <v>122.64</v>
      </c>
      <c r="CK79">
        <v>126.29</v>
      </c>
      <c r="CL79">
        <v>129.74</v>
      </c>
      <c r="CM79">
        <v>129.74</v>
      </c>
      <c r="CN79">
        <v>131.31</v>
      </c>
      <c r="CO79">
        <v>133.25</v>
      </c>
      <c r="CP79">
        <v>133.25</v>
      </c>
      <c r="CQ79">
        <v>135.02000000000001</v>
      </c>
      <c r="CR79">
        <v>136.94</v>
      </c>
      <c r="CS79">
        <v>136.94</v>
      </c>
      <c r="CT79">
        <v>140.13</v>
      </c>
      <c r="CU79">
        <v>143.35</v>
      </c>
      <c r="CV79">
        <v>146.41</v>
      </c>
      <c r="CW79">
        <v>148.35</v>
      </c>
      <c r="CX79">
        <v>151.86000000000001</v>
      </c>
      <c r="CY79">
        <v>155.33000000000001</v>
      </c>
      <c r="CZ79">
        <v>157.82</v>
      </c>
      <c r="DA79">
        <v>157.82</v>
      </c>
      <c r="DB79">
        <v>159.87</v>
      </c>
      <c r="DC79">
        <v>162.02000000000001</v>
      </c>
      <c r="DD79">
        <v>165.85</v>
      </c>
      <c r="DE79">
        <v>167.81</v>
      </c>
      <c r="DF79">
        <v>171.1</v>
      </c>
      <c r="DG79">
        <v>174.4</v>
      </c>
      <c r="DH79">
        <v>175.27</v>
      </c>
      <c r="DJ79">
        <v>177.19</v>
      </c>
      <c r="DK79">
        <v>180.78</v>
      </c>
      <c r="DQ79">
        <v>185.04</v>
      </c>
      <c r="DS79">
        <v>187.04</v>
      </c>
      <c r="DT79">
        <v>188.99</v>
      </c>
      <c r="DU79">
        <v>190.91</v>
      </c>
      <c r="DV79">
        <v>192.73</v>
      </c>
      <c r="DW79">
        <v>196.52</v>
      </c>
      <c r="DY79">
        <v>196.59</v>
      </c>
      <c r="EB79">
        <v>198.01</v>
      </c>
      <c r="EE79">
        <v>199.95</v>
      </c>
      <c r="EF79">
        <v>201.75</v>
      </c>
      <c r="EJ79">
        <v>204.07</v>
      </c>
      <c r="EK79">
        <v>206.38</v>
      </c>
      <c r="EM79">
        <v>208.76</v>
      </c>
      <c r="EN79">
        <v>211.08</v>
      </c>
      <c r="ER79">
        <v>213.39</v>
      </c>
      <c r="ES79">
        <v>215.71</v>
      </c>
      <c r="ET79">
        <v>218.09</v>
      </c>
      <c r="EU79">
        <v>220.4</v>
      </c>
      <c r="FA79">
        <v>221.01</v>
      </c>
      <c r="FF79">
        <v>223.15</v>
      </c>
      <c r="FG79">
        <v>225.46</v>
      </c>
      <c r="FJ79">
        <v>226.14</v>
      </c>
      <c r="FO79">
        <v>227.69</v>
      </c>
      <c r="FP79">
        <v>229.23</v>
      </c>
      <c r="FQ79">
        <v>230.09</v>
      </c>
      <c r="FU79">
        <v>230.68</v>
      </c>
      <c r="GA79">
        <v>230.78</v>
      </c>
      <c r="GE79">
        <v>231.01</v>
      </c>
      <c r="GN79">
        <v>231.42</v>
      </c>
      <c r="GQ79">
        <v>231.66</v>
      </c>
      <c r="GV79">
        <v>231.78</v>
      </c>
      <c r="GY79">
        <v>231.89</v>
      </c>
      <c r="HJ79">
        <v>232.21</v>
      </c>
      <c r="HK79">
        <v>232.35</v>
      </c>
      <c r="HL79">
        <v>232.52</v>
      </c>
      <c r="HR79">
        <v>232.65</v>
      </c>
      <c r="HT79">
        <v>232.7</v>
      </c>
      <c r="HW79">
        <v>232.72</v>
      </c>
      <c r="HZ79">
        <v>232.82</v>
      </c>
      <c r="IA79">
        <v>232.88</v>
      </c>
      <c r="IG79">
        <v>232.97</v>
      </c>
      <c r="II79">
        <v>233.03</v>
      </c>
      <c r="IL79">
        <v>233.05</v>
      </c>
      <c r="IM79">
        <v>233.08</v>
      </c>
      <c r="IP79">
        <v>233.12</v>
      </c>
      <c r="IS79">
        <v>233.21</v>
      </c>
      <c r="IU79">
        <v>233.32</v>
      </c>
      <c r="IV79">
        <v>233.5</v>
      </c>
      <c r="IW79">
        <v>233.56</v>
      </c>
      <c r="IZ79">
        <v>233.65</v>
      </c>
      <c r="JA79">
        <v>233.74</v>
      </c>
      <c r="JB79">
        <v>233.82</v>
      </c>
      <c r="JC79">
        <v>233.93</v>
      </c>
      <c r="JH79">
        <v>234.15</v>
      </c>
      <c r="JN79">
        <v>234.53</v>
      </c>
      <c r="JO79">
        <v>234.56</v>
      </c>
      <c r="JR79">
        <v>234.83</v>
      </c>
      <c r="JV79">
        <v>235.05</v>
      </c>
      <c r="JW79">
        <v>235.18</v>
      </c>
      <c r="JX79">
        <v>235.28</v>
      </c>
      <c r="KB79">
        <v>235.48</v>
      </c>
      <c r="KC79">
        <v>235.6</v>
      </c>
      <c r="KE79">
        <v>235.88</v>
      </c>
      <c r="KF79">
        <v>235.97</v>
      </c>
      <c r="KI79">
        <v>236.05</v>
      </c>
      <c r="KL79">
        <v>236.23</v>
      </c>
      <c r="KQ79">
        <v>236.42</v>
      </c>
      <c r="KS79">
        <v>237.19</v>
      </c>
      <c r="KV79">
        <v>237.24</v>
      </c>
      <c r="KX79">
        <v>240.66</v>
      </c>
      <c r="KZ79">
        <v>243.29</v>
      </c>
      <c r="LE79">
        <v>250.74</v>
      </c>
      <c r="LI79">
        <v>257.33999999999997</v>
      </c>
      <c r="LN79">
        <v>263.44</v>
      </c>
      <c r="LO79">
        <v>264.37</v>
      </c>
      <c r="LT79">
        <v>269.26</v>
      </c>
      <c r="LW79">
        <v>272.87</v>
      </c>
      <c r="MB79">
        <v>275.29000000000002</v>
      </c>
      <c r="MD79">
        <v>279.06</v>
      </c>
      <c r="MF79">
        <v>280.39999999999998</v>
      </c>
      <c r="MM79">
        <v>286.10000000000002</v>
      </c>
      <c r="MN79">
        <v>287.23</v>
      </c>
      <c r="MU79">
        <v>292.13</v>
      </c>
      <c r="MW79">
        <v>296.07</v>
      </c>
      <c r="NA79">
        <v>300.54000000000002</v>
      </c>
      <c r="NB79">
        <v>303.22000000000003</v>
      </c>
      <c r="NH79">
        <v>310.64</v>
      </c>
      <c r="NI79">
        <v>313.18</v>
      </c>
      <c r="NK79">
        <v>316.83999999999997</v>
      </c>
      <c r="NL79">
        <v>318.39999999999998</v>
      </c>
      <c r="OF79">
        <v>322.27</v>
      </c>
      <c r="OJ79">
        <v>323.27</v>
      </c>
      <c r="OK79">
        <v>323.86</v>
      </c>
      <c r="OQ79">
        <v>325.99</v>
      </c>
      <c r="OU79">
        <v>327.79</v>
      </c>
      <c r="OZ79">
        <v>329</v>
      </c>
      <c r="PL79">
        <v>331.95</v>
      </c>
      <c r="PT79">
        <v>333.76</v>
      </c>
      <c r="QO79">
        <v>337.54</v>
      </c>
      <c r="QQ79">
        <v>338.97</v>
      </c>
      <c r="QV79">
        <v>340.09</v>
      </c>
      <c r="QW79">
        <v>340.67</v>
      </c>
      <c r="RD79">
        <v>345.37</v>
      </c>
      <c r="RU79">
        <v>354.93</v>
      </c>
    </row>
    <row r="80" spans="1:812">
      <c r="A80" s="1" t="s">
        <v>126</v>
      </c>
      <c r="B80" s="1" t="s">
        <v>266</v>
      </c>
      <c r="U80">
        <v>0</v>
      </c>
      <c r="V80">
        <v>0.01</v>
      </c>
      <c r="W80">
        <v>0.02</v>
      </c>
      <c r="X80">
        <v>0.02</v>
      </c>
      <c r="Y80">
        <v>0.02</v>
      </c>
      <c r="Z80">
        <v>0.03</v>
      </c>
      <c r="AA80">
        <v>0.04</v>
      </c>
      <c r="AB80">
        <v>0.1</v>
      </c>
      <c r="AC80">
        <v>0.16</v>
      </c>
      <c r="AD80">
        <v>0.2</v>
      </c>
      <c r="AE80">
        <v>0.25</v>
      </c>
      <c r="AF80">
        <v>0.34</v>
      </c>
      <c r="AG80">
        <v>0.39</v>
      </c>
      <c r="AH80">
        <v>0.43</v>
      </c>
      <c r="AI80">
        <v>0.48</v>
      </c>
      <c r="AJ80">
        <v>0.54</v>
      </c>
      <c r="AK80">
        <v>0.62</v>
      </c>
      <c r="AL80">
        <v>0.68</v>
      </c>
      <c r="AM80">
        <v>0.72</v>
      </c>
      <c r="AN80">
        <v>0.77</v>
      </c>
      <c r="AP80">
        <v>0.82</v>
      </c>
      <c r="AQ80">
        <v>0.91</v>
      </c>
      <c r="AR80">
        <v>1.05</v>
      </c>
      <c r="AS80">
        <v>1.21</v>
      </c>
      <c r="AT80">
        <v>1.38</v>
      </c>
      <c r="AU80">
        <v>1.54</v>
      </c>
      <c r="AW80">
        <v>1.73</v>
      </c>
      <c r="AX80">
        <v>1.9</v>
      </c>
      <c r="AY80">
        <v>2.0699999999999998</v>
      </c>
      <c r="AZ80">
        <v>2.25</v>
      </c>
      <c r="BA80">
        <v>2.4300000000000002</v>
      </c>
      <c r="BB80">
        <v>2.6</v>
      </c>
      <c r="BD80">
        <v>2.82</v>
      </c>
      <c r="BE80">
        <v>3.03</v>
      </c>
      <c r="BF80">
        <v>3.24</v>
      </c>
      <c r="BG80">
        <v>3.45</v>
      </c>
      <c r="BH80">
        <v>3.65</v>
      </c>
      <c r="BI80">
        <v>3.82</v>
      </c>
      <c r="BK80">
        <v>4.01</v>
      </c>
      <c r="BL80">
        <v>4.2</v>
      </c>
      <c r="BM80">
        <v>4.41</v>
      </c>
      <c r="BN80">
        <v>4.63</v>
      </c>
      <c r="BO80">
        <v>4.8499999999999996</v>
      </c>
      <c r="BP80">
        <v>5.05</v>
      </c>
      <c r="BR80">
        <v>5.32</v>
      </c>
      <c r="BS80">
        <v>5.52</v>
      </c>
      <c r="BT80">
        <v>5.79</v>
      </c>
      <c r="BU80">
        <v>6.08</v>
      </c>
      <c r="BV80">
        <v>6.37</v>
      </c>
      <c r="BW80">
        <v>6.65</v>
      </c>
      <c r="BX80">
        <v>6.69</v>
      </c>
      <c r="BY80">
        <v>7.01</v>
      </c>
      <c r="BZ80">
        <v>7.32</v>
      </c>
      <c r="CA80">
        <v>7.62</v>
      </c>
      <c r="CB80">
        <v>7.93</v>
      </c>
      <c r="CC80">
        <v>8.23</v>
      </c>
      <c r="CD80">
        <v>8.5</v>
      </c>
      <c r="CF80">
        <v>8.84</v>
      </c>
      <c r="CG80">
        <v>9.18</v>
      </c>
      <c r="CH80">
        <v>9.51</v>
      </c>
      <c r="CI80">
        <v>9.83</v>
      </c>
      <c r="CJ80">
        <v>10.16</v>
      </c>
      <c r="CK80">
        <v>10.47</v>
      </c>
      <c r="CM80">
        <v>10.8</v>
      </c>
      <c r="CN80">
        <v>11.11</v>
      </c>
      <c r="CO80">
        <v>11.42</v>
      </c>
      <c r="CP80">
        <v>11.73</v>
      </c>
      <c r="CQ80">
        <v>12.03</v>
      </c>
      <c r="CR80">
        <v>12.31</v>
      </c>
      <c r="CT80">
        <v>12.33</v>
      </c>
      <c r="CU80">
        <v>12.63</v>
      </c>
      <c r="CV80">
        <v>12.91</v>
      </c>
      <c r="CW80">
        <v>13.2</v>
      </c>
      <c r="CX80">
        <v>13.5</v>
      </c>
      <c r="CY80">
        <v>13.78</v>
      </c>
      <c r="DA80">
        <v>14.09</v>
      </c>
      <c r="DB80">
        <v>14.42</v>
      </c>
      <c r="DC80">
        <v>14.75</v>
      </c>
      <c r="DD80">
        <v>14.75</v>
      </c>
      <c r="DE80">
        <v>15.09</v>
      </c>
      <c r="DF80">
        <v>15.39</v>
      </c>
      <c r="DH80">
        <v>15.69</v>
      </c>
      <c r="DI80">
        <v>16.010000000000002</v>
      </c>
      <c r="DJ80">
        <v>16.309999999999999</v>
      </c>
      <c r="DK80">
        <v>16.68</v>
      </c>
      <c r="DL80">
        <v>17.05</v>
      </c>
      <c r="DM80">
        <v>17.559999999999999</v>
      </c>
      <c r="DO80">
        <v>18.100000000000001</v>
      </c>
      <c r="DP80">
        <v>18.670000000000002</v>
      </c>
      <c r="DQ80">
        <v>19.22</v>
      </c>
      <c r="DR80">
        <v>19.75</v>
      </c>
      <c r="DS80">
        <v>20.28</v>
      </c>
      <c r="DT80">
        <v>20.81</v>
      </c>
      <c r="DV80">
        <v>21.36</v>
      </c>
      <c r="DW80">
        <v>21.88</v>
      </c>
      <c r="DX80">
        <v>22.4</v>
      </c>
      <c r="DY80">
        <v>22.9</v>
      </c>
      <c r="DZ80">
        <v>23.41</v>
      </c>
      <c r="EA80">
        <v>23.91</v>
      </c>
      <c r="EC80">
        <v>24.43</v>
      </c>
      <c r="ED80">
        <v>24.95</v>
      </c>
      <c r="EE80">
        <v>25.45</v>
      </c>
      <c r="EF80">
        <v>25.99</v>
      </c>
      <c r="EG80">
        <v>26.53</v>
      </c>
      <c r="EH80">
        <v>27.07</v>
      </c>
      <c r="EJ80">
        <v>27.66</v>
      </c>
      <c r="EK80">
        <v>28.26</v>
      </c>
      <c r="EL80">
        <v>28.87</v>
      </c>
      <c r="EM80">
        <v>29.51</v>
      </c>
      <c r="EN80">
        <v>29.72</v>
      </c>
      <c r="EO80">
        <v>29.89</v>
      </c>
      <c r="EQ80">
        <v>30.09</v>
      </c>
      <c r="ER80">
        <v>30.71</v>
      </c>
      <c r="ES80">
        <v>31.75</v>
      </c>
      <c r="ET80">
        <v>32.85</v>
      </c>
      <c r="EU80">
        <v>33.92</v>
      </c>
      <c r="EV80">
        <v>35</v>
      </c>
      <c r="EX80">
        <v>36.08</v>
      </c>
      <c r="EY80">
        <v>37.11</v>
      </c>
      <c r="EZ80">
        <v>38.119999999999997</v>
      </c>
      <c r="FA80">
        <v>39.14</v>
      </c>
      <c r="FB80">
        <v>40.15</v>
      </c>
      <c r="FC80">
        <v>41.18</v>
      </c>
      <c r="FE80">
        <v>42.27</v>
      </c>
      <c r="FF80">
        <v>43.31</v>
      </c>
      <c r="FG80">
        <v>44.28</v>
      </c>
      <c r="FH80">
        <v>45.25</v>
      </c>
      <c r="FI80">
        <v>46.2</v>
      </c>
      <c r="FJ80">
        <v>47.14</v>
      </c>
      <c r="FL80">
        <v>48.09</v>
      </c>
      <c r="FM80">
        <v>49.01</v>
      </c>
      <c r="FN80">
        <v>49.95</v>
      </c>
      <c r="FO80">
        <v>50.9</v>
      </c>
      <c r="FP80">
        <v>51.83</v>
      </c>
      <c r="FQ80">
        <v>52.75</v>
      </c>
      <c r="FS80">
        <v>53.7</v>
      </c>
      <c r="FT80">
        <v>54.61</v>
      </c>
      <c r="FU80">
        <v>55.56</v>
      </c>
      <c r="FV80">
        <v>56.49</v>
      </c>
      <c r="FW80">
        <v>57.43</v>
      </c>
      <c r="FX80">
        <v>58.38</v>
      </c>
      <c r="FY80">
        <v>59.06</v>
      </c>
      <c r="FZ80">
        <v>60.05</v>
      </c>
      <c r="GA80">
        <v>61.03</v>
      </c>
      <c r="GB80">
        <v>62.01</v>
      </c>
      <c r="GC80">
        <v>62.98</v>
      </c>
      <c r="GD80">
        <v>63.95</v>
      </c>
      <c r="GE80">
        <v>64.95</v>
      </c>
      <c r="GF80">
        <v>65.58</v>
      </c>
      <c r="GG80">
        <v>66.569999999999993</v>
      </c>
      <c r="GH80">
        <v>67.56</v>
      </c>
      <c r="GI80">
        <v>68.53</v>
      </c>
      <c r="GJ80">
        <v>69.5</v>
      </c>
      <c r="GK80">
        <v>70.47</v>
      </c>
      <c r="GL80">
        <v>71.45</v>
      </c>
      <c r="GM80">
        <v>72.040000000000006</v>
      </c>
      <c r="GN80">
        <v>72.06</v>
      </c>
      <c r="GO80">
        <v>73.069999999999993</v>
      </c>
      <c r="GP80">
        <v>74.09</v>
      </c>
      <c r="GQ80">
        <v>75.05</v>
      </c>
      <c r="GR80">
        <v>76.040000000000006</v>
      </c>
      <c r="GS80">
        <v>77.02</v>
      </c>
      <c r="GT80">
        <v>77.7</v>
      </c>
      <c r="GU80">
        <v>78.69</v>
      </c>
      <c r="GV80">
        <v>79.62</v>
      </c>
      <c r="GW80">
        <v>80.510000000000005</v>
      </c>
      <c r="GX80">
        <v>81.319999999999993</v>
      </c>
      <c r="GY80">
        <v>82.12</v>
      </c>
      <c r="GZ80">
        <v>82.91</v>
      </c>
      <c r="HA80">
        <v>83.57</v>
      </c>
      <c r="HB80">
        <v>84.45</v>
      </c>
      <c r="HC80">
        <v>85.24</v>
      </c>
      <c r="HD80">
        <v>86.02</v>
      </c>
      <c r="HE80">
        <v>86.83</v>
      </c>
      <c r="HF80">
        <v>87.68</v>
      </c>
      <c r="HG80">
        <v>88.54</v>
      </c>
      <c r="HH80">
        <v>88.59</v>
      </c>
      <c r="HI80">
        <v>89.47</v>
      </c>
      <c r="HJ80">
        <v>90.27</v>
      </c>
      <c r="HK80">
        <v>91</v>
      </c>
      <c r="HL80">
        <v>91.73</v>
      </c>
      <c r="HM80">
        <v>92.47</v>
      </c>
      <c r="HN80">
        <v>93.23</v>
      </c>
      <c r="HO80">
        <v>93.29</v>
      </c>
      <c r="HP80">
        <v>94.1</v>
      </c>
      <c r="HQ80">
        <v>94.79</v>
      </c>
      <c r="HR80">
        <v>95.46</v>
      </c>
      <c r="HS80">
        <v>96.19</v>
      </c>
      <c r="HT80">
        <v>96.84</v>
      </c>
      <c r="HU80">
        <v>97.48</v>
      </c>
      <c r="HV80">
        <v>97.5</v>
      </c>
      <c r="HW80">
        <v>98.22</v>
      </c>
      <c r="HX80">
        <v>98.86</v>
      </c>
      <c r="HY80">
        <v>99.42</v>
      </c>
      <c r="HZ80">
        <v>99.95</v>
      </c>
      <c r="IA80">
        <v>100.51</v>
      </c>
      <c r="IB80">
        <v>101.09</v>
      </c>
      <c r="IC80">
        <v>101.11</v>
      </c>
      <c r="ID80">
        <v>101.59</v>
      </c>
      <c r="IE80">
        <v>102.03</v>
      </c>
      <c r="IF80">
        <v>102.44</v>
      </c>
      <c r="IG80">
        <v>102.84</v>
      </c>
      <c r="IH80">
        <v>103.25</v>
      </c>
      <c r="II80">
        <v>103.68</v>
      </c>
      <c r="IJ80">
        <v>103.69</v>
      </c>
      <c r="IK80">
        <v>104.04</v>
      </c>
      <c r="IL80">
        <v>104.34</v>
      </c>
      <c r="IM80">
        <v>104.64</v>
      </c>
      <c r="IN80">
        <v>104.93</v>
      </c>
      <c r="IO80">
        <v>105.2</v>
      </c>
      <c r="IP80">
        <v>105.42</v>
      </c>
      <c r="IQ80">
        <v>105.43</v>
      </c>
      <c r="IR80">
        <v>105.71</v>
      </c>
      <c r="IS80">
        <v>105.99</v>
      </c>
      <c r="IT80">
        <v>106.27</v>
      </c>
      <c r="IU80">
        <v>106.51</v>
      </c>
      <c r="IV80">
        <v>107.31</v>
      </c>
      <c r="IW80">
        <v>107.55</v>
      </c>
      <c r="IX80">
        <v>107.56</v>
      </c>
      <c r="IY80">
        <v>107.86</v>
      </c>
      <c r="IZ80">
        <v>108.14</v>
      </c>
      <c r="JA80">
        <v>108.46</v>
      </c>
      <c r="JB80">
        <v>108.75</v>
      </c>
      <c r="JC80">
        <v>109.07</v>
      </c>
      <c r="JD80">
        <v>109.37</v>
      </c>
      <c r="JE80">
        <v>109.38</v>
      </c>
      <c r="JF80">
        <v>109.7</v>
      </c>
      <c r="JG80">
        <v>110.01</v>
      </c>
      <c r="JH80">
        <v>110.3</v>
      </c>
      <c r="JI80">
        <v>110.57</v>
      </c>
      <c r="JJ80">
        <v>110.85</v>
      </c>
      <c r="JK80">
        <v>111.11</v>
      </c>
      <c r="JL80">
        <v>111.12</v>
      </c>
      <c r="JM80">
        <v>111.4</v>
      </c>
      <c r="JN80">
        <v>111.66</v>
      </c>
      <c r="JO80">
        <v>111.94</v>
      </c>
      <c r="JP80">
        <v>112.2</v>
      </c>
      <c r="JQ80">
        <v>112.49</v>
      </c>
      <c r="JR80">
        <v>112.78</v>
      </c>
      <c r="JS80">
        <v>112.79</v>
      </c>
      <c r="JT80">
        <v>113.09</v>
      </c>
      <c r="JU80">
        <v>113.37</v>
      </c>
      <c r="JV80">
        <v>113.68</v>
      </c>
      <c r="JW80">
        <v>113.95</v>
      </c>
      <c r="JX80">
        <v>114.25</v>
      </c>
      <c r="JY80">
        <v>114.55</v>
      </c>
      <c r="JZ80">
        <v>114.55</v>
      </c>
      <c r="KA80">
        <v>114.83</v>
      </c>
      <c r="KB80">
        <v>115.08</v>
      </c>
      <c r="KC80">
        <v>115.33</v>
      </c>
      <c r="KD80">
        <v>115.55</v>
      </c>
      <c r="KE80">
        <v>115.82</v>
      </c>
      <c r="KF80">
        <v>116.11</v>
      </c>
      <c r="KG80">
        <v>116.11</v>
      </c>
      <c r="KH80">
        <v>116.36</v>
      </c>
      <c r="KI80">
        <v>116.57</v>
      </c>
      <c r="KJ80">
        <v>116.79</v>
      </c>
      <c r="KK80">
        <v>117</v>
      </c>
      <c r="KL80">
        <v>117.21</v>
      </c>
      <c r="KM80">
        <v>117.45</v>
      </c>
      <c r="KN80">
        <v>117.45</v>
      </c>
      <c r="KO80">
        <v>117.64</v>
      </c>
      <c r="KP80">
        <v>117.83</v>
      </c>
      <c r="KQ80">
        <v>118.01</v>
      </c>
      <c r="KR80">
        <v>118.17</v>
      </c>
      <c r="KS80">
        <v>118.37</v>
      </c>
      <c r="KT80">
        <v>118.57</v>
      </c>
      <c r="KU80">
        <v>118.58</v>
      </c>
      <c r="KV80">
        <v>118.75</v>
      </c>
      <c r="KW80">
        <v>118.91</v>
      </c>
      <c r="KX80">
        <v>119.06</v>
      </c>
      <c r="KY80">
        <v>119.18</v>
      </c>
      <c r="KZ80">
        <v>119.34</v>
      </c>
      <c r="LA80">
        <v>119.5</v>
      </c>
      <c r="LB80">
        <v>119.51</v>
      </c>
      <c r="LC80">
        <v>119.79</v>
      </c>
      <c r="LD80">
        <v>120.05</v>
      </c>
      <c r="LE80">
        <v>120.31</v>
      </c>
      <c r="LF80">
        <v>120.57</v>
      </c>
      <c r="LG80">
        <v>120.83</v>
      </c>
      <c r="LH80">
        <v>121.09</v>
      </c>
      <c r="LI80">
        <v>121.09</v>
      </c>
      <c r="LJ80">
        <v>121.34</v>
      </c>
      <c r="LK80">
        <v>121.53</v>
      </c>
      <c r="LL80">
        <v>121.79</v>
      </c>
      <c r="LM80">
        <v>121.79</v>
      </c>
      <c r="LN80">
        <v>122.08</v>
      </c>
      <c r="LO80">
        <v>122.37</v>
      </c>
      <c r="LP80">
        <v>122.37</v>
      </c>
      <c r="LQ80">
        <v>122.65</v>
      </c>
      <c r="LR80">
        <v>122.96</v>
      </c>
      <c r="LS80">
        <v>123.31</v>
      </c>
      <c r="LT80">
        <v>123.66</v>
      </c>
      <c r="LU80">
        <v>124.06</v>
      </c>
      <c r="LV80">
        <v>124.39</v>
      </c>
      <c r="LW80">
        <v>124.41</v>
      </c>
      <c r="LX80">
        <v>124.82</v>
      </c>
      <c r="LY80">
        <v>125.25</v>
      </c>
      <c r="LZ80">
        <v>125.78</v>
      </c>
      <c r="MA80">
        <v>126.32</v>
      </c>
      <c r="MB80">
        <v>126.86</v>
      </c>
      <c r="MC80">
        <v>127.37</v>
      </c>
      <c r="MD80">
        <v>127.4</v>
      </c>
      <c r="ME80">
        <v>127.92</v>
      </c>
      <c r="MF80">
        <v>128.65</v>
      </c>
      <c r="MG80">
        <v>129.32</v>
      </c>
      <c r="MH80">
        <v>129.97999999999999</v>
      </c>
      <c r="MI80">
        <v>130.66999999999999</v>
      </c>
      <c r="MJ80">
        <v>131.34</v>
      </c>
      <c r="MK80">
        <v>131.38999999999999</v>
      </c>
      <c r="ML80">
        <v>132.07</v>
      </c>
      <c r="MM80">
        <v>132.85</v>
      </c>
      <c r="MN80">
        <v>133.68</v>
      </c>
      <c r="MO80">
        <v>134.55000000000001</v>
      </c>
      <c r="MP80">
        <v>135.44</v>
      </c>
      <c r="MQ80">
        <v>136.28</v>
      </c>
      <c r="MR80">
        <v>136.38999999999999</v>
      </c>
      <c r="MT80">
        <v>138.02000000000001</v>
      </c>
      <c r="MU80">
        <v>138.91999999999999</v>
      </c>
      <c r="MV80">
        <v>139.83000000000001</v>
      </c>
      <c r="MW80">
        <v>140.76</v>
      </c>
      <c r="MX80">
        <v>141.71</v>
      </c>
      <c r="MY80">
        <v>142.6</v>
      </c>
      <c r="MZ80">
        <v>143.75</v>
      </c>
      <c r="NA80">
        <v>144.72</v>
      </c>
      <c r="NB80">
        <v>145.80000000000001</v>
      </c>
      <c r="NC80">
        <v>146.87</v>
      </c>
      <c r="ND80">
        <v>147.94999999999999</v>
      </c>
      <c r="NE80">
        <v>149.01</v>
      </c>
      <c r="NF80">
        <v>149.96</v>
      </c>
      <c r="NG80">
        <v>150.86000000000001</v>
      </c>
      <c r="NH80">
        <v>151.93</v>
      </c>
      <c r="NI80">
        <v>153.01</v>
      </c>
      <c r="NJ80">
        <v>154.08000000000001</v>
      </c>
      <c r="NK80">
        <v>155.16</v>
      </c>
      <c r="NL80">
        <v>156.24</v>
      </c>
      <c r="NM80">
        <v>157.19</v>
      </c>
      <c r="NN80">
        <v>158.21</v>
      </c>
      <c r="NO80">
        <v>159.26</v>
      </c>
      <c r="NP80">
        <v>160.30000000000001</v>
      </c>
      <c r="NQ80">
        <v>161.31</v>
      </c>
      <c r="NR80">
        <v>162.06</v>
      </c>
      <c r="NS80">
        <v>162.07</v>
      </c>
      <c r="NT80">
        <v>162.07</v>
      </c>
      <c r="NU80">
        <v>162.87</v>
      </c>
      <c r="NV80">
        <v>163.9</v>
      </c>
      <c r="NW80">
        <v>164.89</v>
      </c>
      <c r="NX80">
        <v>165.83</v>
      </c>
      <c r="NY80">
        <v>166.5</v>
      </c>
      <c r="NZ80">
        <v>166.5</v>
      </c>
      <c r="OA80">
        <v>167.1</v>
      </c>
      <c r="OB80">
        <v>167.99</v>
      </c>
      <c r="OC80">
        <v>168.89</v>
      </c>
      <c r="OD80">
        <v>169.8</v>
      </c>
      <c r="OE80">
        <v>170.08</v>
      </c>
      <c r="OF80">
        <v>170.78</v>
      </c>
      <c r="OG80">
        <v>171.72</v>
      </c>
      <c r="OH80">
        <v>172.1</v>
      </c>
      <c r="OI80">
        <v>172.8</v>
      </c>
      <c r="OJ80">
        <v>173.66</v>
      </c>
      <c r="OK80">
        <v>174.49</v>
      </c>
      <c r="OL80">
        <v>175.3</v>
      </c>
      <c r="OM80">
        <v>176.1</v>
      </c>
      <c r="ON80">
        <v>176.92</v>
      </c>
      <c r="OO80">
        <v>177.29</v>
      </c>
      <c r="OP80">
        <v>177.87</v>
      </c>
      <c r="OQ80">
        <v>178.59</v>
      </c>
      <c r="OR80">
        <v>179.29</v>
      </c>
      <c r="OS80">
        <v>179.94</v>
      </c>
      <c r="OT80">
        <v>180.6</v>
      </c>
      <c r="OU80">
        <v>181.3</v>
      </c>
      <c r="OV80">
        <v>181.56</v>
      </c>
      <c r="OW80">
        <v>181.98</v>
      </c>
      <c r="OX80">
        <v>182.26</v>
      </c>
      <c r="OY80">
        <v>182.53</v>
      </c>
      <c r="OZ80">
        <v>182.94</v>
      </c>
      <c r="PA80">
        <v>183.47</v>
      </c>
      <c r="PB80">
        <v>184.09</v>
      </c>
      <c r="PC80">
        <v>184.33</v>
      </c>
      <c r="PD80">
        <v>184.74</v>
      </c>
      <c r="PE80">
        <v>185.19</v>
      </c>
      <c r="PF80">
        <v>185.58</v>
      </c>
      <c r="PG80">
        <v>185.94</v>
      </c>
      <c r="PH80">
        <v>186.31</v>
      </c>
      <c r="PI80">
        <v>186.74</v>
      </c>
      <c r="PJ80">
        <v>186.85</v>
      </c>
      <c r="PK80">
        <v>187.16</v>
      </c>
      <c r="PL80">
        <v>187.58</v>
      </c>
      <c r="PM80">
        <v>187.98</v>
      </c>
      <c r="PN80">
        <v>188.33</v>
      </c>
      <c r="PO80">
        <v>188.69</v>
      </c>
      <c r="PP80">
        <v>189.09</v>
      </c>
      <c r="PQ80">
        <v>189.19</v>
      </c>
      <c r="PR80">
        <v>189.43</v>
      </c>
      <c r="PS80">
        <v>189.7</v>
      </c>
      <c r="PT80">
        <v>189.94</v>
      </c>
      <c r="PU80">
        <v>190.16</v>
      </c>
      <c r="PV80">
        <v>190.4</v>
      </c>
      <c r="PW80">
        <v>190.67</v>
      </c>
      <c r="PX80">
        <v>190.73</v>
      </c>
      <c r="PY80">
        <v>190.95</v>
      </c>
      <c r="PZ80">
        <v>191.19</v>
      </c>
      <c r="QA80">
        <v>191.4</v>
      </c>
      <c r="QB80">
        <v>191.59</v>
      </c>
      <c r="QC80">
        <v>191.79</v>
      </c>
      <c r="QD80">
        <v>192.05</v>
      </c>
      <c r="QE80">
        <v>192.11</v>
      </c>
      <c r="QF80">
        <v>192.32</v>
      </c>
      <c r="QG80">
        <v>192.5</v>
      </c>
      <c r="QH80">
        <v>192.64</v>
      </c>
      <c r="QI80">
        <v>192.8</v>
      </c>
      <c r="QJ80">
        <v>194.89</v>
      </c>
      <c r="QK80">
        <v>195.06</v>
      </c>
      <c r="QL80">
        <v>195.1</v>
      </c>
      <c r="QM80">
        <v>195.1</v>
      </c>
      <c r="QN80">
        <v>195.22</v>
      </c>
      <c r="QO80">
        <v>195.39</v>
      </c>
      <c r="QP80">
        <v>195.55</v>
      </c>
      <c r="QQ80">
        <v>195.68</v>
      </c>
      <c r="QR80">
        <v>195.85</v>
      </c>
      <c r="QS80">
        <v>195.88</v>
      </c>
      <c r="QT80">
        <v>195.98</v>
      </c>
      <c r="QU80">
        <v>196.13</v>
      </c>
      <c r="QV80">
        <v>196.25</v>
      </c>
      <c r="QW80">
        <v>196.38</v>
      </c>
      <c r="QX80">
        <v>196.51</v>
      </c>
      <c r="QY80">
        <v>196.68</v>
      </c>
      <c r="QZ80">
        <v>196.71</v>
      </c>
      <c r="RA80">
        <v>196.82</v>
      </c>
      <c r="RB80">
        <v>196.96</v>
      </c>
      <c r="RC80">
        <v>197.09</v>
      </c>
      <c r="RD80">
        <v>197.23</v>
      </c>
      <c r="RE80">
        <v>197.26</v>
      </c>
      <c r="RF80">
        <v>197.38</v>
      </c>
      <c r="RG80">
        <v>197.41</v>
      </c>
      <c r="RH80">
        <v>197.57</v>
      </c>
      <c r="RI80">
        <v>197.7</v>
      </c>
      <c r="RJ80">
        <v>197.85</v>
      </c>
      <c r="RK80">
        <v>198.02</v>
      </c>
      <c r="RL80">
        <v>198.34</v>
      </c>
      <c r="RM80">
        <v>198.48</v>
      </c>
      <c r="RN80">
        <v>198.57</v>
      </c>
      <c r="RO80">
        <v>198.66</v>
      </c>
      <c r="RP80">
        <v>198.76</v>
      </c>
      <c r="RQ80">
        <v>198.92</v>
      </c>
      <c r="RR80">
        <v>199.03</v>
      </c>
      <c r="RS80">
        <v>199.14</v>
      </c>
      <c r="RT80">
        <v>199.24</v>
      </c>
      <c r="RU80">
        <v>199.45</v>
      </c>
      <c r="RV80">
        <v>199.79</v>
      </c>
      <c r="RW80">
        <v>200</v>
      </c>
      <c r="RX80">
        <v>200.23</v>
      </c>
      <c r="RY80">
        <v>200.37</v>
      </c>
      <c r="RZ80">
        <v>200.51</v>
      </c>
      <c r="SA80">
        <v>200.51</v>
      </c>
      <c r="SB80">
        <v>200.51</v>
      </c>
      <c r="SC80">
        <v>200.51</v>
      </c>
      <c r="SD80">
        <v>200.52</v>
      </c>
      <c r="SE80">
        <v>200.67</v>
      </c>
      <c r="SF80">
        <v>200.83</v>
      </c>
      <c r="SG80">
        <v>201</v>
      </c>
      <c r="SH80">
        <v>201.13</v>
      </c>
      <c r="SI80">
        <v>201.23</v>
      </c>
      <c r="SJ80">
        <v>201.24</v>
      </c>
      <c r="SK80">
        <v>201.24</v>
      </c>
      <c r="SL80">
        <v>201.32</v>
      </c>
      <c r="SM80">
        <v>201.43</v>
      </c>
      <c r="SN80">
        <v>201.57</v>
      </c>
      <c r="SO80">
        <v>201.68</v>
      </c>
      <c r="SP80">
        <v>201.75</v>
      </c>
      <c r="SQ80">
        <v>201.75</v>
      </c>
      <c r="SR80">
        <v>201.81</v>
      </c>
      <c r="SS80">
        <v>201.87</v>
      </c>
      <c r="ST80">
        <v>201.94</v>
      </c>
      <c r="SU80">
        <v>202.02</v>
      </c>
      <c r="SV80">
        <v>202.07</v>
      </c>
      <c r="SW80">
        <v>202.08</v>
      </c>
      <c r="SX80">
        <v>202.08</v>
      </c>
      <c r="SY80">
        <v>202.14</v>
      </c>
      <c r="SZ80">
        <v>202.2</v>
      </c>
      <c r="TA80">
        <v>202.25</v>
      </c>
      <c r="TB80">
        <v>202.31</v>
      </c>
      <c r="TC80">
        <v>202.35</v>
      </c>
      <c r="TD80">
        <v>202.35</v>
      </c>
      <c r="TE80">
        <v>202.35</v>
      </c>
      <c r="TF80">
        <v>202.41</v>
      </c>
      <c r="TG80">
        <v>202.46</v>
      </c>
      <c r="TH80">
        <v>202.49</v>
      </c>
      <c r="TI80">
        <v>202.54</v>
      </c>
      <c r="TJ80">
        <v>202.57</v>
      </c>
      <c r="TK80">
        <v>202.58</v>
      </c>
      <c r="TL80">
        <v>202.58</v>
      </c>
      <c r="TM80">
        <v>202.62</v>
      </c>
      <c r="TN80">
        <v>202.66</v>
      </c>
      <c r="TO80">
        <v>202.7</v>
      </c>
      <c r="TP80">
        <v>202.73</v>
      </c>
      <c r="TQ80">
        <v>202.76</v>
      </c>
      <c r="TR80">
        <v>202.76</v>
      </c>
      <c r="TS80">
        <v>202.76</v>
      </c>
      <c r="TT80">
        <v>202.8</v>
      </c>
      <c r="TU80">
        <v>202.84</v>
      </c>
      <c r="TV80">
        <v>202.86</v>
      </c>
      <c r="TW80">
        <v>202.89</v>
      </c>
      <c r="TX80">
        <v>202.91</v>
      </c>
      <c r="TY80">
        <v>202.92</v>
      </c>
      <c r="TZ80">
        <v>202.92</v>
      </c>
      <c r="UA80">
        <v>202.92</v>
      </c>
      <c r="UB80">
        <v>202.95</v>
      </c>
      <c r="UC80">
        <v>202.97</v>
      </c>
      <c r="UD80">
        <v>203</v>
      </c>
      <c r="UE80">
        <v>203.02</v>
      </c>
      <c r="UF80">
        <v>203.02</v>
      </c>
      <c r="UG80">
        <v>203.02</v>
      </c>
      <c r="UH80">
        <v>203.06</v>
      </c>
      <c r="UI80">
        <v>203.1</v>
      </c>
      <c r="UJ80">
        <v>203.14</v>
      </c>
      <c r="UK80">
        <v>203.17</v>
      </c>
      <c r="UL80">
        <v>203.21</v>
      </c>
      <c r="UM80">
        <v>203.22</v>
      </c>
      <c r="UN80">
        <v>203.22</v>
      </c>
      <c r="UO80">
        <v>203.27</v>
      </c>
      <c r="UP80">
        <v>203.33</v>
      </c>
      <c r="UQ80">
        <v>203.37</v>
      </c>
      <c r="UR80">
        <v>203.43</v>
      </c>
      <c r="US80">
        <v>203.48</v>
      </c>
      <c r="UT80">
        <v>203.49</v>
      </c>
      <c r="UU80">
        <v>203.49</v>
      </c>
      <c r="UV80">
        <v>203.57</v>
      </c>
      <c r="UW80">
        <v>203.65</v>
      </c>
      <c r="UX80">
        <v>203.72</v>
      </c>
      <c r="UY80">
        <v>203.82</v>
      </c>
      <c r="UZ80">
        <v>203.88</v>
      </c>
      <c r="VA80">
        <v>203.89</v>
      </c>
      <c r="VB80">
        <v>202.43</v>
      </c>
      <c r="VC80">
        <v>202.5</v>
      </c>
      <c r="VD80">
        <v>202.59</v>
      </c>
      <c r="VE80">
        <v>202.65</v>
      </c>
      <c r="VF80">
        <v>202.74</v>
      </c>
      <c r="VG80">
        <v>202.8</v>
      </c>
      <c r="VH80">
        <v>202.81</v>
      </c>
      <c r="VI80">
        <v>202.81</v>
      </c>
      <c r="VJ80">
        <v>202.88</v>
      </c>
      <c r="VK80">
        <v>202.95</v>
      </c>
      <c r="VL80">
        <v>203.01</v>
      </c>
      <c r="VM80">
        <v>203.08</v>
      </c>
      <c r="VN80">
        <v>203.13</v>
      </c>
      <c r="VO80">
        <v>203.13</v>
      </c>
      <c r="VP80">
        <v>203.13</v>
      </c>
      <c r="VQ80">
        <v>203.19</v>
      </c>
      <c r="VR80">
        <v>203.26</v>
      </c>
      <c r="VS80">
        <v>203.31</v>
      </c>
      <c r="VT80">
        <v>203.37</v>
      </c>
      <c r="VU80">
        <v>203.41</v>
      </c>
      <c r="VV80">
        <v>203.41</v>
      </c>
      <c r="VW80">
        <v>203.47</v>
      </c>
      <c r="VX80">
        <v>203.53</v>
      </c>
      <c r="VY80">
        <v>203.57</v>
      </c>
      <c r="VZ80">
        <v>203.62</v>
      </c>
      <c r="WA80">
        <v>203.66</v>
      </c>
      <c r="WB80">
        <v>203.66</v>
      </c>
      <c r="WC80">
        <v>203.66</v>
      </c>
      <c r="WD80">
        <v>203.71</v>
      </c>
      <c r="WE80">
        <v>203.77</v>
      </c>
      <c r="WF80">
        <v>203.8</v>
      </c>
      <c r="WG80">
        <v>203.85</v>
      </c>
      <c r="WH80">
        <v>203.87</v>
      </c>
      <c r="WI80">
        <v>203.87</v>
      </c>
      <c r="WJ80">
        <v>203.87</v>
      </c>
      <c r="WK80">
        <v>203.87</v>
      </c>
      <c r="WL80">
        <v>203.87</v>
      </c>
      <c r="WM80">
        <v>203.93</v>
      </c>
      <c r="WN80">
        <v>203.96</v>
      </c>
      <c r="WO80">
        <v>203.98</v>
      </c>
      <c r="WP80">
        <v>203.98</v>
      </c>
      <c r="WQ80">
        <v>203.98</v>
      </c>
      <c r="WR80">
        <v>204.02</v>
      </c>
      <c r="WS80">
        <v>204.06</v>
      </c>
      <c r="WT80">
        <v>204.08</v>
      </c>
      <c r="WU80">
        <v>204.11</v>
      </c>
      <c r="WV80">
        <v>204.13</v>
      </c>
      <c r="WW80">
        <v>204.13</v>
      </c>
      <c r="WX80">
        <v>204.13</v>
      </c>
      <c r="WY80">
        <v>204.17</v>
      </c>
      <c r="WZ80">
        <v>204.2</v>
      </c>
      <c r="XA80">
        <v>204.23</v>
      </c>
      <c r="XB80">
        <v>204.26</v>
      </c>
      <c r="XC80">
        <v>204.27</v>
      </c>
      <c r="XD80">
        <v>204.28</v>
      </c>
      <c r="XE80">
        <v>204.28</v>
      </c>
      <c r="XF80">
        <v>204.31</v>
      </c>
      <c r="XG80">
        <v>204.34</v>
      </c>
      <c r="XH80">
        <v>204.36</v>
      </c>
      <c r="XI80">
        <v>204.39</v>
      </c>
      <c r="XJ80">
        <v>204.4</v>
      </c>
      <c r="XK80">
        <v>204.41</v>
      </c>
      <c r="XL80">
        <v>204.41</v>
      </c>
      <c r="XM80">
        <v>204.44</v>
      </c>
      <c r="XN80">
        <v>204.46</v>
      </c>
      <c r="XO80">
        <v>204.48</v>
      </c>
      <c r="XP80">
        <v>204.53</v>
      </c>
      <c r="XQ80">
        <v>204.58</v>
      </c>
      <c r="XR80">
        <v>204.58</v>
      </c>
      <c r="XS80">
        <v>204.58</v>
      </c>
      <c r="XT80">
        <v>204.63</v>
      </c>
      <c r="XU80">
        <v>204.71</v>
      </c>
      <c r="XV80">
        <v>204.75</v>
      </c>
      <c r="XW80">
        <v>204.83</v>
      </c>
      <c r="XX80">
        <v>204.88</v>
      </c>
      <c r="XY80">
        <v>204.88</v>
      </c>
      <c r="XZ80">
        <v>204.88</v>
      </c>
      <c r="YA80">
        <v>204.92</v>
      </c>
      <c r="YB80">
        <v>204.99</v>
      </c>
      <c r="YC80">
        <v>205.02</v>
      </c>
      <c r="YD80">
        <v>205.07</v>
      </c>
      <c r="YE80">
        <v>205.09</v>
      </c>
      <c r="YF80">
        <v>205.09</v>
      </c>
      <c r="YG80">
        <v>205.09</v>
      </c>
      <c r="YH80">
        <v>205.15</v>
      </c>
      <c r="YI80">
        <v>205.27</v>
      </c>
      <c r="YJ80">
        <v>205.34</v>
      </c>
      <c r="YK80">
        <v>205.46</v>
      </c>
      <c r="YL80">
        <v>205.56</v>
      </c>
      <c r="YM80">
        <v>205.57</v>
      </c>
      <c r="YN80">
        <v>205.57</v>
      </c>
      <c r="YO80">
        <v>205.82</v>
      </c>
      <c r="YP80">
        <v>205.82</v>
      </c>
      <c r="YQ80">
        <v>205.9</v>
      </c>
      <c r="YR80">
        <v>206.04</v>
      </c>
      <c r="YS80">
        <v>206.15</v>
      </c>
      <c r="YT80">
        <v>206.16</v>
      </c>
      <c r="YU80">
        <v>206.16</v>
      </c>
      <c r="YV80">
        <v>206.25</v>
      </c>
      <c r="YW80">
        <v>206.41</v>
      </c>
      <c r="YX80">
        <v>206.5</v>
      </c>
      <c r="YY80">
        <v>206.65</v>
      </c>
      <c r="YZ80">
        <v>206.77</v>
      </c>
      <c r="ZA80">
        <v>206.79</v>
      </c>
      <c r="ZB80">
        <v>206.79</v>
      </c>
      <c r="ZC80">
        <v>206.89</v>
      </c>
      <c r="ZD80">
        <v>207.07</v>
      </c>
      <c r="ZE80">
        <v>208.35</v>
      </c>
      <c r="ZF80">
        <v>208.49</v>
      </c>
      <c r="ZG80">
        <v>208.49</v>
      </c>
      <c r="ZH80">
        <v>208.5</v>
      </c>
      <c r="ZJ80">
        <v>208.57</v>
      </c>
      <c r="ZL80">
        <v>208.81</v>
      </c>
      <c r="ZM80">
        <v>208.95</v>
      </c>
      <c r="ZN80">
        <v>209.06</v>
      </c>
      <c r="ZO80">
        <v>209.09</v>
      </c>
      <c r="ZP80">
        <v>209.09</v>
      </c>
      <c r="ZQ80">
        <v>209.17</v>
      </c>
      <c r="ZR80">
        <v>209.32</v>
      </c>
      <c r="ZS80">
        <v>209.41</v>
      </c>
      <c r="ZT80">
        <v>209.53</v>
      </c>
      <c r="ZU80">
        <v>209.62</v>
      </c>
      <c r="ZV80">
        <v>209.64</v>
      </c>
      <c r="ZW80">
        <v>209.65</v>
      </c>
      <c r="ZX80">
        <v>209.71</v>
      </c>
      <c r="ZY80">
        <v>209.84</v>
      </c>
      <c r="ZZ80">
        <v>209.92</v>
      </c>
      <c r="AAA80">
        <v>210.04</v>
      </c>
      <c r="AAB80">
        <v>210.12</v>
      </c>
      <c r="AAC80">
        <v>210.14</v>
      </c>
      <c r="AAD80">
        <v>210.14</v>
      </c>
      <c r="AAE80">
        <v>210.21</v>
      </c>
      <c r="AAF80">
        <v>210.32</v>
      </c>
      <c r="AAG80">
        <v>210.4</v>
      </c>
      <c r="AAH80">
        <v>210.5</v>
      </c>
      <c r="AAI80">
        <v>210.57</v>
      </c>
      <c r="AAJ80">
        <v>210.59</v>
      </c>
      <c r="AAK80">
        <v>210.59</v>
      </c>
      <c r="AAL80">
        <v>210.65</v>
      </c>
      <c r="AAM80">
        <v>210.75</v>
      </c>
      <c r="AAN80">
        <v>210.81</v>
      </c>
      <c r="AAO80">
        <v>210.9</v>
      </c>
      <c r="AAP80">
        <v>210.97</v>
      </c>
      <c r="AAQ80">
        <v>210.99</v>
      </c>
      <c r="AAR80">
        <v>210.99</v>
      </c>
      <c r="AAS80">
        <v>211.04</v>
      </c>
      <c r="AAT80">
        <v>211.13</v>
      </c>
      <c r="AAU80">
        <v>211.19</v>
      </c>
      <c r="AAV80">
        <v>211.29</v>
      </c>
      <c r="AAW80">
        <v>211.35</v>
      </c>
      <c r="AAX80">
        <v>211.37</v>
      </c>
      <c r="AAY80">
        <v>211.37</v>
      </c>
      <c r="AAZ80">
        <v>211.42</v>
      </c>
      <c r="ABA80">
        <v>211.51</v>
      </c>
      <c r="ABB80">
        <v>211.56</v>
      </c>
      <c r="ABC80">
        <v>211.64</v>
      </c>
      <c r="ABD80">
        <v>211.7</v>
      </c>
      <c r="ABE80">
        <v>211.71</v>
      </c>
      <c r="ABF80">
        <v>211.71</v>
      </c>
      <c r="ABG80">
        <v>211.75</v>
      </c>
      <c r="ABH80">
        <v>211.82</v>
      </c>
      <c r="ABI80">
        <v>211.85</v>
      </c>
      <c r="ABJ80">
        <v>211.89</v>
      </c>
      <c r="ABK80">
        <v>211.91</v>
      </c>
      <c r="ABL80">
        <v>211.91</v>
      </c>
      <c r="ABM80">
        <v>211.91</v>
      </c>
      <c r="ABN80">
        <v>211.91</v>
      </c>
      <c r="ABO80">
        <v>211.94</v>
      </c>
      <c r="ABP80">
        <v>211.96</v>
      </c>
      <c r="ABQ80">
        <v>211.99</v>
      </c>
      <c r="ABR80">
        <v>212.01</v>
      </c>
      <c r="ABS80">
        <v>212.01</v>
      </c>
      <c r="ABT80">
        <v>212.01</v>
      </c>
      <c r="ABU80">
        <v>212.02</v>
      </c>
      <c r="ABV80">
        <v>212.06</v>
      </c>
      <c r="ABW80">
        <v>212.08</v>
      </c>
      <c r="ABX80">
        <v>212.13</v>
      </c>
      <c r="ABY80">
        <v>212.14</v>
      </c>
      <c r="ABZ80">
        <v>212.14</v>
      </c>
      <c r="ACA80">
        <v>212.14</v>
      </c>
      <c r="ACB80">
        <v>212.17</v>
      </c>
      <c r="ACC80">
        <v>212.25</v>
      </c>
      <c r="ACD80">
        <v>212.29</v>
      </c>
      <c r="ACE80">
        <v>212.36</v>
      </c>
      <c r="ACF80">
        <v>212.41</v>
      </c>
      <c r="ACG80">
        <v>212.42</v>
      </c>
      <c r="ACH80">
        <v>212.42</v>
      </c>
      <c r="ACI80">
        <v>212.45</v>
      </c>
      <c r="ACJ80">
        <v>212.51</v>
      </c>
      <c r="ACK80">
        <v>212.54</v>
      </c>
      <c r="ACL80">
        <v>212.58</v>
      </c>
      <c r="ACM80">
        <v>212.61</v>
      </c>
      <c r="ACN80">
        <v>212.62</v>
      </c>
      <c r="ACO80">
        <v>212.62</v>
      </c>
      <c r="ACP80">
        <v>212.63</v>
      </c>
      <c r="ACQ80">
        <v>212.66</v>
      </c>
      <c r="ACR80">
        <v>212.68</v>
      </c>
      <c r="ACS80">
        <v>212.7</v>
      </c>
      <c r="ACT80">
        <v>212.72</v>
      </c>
      <c r="ACU80">
        <v>212.72</v>
      </c>
      <c r="ACW80">
        <v>212.73</v>
      </c>
      <c r="ACX80">
        <v>212.75</v>
      </c>
      <c r="ACY80">
        <v>212.76</v>
      </c>
      <c r="ACZ80">
        <v>212.78</v>
      </c>
      <c r="ADA80">
        <v>212.79</v>
      </c>
      <c r="ADB80">
        <v>212.79</v>
      </c>
      <c r="ADC80">
        <v>212.79</v>
      </c>
      <c r="ADD80">
        <v>212.79</v>
      </c>
      <c r="ADE80">
        <v>212.8</v>
      </c>
      <c r="ADF80">
        <v>212.81</v>
      </c>
      <c r="ADG80">
        <v>212.82</v>
      </c>
      <c r="ADH80">
        <v>212.83</v>
      </c>
      <c r="ADI80">
        <v>212.83</v>
      </c>
      <c r="ADJ80">
        <v>212.83</v>
      </c>
      <c r="ADK80">
        <v>212.83</v>
      </c>
      <c r="ADL80">
        <v>212.84</v>
      </c>
      <c r="ADM80">
        <v>212.85</v>
      </c>
      <c r="ADN80">
        <v>212.86</v>
      </c>
      <c r="ADO80">
        <v>212.86</v>
      </c>
      <c r="ADP80">
        <v>212.86</v>
      </c>
      <c r="ADQ80">
        <v>212.86</v>
      </c>
      <c r="ADR80">
        <v>212.87</v>
      </c>
      <c r="ADS80">
        <v>212.88</v>
      </c>
      <c r="ADT80">
        <v>212.88</v>
      </c>
      <c r="ADU80">
        <v>212.89</v>
      </c>
      <c r="ADV80">
        <v>212.89</v>
      </c>
      <c r="ADW80">
        <v>212.9</v>
      </c>
      <c r="ADX80">
        <v>212.9</v>
      </c>
      <c r="ADY80">
        <v>212.9</v>
      </c>
      <c r="ADZ80">
        <v>212.9</v>
      </c>
      <c r="AEA80">
        <v>212.9</v>
      </c>
      <c r="AEB80">
        <v>212.91</v>
      </c>
      <c r="AEC80">
        <v>212.92</v>
      </c>
      <c r="AED80">
        <v>212.92</v>
      </c>
      <c r="AEE80">
        <v>212.92</v>
      </c>
      <c r="AEF80">
        <v>212.92</v>
      </c>
    </row>
    <row r="81" spans="1:812">
      <c r="A81" s="1" t="s">
        <v>216</v>
      </c>
      <c r="B81" s="1" t="s">
        <v>267</v>
      </c>
      <c r="AY81">
        <v>4.55</v>
      </c>
      <c r="CF81">
        <v>9.0399999999999991</v>
      </c>
      <c r="DS81">
        <v>16.829999999999998</v>
      </c>
      <c r="DV81">
        <v>17.28</v>
      </c>
      <c r="DW81">
        <v>17.61</v>
      </c>
      <c r="DX81">
        <v>17.86</v>
      </c>
      <c r="DY81">
        <v>18.02</v>
      </c>
      <c r="DZ81">
        <v>18.61</v>
      </c>
      <c r="EC81">
        <v>19.329999999999998</v>
      </c>
      <c r="ED81">
        <v>20.27</v>
      </c>
      <c r="EE81">
        <v>21.55</v>
      </c>
      <c r="EF81">
        <v>21.9</v>
      </c>
      <c r="EG81">
        <v>22.65</v>
      </c>
      <c r="EJ81">
        <v>23.09</v>
      </c>
      <c r="EK81">
        <v>23.28</v>
      </c>
      <c r="EL81">
        <v>24.39</v>
      </c>
      <c r="EM81">
        <v>24.9</v>
      </c>
      <c r="EQ81">
        <v>24.97</v>
      </c>
      <c r="ER81">
        <v>24.97</v>
      </c>
      <c r="EU81">
        <v>25.15</v>
      </c>
      <c r="EX81">
        <v>26.02</v>
      </c>
      <c r="EY81">
        <v>26.27</v>
      </c>
      <c r="EZ81">
        <v>26.96</v>
      </c>
      <c r="FB81">
        <v>28.65</v>
      </c>
      <c r="FE81">
        <v>30.52</v>
      </c>
      <c r="FF81">
        <v>32.520000000000003</v>
      </c>
      <c r="FG81">
        <v>33.89</v>
      </c>
      <c r="FI81">
        <v>34.92</v>
      </c>
      <c r="FM81">
        <v>35.369999999999997</v>
      </c>
      <c r="FN81">
        <v>36.299999999999997</v>
      </c>
      <c r="FO81">
        <v>36.83</v>
      </c>
      <c r="FP81">
        <v>36.83</v>
      </c>
      <c r="FR81">
        <v>38.21</v>
      </c>
      <c r="FS81">
        <v>39.409999999999997</v>
      </c>
      <c r="FT81">
        <v>40.65</v>
      </c>
      <c r="FU81">
        <v>42.12</v>
      </c>
      <c r="FV81">
        <v>44.63</v>
      </c>
      <c r="FW81">
        <v>45.91</v>
      </c>
      <c r="FZ81">
        <v>46.12</v>
      </c>
      <c r="GA81">
        <v>46.54</v>
      </c>
      <c r="GB81">
        <v>49.44</v>
      </c>
      <c r="GC81">
        <v>50.26</v>
      </c>
      <c r="GD81">
        <v>50.78</v>
      </c>
      <c r="GG81">
        <v>53.48</v>
      </c>
      <c r="GH81">
        <v>53.88</v>
      </c>
      <c r="GI81">
        <v>54.65</v>
      </c>
      <c r="GJ81">
        <v>55.79</v>
      </c>
      <c r="GK81">
        <v>56.67</v>
      </c>
      <c r="GO81">
        <v>57.08</v>
      </c>
      <c r="GP81">
        <v>58.88</v>
      </c>
      <c r="GQ81">
        <v>60.94</v>
      </c>
      <c r="GR81">
        <v>62.63</v>
      </c>
      <c r="GU81">
        <v>62.97</v>
      </c>
      <c r="GV81">
        <v>65.17</v>
      </c>
      <c r="GW81">
        <v>69.17</v>
      </c>
      <c r="GX81">
        <v>73.36</v>
      </c>
      <c r="GY81">
        <v>75.94</v>
      </c>
      <c r="HB81">
        <v>76.88</v>
      </c>
      <c r="HC81">
        <v>77.94</v>
      </c>
      <c r="HD81">
        <v>80.95</v>
      </c>
      <c r="HE81">
        <v>82.34</v>
      </c>
      <c r="HF81">
        <v>84.5</v>
      </c>
      <c r="HI81">
        <v>87.79</v>
      </c>
      <c r="HJ81">
        <v>88.89</v>
      </c>
      <c r="HK81">
        <v>89.53</v>
      </c>
      <c r="HM81">
        <v>90.96</v>
      </c>
      <c r="HP81">
        <v>90.99</v>
      </c>
      <c r="HQ81">
        <v>91.5</v>
      </c>
      <c r="HR81">
        <v>92.43</v>
      </c>
      <c r="HS81">
        <v>94.29</v>
      </c>
      <c r="HT81">
        <v>96.36</v>
      </c>
      <c r="HW81">
        <v>101.49</v>
      </c>
      <c r="HX81">
        <v>101.75</v>
      </c>
      <c r="HY81">
        <v>102.39</v>
      </c>
      <c r="HZ81">
        <v>104.4</v>
      </c>
      <c r="IA81">
        <v>109.3</v>
      </c>
      <c r="ID81">
        <v>110.48</v>
      </c>
      <c r="IE81">
        <v>110.62</v>
      </c>
      <c r="IF81">
        <v>112.25</v>
      </c>
      <c r="IG81">
        <v>112.46</v>
      </c>
      <c r="IH81">
        <v>113.77</v>
      </c>
      <c r="IK81">
        <v>115.1</v>
      </c>
      <c r="IL81">
        <v>115.18</v>
      </c>
      <c r="IM81">
        <v>116.76</v>
      </c>
      <c r="IO81">
        <v>119.51</v>
      </c>
      <c r="IR81">
        <v>121.05</v>
      </c>
      <c r="IS81">
        <v>121.13</v>
      </c>
      <c r="IU81">
        <v>122.6</v>
      </c>
      <c r="IV81">
        <v>123.74</v>
      </c>
      <c r="IY81">
        <v>124</v>
      </c>
      <c r="IZ81">
        <v>124.4</v>
      </c>
      <c r="JF81">
        <v>127.64</v>
      </c>
      <c r="JM81">
        <v>129.58000000000001</v>
      </c>
      <c r="JQ81">
        <v>131.01</v>
      </c>
      <c r="JT81">
        <v>133.1</v>
      </c>
      <c r="JV81">
        <v>133.68</v>
      </c>
      <c r="JW81">
        <v>134.1</v>
      </c>
      <c r="JX81">
        <v>135</v>
      </c>
      <c r="KC81">
        <v>135.49</v>
      </c>
      <c r="KD81">
        <v>136.06</v>
      </c>
      <c r="KE81">
        <v>136.85</v>
      </c>
      <c r="KH81">
        <v>137.11000000000001</v>
      </c>
      <c r="KI81">
        <v>137.5</v>
      </c>
      <c r="KJ81">
        <v>137.63999999999999</v>
      </c>
      <c r="KO81">
        <v>133.82</v>
      </c>
      <c r="KP81">
        <v>133.85</v>
      </c>
      <c r="KS81">
        <v>134.19999999999999</v>
      </c>
      <c r="KV81">
        <v>134.27000000000001</v>
      </c>
      <c r="KW81">
        <v>134.35</v>
      </c>
      <c r="KX81">
        <v>134.47</v>
      </c>
      <c r="KY81">
        <v>134.65</v>
      </c>
      <c r="KZ81">
        <v>134.76</v>
      </c>
      <c r="LC81">
        <v>134.97</v>
      </c>
      <c r="LF81">
        <v>135.41</v>
      </c>
      <c r="LJ81">
        <v>135.5</v>
      </c>
      <c r="LN81">
        <v>135.69</v>
      </c>
      <c r="LR81">
        <v>135.76</v>
      </c>
      <c r="LT81">
        <v>136.07</v>
      </c>
      <c r="MO81">
        <v>136.55000000000001</v>
      </c>
      <c r="MW81">
        <v>136.82</v>
      </c>
      <c r="NA81">
        <v>136.84</v>
      </c>
      <c r="NB81">
        <v>136.97</v>
      </c>
      <c r="ND81">
        <v>137.37</v>
      </c>
      <c r="NI81">
        <v>137.58000000000001</v>
      </c>
      <c r="NO81">
        <v>137.9</v>
      </c>
      <c r="NQ81">
        <v>138.02000000000001</v>
      </c>
      <c r="NU81">
        <v>138.04</v>
      </c>
      <c r="OC81">
        <v>138.13999999999999</v>
      </c>
      <c r="OQ81">
        <v>139.38999999999999</v>
      </c>
      <c r="OS81">
        <v>139.66999999999999</v>
      </c>
      <c r="OT81">
        <v>139.66999999999999</v>
      </c>
      <c r="OW81">
        <v>139.76</v>
      </c>
      <c r="OX81">
        <v>139.77000000000001</v>
      </c>
      <c r="OY81">
        <v>139.81</v>
      </c>
      <c r="OZ81">
        <v>139.83000000000001</v>
      </c>
      <c r="PC81">
        <v>139.87</v>
      </c>
      <c r="PE81">
        <v>139.88</v>
      </c>
      <c r="PG81">
        <v>139.91</v>
      </c>
      <c r="PH81">
        <v>139.93</v>
      </c>
      <c r="PM81">
        <v>140.08000000000001</v>
      </c>
      <c r="PR81">
        <v>140.15</v>
      </c>
      <c r="QM81">
        <v>140.22999999999999</v>
      </c>
    </row>
    <row r="82" spans="1:812">
      <c r="A82" s="1" t="s">
        <v>211</v>
      </c>
      <c r="B82" s="1" t="s">
        <v>332</v>
      </c>
      <c r="BN82">
        <v>0</v>
      </c>
      <c r="BS82">
        <v>0.13</v>
      </c>
      <c r="CC82">
        <v>2.67</v>
      </c>
      <c r="CT82">
        <v>7.65</v>
      </c>
      <c r="DC82">
        <v>8.73</v>
      </c>
      <c r="DM82">
        <v>9.2200000000000006</v>
      </c>
      <c r="DR82">
        <v>9.52</v>
      </c>
      <c r="DS82">
        <v>9.67</v>
      </c>
      <c r="DU82">
        <v>9.6999999999999993</v>
      </c>
      <c r="DZ82">
        <v>10.220000000000001</v>
      </c>
      <c r="EC82">
        <v>10.43</v>
      </c>
      <c r="EF82">
        <v>11.34</v>
      </c>
      <c r="EG82">
        <v>11.96</v>
      </c>
      <c r="EK82">
        <v>12.93</v>
      </c>
      <c r="EM82">
        <v>13.68</v>
      </c>
      <c r="ET82">
        <v>15.11</v>
      </c>
      <c r="EY82">
        <v>17.350000000000001</v>
      </c>
      <c r="FI82">
        <v>20.93</v>
      </c>
      <c r="FP82">
        <v>22.7</v>
      </c>
      <c r="FW82">
        <v>23.97</v>
      </c>
      <c r="GD82">
        <v>24.82</v>
      </c>
      <c r="GK82">
        <v>25.91</v>
      </c>
      <c r="GR82">
        <v>27.99</v>
      </c>
      <c r="GY82">
        <v>30.51</v>
      </c>
      <c r="HF82">
        <v>31.17</v>
      </c>
      <c r="HM82">
        <v>31.78</v>
      </c>
      <c r="HT82">
        <v>32.46</v>
      </c>
      <c r="IA82">
        <v>33.5</v>
      </c>
      <c r="IH82">
        <v>33.979999999999997</v>
      </c>
      <c r="IK82">
        <v>34.549999999999997</v>
      </c>
      <c r="IO82">
        <v>34.770000000000003</v>
      </c>
      <c r="IV82">
        <v>35.46</v>
      </c>
      <c r="MW82">
        <v>66.5</v>
      </c>
      <c r="PV82">
        <v>75.63</v>
      </c>
      <c r="QC82">
        <v>76</v>
      </c>
      <c r="QH82">
        <v>76.11</v>
      </c>
      <c r="QX82">
        <v>76.930000000000007</v>
      </c>
      <c r="RC82">
        <v>77.08</v>
      </c>
      <c r="RE82">
        <v>77.12</v>
      </c>
      <c r="RJ82">
        <v>77.180000000000007</v>
      </c>
      <c r="SA82">
        <v>77.599999999999994</v>
      </c>
      <c r="SH82">
        <v>77.709999999999994</v>
      </c>
      <c r="SO82">
        <v>77.88</v>
      </c>
      <c r="SV82">
        <v>78</v>
      </c>
      <c r="TC82">
        <v>78.209999999999994</v>
      </c>
      <c r="TJ82">
        <v>78.400000000000006</v>
      </c>
      <c r="TQ82">
        <v>78.510000000000005</v>
      </c>
      <c r="TV82">
        <v>78.58</v>
      </c>
      <c r="TX82">
        <v>78.61</v>
      </c>
      <c r="UC82">
        <v>78.7</v>
      </c>
      <c r="UJ82">
        <v>78.78</v>
      </c>
      <c r="UL82">
        <v>78.81</v>
      </c>
      <c r="UR82">
        <v>78.819999999999993</v>
      </c>
      <c r="US82">
        <v>78.88</v>
      </c>
      <c r="UY82">
        <v>78.930000000000007</v>
      </c>
      <c r="UZ82">
        <v>78.98</v>
      </c>
      <c r="VE82">
        <v>71.650000000000006</v>
      </c>
      <c r="VN82">
        <v>71.78</v>
      </c>
      <c r="VS82">
        <v>71.84</v>
      </c>
      <c r="WA82">
        <v>71.89</v>
      </c>
      <c r="WH82">
        <v>71.95</v>
      </c>
      <c r="WO82">
        <v>72.06</v>
      </c>
      <c r="WT82">
        <v>72.099999999999994</v>
      </c>
      <c r="WV82">
        <v>72.14</v>
      </c>
      <c r="XC82">
        <v>72.23</v>
      </c>
      <c r="XJ82">
        <v>72.27</v>
      </c>
      <c r="XX82">
        <v>72.39</v>
      </c>
      <c r="YE82">
        <v>72.430000000000007</v>
      </c>
    </row>
    <row r="83" spans="1:812">
      <c r="A83" s="1" t="s">
        <v>31</v>
      </c>
      <c r="B83" s="1" t="s">
        <v>31</v>
      </c>
      <c r="CB83">
        <v>0</v>
      </c>
      <c r="CD83">
        <v>0.01</v>
      </c>
      <c r="CF83">
        <v>0.01</v>
      </c>
      <c r="CP83">
        <v>0.11</v>
      </c>
      <c r="CQ83">
        <v>0.16</v>
      </c>
      <c r="CR83">
        <v>0.17</v>
      </c>
      <c r="CS83">
        <v>0.19</v>
      </c>
      <c r="CT83">
        <v>0.24</v>
      </c>
      <c r="CU83">
        <v>0.27</v>
      </c>
      <c r="CV83">
        <v>0.31</v>
      </c>
      <c r="CW83">
        <v>0.34</v>
      </c>
      <c r="CX83">
        <v>0.37</v>
      </c>
      <c r="CY83">
        <v>0.38</v>
      </c>
      <c r="CZ83">
        <v>0.39</v>
      </c>
      <c r="DA83">
        <v>0.4</v>
      </c>
      <c r="DB83">
        <v>0.44</v>
      </c>
      <c r="DC83">
        <v>0.46</v>
      </c>
      <c r="DD83">
        <v>0.5</v>
      </c>
      <c r="DE83">
        <v>0.51</v>
      </c>
      <c r="DF83">
        <v>0.52</v>
      </c>
      <c r="DG83">
        <v>0.53</v>
      </c>
      <c r="DH83">
        <v>0.55000000000000004</v>
      </c>
      <c r="DI83">
        <v>0.59</v>
      </c>
      <c r="DJ83">
        <v>0.6</v>
      </c>
      <c r="DK83">
        <v>0.62</v>
      </c>
      <c r="DL83">
        <v>0.63</v>
      </c>
      <c r="DM83">
        <v>0.64</v>
      </c>
      <c r="DN83">
        <v>0.65</v>
      </c>
      <c r="DO83">
        <v>0.67</v>
      </c>
      <c r="DP83">
        <v>0.69</v>
      </c>
      <c r="DQ83">
        <v>0.71</v>
      </c>
      <c r="DR83">
        <v>0.74</v>
      </c>
      <c r="DS83">
        <v>0.77</v>
      </c>
      <c r="DT83">
        <v>0.78</v>
      </c>
      <c r="DU83">
        <v>0.78</v>
      </c>
      <c r="DV83">
        <v>0.8</v>
      </c>
      <c r="DW83">
        <v>0.82</v>
      </c>
      <c r="DX83">
        <v>0.84</v>
      </c>
      <c r="DY83">
        <v>0.86</v>
      </c>
      <c r="DZ83">
        <v>0.88</v>
      </c>
      <c r="EA83">
        <v>0.88</v>
      </c>
      <c r="EB83">
        <v>0.88</v>
      </c>
      <c r="EC83">
        <v>0.89</v>
      </c>
      <c r="ED83">
        <v>0.9</v>
      </c>
      <c r="EE83">
        <v>0.9</v>
      </c>
      <c r="EF83">
        <v>0.91</v>
      </c>
      <c r="EG83">
        <v>0.92</v>
      </c>
      <c r="EJ83">
        <v>0.93</v>
      </c>
      <c r="EK83">
        <v>0.93</v>
      </c>
      <c r="EL83">
        <v>0.94</v>
      </c>
      <c r="EM83">
        <v>0.95</v>
      </c>
      <c r="EN83">
        <v>0.95</v>
      </c>
      <c r="EO83">
        <v>0.96</v>
      </c>
      <c r="EP83">
        <v>0.96</v>
      </c>
      <c r="EQ83">
        <v>0.96</v>
      </c>
      <c r="ER83">
        <v>0.98</v>
      </c>
      <c r="ES83">
        <v>1.02</v>
      </c>
      <c r="ET83">
        <v>1.07</v>
      </c>
      <c r="EU83">
        <v>1.1399999999999999</v>
      </c>
      <c r="EV83">
        <v>1.1599999999999999</v>
      </c>
      <c r="EX83">
        <v>1.21</v>
      </c>
      <c r="EY83">
        <v>1.3</v>
      </c>
      <c r="EZ83">
        <v>1.37</v>
      </c>
      <c r="FA83">
        <v>1.45</v>
      </c>
      <c r="FB83">
        <v>1.53</v>
      </c>
      <c r="FC83">
        <v>1.55</v>
      </c>
      <c r="FD83">
        <v>1.56</v>
      </c>
      <c r="FE83">
        <v>1.64</v>
      </c>
      <c r="FF83">
        <v>1.72</v>
      </c>
      <c r="FG83">
        <v>1.81</v>
      </c>
      <c r="FH83">
        <v>1.88</v>
      </c>
      <c r="FI83">
        <v>1.96</v>
      </c>
      <c r="FJ83">
        <v>1.97</v>
      </c>
      <c r="FK83">
        <v>1.97</v>
      </c>
      <c r="FL83">
        <v>2.0299999999999998</v>
      </c>
      <c r="FM83">
        <v>2.29</v>
      </c>
      <c r="FN83">
        <v>2.4</v>
      </c>
      <c r="FO83">
        <v>2.52</v>
      </c>
      <c r="FP83">
        <v>2.67</v>
      </c>
      <c r="FQ83">
        <v>2.71</v>
      </c>
      <c r="FR83">
        <v>2.72</v>
      </c>
      <c r="FS83">
        <v>2.87</v>
      </c>
      <c r="FT83">
        <v>3.02</v>
      </c>
      <c r="FU83">
        <v>3.14</v>
      </c>
      <c r="FV83">
        <v>3.24</v>
      </c>
      <c r="FW83">
        <v>3.32</v>
      </c>
      <c r="FX83">
        <v>3.32</v>
      </c>
      <c r="FY83">
        <v>3.33</v>
      </c>
      <c r="FZ83">
        <v>3.39</v>
      </c>
      <c r="GA83">
        <v>3.46</v>
      </c>
      <c r="GB83">
        <v>3.53</v>
      </c>
      <c r="GC83">
        <v>3.61</v>
      </c>
      <c r="GD83">
        <v>3.69</v>
      </c>
      <c r="GE83">
        <v>3.71</v>
      </c>
      <c r="GF83">
        <v>3.72</v>
      </c>
      <c r="GG83">
        <v>3.82</v>
      </c>
      <c r="GH83">
        <v>3.97</v>
      </c>
      <c r="GI83">
        <v>4.16</v>
      </c>
      <c r="GJ83">
        <v>4.33</v>
      </c>
      <c r="GK83">
        <v>4.5</v>
      </c>
      <c r="GL83">
        <v>4.51</v>
      </c>
      <c r="GM83">
        <v>4.54</v>
      </c>
      <c r="GN83">
        <v>4.67</v>
      </c>
      <c r="GO83">
        <v>4.8</v>
      </c>
      <c r="GP83">
        <v>4.92</v>
      </c>
      <c r="GQ83">
        <v>5.03</v>
      </c>
      <c r="GR83">
        <v>5.12</v>
      </c>
      <c r="GS83">
        <v>5.14</v>
      </c>
      <c r="GT83">
        <v>5.15</v>
      </c>
      <c r="GU83">
        <v>5.17</v>
      </c>
      <c r="GV83">
        <v>5.24</v>
      </c>
      <c r="GW83">
        <v>5.3</v>
      </c>
      <c r="GX83">
        <v>5.35</v>
      </c>
      <c r="GZ83">
        <v>5.41</v>
      </c>
      <c r="HA83">
        <v>5.42</v>
      </c>
      <c r="HB83">
        <v>5.47</v>
      </c>
      <c r="HC83">
        <v>5.54</v>
      </c>
      <c r="HD83">
        <v>5.6</v>
      </c>
      <c r="HE83">
        <v>5.66</v>
      </c>
      <c r="HF83">
        <v>5.74</v>
      </c>
      <c r="HH83">
        <v>5.77</v>
      </c>
      <c r="HI83">
        <v>5.87</v>
      </c>
      <c r="HJ83">
        <v>6.1</v>
      </c>
      <c r="HK83">
        <v>6.4</v>
      </c>
      <c r="HL83">
        <v>6.71</v>
      </c>
      <c r="HM83">
        <v>7.03</v>
      </c>
      <c r="HN83">
        <v>7.12</v>
      </c>
      <c r="HO83">
        <v>7.19</v>
      </c>
      <c r="HQ83">
        <v>7.8</v>
      </c>
      <c r="HR83">
        <v>8.16</v>
      </c>
      <c r="HS83">
        <v>8.5500000000000007</v>
      </c>
      <c r="HT83">
        <v>9.2899999999999991</v>
      </c>
      <c r="HU83">
        <v>9.49</v>
      </c>
      <c r="HV83">
        <v>9.64</v>
      </c>
      <c r="HW83">
        <v>10.039999999999999</v>
      </c>
      <c r="HX83">
        <v>10.48</v>
      </c>
      <c r="HY83">
        <v>10.89</v>
      </c>
      <c r="HZ83">
        <v>11.32</v>
      </c>
      <c r="IA83">
        <v>11.77</v>
      </c>
      <c r="IB83">
        <v>12.06</v>
      </c>
      <c r="IC83">
        <v>12.33</v>
      </c>
      <c r="ID83">
        <v>12.76</v>
      </c>
      <c r="IE83">
        <v>13.27</v>
      </c>
      <c r="IF83">
        <v>13.82</v>
      </c>
      <c r="IG83">
        <v>14.27</v>
      </c>
      <c r="IH83">
        <v>14.69</v>
      </c>
      <c r="II83">
        <v>14.92</v>
      </c>
      <c r="IJ83">
        <v>15.06</v>
      </c>
      <c r="IK83">
        <v>15.5</v>
      </c>
      <c r="IL83">
        <v>16</v>
      </c>
      <c r="IN83">
        <v>17.12</v>
      </c>
      <c r="IO83">
        <v>17.739999999999998</v>
      </c>
      <c r="IP83">
        <v>17.989999999999998</v>
      </c>
      <c r="IQ83">
        <v>18.14</v>
      </c>
      <c r="IR83">
        <v>18.510000000000002</v>
      </c>
      <c r="IS83">
        <v>19.11</v>
      </c>
      <c r="IT83">
        <v>19.690000000000001</v>
      </c>
      <c r="IU83">
        <v>20.29</v>
      </c>
      <c r="IV83">
        <v>20.53</v>
      </c>
      <c r="IW83">
        <v>20.77</v>
      </c>
      <c r="IX83">
        <v>20.96</v>
      </c>
      <c r="IY83">
        <v>21.48</v>
      </c>
      <c r="IZ83">
        <v>22.07</v>
      </c>
      <c r="JA83">
        <v>22.6</v>
      </c>
      <c r="JB83">
        <v>23.15</v>
      </c>
      <c r="JC83">
        <v>23.74</v>
      </c>
      <c r="JD83">
        <v>24.02</v>
      </c>
      <c r="JE83">
        <v>24.2</v>
      </c>
      <c r="JF83">
        <v>24.7</v>
      </c>
      <c r="JG83">
        <v>25.24</v>
      </c>
      <c r="JK83">
        <v>26.88</v>
      </c>
      <c r="JM83">
        <v>27.87</v>
      </c>
      <c r="JQ83">
        <v>29.89</v>
      </c>
      <c r="JS83">
        <v>30.63</v>
      </c>
      <c r="JT83">
        <v>31.24</v>
      </c>
      <c r="JU83">
        <v>31.85</v>
      </c>
      <c r="JV83">
        <v>32.130000000000003</v>
      </c>
      <c r="JW83">
        <v>32.68</v>
      </c>
      <c r="JX83">
        <v>33.26</v>
      </c>
      <c r="JZ83">
        <v>33.69</v>
      </c>
      <c r="KA83">
        <v>34.21</v>
      </c>
      <c r="KB83">
        <v>34.72</v>
      </c>
      <c r="KC83">
        <v>35.200000000000003</v>
      </c>
      <c r="KD83">
        <v>35.68</v>
      </c>
      <c r="KE83">
        <v>36.21</v>
      </c>
      <c r="KF83">
        <v>36.46</v>
      </c>
      <c r="KI83">
        <v>37.450000000000003</v>
      </c>
      <c r="LN83">
        <v>46.93</v>
      </c>
      <c r="LO83">
        <v>47.03</v>
      </c>
      <c r="MB83">
        <v>50</v>
      </c>
      <c r="ND83">
        <v>57.83</v>
      </c>
      <c r="NG83">
        <v>58.27</v>
      </c>
      <c r="NH83">
        <v>58.54</v>
      </c>
      <c r="NK83">
        <v>59.37</v>
      </c>
      <c r="PH83">
        <v>75.040000000000006</v>
      </c>
      <c r="QC83">
        <v>79.650000000000006</v>
      </c>
      <c r="QH83">
        <v>80.819999999999993</v>
      </c>
      <c r="QJ83">
        <v>81.650000000000006</v>
      </c>
      <c r="QO83">
        <v>82.27</v>
      </c>
      <c r="QQ83">
        <v>82.97</v>
      </c>
      <c r="QV83">
        <v>83.66</v>
      </c>
      <c r="QX83">
        <v>84.29</v>
      </c>
      <c r="RC83">
        <v>85.59</v>
      </c>
      <c r="RE83">
        <v>86.83</v>
      </c>
      <c r="RJ83">
        <v>88.33</v>
      </c>
      <c r="SA83">
        <v>91.55</v>
      </c>
      <c r="SH83">
        <v>92.74</v>
      </c>
      <c r="SO83">
        <v>93.4</v>
      </c>
      <c r="SV83">
        <v>94.01</v>
      </c>
      <c r="TC83">
        <v>94.74</v>
      </c>
      <c r="TJ83">
        <v>95.54</v>
      </c>
      <c r="TQ83">
        <v>96.21</v>
      </c>
      <c r="TV83">
        <v>96.54</v>
      </c>
      <c r="TX83">
        <v>96.74</v>
      </c>
      <c r="UC83">
        <v>97.11</v>
      </c>
      <c r="UE83">
        <v>97.31</v>
      </c>
      <c r="UJ83">
        <v>97.55</v>
      </c>
      <c r="UL83">
        <v>97.86</v>
      </c>
      <c r="UR83">
        <v>98.2</v>
      </c>
      <c r="US83">
        <v>98.4</v>
      </c>
      <c r="UY83">
        <v>98.61</v>
      </c>
      <c r="UZ83">
        <v>98.83</v>
      </c>
      <c r="VE83">
        <v>102.82</v>
      </c>
      <c r="VG83">
        <v>103.06</v>
      </c>
      <c r="VN83">
        <v>103.7</v>
      </c>
      <c r="VS83">
        <v>104.24</v>
      </c>
      <c r="VY83">
        <v>105.53</v>
      </c>
      <c r="WA83">
        <v>106.03</v>
      </c>
      <c r="WH83">
        <v>107.4</v>
      </c>
      <c r="WO83">
        <v>108.53</v>
      </c>
      <c r="WT83">
        <v>108.96</v>
      </c>
      <c r="WV83">
        <v>109.5</v>
      </c>
      <c r="XC83">
        <v>110.19</v>
      </c>
      <c r="XJ83">
        <v>110.59</v>
      </c>
      <c r="XX83">
        <v>111.32</v>
      </c>
      <c r="YE83">
        <v>111.71</v>
      </c>
      <c r="YL83">
        <v>112.02</v>
      </c>
      <c r="YS83">
        <v>112.28</v>
      </c>
      <c r="YZ83">
        <v>112.53</v>
      </c>
      <c r="ZG83">
        <v>111.26</v>
      </c>
      <c r="AAB83">
        <v>111.67</v>
      </c>
      <c r="AAP83">
        <v>111.79</v>
      </c>
      <c r="AAU83">
        <v>111.81</v>
      </c>
      <c r="AAW83">
        <v>111.81</v>
      </c>
      <c r="ABC83">
        <v>111.82</v>
      </c>
      <c r="ABJ83">
        <v>111.83</v>
      </c>
      <c r="ABV83">
        <v>111.85</v>
      </c>
      <c r="ABY83">
        <v>111.94</v>
      </c>
      <c r="ACE83">
        <v>112.11</v>
      </c>
      <c r="ACF83">
        <v>112.15</v>
      </c>
      <c r="ACM83">
        <v>112.4</v>
      </c>
      <c r="ACT83">
        <v>112.65</v>
      </c>
      <c r="ADA83">
        <v>112.85</v>
      </c>
      <c r="ADH83">
        <v>112.98</v>
      </c>
      <c r="ADV83">
        <v>113.28</v>
      </c>
      <c r="AEC83">
        <v>113.44</v>
      </c>
    </row>
    <row r="84" spans="1:812">
      <c r="A84" s="1" t="s">
        <v>251</v>
      </c>
      <c r="B84" s="1" t="s">
        <v>251</v>
      </c>
      <c r="AV84">
        <v>9.9499999999999993</v>
      </c>
      <c r="BJ84">
        <v>22.57</v>
      </c>
      <c r="BQ84">
        <v>28.76</v>
      </c>
      <c r="BZ84">
        <v>29.9</v>
      </c>
      <c r="CG84">
        <v>32.869999999999997</v>
      </c>
      <c r="CQ84">
        <v>43.82</v>
      </c>
      <c r="DH84">
        <v>49.81</v>
      </c>
      <c r="DQ84">
        <v>56.42</v>
      </c>
      <c r="DZ84">
        <v>64.14</v>
      </c>
      <c r="ED84">
        <v>69.48</v>
      </c>
      <c r="EZ84">
        <v>81.540000000000006</v>
      </c>
      <c r="FA84">
        <v>82.74</v>
      </c>
      <c r="FI84">
        <v>87.61</v>
      </c>
      <c r="FK84">
        <v>88.72</v>
      </c>
      <c r="FL84">
        <v>91.11</v>
      </c>
      <c r="FM84">
        <v>91.96</v>
      </c>
      <c r="FN84">
        <v>92.86</v>
      </c>
      <c r="FO84">
        <v>94.09</v>
      </c>
      <c r="FP84">
        <v>95.14</v>
      </c>
      <c r="FT84">
        <v>99.36</v>
      </c>
      <c r="FU84">
        <v>100.3</v>
      </c>
      <c r="FV84">
        <v>101.3</v>
      </c>
      <c r="FW84">
        <v>102.3</v>
      </c>
      <c r="FZ84">
        <v>105.2</v>
      </c>
      <c r="GA84">
        <v>106.13</v>
      </c>
      <c r="GC84">
        <v>107.96</v>
      </c>
      <c r="GD84">
        <v>109.12</v>
      </c>
      <c r="GG84">
        <v>111.43</v>
      </c>
      <c r="GH84">
        <v>112.12</v>
      </c>
      <c r="GJ84">
        <v>113.42</v>
      </c>
      <c r="GK84">
        <v>113.94</v>
      </c>
      <c r="GN84">
        <v>115.66</v>
      </c>
      <c r="GO84">
        <v>116.15</v>
      </c>
      <c r="GQ84">
        <v>117.35</v>
      </c>
      <c r="GR84">
        <v>117.86</v>
      </c>
      <c r="GV84">
        <v>120.43</v>
      </c>
      <c r="GW84">
        <v>121.05</v>
      </c>
      <c r="GX84">
        <v>121.62</v>
      </c>
      <c r="GY84">
        <v>122.38</v>
      </c>
      <c r="HB84">
        <v>124.63</v>
      </c>
      <c r="HC84">
        <v>125.47</v>
      </c>
      <c r="HD84">
        <v>126.41</v>
      </c>
      <c r="HF84">
        <v>128.16999999999999</v>
      </c>
      <c r="HI84">
        <v>130.4</v>
      </c>
      <c r="HJ84">
        <v>131.06</v>
      </c>
      <c r="HK84">
        <v>131.62</v>
      </c>
      <c r="HL84">
        <v>132.22</v>
      </c>
      <c r="HM84">
        <v>132.65</v>
      </c>
      <c r="HQ84">
        <v>134.44</v>
      </c>
      <c r="HR84">
        <v>134.79</v>
      </c>
      <c r="HS84">
        <v>135.15</v>
      </c>
      <c r="HT84">
        <v>135.5</v>
      </c>
      <c r="HW84">
        <v>136.47999999999999</v>
      </c>
      <c r="HX84">
        <v>136.79</v>
      </c>
      <c r="HY84">
        <v>137.22</v>
      </c>
      <c r="IA84">
        <v>138.36000000000001</v>
      </c>
      <c r="ID84">
        <v>140.09</v>
      </c>
      <c r="IF84">
        <v>142.1</v>
      </c>
      <c r="IH84">
        <v>142.78</v>
      </c>
      <c r="IK84">
        <v>143.35</v>
      </c>
      <c r="IM84">
        <v>143.74</v>
      </c>
      <c r="IO84">
        <v>144.19999999999999</v>
      </c>
      <c r="IR84">
        <v>144.87</v>
      </c>
      <c r="IT84">
        <v>145.56</v>
      </c>
      <c r="IV84">
        <v>146.24</v>
      </c>
      <c r="IY84">
        <v>146.65</v>
      </c>
      <c r="JA84">
        <v>147.78</v>
      </c>
      <c r="JC84">
        <v>148.31</v>
      </c>
      <c r="JH84">
        <v>148.37</v>
      </c>
      <c r="JJ84">
        <v>148.66999999999999</v>
      </c>
      <c r="JM84">
        <v>150</v>
      </c>
      <c r="JO84">
        <v>150.27000000000001</v>
      </c>
      <c r="JQ84">
        <v>150.57</v>
      </c>
      <c r="JT84">
        <v>150.88999999999999</v>
      </c>
      <c r="JV84">
        <v>151.06</v>
      </c>
      <c r="JX84">
        <v>151.36000000000001</v>
      </c>
      <c r="KA84">
        <v>151.5</v>
      </c>
      <c r="KC84">
        <v>151.63999999999999</v>
      </c>
      <c r="KE84">
        <v>151.76</v>
      </c>
      <c r="KH84">
        <v>151.97</v>
      </c>
      <c r="KJ84">
        <v>152.1</v>
      </c>
      <c r="KP84">
        <v>152.35</v>
      </c>
      <c r="KX84">
        <v>152.63</v>
      </c>
      <c r="LC84">
        <v>152.94</v>
      </c>
      <c r="LJ84">
        <v>153.71</v>
      </c>
      <c r="LQ84">
        <v>154.38999999999999</v>
      </c>
      <c r="LX84">
        <v>163.88</v>
      </c>
      <c r="ME84">
        <v>164.19</v>
      </c>
      <c r="ML84">
        <v>164.28</v>
      </c>
      <c r="NB84">
        <v>164.8</v>
      </c>
      <c r="NH84">
        <v>167.4</v>
      </c>
      <c r="OI84">
        <v>227.22</v>
      </c>
      <c r="OP84">
        <v>228.94</v>
      </c>
      <c r="OX84">
        <v>229.93</v>
      </c>
      <c r="PF84">
        <v>230.75</v>
      </c>
      <c r="PL84">
        <v>231.65</v>
      </c>
      <c r="PS84">
        <v>232.55</v>
      </c>
      <c r="PY84">
        <v>233.03</v>
      </c>
      <c r="QF84">
        <v>233.52</v>
      </c>
      <c r="QM84">
        <v>234.04</v>
      </c>
      <c r="QU84">
        <v>237.48</v>
      </c>
      <c r="RC84">
        <v>237.79</v>
      </c>
      <c r="SE84">
        <v>240.53</v>
      </c>
      <c r="SL84">
        <v>242.36</v>
      </c>
      <c r="SZ84">
        <v>245.62</v>
      </c>
      <c r="TO84">
        <v>246.77</v>
      </c>
      <c r="UE84">
        <v>247.29</v>
      </c>
      <c r="UO84">
        <v>247.95</v>
      </c>
      <c r="VD84">
        <v>250.07</v>
      </c>
      <c r="AAL84">
        <v>278.48</v>
      </c>
      <c r="AAS84">
        <v>280.11</v>
      </c>
      <c r="ABA84">
        <v>281.01</v>
      </c>
      <c r="ABG84">
        <v>281.89999999999998</v>
      </c>
    </row>
    <row r="85" spans="1:812">
      <c r="A85" s="1" t="s">
        <v>116</v>
      </c>
      <c r="B85" s="1" t="s">
        <v>116</v>
      </c>
      <c r="DJ85">
        <v>0.48</v>
      </c>
      <c r="DQ85">
        <v>0.63</v>
      </c>
      <c r="DY85">
        <v>0.81</v>
      </c>
      <c r="DZ85">
        <v>0.83</v>
      </c>
      <c r="EC85">
        <v>0.86</v>
      </c>
      <c r="ED85">
        <v>0.87</v>
      </c>
      <c r="EE85">
        <v>0.88</v>
      </c>
      <c r="EF85">
        <v>0.95</v>
      </c>
      <c r="EH85">
        <v>0.98</v>
      </c>
      <c r="EI85">
        <v>0.99</v>
      </c>
      <c r="EJ85">
        <v>1.01</v>
      </c>
      <c r="EK85">
        <v>1.03</v>
      </c>
      <c r="EL85">
        <v>1.06</v>
      </c>
      <c r="EM85">
        <v>1.08</v>
      </c>
      <c r="EN85">
        <v>1.0900000000000001</v>
      </c>
      <c r="EQ85">
        <v>1.1100000000000001</v>
      </c>
      <c r="ER85">
        <v>1.1200000000000001</v>
      </c>
      <c r="ES85">
        <v>1.1499999999999999</v>
      </c>
      <c r="ET85">
        <v>1.29</v>
      </c>
      <c r="EU85">
        <v>1.32</v>
      </c>
      <c r="EY85">
        <v>1.54</v>
      </c>
      <c r="EZ85">
        <v>1.56</v>
      </c>
      <c r="FE85">
        <v>1.71</v>
      </c>
      <c r="FG85">
        <v>1.79</v>
      </c>
      <c r="FH85">
        <v>1.8</v>
      </c>
      <c r="FK85">
        <v>1.99</v>
      </c>
      <c r="FL85">
        <v>2.09</v>
      </c>
      <c r="FM85">
        <v>2.1800000000000002</v>
      </c>
      <c r="FN85">
        <v>2.2999999999999998</v>
      </c>
      <c r="FQ85">
        <v>2.58</v>
      </c>
      <c r="FS85">
        <v>2.69</v>
      </c>
      <c r="FU85">
        <v>2.78</v>
      </c>
      <c r="FV85">
        <v>2.82</v>
      </c>
      <c r="FZ85">
        <v>2.86</v>
      </c>
      <c r="GA85">
        <v>2.93</v>
      </c>
      <c r="GC85">
        <v>3.06</v>
      </c>
      <c r="GD85">
        <v>3.07</v>
      </c>
      <c r="GH85">
        <v>3.36</v>
      </c>
      <c r="GJ85">
        <v>3.45</v>
      </c>
      <c r="GN85">
        <v>3.61</v>
      </c>
      <c r="GO85">
        <v>4</v>
      </c>
      <c r="GP85">
        <v>4.04</v>
      </c>
      <c r="GQ85">
        <v>4.0599999999999996</v>
      </c>
      <c r="GT85">
        <v>4.12</v>
      </c>
      <c r="GU85">
        <v>4.1399999999999997</v>
      </c>
      <c r="GV85">
        <v>4.3499999999999996</v>
      </c>
      <c r="GW85">
        <v>4.3600000000000003</v>
      </c>
      <c r="GZ85">
        <v>4.4000000000000004</v>
      </c>
      <c r="HA85">
        <v>5.39</v>
      </c>
      <c r="HB85">
        <v>5.49</v>
      </c>
      <c r="HD85">
        <v>5.6</v>
      </c>
      <c r="HI85">
        <v>5.87</v>
      </c>
      <c r="HJ85">
        <v>5.91</v>
      </c>
      <c r="HK85">
        <v>5.94</v>
      </c>
      <c r="HM85">
        <v>5.97</v>
      </c>
      <c r="HO85">
        <v>5.98</v>
      </c>
      <c r="HV85">
        <v>6.09</v>
      </c>
      <c r="HX85">
        <v>6.12</v>
      </c>
      <c r="HY85">
        <v>6.13</v>
      </c>
      <c r="IA85">
        <v>6.85</v>
      </c>
      <c r="IC85">
        <v>6.89</v>
      </c>
      <c r="IH85">
        <v>7</v>
      </c>
      <c r="IJ85">
        <v>7.05</v>
      </c>
      <c r="IK85">
        <v>7.1</v>
      </c>
      <c r="IL85">
        <v>7.15</v>
      </c>
      <c r="IM85">
        <v>7.21</v>
      </c>
      <c r="IN85">
        <v>7.26</v>
      </c>
      <c r="IQ85">
        <v>7.31</v>
      </c>
      <c r="IR85">
        <v>7.33</v>
      </c>
      <c r="IS85">
        <v>7.39</v>
      </c>
      <c r="IT85">
        <v>7.46</v>
      </c>
      <c r="IU85">
        <v>7.89</v>
      </c>
      <c r="IX85">
        <v>7.83</v>
      </c>
      <c r="IY85">
        <v>7.88</v>
      </c>
      <c r="JA85">
        <v>8.09</v>
      </c>
      <c r="JM85">
        <v>9.5299999999999994</v>
      </c>
      <c r="KA85">
        <v>10.9</v>
      </c>
      <c r="KD85">
        <v>12.45</v>
      </c>
      <c r="KE85">
        <v>12.59</v>
      </c>
      <c r="MN85">
        <v>18.100000000000001</v>
      </c>
    </row>
    <row r="86" spans="1:812">
      <c r="A86" s="1" t="s">
        <v>150</v>
      </c>
      <c r="B86" t="s">
        <v>150</v>
      </c>
      <c r="EZ86">
        <v>0.3</v>
      </c>
      <c r="GA86">
        <v>0.95</v>
      </c>
      <c r="GU86">
        <v>1.1599999999999999</v>
      </c>
      <c r="HP86">
        <v>1.28</v>
      </c>
      <c r="IK86">
        <v>1.55</v>
      </c>
      <c r="IY86">
        <v>1.54</v>
      </c>
      <c r="KC86">
        <v>4.7</v>
      </c>
      <c r="LC86">
        <v>6.03</v>
      </c>
      <c r="LX86">
        <v>13.71</v>
      </c>
      <c r="MA86">
        <v>15.25</v>
      </c>
      <c r="ME86">
        <v>16.41</v>
      </c>
      <c r="ML86">
        <v>18.04</v>
      </c>
      <c r="MO86">
        <v>18.11</v>
      </c>
      <c r="NG86">
        <v>20.16</v>
      </c>
      <c r="NN86">
        <v>20.440000000000001</v>
      </c>
      <c r="NQ86">
        <v>20.46</v>
      </c>
      <c r="NV86">
        <v>20.54</v>
      </c>
      <c r="OP86">
        <v>20.63</v>
      </c>
      <c r="OR86">
        <v>20.66</v>
      </c>
      <c r="PA86">
        <v>21.01</v>
      </c>
      <c r="PF86">
        <v>21.63</v>
      </c>
      <c r="PR86">
        <v>27.22</v>
      </c>
      <c r="QE86">
        <v>27.62</v>
      </c>
      <c r="QL86">
        <v>27.7</v>
      </c>
      <c r="QS86">
        <v>27.9</v>
      </c>
      <c r="RF86">
        <v>27.91</v>
      </c>
    </row>
    <row r="87" spans="1:812">
      <c r="A87" s="1" t="s">
        <v>184</v>
      </c>
      <c r="B87" t="s">
        <v>333</v>
      </c>
      <c r="BN87">
        <v>0</v>
      </c>
      <c r="BR87">
        <v>0.08</v>
      </c>
      <c r="BY87">
        <v>0.24</v>
      </c>
      <c r="CX87">
        <v>1.97</v>
      </c>
      <c r="DJ87">
        <v>4.16</v>
      </c>
      <c r="DM87">
        <v>5.14</v>
      </c>
      <c r="DU87">
        <v>7.65</v>
      </c>
      <c r="DY87">
        <v>9.36</v>
      </c>
      <c r="EG87">
        <v>14.44</v>
      </c>
      <c r="EJ87">
        <v>16.12</v>
      </c>
      <c r="ET87">
        <v>19.510000000000002</v>
      </c>
      <c r="FM87">
        <v>31.23</v>
      </c>
      <c r="FU87">
        <v>34.909999999999997</v>
      </c>
      <c r="FX87">
        <v>36.270000000000003</v>
      </c>
      <c r="GB87">
        <v>37.380000000000003</v>
      </c>
      <c r="GD87">
        <v>38.22</v>
      </c>
      <c r="GI87">
        <v>40.15</v>
      </c>
      <c r="GN87">
        <v>41.49</v>
      </c>
      <c r="GR87">
        <v>42.6</v>
      </c>
      <c r="GV87">
        <v>43.23</v>
      </c>
      <c r="GW87">
        <v>43.47</v>
      </c>
      <c r="GX87">
        <v>43.79</v>
      </c>
      <c r="GY87">
        <v>44.07</v>
      </c>
      <c r="HC87">
        <v>44.52</v>
      </c>
      <c r="HE87">
        <v>45.01</v>
      </c>
      <c r="HK87">
        <v>46.21</v>
      </c>
      <c r="HP87">
        <v>47.2</v>
      </c>
      <c r="HS87">
        <v>47.51</v>
      </c>
      <c r="HT87">
        <v>47.66</v>
      </c>
      <c r="HW87">
        <v>47.95</v>
      </c>
      <c r="HY87">
        <v>48.69</v>
      </c>
      <c r="HZ87">
        <v>49.5</v>
      </c>
      <c r="IA87">
        <v>49.5</v>
      </c>
      <c r="IE87">
        <v>50.17</v>
      </c>
      <c r="IF87">
        <v>50.47</v>
      </c>
      <c r="IL87">
        <v>52.9</v>
      </c>
      <c r="IN87">
        <v>54.11</v>
      </c>
      <c r="IO87">
        <v>54.55</v>
      </c>
      <c r="IR87">
        <v>55.3</v>
      </c>
      <c r="IY87">
        <v>57.6</v>
      </c>
      <c r="IZ87">
        <v>59.24</v>
      </c>
      <c r="JF87">
        <v>59.75</v>
      </c>
      <c r="JG87">
        <v>60.04</v>
      </c>
      <c r="JN87">
        <v>62.23</v>
      </c>
      <c r="JO87">
        <v>62.66</v>
      </c>
      <c r="JU87">
        <v>64.790000000000006</v>
      </c>
      <c r="JW87">
        <v>65.58</v>
      </c>
      <c r="KA87">
        <v>66.510000000000005</v>
      </c>
      <c r="KD87">
        <v>67.55</v>
      </c>
      <c r="KH87">
        <v>68.17</v>
      </c>
      <c r="KJ87">
        <v>68.73</v>
      </c>
      <c r="KQ87">
        <v>73.36</v>
      </c>
      <c r="MB87">
        <v>82.11</v>
      </c>
      <c r="MF87">
        <v>83</v>
      </c>
      <c r="MN87">
        <v>84.53</v>
      </c>
      <c r="MT87">
        <v>85.87</v>
      </c>
      <c r="MU87">
        <v>86.18</v>
      </c>
      <c r="NA87">
        <v>87.01</v>
      </c>
      <c r="NH87">
        <v>88.35</v>
      </c>
      <c r="OT87">
        <v>95.84</v>
      </c>
      <c r="PD87">
        <v>98.09</v>
      </c>
      <c r="PW87">
        <v>101.49</v>
      </c>
      <c r="QP87">
        <v>103.76</v>
      </c>
      <c r="QV87">
        <v>111.88</v>
      </c>
      <c r="QX87">
        <v>112.11</v>
      </c>
      <c r="RC87">
        <v>112.48</v>
      </c>
      <c r="RE87">
        <v>112.55</v>
      </c>
      <c r="RJ87">
        <v>112.74</v>
      </c>
      <c r="SA87">
        <v>113.74</v>
      </c>
      <c r="SH87">
        <v>113.94</v>
      </c>
      <c r="SO87">
        <v>114.26</v>
      </c>
      <c r="SV87">
        <v>114.48</v>
      </c>
      <c r="TC87">
        <v>114.6</v>
      </c>
      <c r="TQ87">
        <v>115.13</v>
      </c>
      <c r="TV87">
        <v>115.33</v>
      </c>
      <c r="UC87">
        <v>115.48</v>
      </c>
      <c r="UE87">
        <v>115.61</v>
      </c>
      <c r="UJ87">
        <v>115.64</v>
      </c>
      <c r="UR87">
        <v>127.83</v>
      </c>
      <c r="US87">
        <v>127.94</v>
      </c>
      <c r="UY87">
        <v>128.22999999999999</v>
      </c>
      <c r="VE87">
        <v>126.06</v>
      </c>
      <c r="VS87">
        <v>126.52</v>
      </c>
      <c r="AAP87">
        <v>117.92</v>
      </c>
      <c r="AAW87">
        <v>117.92</v>
      </c>
      <c r="ABV87">
        <v>117.92</v>
      </c>
      <c r="ACE87">
        <v>117.92</v>
      </c>
      <c r="ACM87">
        <v>117.92</v>
      </c>
      <c r="ADA87">
        <v>117.92</v>
      </c>
    </row>
    <row r="88" spans="1:812">
      <c r="A88" s="1" t="s">
        <v>114</v>
      </c>
      <c r="B88" t="s">
        <v>334</v>
      </c>
      <c r="HM88">
        <v>0</v>
      </c>
      <c r="HR88">
        <v>0.02</v>
      </c>
      <c r="HS88">
        <v>0.02</v>
      </c>
      <c r="HW88">
        <v>0.03</v>
      </c>
      <c r="HX88">
        <v>0.04</v>
      </c>
      <c r="HY88">
        <v>0.04</v>
      </c>
      <c r="HZ88">
        <v>0.05</v>
      </c>
      <c r="IA88">
        <v>0.06</v>
      </c>
      <c r="ID88">
        <v>7.0000000000000007E-2</v>
      </c>
      <c r="IE88">
        <v>0.08</v>
      </c>
      <c r="IF88">
        <v>0.1</v>
      </c>
      <c r="IG88">
        <v>0.11</v>
      </c>
      <c r="IH88">
        <v>0.12</v>
      </c>
      <c r="IK88">
        <v>0.14000000000000001</v>
      </c>
      <c r="IL88">
        <v>0.15</v>
      </c>
      <c r="IM88">
        <v>0.17</v>
      </c>
      <c r="IO88">
        <v>0.18</v>
      </c>
      <c r="IR88">
        <v>0.19</v>
      </c>
      <c r="IT88">
        <v>0.21</v>
      </c>
      <c r="IW88">
        <v>0.23</v>
      </c>
      <c r="IY88">
        <v>0.24</v>
      </c>
      <c r="JA88">
        <v>0.25</v>
      </c>
      <c r="JB88">
        <v>0.25</v>
      </c>
      <c r="JN88">
        <v>0.4</v>
      </c>
      <c r="JX88">
        <v>0.5</v>
      </c>
      <c r="KB88">
        <v>0.53</v>
      </c>
      <c r="LN88">
        <v>1.07</v>
      </c>
      <c r="MA88">
        <v>1.2</v>
      </c>
      <c r="NJ88">
        <v>1.65</v>
      </c>
      <c r="QO88">
        <v>2.1</v>
      </c>
      <c r="QV88">
        <v>2.11</v>
      </c>
    </row>
    <row r="89" spans="1:812">
      <c r="A89" s="1" t="s">
        <v>30</v>
      </c>
      <c r="B89" t="s">
        <v>30</v>
      </c>
      <c r="CE89">
        <v>0.03</v>
      </c>
      <c r="CU89">
        <v>7.0000000000000007E-2</v>
      </c>
      <c r="CV89">
        <v>0.28999999999999998</v>
      </c>
      <c r="CX89">
        <v>0.38</v>
      </c>
      <c r="CZ89">
        <v>0.43</v>
      </c>
      <c r="DM89">
        <v>0.53</v>
      </c>
      <c r="DS89">
        <v>0.57999999999999996</v>
      </c>
      <c r="FC89">
        <v>1.1499999999999999</v>
      </c>
      <c r="FI89">
        <v>1.65</v>
      </c>
      <c r="FM89">
        <v>2.11</v>
      </c>
      <c r="FP89">
        <v>2.56</v>
      </c>
      <c r="FS89">
        <v>3.2</v>
      </c>
      <c r="FT89">
        <v>3.56</v>
      </c>
      <c r="FU89">
        <v>3.81</v>
      </c>
      <c r="FY89">
        <v>4.25</v>
      </c>
      <c r="GC89">
        <v>4.51</v>
      </c>
      <c r="GD89">
        <v>4.6500000000000004</v>
      </c>
      <c r="GF89">
        <v>4.84</v>
      </c>
      <c r="GI89">
        <v>4.9400000000000004</v>
      </c>
      <c r="GJ89">
        <v>5.0199999999999996</v>
      </c>
      <c r="GK89">
        <v>5.47</v>
      </c>
      <c r="GO89">
        <v>5.98</v>
      </c>
      <c r="GQ89">
        <v>6.91</v>
      </c>
      <c r="GY89">
        <v>8.3000000000000007</v>
      </c>
      <c r="GZ89">
        <v>9.1199999999999992</v>
      </c>
      <c r="HD89">
        <v>9.9</v>
      </c>
      <c r="HF89">
        <v>11.06</v>
      </c>
      <c r="HI89">
        <v>11.84</v>
      </c>
      <c r="HM89">
        <v>12.48</v>
      </c>
      <c r="HP89">
        <v>14.89</v>
      </c>
      <c r="HT89">
        <v>15.94</v>
      </c>
      <c r="HW89">
        <v>17.22</v>
      </c>
      <c r="IA89">
        <v>19.309999999999999</v>
      </c>
      <c r="IE89">
        <v>21.67</v>
      </c>
      <c r="IL89">
        <v>27.52</v>
      </c>
      <c r="IM89">
        <v>28.33</v>
      </c>
      <c r="IR89">
        <v>33.25</v>
      </c>
      <c r="JA89">
        <v>37.51</v>
      </c>
      <c r="JE89">
        <v>40.520000000000003</v>
      </c>
      <c r="JM89">
        <v>44.98</v>
      </c>
      <c r="KC89">
        <v>50.03</v>
      </c>
      <c r="KE89">
        <v>51.64</v>
      </c>
      <c r="KL89">
        <v>55.22</v>
      </c>
      <c r="KS89">
        <v>57.81</v>
      </c>
      <c r="KZ89">
        <v>60.21</v>
      </c>
      <c r="LG89">
        <v>65.64</v>
      </c>
      <c r="LN89">
        <v>68.12</v>
      </c>
      <c r="LU89">
        <v>72.540000000000006</v>
      </c>
      <c r="MB89">
        <v>75.37</v>
      </c>
      <c r="MI89">
        <v>78.67</v>
      </c>
      <c r="MS89">
        <v>79.11</v>
      </c>
      <c r="NP89">
        <v>91.31</v>
      </c>
      <c r="NW89">
        <v>95.29</v>
      </c>
      <c r="OF89">
        <v>98.1</v>
      </c>
      <c r="OM89">
        <v>98.6</v>
      </c>
      <c r="OT89">
        <v>102.08</v>
      </c>
      <c r="PH89">
        <v>105.06</v>
      </c>
      <c r="PO89">
        <v>106.1</v>
      </c>
      <c r="PV89">
        <v>109.35</v>
      </c>
      <c r="QC89">
        <v>114.89</v>
      </c>
      <c r="QQ89">
        <v>117.21</v>
      </c>
      <c r="QX89">
        <v>119.26</v>
      </c>
      <c r="SH89">
        <v>123.58</v>
      </c>
      <c r="SO89">
        <v>135.72</v>
      </c>
      <c r="SV89">
        <v>136.41999999999999</v>
      </c>
      <c r="TC89">
        <v>138.41</v>
      </c>
      <c r="UE89">
        <v>142.80000000000001</v>
      </c>
      <c r="UL89">
        <v>143.13999999999999</v>
      </c>
      <c r="US89">
        <v>143.54</v>
      </c>
      <c r="UZ89">
        <v>144.59</v>
      </c>
      <c r="VG89">
        <v>143.03</v>
      </c>
      <c r="WA89">
        <v>144.35</v>
      </c>
      <c r="WH89">
        <v>144.88</v>
      </c>
      <c r="WO89">
        <v>146.13999999999999</v>
      </c>
      <c r="WV89">
        <v>147.66999999999999</v>
      </c>
      <c r="XC89">
        <v>148.30000000000001</v>
      </c>
      <c r="XJ89">
        <v>150.61000000000001</v>
      </c>
      <c r="XX89">
        <v>151.74</v>
      </c>
      <c r="YE89">
        <v>156.71</v>
      </c>
      <c r="ZG89">
        <v>157.25</v>
      </c>
      <c r="AAB89">
        <v>157.79</v>
      </c>
      <c r="AAP89">
        <v>159.03</v>
      </c>
      <c r="AAW89">
        <v>159.72999999999999</v>
      </c>
      <c r="ACM89">
        <v>162.11000000000001</v>
      </c>
      <c r="ACT89">
        <v>162.83000000000001</v>
      </c>
      <c r="ADH89">
        <v>163.91</v>
      </c>
    </row>
    <row r="90" spans="1:812">
      <c r="A90" s="1" t="s">
        <v>133</v>
      </c>
      <c r="B90" t="s">
        <v>133</v>
      </c>
      <c r="BX90">
        <v>0</v>
      </c>
      <c r="CC90">
        <v>0.09</v>
      </c>
      <c r="CD90">
        <v>0.18</v>
      </c>
      <c r="CE90">
        <v>0.27</v>
      </c>
      <c r="CF90">
        <v>0.36</v>
      </c>
      <c r="CG90">
        <v>0.54</v>
      </c>
      <c r="CH90">
        <v>0.69</v>
      </c>
      <c r="CI90">
        <v>0.83</v>
      </c>
      <c r="CJ90">
        <v>0.97</v>
      </c>
      <c r="CK90">
        <v>1.1200000000000001</v>
      </c>
      <c r="CL90">
        <v>1.24</v>
      </c>
      <c r="CM90">
        <v>1.38</v>
      </c>
      <c r="CN90">
        <v>1.51</v>
      </c>
      <c r="CO90">
        <v>1.74</v>
      </c>
      <c r="CP90">
        <v>1.95</v>
      </c>
      <c r="CQ90">
        <v>2.16</v>
      </c>
      <c r="CR90">
        <v>2.36</v>
      </c>
      <c r="CS90">
        <v>2.54</v>
      </c>
      <c r="CT90">
        <v>2.75</v>
      </c>
      <c r="CU90">
        <v>3.06</v>
      </c>
      <c r="CV90">
        <v>3.39</v>
      </c>
      <c r="CW90">
        <v>3.69</v>
      </c>
      <c r="CX90">
        <v>4.0599999999999996</v>
      </c>
      <c r="CY90">
        <v>4.41</v>
      </c>
      <c r="CZ90">
        <v>4.7300000000000004</v>
      </c>
      <c r="DA90">
        <v>5.0599999999999996</v>
      </c>
      <c r="DB90">
        <v>5.38</v>
      </c>
      <c r="DC90">
        <v>5.51</v>
      </c>
      <c r="DD90">
        <v>5.62</v>
      </c>
      <c r="DE90">
        <v>5.81</v>
      </c>
      <c r="DF90">
        <v>5.99</v>
      </c>
      <c r="DG90">
        <v>6.17</v>
      </c>
      <c r="DH90">
        <v>6.34</v>
      </c>
      <c r="DI90">
        <v>6.54</v>
      </c>
      <c r="DJ90">
        <v>6.74</v>
      </c>
      <c r="DK90">
        <v>6.94</v>
      </c>
      <c r="DL90">
        <v>7.09</v>
      </c>
      <c r="DM90">
        <v>7.26</v>
      </c>
      <c r="DN90">
        <v>7.42</v>
      </c>
      <c r="DO90">
        <v>7.7</v>
      </c>
      <c r="DP90">
        <v>8.2200000000000006</v>
      </c>
      <c r="DQ90">
        <v>8.8000000000000007</v>
      </c>
      <c r="DR90">
        <v>9.34</v>
      </c>
      <c r="DS90">
        <v>9.94</v>
      </c>
      <c r="DT90">
        <v>10.56</v>
      </c>
      <c r="DU90">
        <v>11.14</v>
      </c>
      <c r="DV90">
        <v>11.71</v>
      </c>
      <c r="DW90">
        <v>12.26</v>
      </c>
      <c r="DX90">
        <v>12.69</v>
      </c>
      <c r="DY90">
        <v>13.09</v>
      </c>
      <c r="DZ90">
        <v>13.58</v>
      </c>
      <c r="EA90">
        <v>14.1</v>
      </c>
      <c r="EB90">
        <v>14.55</v>
      </c>
      <c r="EC90">
        <v>14.99</v>
      </c>
      <c r="ED90">
        <v>15.33</v>
      </c>
      <c r="EE90">
        <v>15.65</v>
      </c>
      <c r="EF90">
        <v>15.96</v>
      </c>
      <c r="EG90">
        <v>16.309999999999999</v>
      </c>
      <c r="EH90">
        <v>16.71</v>
      </c>
      <c r="EI90">
        <v>17.010000000000002</v>
      </c>
      <c r="EJ90">
        <v>17.37</v>
      </c>
      <c r="EK90">
        <v>17.7</v>
      </c>
      <c r="EL90">
        <v>18.03</v>
      </c>
      <c r="EM90">
        <v>18.37</v>
      </c>
      <c r="EN90">
        <v>18.86</v>
      </c>
      <c r="EO90">
        <v>19.399999999999999</v>
      </c>
      <c r="EP90">
        <v>19.899999999999999</v>
      </c>
      <c r="EQ90">
        <v>20.399999999999999</v>
      </c>
      <c r="ER90">
        <v>20.85</v>
      </c>
      <c r="ES90">
        <v>21.26</v>
      </c>
      <c r="ET90">
        <v>21.66</v>
      </c>
      <c r="EU90">
        <v>22.17</v>
      </c>
      <c r="EV90">
        <v>22.74</v>
      </c>
      <c r="EW90">
        <v>23.23</v>
      </c>
      <c r="EX90">
        <v>23.7</v>
      </c>
      <c r="EY90">
        <v>24.08</v>
      </c>
      <c r="EZ90">
        <v>24.42</v>
      </c>
      <c r="FA90">
        <v>24.77</v>
      </c>
      <c r="FB90">
        <v>25.19</v>
      </c>
      <c r="FC90">
        <v>25.69</v>
      </c>
      <c r="FD90">
        <v>26.08</v>
      </c>
      <c r="FE90">
        <v>26.47</v>
      </c>
      <c r="FF90">
        <v>26.82</v>
      </c>
      <c r="FG90">
        <v>27.03</v>
      </c>
      <c r="FH90">
        <v>27.35</v>
      </c>
      <c r="FI90">
        <v>27.76</v>
      </c>
      <c r="FJ90">
        <v>28.25</v>
      </c>
      <c r="FK90">
        <v>28.63</v>
      </c>
      <c r="FL90">
        <v>29.01</v>
      </c>
      <c r="FM90">
        <v>29.35</v>
      </c>
      <c r="FN90">
        <v>29.67</v>
      </c>
      <c r="FO90">
        <v>30.02</v>
      </c>
      <c r="FP90">
        <v>30.5</v>
      </c>
      <c r="FQ90">
        <v>31.06</v>
      </c>
      <c r="FR90">
        <v>31.53</v>
      </c>
      <c r="FS90">
        <v>32.020000000000003</v>
      </c>
      <c r="FT90">
        <v>32.47</v>
      </c>
      <c r="FU90">
        <v>32.9</v>
      </c>
      <c r="FV90">
        <v>33.380000000000003</v>
      </c>
      <c r="FW90">
        <v>33.979999999999997</v>
      </c>
      <c r="FX90">
        <v>34.659999999999997</v>
      </c>
      <c r="FY90">
        <v>35.18</v>
      </c>
      <c r="FZ90">
        <v>35.74</v>
      </c>
      <c r="GA90">
        <v>36.229999999999997</v>
      </c>
      <c r="GB90">
        <v>36.67</v>
      </c>
      <c r="GC90">
        <v>37.18</v>
      </c>
      <c r="GD90">
        <v>37.85</v>
      </c>
      <c r="GE90">
        <v>38.57</v>
      </c>
      <c r="GF90">
        <v>39.14</v>
      </c>
      <c r="GG90">
        <v>39.549999999999997</v>
      </c>
      <c r="GH90">
        <v>40.1</v>
      </c>
      <c r="GI90">
        <v>40.57</v>
      </c>
      <c r="GJ90">
        <v>41.09</v>
      </c>
      <c r="GK90">
        <v>41.76</v>
      </c>
      <c r="GL90">
        <v>42.45</v>
      </c>
      <c r="GM90">
        <v>42.96</v>
      </c>
      <c r="GN90">
        <v>43.57</v>
      </c>
      <c r="GO90">
        <v>44.12</v>
      </c>
      <c r="GP90">
        <v>44.66</v>
      </c>
      <c r="GQ90">
        <v>45.28</v>
      </c>
      <c r="GR90">
        <v>46.05</v>
      </c>
      <c r="GS90">
        <v>46.83</v>
      </c>
      <c r="GT90">
        <v>47.5</v>
      </c>
      <c r="GU90">
        <v>48.19</v>
      </c>
      <c r="GV90">
        <v>48.94</v>
      </c>
      <c r="GW90">
        <v>49.74</v>
      </c>
      <c r="GX90">
        <v>50.38</v>
      </c>
      <c r="GY90">
        <v>51.32</v>
      </c>
      <c r="GZ90">
        <v>52.14</v>
      </c>
      <c r="HA90">
        <v>52.85</v>
      </c>
      <c r="HB90">
        <v>53.71</v>
      </c>
      <c r="HC90">
        <v>54.51</v>
      </c>
      <c r="HD90">
        <v>55.27</v>
      </c>
      <c r="HE90">
        <v>56.12</v>
      </c>
      <c r="HF90">
        <v>57.06</v>
      </c>
      <c r="HG90">
        <v>57.91</v>
      </c>
      <c r="HH90">
        <v>58.65</v>
      </c>
      <c r="HI90">
        <v>59.47</v>
      </c>
      <c r="HJ90">
        <v>60.27</v>
      </c>
      <c r="HK90">
        <v>61.03</v>
      </c>
      <c r="HL90">
        <v>61.88</v>
      </c>
      <c r="HM90">
        <v>62.8</v>
      </c>
      <c r="HN90">
        <v>63.64</v>
      </c>
      <c r="HO90">
        <v>64.38</v>
      </c>
      <c r="HP90">
        <v>65.25</v>
      </c>
      <c r="HQ90">
        <v>66.069999999999993</v>
      </c>
      <c r="HR90">
        <v>66.89</v>
      </c>
      <c r="HS90">
        <v>67.739999999999995</v>
      </c>
      <c r="HT90">
        <v>68.69</v>
      </c>
      <c r="HU90">
        <v>69.55</v>
      </c>
      <c r="HV90">
        <v>70.290000000000006</v>
      </c>
      <c r="HW90">
        <v>71.180000000000007</v>
      </c>
      <c r="HX90">
        <v>72.05</v>
      </c>
      <c r="HY90">
        <v>72.89</v>
      </c>
      <c r="HZ90">
        <v>73.73</v>
      </c>
      <c r="IA90">
        <v>74.67</v>
      </c>
      <c r="IB90">
        <v>75.540000000000006</v>
      </c>
      <c r="IC90">
        <v>76.28</v>
      </c>
      <c r="ID90">
        <v>77.209999999999994</v>
      </c>
      <c r="IE90">
        <v>78.12</v>
      </c>
      <c r="IF90">
        <v>79</v>
      </c>
      <c r="IG90">
        <v>79.89</v>
      </c>
      <c r="IH90">
        <v>80.83</v>
      </c>
      <c r="II90">
        <v>81.7</v>
      </c>
      <c r="IJ90">
        <v>82.43</v>
      </c>
      <c r="IK90">
        <v>83.35</v>
      </c>
      <c r="IL90">
        <v>84.24</v>
      </c>
      <c r="IM90">
        <v>85.12</v>
      </c>
      <c r="IN90">
        <v>86</v>
      </c>
      <c r="IO90">
        <v>86.91</v>
      </c>
      <c r="IP90">
        <v>87.77</v>
      </c>
      <c r="IQ90">
        <v>88.5</v>
      </c>
      <c r="IR90">
        <v>89.37</v>
      </c>
      <c r="IS90">
        <v>90.19</v>
      </c>
      <c r="IT90">
        <v>90.99</v>
      </c>
      <c r="IU90">
        <v>91.79</v>
      </c>
      <c r="IV90">
        <v>91.94</v>
      </c>
      <c r="IW90">
        <v>92.73</v>
      </c>
      <c r="IX90">
        <v>93.4</v>
      </c>
      <c r="IY90">
        <v>94.19</v>
      </c>
      <c r="IZ90">
        <v>94.94</v>
      </c>
      <c r="JA90">
        <v>95.69</v>
      </c>
      <c r="JB90">
        <v>96.49</v>
      </c>
      <c r="JC90">
        <v>97.33</v>
      </c>
      <c r="JD90">
        <v>98.13</v>
      </c>
      <c r="JE90">
        <v>98.81</v>
      </c>
      <c r="JF90">
        <v>99.66</v>
      </c>
      <c r="JG90">
        <v>100.47</v>
      </c>
      <c r="JH90">
        <v>101.12</v>
      </c>
      <c r="JI90">
        <v>101.76</v>
      </c>
      <c r="JJ90">
        <v>102.5</v>
      </c>
      <c r="JK90">
        <v>103.26</v>
      </c>
      <c r="JL90">
        <v>103.83</v>
      </c>
      <c r="JM90">
        <v>104.43</v>
      </c>
      <c r="JN90">
        <v>104.96</v>
      </c>
      <c r="JO90">
        <v>105.49</v>
      </c>
      <c r="JP90">
        <v>106.06</v>
      </c>
      <c r="JQ90">
        <v>106.74</v>
      </c>
      <c r="JR90">
        <v>107.45</v>
      </c>
      <c r="JS90">
        <v>107.93</v>
      </c>
      <c r="JT90">
        <v>108.41</v>
      </c>
      <c r="JU90">
        <v>108.81</v>
      </c>
      <c r="JV90">
        <v>109.2</v>
      </c>
      <c r="JW90">
        <v>109.61</v>
      </c>
      <c r="JX90">
        <v>110.11</v>
      </c>
      <c r="JY90">
        <v>110.64</v>
      </c>
      <c r="JZ90">
        <v>110.95</v>
      </c>
      <c r="KA90">
        <v>111.28</v>
      </c>
      <c r="KB90">
        <v>111.53</v>
      </c>
      <c r="KC90">
        <v>111.75</v>
      </c>
      <c r="KD90">
        <v>112.2</v>
      </c>
      <c r="KE90">
        <v>112.69</v>
      </c>
      <c r="KF90">
        <v>113.21</v>
      </c>
      <c r="KG90">
        <v>113.52</v>
      </c>
      <c r="KH90">
        <v>113.88</v>
      </c>
      <c r="KI90">
        <v>114.17</v>
      </c>
      <c r="KJ90">
        <v>114.48</v>
      </c>
      <c r="KK90">
        <v>114.88</v>
      </c>
      <c r="KL90">
        <v>115.09</v>
      </c>
      <c r="KM90">
        <v>115.39</v>
      </c>
      <c r="KN90">
        <v>115.56</v>
      </c>
      <c r="KO90">
        <v>115.79</v>
      </c>
      <c r="KP90">
        <v>115.98</v>
      </c>
      <c r="KQ90">
        <v>116.14</v>
      </c>
      <c r="KR90">
        <v>116.33</v>
      </c>
      <c r="KS90">
        <v>116.53</v>
      </c>
      <c r="KT90">
        <v>116.53</v>
      </c>
      <c r="KU90">
        <v>116.78</v>
      </c>
      <c r="KV90">
        <v>116.98</v>
      </c>
      <c r="KW90">
        <v>117.09</v>
      </c>
      <c r="KX90">
        <v>117.1</v>
      </c>
      <c r="KY90">
        <v>117.25</v>
      </c>
      <c r="KZ90">
        <v>117.51</v>
      </c>
      <c r="LA90">
        <v>117.75</v>
      </c>
      <c r="LB90">
        <v>117.86</v>
      </c>
      <c r="LC90">
        <v>118.02</v>
      </c>
      <c r="LD90">
        <v>118.15</v>
      </c>
      <c r="LE90">
        <v>118.25</v>
      </c>
      <c r="LF90">
        <v>118.4</v>
      </c>
      <c r="LG90">
        <v>118.6</v>
      </c>
      <c r="LH90">
        <v>118.79</v>
      </c>
      <c r="LI90">
        <v>118.88</v>
      </c>
      <c r="LJ90">
        <v>119.03</v>
      </c>
      <c r="LK90">
        <v>119.15</v>
      </c>
      <c r="LL90">
        <v>119.27</v>
      </c>
      <c r="LM90">
        <v>119.4</v>
      </c>
      <c r="LN90">
        <v>119.53</v>
      </c>
      <c r="LO90">
        <v>119.65</v>
      </c>
      <c r="LP90">
        <v>119.73</v>
      </c>
      <c r="LQ90">
        <v>119.84</v>
      </c>
      <c r="LR90">
        <v>119.94</v>
      </c>
      <c r="LS90">
        <v>119.98</v>
      </c>
      <c r="LT90">
        <v>120.09</v>
      </c>
      <c r="LU90">
        <v>120.22</v>
      </c>
      <c r="LV90">
        <v>120.36</v>
      </c>
      <c r="LW90">
        <v>120.44</v>
      </c>
      <c r="LX90">
        <v>120.56</v>
      </c>
      <c r="LY90">
        <v>120.65</v>
      </c>
      <c r="LZ90">
        <v>120.68</v>
      </c>
      <c r="MA90">
        <v>121</v>
      </c>
      <c r="MB90">
        <v>121.26</v>
      </c>
      <c r="MC90">
        <v>121.54</v>
      </c>
      <c r="MD90">
        <v>121.69</v>
      </c>
      <c r="ME90">
        <v>121.9</v>
      </c>
      <c r="MF90">
        <v>122.08</v>
      </c>
      <c r="MG90">
        <v>122.14</v>
      </c>
      <c r="MH90">
        <v>122.36</v>
      </c>
      <c r="MI90">
        <v>122.58</v>
      </c>
      <c r="MJ90">
        <v>122.81</v>
      </c>
      <c r="MK90">
        <v>122.96</v>
      </c>
      <c r="ML90">
        <v>123.15</v>
      </c>
      <c r="MM90">
        <v>123.37</v>
      </c>
      <c r="MN90">
        <v>123.44</v>
      </c>
      <c r="MO90">
        <v>123.73</v>
      </c>
      <c r="MP90">
        <v>124.03</v>
      </c>
      <c r="MQ90">
        <v>124.38</v>
      </c>
      <c r="MR90">
        <v>124.64</v>
      </c>
      <c r="MS90">
        <v>124.93</v>
      </c>
      <c r="MT90">
        <v>125.21</v>
      </c>
      <c r="MU90">
        <v>125.3</v>
      </c>
      <c r="MV90">
        <v>125.55</v>
      </c>
      <c r="MW90">
        <v>125.82</v>
      </c>
      <c r="MX90">
        <v>126.12</v>
      </c>
      <c r="MY90">
        <v>126.32</v>
      </c>
      <c r="MZ90">
        <v>126.54</v>
      </c>
      <c r="NA90">
        <v>126.75</v>
      </c>
      <c r="NB90">
        <v>126.83</v>
      </c>
      <c r="NC90">
        <v>127.07</v>
      </c>
      <c r="ND90">
        <v>127.31</v>
      </c>
      <c r="NE90">
        <v>127.56</v>
      </c>
      <c r="NF90">
        <v>127.74</v>
      </c>
      <c r="NG90">
        <v>127.95</v>
      </c>
      <c r="NH90">
        <v>128.13999999999999</v>
      </c>
      <c r="NI90">
        <v>128.21</v>
      </c>
      <c r="NJ90">
        <v>128.44999999999999</v>
      </c>
      <c r="NK90">
        <v>128.68</v>
      </c>
      <c r="NL90">
        <v>128.93</v>
      </c>
      <c r="NM90">
        <v>129.11000000000001</v>
      </c>
      <c r="NN90">
        <v>129.31</v>
      </c>
      <c r="NO90">
        <v>129.47999999999999</v>
      </c>
      <c r="NP90">
        <v>129.55000000000001</v>
      </c>
      <c r="NQ90">
        <v>129.80000000000001</v>
      </c>
      <c r="NR90">
        <v>130</v>
      </c>
      <c r="NS90">
        <v>130.18</v>
      </c>
      <c r="NT90">
        <v>130.34</v>
      </c>
      <c r="NU90">
        <v>130.49</v>
      </c>
      <c r="NV90">
        <v>130.79</v>
      </c>
      <c r="NW90">
        <v>130.9</v>
      </c>
      <c r="NX90">
        <v>131.16999999999999</v>
      </c>
      <c r="NY90">
        <v>131.41</v>
      </c>
      <c r="NZ90">
        <v>131.66</v>
      </c>
      <c r="OA90">
        <v>131.94999999999999</v>
      </c>
      <c r="OB90">
        <v>132.46</v>
      </c>
      <c r="OC90">
        <v>132.97999999999999</v>
      </c>
      <c r="OD90">
        <v>133.49</v>
      </c>
      <c r="OE90">
        <v>134.04</v>
      </c>
      <c r="OF90">
        <v>134.63</v>
      </c>
      <c r="OG90">
        <v>135.12</v>
      </c>
      <c r="OH90">
        <v>135.5</v>
      </c>
      <c r="OI90">
        <v>136.09</v>
      </c>
      <c r="OJ90">
        <v>136.66999999999999</v>
      </c>
      <c r="OK90">
        <v>137.21</v>
      </c>
      <c r="OL90">
        <v>137.78</v>
      </c>
      <c r="OM90">
        <v>138.37</v>
      </c>
      <c r="ON90">
        <v>138.84</v>
      </c>
      <c r="OO90">
        <v>139.19999999999999</v>
      </c>
      <c r="OP90">
        <v>139.74</v>
      </c>
      <c r="OQ90">
        <v>140.26</v>
      </c>
      <c r="OR90">
        <v>140.75</v>
      </c>
      <c r="OS90">
        <v>141.28</v>
      </c>
      <c r="OT90">
        <v>141.91999999999999</v>
      </c>
      <c r="OU90">
        <v>142.44</v>
      </c>
      <c r="OV90">
        <v>142.86000000000001</v>
      </c>
      <c r="OW90">
        <v>143.49</v>
      </c>
      <c r="OX90">
        <v>144.11000000000001</v>
      </c>
      <c r="OY90">
        <v>144.74</v>
      </c>
      <c r="OZ90">
        <v>145.38999999999999</v>
      </c>
      <c r="PA90">
        <v>146.09</v>
      </c>
      <c r="PB90">
        <v>146.68</v>
      </c>
      <c r="PC90">
        <v>147.16999999999999</v>
      </c>
      <c r="PD90">
        <v>147.30000000000001</v>
      </c>
      <c r="PE90">
        <v>147.31</v>
      </c>
      <c r="PF90">
        <v>147.31</v>
      </c>
      <c r="PG90">
        <v>147.65</v>
      </c>
      <c r="PH90">
        <v>148.4</v>
      </c>
      <c r="PI90">
        <v>149.05000000000001</v>
      </c>
      <c r="PJ90">
        <v>149.59</v>
      </c>
      <c r="PW90">
        <v>164.06</v>
      </c>
      <c r="PX90">
        <v>164.78</v>
      </c>
      <c r="QK90">
        <v>178.86</v>
      </c>
      <c r="QL90">
        <v>179.68</v>
      </c>
      <c r="QS90">
        <v>186.47</v>
      </c>
      <c r="RL90">
        <v>201.88</v>
      </c>
      <c r="SI90">
        <v>212.4</v>
      </c>
      <c r="SJ90">
        <v>212.7</v>
      </c>
      <c r="SV90">
        <v>217.11</v>
      </c>
      <c r="SW90">
        <v>217.57</v>
      </c>
      <c r="SX90">
        <v>217.85</v>
      </c>
      <c r="TC90">
        <v>220.02</v>
      </c>
      <c r="TD90">
        <v>220.56</v>
      </c>
      <c r="TE90">
        <v>220.92</v>
      </c>
      <c r="TS90">
        <v>228.35</v>
      </c>
      <c r="UG90">
        <v>232.19</v>
      </c>
      <c r="UT90">
        <v>234.63</v>
      </c>
      <c r="UU90">
        <v>234.77</v>
      </c>
      <c r="VB90">
        <v>237.83</v>
      </c>
      <c r="VU90">
        <v>240.93</v>
      </c>
      <c r="VV90">
        <v>241.12</v>
      </c>
      <c r="WX90">
        <v>247.88</v>
      </c>
      <c r="XE90">
        <v>250.58</v>
      </c>
      <c r="YF90">
        <v>259.91000000000003</v>
      </c>
      <c r="YG90">
        <v>260.14999999999998</v>
      </c>
      <c r="YL90">
        <v>261.27999999999997</v>
      </c>
      <c r="YM90">
        <v>261.52999999999997</v>
      </c>
      <c r="YN90">
        <v>261.64</v>
      </c>
      <c r="YQ90">
        <v>262.14999999999998</v>
      </c>
      <c r="YR90">
        <v>262.3</v>
      </c>
      <c r="YS90">
        <v>262.49</v>
      </c>
      <c r="YT90">
        <v>262.68</v>
      </c>
      <c r="YU90">
        <v>262.77999999999997</v>
      </c>
      <c r="YZ90">
        <v>263.39999999999998</v>
      </c>
      <c r="ZA90">
        <v>263.55</v>
      </c>
      <c r="ZB90">
        <v>263.62</v>
      </c>
      <c r="AAA90">
        <v>265.89</v>
      </c>
      <c r="AAB90">
        <v>265.97000000000003</v>
      </c>
      <c r="AAC90">
        <v>266.05</v>
      </c>
      <c r="AAD90">
        <v>266.08999999999997</v>
      </c>
      <c r="AAG90">
        <v>266.33999999999997</v>
      </c>
      <c r="AAH90">
        <v>266.39</v>
      </c>
      <c r="AAI90">
        <v>266.48</v>
      </c>
      <c r="AAJ90">
        <v>266.57</v>
      </c>
      <c r="AAK90">
        <v>266.61</v>
      </c>
      <c r="AAN90">
        <v>266.83</v>
      </c>
      <c r="AAO90">
        <v>266.98</v>
      </c>
      <c r="AAP90">
        <v>267.14999999999998</v>
      </c>
      <c r="AAQ90">
        <v>267.33</v>
      </c>
      <c r="AAR90">
        <v>267.43</v>
      </c>
      <c r="AAZ90">
        <v>268.58999999999997</v>
      </c>
      <c r="ABA90">
        <v>268.72000000000003</v>
      </c>
      <c r="ABB90">
        <v>268.83</v>
      </c>
      <c r="ABC90">
        <v>268.94</v>
      </c>
      <c r="ABD90">
        <v>269.13</v>
      </c>
      <c r="ABE90">
        <v>269.27999999999997</v>
      </c>
      <c r="ABF90">
        <v>269.36</v>
      </c>
      <c r="ABT90">
        <v>271.72000000000003</v>
      </c>
      <c r="ABU90">
        <v>271.85000000000002</v>
      </c>
      <c r="ABV90">
        <v>272.12</v>
      </c>
      <c r="ABW90">
        <v>272.36</v>
      </c>
      <c r="ABX90">
        <v>272.61</v>
      </c>
      <c r="ABY90">
        <v>272.87</v>
      </c>
      <c r="ABZ90">
        <v>273.10000000000002</v>
      </c>
      <c r="ACA90">
        <v>273.24</v>
      </c>
      <c r="ACC90">
        <v>273.66000000000003</v>
      </c>
      <c r="ACD90">
        <v>273.85000000000002</v>
      </c>
      <c r="ACE90">
        <v>274.04000000000002</v>
      </c>
      <c r="ACF90">
        <v>274.24</v>
      </c>
      <c r="ACG90">
        <v>274.42</v>
      </c>
      <c r="ACH90">
        <v>274.52</v>
      </c>
      <c r="ACQ90">
        <v>275.08999999999997</v>
      </c>
      <c r="ACR90">
        <v>275.08999999999997</v>
      </c>
      <c r="ACS90">
        <v>275.16000000000003</v>
      </c>
      <c r="ACT90">
        <v>275.23</v>
      </c>
      <c r="ACU90">
        <v>275.27999999999997</v>
      </c>
      <c r="ACV90">
        <v>275.31</v>
      </c>
      <c r="ADD90">
        <v>275.7</v>
      </c>
      <c r="ADE90">
        <v>275.74</v>
      </c>
      <c r="ADF90">
        <v>275.77999999999997</v>
      </c>
      <c r="ADG90">
        <v>275.81</v>
      </c>
      <c r="ADH90">
        <v>275.86</v>
      </c>
      <c r="ADI90">
        <v>275.91000000000003</v>
      </c>
      <c r="ADJ90">
        <v>275.92</v>
      </c>
      <c r="ADZ90">
        <v>276.42</v>
      </c>
      <c r="AEA90">
        <v>276.44</v>
      </c>
      <c r="AEB90">
        <v>276.47000000000003</v>
      </c>
      <c r="AEC90">
        <v>276.5</v>
      </c>
      <c r="AED90">
        <v>276.52</v>
      </c>
      <c r="AEE90">
        <v>276.52999999999997</v>
      </c>
    </row>
    <row r="91" spans="1:812">
      <c r="A91" s="1" t="s">
        <v>127</v>
      </c>
      <c r="B91" t="s">
        <v>268</v>
      </c>
      <c r="U91">
        <v>0.01</v>
      </c>
      <c r="V91">
        <v>0.03</v>
      </c>
      <c r="W91">
        <v>0.04</v>
      </c>
      <c r="X91">
        <v>0.05</v>
      </c>
      <c r="AA91">
        <v>0.12</v>
      </c>
      <c r="AB91">
        <v>0.16</v>
      </c>
      <c r="AC91">
        <v>0.22</v>
      </c>
      <c r="AD91">
        <v>0.33</v>
      </c>
      <c r="AE91">
        <v>0.44</v>
      </c>
      <c r="AH91">
        <v>0.73</v>
      </c>
      <c r="AI91">
        <v>0.81</v>
      </c>
      <c r="AJ91">
        <v>0.9</v>
      </c>
      <c r="AK91">
        <v>0.99</v>
      </c>
      <c r="AL91">
        <v>1.0900000000000001</v>
      </c>
      <c r="AM91">
        <v>1.17</v>
      </c>
      <c r="AN91">
        <v>1.24</v>
      </c>
      <c r="AO91">
        <v>1.28</v>
      </c>
      <c r="AP91">
        <v>1.36</v>
      </c>
      <c r="AQ91">
        <v>1.38</v>
      </c>
      <c r="AR91">
        <v>1.43</v>
      </c>
      <c r="AS91">
        <v>1.5</v>
      </c>
      <c r="AT91">
        <v>1.55</v>
      </c>
      <c r="AU91">
        <v>1.59</v>
      </c>
      <c r="AV91">
        <v>1.62</v>
      </c>
      <c r="AW91">
        <v>1.68</v>
      </c>
      <c r="AX91">
        <v>1.76</v>
      </c>
      <c r="AY91">
        <v>1.94</v>
      </c>
      <c r="AZ91">
        <v>2.2000000000000002</v>
      </c>
      <c r="BA91">
        <v>2.57</v>
      </c>
      <c r="BB91">
        <v>2.89</v>
      </c>
      <c r="BC91">
        <v>3.1</v>
      </c>
      <c r="BD91">
        <v>3.23</v>
      </c>
      <c r="BE91">
        <v>3.34</v>
      </c>
      <c r="BF91">
        <v>3.46</v>
      </c>
      <c r="BG91">
        <v>3.7</v>
      </c>
      <c r="BH91">
        <v>3.94</v>
      </c>
      <c r="BI91">
        <v>4.05</v>
      </c>
      <c r="BJ91">
        <v>4.1100000000000003</v>
      </c>
      <c r="BK91">
        <v>4.16</v>
      </c>
      <c r="BL91">
        <v>4.2</v>
      </c>
      <c r="BM91">
        <v>4.26</v>
      </c>
      <c r="BN91">
        <v>4.46</v>
      </c>
      <c r="BO91">
        <v>4.71</v>
      </c>
      <c r="BP91">
        <v>4.8</v>
      </c>
      <c r="BQ91">
        <v>4.82</v>
      </c>
      <c r="BR91">
        <v>4.9000000000000004</v>
      </c>
      <c r="BS91">
        <v>5.01</v>
      </c>
      <c r="BT91">
        <v>5.24</v>
      </c>
      <c r="BU91">
        <v>5.63</v>
      </c>
      <c r="BV91">
        <v>6.21</v>
      </c>
      <c r="BW91">
        <v>6.59</v>
      </c>
      <c r="BX91">
        <v>6.77</v>
      </c>
      <c r="BY91">
        <v>6.86</v>
      </c>
      <c r="BZ91">
        <v>7.04</v>
      </c>
      <c r="CA91">
        <v>7.44</v>
      </c>
      <c r="CB91">
        <v>7.89</v>
      </c>
      <c r="CC91">
        <v>8.36</v>
      </c>
      <c r="CD91">
        <v>9.6</v>
      </c>
      <c r="CE91">
        <v>9.6999999999999993</v>
      </c>
      <c r="CF91">
        <v>10.09</v>
      </c>
      <c r="CG91">
        <v>10.47</v>
      </c>
      <c r="CH91">
        <v>10.9</v>
      </c>
      <c r="CI91">
        <v>11.83</v>
      </c>
      <c r="CJ91">
        <v>12.98</v>
      </c>
      <c r="CK91">
        <v>13.34</v>
      </c>
      <c r="CL91">
        <v>13.57</v>
      </c>
      <c r="CM91">
        <v>14.09</v>
      </c>
      <c r="CN91">
        <v>14.76</v>
      </c>
      <c r="CO91">
        <v>15.29</v>
      </c>
      <c r="CP91">
        <v>16.37</v>
      </c>
      <c r="CQ91">
        <v>17.29</v>
      </c>
      <c r="CR91">
        <v>17.72</v>
      </c>
      <c r="CS91">
        <v>17.95</v>
      </c>
      <c r="CT91">
        <v>18.079999999999998</v>
      </c>
      <c r="CU91">
        <v>18.68</v>
      </c>
      <c r="CV91">
        <v>19.29</v>
      </c>
      <c r="CW91">
        <v>19.899999999999999</v>
      </c>
      <c r="CX91">
        <v>20.56</v>
      </c>
      <c r="CY91">
        <v>21.1</v>
      </c>
      <c r="CZ91">
        <v>21.42</v>
      </c>
      <c r="DA91">
        <v>21.93</v>
      </c>
      <c r="DB91">
        <v>22.68</v>
      </c>
      <c r="DC91">
        <v>23.52</v>
      </c>
      <c r="DD91">
        <v>24.83</v>
      </c>
      <c r="DE91">
        <v>26.27</v>
      </c>
      <c r="DF91">
        <v>26.81</v>
      </c>
      <c r="DG91">
        <v>27.01</v>
      </c>
      <c r="DI91">
        <v>28.61</v>
      </c>
      <c r="DJ91">
        <v>29.53</v>
      </c>
      <c r="DK91">
        <v>31.26</v>
      </c>
      <c r="DL91">
        <v>32.369999999999997</v>
      </c>
      <c r="DM91">
        <v>33.31</v>
      </c>
      <c r="DN91">
        <v>33.909999999999997</v>
      </c>
      <c r="DO91">
        <v>34.729999999999997</v>
      </c>
      <c r="DP91">
        <v>36.67</v>
      </c>
      <c r="DQ91">
        <v>38.159999999999997</v>
      </c>
      <c r="DR91">
        <v>39.49</v>
      </c>
      <c r="DS91">
        <v>40.71</v>
      </c>
      <c r="DT91">
        <v>41.75</v>
      </c>
      <c r="DU91">
        <v>42.62</v>
      </c>
      <c r="DV91">
        <v>43.69</v>
      </c>
      <c r="DW91">
        <v>44.8</v>
      </c>
      <c r="DX91">
        <v>45.72</v>
      </c>
      <c r="EA91">
        <v>48.02</v>
      </c>
      <c r="EB91">
        <v>48.22</v>
      </c>
      <c r="EC91">
        <v>48.84</v>
      </c>
      <c r="ED91">
        <v>49.57</v>
      </c>
      <c r="EE91">
        <v>50.44</v>
      </c>
      <c r="EF91">
        <v>51.75</v>
      </c>
      <c r="EG91">
        <v>53.1</v>
      </c>
      <c r="EI91">
        <v>54.54</v>
      </c>
      <c r="EJ91">
        <v>55.81</v>
      </c>
      <c r="EK91">
        <v>57.43</v>
      </c>
      <c r="EL91">
        <v>58.93</v>
      </c>
      <c r="EM91">
        <v>59.98</v>
      </c>
      <c r="EN91">
        <v>61.82</v>
      </c>
      <c r="EO91">
        <v>62.94</v>
      </c>
      <c r="EP91">
        <v>63.67</v>
      </c>
      <c r="EQ91">
        <v>64.77</v>
      </c>
      <c r="ER91">
        <v>65.97</v>
      </c>
      <c r="ES91">
        <v>66.959999999999994</v>
      </c>
      <c r="ET91">
        <v>68.430000000000007</v>
      </c>
      <c r="EU91">
        <v>69.5</v>
      </c>
      <c r="EV91">
        <v>70.150000000000006</v>
      </c>
      <c r="EW91">
        <v>70.489999999999995</v>
      </c>
      <c r="EX91">
        <v>71.180000000000007</v>
      </c>
      <c r="EZ91">
        <v>72.52</v>
      </c>
      <c r="FA91">
        <v>73.599999999999994</v>
      </c>
      <c r="FB91">
        <v>74.650000000000006</v>
      </c>
      <c r="FC91">
        <v>75.59</v>
      </c>
      <c r="FD91">
        <v>76.25</v>
      </c>
      <c r="FE91">
        <v>77.27</v>
      </c>
      <c r="FF91">
        <v>78.31</v>
      </c>
      <c r="FG91">
        <v>79.13</v>
      </c>
      <c r="FH91">
        <v>80.59</v>
      </c>
      <c r="FI91">
        <v>82.16</v>
      </c>
      <c r="FJ91">
        <v>82.88</v>
      </c>
      <c r="FK91">
        <v>83.18</v>
      </c>
      <c r="FL91">
        <v>83.84</v>
      </c>
      <c r="FM91">
        <v>85.26</v>
      </c>
      <c r="FN91">
        <v>86.79</v>
      </c>
      <c r="FO91">
        <v>88.3</v>
      </c>
      <c r="FP91">
        <v>89.64</v>
      </c>
      <c r="FQ91">
        <v>90.26</v>
      </c>
      <c r="FR91">
        <v>90.67</v>
      </c>
      <c r="FS91">
        <v>91.43</v>
      </c>
      <c r="FT91">
        <v>92.15</v>
      </c>
      <c r="FU91">
        <v>92.75</v>
      </c>
      <c r="FV91">
        <v>93.71</v>
      </c>
      <c r="FX91">
        <v>95.75</v>
      </c>
      <c r="GM91">
        <v>101.86</v>
      </c>
      <c r="IC91">
        <v>108.5</v>
      </c>
      <c r="IJ91">
        <v>109.26</v>
      </c>
      <c r="JE91">
        <v>116.74</v>
      </c>
      <c r="JF91">
        <v>116.9</v>
      </c>
      <c r="JG91">
        <v>120.44</v>
      </c>
      <c r="JH91">
        <v>120.76</v>
      </c>
      <c r="JI91">
        <v>121.35</v>
      </c>
      <c r="JL91">
        <v>121.87</v>
      </c>
      <c r="JM91">
        <v>122.1</v>
      </c>
      <c r="JN91">
        <v>122.42</v>
      </c>
      <c r="JO91">
        <v>122.76</v>
      </c>
      <c r="LD91">
        <v>129.53</v>
      </c>
      <c r="LX91">
        <v>134.51</v>
      </c>
      <c r="ML91">
        <v>141.13999999999999</v>
      </c>
      <c r="NA91">
        <v>152.12</v>
      </c>
      <c r="PD91">
        <v>165.33</v>
      </c>
      <c r="PK91">
        <v>166.15</v>
      </c>
      <c r="RR91">
        <v>171.15</v>
      </c>
      <c r="RW91">
        <v>171.25</v>
      </c>
    </row>
    <row r="92" spans="1:812">
      <c r="A92" s="1" t="s">
        <v>152</v>
      </c>
      <c r="B92" t="s">
        <v>269</v>
      </c>
      <c r="W92">
        <v>1.43</v>
      </c>
      <c r="AR92">
        <v>1.82</v>
      </c>
      <c r="AW92">
        <v>4.46</v>
      </c>
      <c r="AY92">
        <v>4.55</v>
      </c>
      <c r="BF92">
        <v>4.97</v>
      </c>
      <c r="BH92">
        <v>5.13</v>
      </c>
      <c r="BK92">
        <v>5.17</v>
      </c>
      <c r="BO92">
        <v>5.75</v>
      </c>
      <c r="BR92">
        <v>5.82</v>
      </c>
      <c r="BS92">
        <v>5.87</v>
      </c>
      <c r="BT92">
        <v>6.32</v>
      </c>
      <c r="BU92">
        <v>7.28</v>
      </c>
      <c r="BV92">
        <v>7.54</v>
      </c>
      <c r="BY92">
        <v>8.14</v>
      </c>
      <c r="BZ92">
        <v>8.19</v>
      </c>
      <c r="CB92">
        <v>9.2200000000000006</v>
      </c>
      <c r="CC92">
        <v>9.42</v>
      </c>
      <c r="CF92">
        <v>9.8699999999999992</v>
      </c>
      <c r="CG92">
        <v>9.92</v>
      </c>
      <c r="CI92">
        <v>11.49</v>
      </c>
      <c r="CJ92">
        <v>11.65</v>
      </c>
      <c r="CM92">
        <v>12.32</v>
      </c>
      <c r="CP92">
        <v>13.5</v>
      </c>
      <c r="CQ92">
        <v>13.73</v>
      </c>
      <c r="CT92">
        <v>13.79</v>
      </c>
      <c r="CV92">
        <v>14.74</v>
      </c>
      <c r="CW92">
        <v>15.03</v>
      </c>
      <c r="CX92">
        <v>15.42</v>
      </c>
      <c r="DA92">
        <v>15.54</v>
      </c>
      <c r="DB92">
        <v>16.079999999999998</v>
      </c>
      <c r="DC92">
        <v>17</v>
      </c>
      <c r="DD92">
        <v>17.55</v>
      </c>
      <c r="DE92">
        <v>17.690000000000001</v>
      </c>
      <c r="DH92">
        <v>19.39</v>
      </c>
      <c r="DJ92">
        <v>21.39</v>
      </c>
      <c r="DM92">
        <v>21.86</v>
      </c>
      <c r="DR92">
        <v>23.36</v>
      </c>
      <c r="DS92">
        <v>25.31</v>
      </c>
      <c r="DV92">
        <v>26.14</v>
      </c>
      <c r="DX92">
        <v>27.97</v>
      </c>
      <c r="DZ92">
        <v>28.91</v>
      </c>
      <c r="EC92">
        <v>29.35</v>
      </c>
      <c r="EF92">
        <v>33.21</v>
      </c>
      <c r="EL92">
        <v>35.61</v>
      </c>
      <c r="EM92">
        <v>38.99</v>
      </c>
      <c r="EN92">
        <v>42.57</v>
      </c>
      <c r="EQ92">
        <v>42.82</v>
      </c>
      <c r="ES92">
        <v>46.07</v>
      </c>
      <c r="ET92">
        <v>48.99</v>
      </c>
      <c r="EU92">
        <v>54.01</v>
      </c>
      <c r="EY92">
        <v>55.13</v>
      </c>
      <c r="EZ92">
        <v>58.15</v>
      </c>
      <c r="FB92">
        <v>59.7</v>
      </c>
      <c r="FF92">
        <v>62.01</v>
      </c>
      <c r="FG92">
        <v>64.48</v>
      </c>
      <c r="FH92">
        <v>65.95</v>
      </c>
      <c r="FI92">
        <v>67.72</v>
      </c>
      <c r="FM92">
        <v>67.88</v>
      </c>
      <c r="FO92">
        <v>71.48</v>
      </c>
      <c r="FP92">
        <v>73.2</v>
      </c>
      <c r="FU92">
        <v>75.849999999999994</v>
      </c>
      <c r="FV92">
        <v>78.92</v>
      </c>
      <c r="FW92">
        <v>80.13</v>
      </c>
      <c r="FZ92">
        <v>80.34</v>
      </c>
      <c r="GB92">
        <v>84.29</v>
      </c>
      <c r="GD92">
        <v>92.92</v>
      </c>
      <c r="GH92">
        <v>95.82</v>
      </c>
      <c r="GI92">
        <v>99.74</v>
      </c>
      <c r="GJ92">
        <v>104.08</v>
      </c>
      <c r="GO92">
        <v>104.57</v>
      </c>
      <c r="GP92">
        <v>107.86</v>
      </c>
      <c r="GQ92">
        <v>112.4</v>
      </c>
      <c r="GR92">
        <v>113.32</v>
      </c>
      <c r="GV92">
        <v>114.54</v>
      </c>
      <c r="GW92">
        <v>117.68</v>
      </c>
      <c r="GX92">
        <v>123.91</v>
      </c>
      <c r="GY92">
        <v>127.58</v>
      </c>
      <c r="HD92">
        <v>130.13999999999999</v>
      </c>
      <c r="HE92">
        <v>132.18</v>
      </c>
      <c r="HF92">
        <v>132.44</v>
      </c>
      <c r="HK92">
        <v>135.04</v>
      </c>
      <c r="HL92">
        <v>136.68</v>
      </c>
      <c r="HT92">
        <v>137.26</v>
      </c>
      <c r="IA92">
        <v>137.84</v>
      </c>
      <c r="IF92">
        <v>138.37</v>
      </c>
      <c r="IH92">
        <v>139.84</v>
      </c>
      <c r="JA92">
        <v>152.31</v>
      </c>
      <c r="JB92">
        <v>152.94</v>
      </c>
      <c r="JC92">
        <v>153.35</v>
      </c>
      <c r="JG92">
        <v>153.61000000000001</v>
      </c>
      <c r="JH92">
        <v>153.75</v>
      </c>
      <c r="JI92">
        <v>153.99</v>
      </c>
      <c r="JJ92">
        <v>154.38</v>
      </c>
      <c r="JN92">
        <v>154.57</v>
      </c>
      <c r="JP92">
        <v>155.24</v>
      </c>
      <c r="JQ92">
        <v>155.93</v>
      </c>
      <c r="JU92">
        <v>157.04</v>
      </c>
      <c r="JV92">
        <v>158.09</v>
      </c>
      <c r="JW92">
        <v>158.97999999999999</v>
      </c>
      <c r="JX92">
        <v>159.54</v>
      </c>
      <c r="KB92">
        <v>159.86000000000001</v>
      </c>
      <c r="KD92">
        <v>160.51</v>
      </c>
      <c r="KK92">
        <v>161.52000000000001</v>
      </c>
      <c r="KR92">
        <v>162.65</v>
      </c>
      <c r="KY92">
        <v>163.80000000000001</v>
      </c>
      <c r="LF92">
        <v>165.36</v>
      </c>
      <c r="LM92">
        <v>166.24</v>
      </c>
      <c r="LT92">
        <v>167.36</v>
      </c>
      <c r="MA92">
        <v>169.45</v>
      </c>
      <c r="MF92">
        <v>171.76</v>
      </c>
      <c r="MH92">
        <v>177.14</v>
      </c>
      <c r="MM92">
        <v>181.1</v>
      </c>
      <c r="MO92">
        <v>185.63</v>
      </c>
      <c r="MT92">
        <v>188.9</v>
      </c>
      <c r="MV92">
        <v>193.68</v>
      </c>
      <c r="NA92">
        <v>196.18</v>
      </c>
      <c r="NC92">
        <v>200.73</v>
      </c>
      <c r="NH92">
        <v>203.64</v>
      </c>
      <c r="NJ92">
        <v>205.04</v>
      </c>
      <c r="NO92">
        <v>206.83</v>
      </c>
      <c r="NQ92">
        <v>208.04</v>
      </c>
      <c r="NV92">
        <v>208.25</v>
      </c>
      <c r="NX92">
        <v>208.8</v>
      </c>
      <c r="OC92">
        <v>194.84</v>
      </c>
      <c r="OE92">
        <v>195.63</v>
      </c>
      <c r="OJ92">
        <v>197.37</v>
      </c>
      <c r="OL92">
        <v>201.35</v>
      </c>
      <c r="OQ92">
        <v>204.18</v>
      </c>
      <c r="OS92">
        <v>206.28</v>
      </c>
      <c r="OX92">
        <v>208.37</v>
      </c>
      <c r="PA92">
        <v>210.34</v>
      </c>
      <c r="PE92">
        <v>211.92</v>
      </c>
      <c r="PG92">
        <v>213.9</v>
      </c>
      <c r="PL92">
        <v>215.57</v>
      </c>
      <c r="PO92">
        <v>216.45</v>
      </c>
      <c r="PS92">
        <v>216.62</v>
      </c>
      <c r="PZ92">
        <v>217.31</v>
      </c>
      <c r="QG92">
        <v>217.9</v>
      </c>
      <c r="QN92">
        <v>218.04</v>
      </c>
      <c r="QU92">
        <v>218.17</v>
      </c>
      <c r="RB92">
        <v>218.29</v>
      </c>
      <c r="RI92">
        <v>218.41</v>
      </c>
    </row>
    <row r="93" spans="1:812">
      <c r="A93" s="1" t="s">
        <v>41</v>
      </c>
      <c r="B93" t="s">
        <v>41</v>
      </c>
      <c r="AM93">
        <v>0</v>
      </c>
      <c r="AN93">
        <v>0.01</v>
      </c>
      <c r="AO93">
        <v>0.02</v>
      </c>
      <c r="AP93">
        <v>0.03</v>
      </c>
      <c r="AQ93">
        <v>0.05</v>
      </c>
      <c r="AR93">
        <v>0.06</v>
      </c>
      <c r="AS93">
        <v>0.08</v>
      </c>
      <c r="AT93">
        <v>0.1</v>
      </c>
      <c r="AU93">
        <v>0.11</v>
      </c>
      <c r="AV93">
        <v>0.12</v>
      </c>
      <c r="AW93">
        <v>0.15</v>
      </c>
      <c r="AX93">
        <v>0.15</v>
      </c>
      <c r="AY93">
        <v>0.17</v>
      </c>
      <c r="AZ93">
        <v>0.21</v>
      </c>
      <c r="BA93">
        <v>0.25</v>
      </c>
      <c r="BB93">
        <v>0.27</v>
      </c>
      <c r="BC93">
        <v>0.27</v>
      </c>
      <c r="BD93">
        <v>0.28999999999999998</v>
      </c>
      <c r="BE93">
        <v>0.3</v>
      </c>
      <c r="BF93">
        <v>0.32</v>
      </c>
      <c r="BG93">
        <v>0.36</v>
      </c>
      <c r="BH93">
        <v>0.39</v>
      </c>
      <c r="BI93">
        <v>0.42</v>
      </c>
      <c r="BJ93">
        <v>0.42</v>
      </c>
      <c r="BK93">
        <v>0.45</v>
      </c>
      <c r="BL93">
        <v>0.48</v>
      </c>
      <c r="BM93">
        <v>0.51</v>
      </c>
      <c r="BN93">
        <v>0.54</v>
      </c>
      <c r="BO93">
        <v>0.57999999999999996</v>
      </c>
      <c r="BP93">
        <v>0.57999999999999996</v>
      </c>
      <c r="BR93">
        <v>0.62</v>
      </c>
      <c r="BS93">
        <v>0.64</v>
      </c>
      <c r="BT93">
        <v>0.67</v>
      </c>
      <c r="BU93">
        <v>0.71</v>
      </c>
      <c r="BV93">
        <v>0.76</v>
      </c>
      <c r="BW93">
        <v>0.79</v>
      </c>
      <c r="BX93">
        <v>0.8</v>
      </c>
      <c r="BY93">
        <v>0.83</v>
      </c>
      <c r="BZ93">
        <v>0.86</v>
      </c>
      <c r="CA93">
        <v>0.9</v>
      </c>
      <c r="CB93">
        <v>0.95</v>
      </c>
      <c r="CC93">
        <v>1</v>
      </c>
      <c r="CD93">
        <v>1.03</v>
      </c>
      <c r="CE93">
        <v>1.04</v>
      </c>
      <c r="CF93">
        <v>1.08</v>
      </c>
      <c r="CG93">
        <v>1.1299999999999999</v>
      </c>
      <c r="CH93">
        <v>1.2</v>
      </c>
      <c r="CI93">
        <v>1.3</v>
      </c>
      <c r="CJ93">
        <v>1.41</v>
      </c>
      <c r="CK93">
        <v>1.52</v>
      </c>
      <c r="CL93">
        <v>1.52</v>
      </c>
      <c r="CM93">
        <v>1.67</v>
      </c>
      <c r="CN93">
        <v>1.77</v>
      </c>
      <c r="CO93">
        <v>1.86</v>
      </c>
      <c r="CP93">
        <v>1.9</v>
      </c>
      <c r="CQ93">
        <v>2.04</v>
      </c>
      <c r="CR93">
        <v>2.15</v>
      </c>
      <c r="CS93">
        <v>2.17</v>
      </c>
      <c r="CT93">
        <v>2.39</v>
      </c>
      <c r="CU93">
        <v>2.54</v>
      </c>
      <c r="CV93">
        <v>2.69</v>
      </c>
      <c r="CW93">
        <v>2.85</v>
      </c>
      <c r="CX93">
        <v>3.05</v>
      </c>
      <c r="CY93">
        <v>3.23</v>
      </c>
      <c r="CZ93">
        <v>3.27</v>
      </c>
      <c r="DA93">
        <v>3.51</v>
      </c>
      <c r="DB93">
        <v>3.68</v>
      </c>
      <c r="DC93">
        <v>3.85</v>
      </c>
      <c r="DD93">
        <v>4.0199999999999996</v>
      </c>
      <c r="DE93">
        <v>4.21</v>
      </c>
      <c r="DF93">
        <v>4.37</v>
      </c>
      <c r="DG93">
        <v>4.3899999999999997</v>
      </c>
      <c r="DH93">
        <v>4.43</v>
      </c>
      <c r="DI93">
        <v>4.57</v>
      </c>
      <c r="DJ93">
        <v>4.72</v>
      </c>
      <c r="DK93">
        <v>4.9800000000000004</v>
      </c>
      <c r="DL93">
        <v>5.29</v>
      </c>
      <c r="DM93">
        <v>5.51</v>
      </c>
      <c r="DN93">
        <v>5.73</v>
      </c>
      <c r="DO93">
        <v>6.02</v>
      </c>
      <c r="DP93">
        <v>6.31</v>
      </c>
      <c r="DQ93">
        <v>6.54</v>
      </c>
      <c r="DR93">
        <v>6.84</v>
      </c>
      <c r="DS93">
        <v>7.11</v>
      </c>
      <c r="DT93">
        <v>7.36</v>
      </c>
      <c r="DU93">
        <v>7.57</v>
      </c>
      <c r="DV93">
        <v>7.86</v>
      </c>
      <c r="DW93">
        <v>8.06</v>
      </c>
      <c r="DX93">
        <v>8.3000000000000007</v>
      </c>
      <c r="DY93">
        <v>8.49</v>
      </c>
      <c r="DZ93">
        <v>8.69</v>
      </c>
      <c r="EA93">
        <v>8.89</v>
      </c>
      <c r="EB93">
        <v>8.9700000000000006</v>
      </c>
      <c r="EC93">
        <v>9.2100000000000009</v>
      </c>
      <c r="EE93">
        <v>9.39</v>
      </c>
      <c r="EF93">
        <v>9.6199999999999992</v>
      </c>
      <c r="EI93">
        <v>10.09</v>
      </c>
      <c r="EJ93">
        <v>10.33</v>
      </c>
      <c r="EK93">
        <v>10.5</v>
      </c>
      <c r="EL93">
        <v>10.66</v>
      </c>
      <c r="EM93">
        <v>10.82</v>
      </c>
      <c r="EN93">
        <v>11.01</v>
      </c>
      <c r="EO93">
        <v>11.13</v>
      </c>
      <c r="EP93">
        <v>11.17</v>
      </c>
      <c r="EQ93">
        <v>11.31</v>
      </c>
      <c r="ER93">
        <v>11.43</v>
      </c>
      <c r="ES93">
        <v>11.59</v>
      </c>
      <c r="ET93">
        <v>11.78</v>
      </c>
      <c r="EU93">
        <v>11.97</v>
      </c>
      <c r="EV93">
        <v>12.14</v>
      </c>
      <c r="EW93">
        <v>12.2</v>
      </c>
      <c r="EX93">
        <v>12.4</v>
      </c>
      <c r="EY93">
        <v>12.6</v>
      </c>
      <c r="EZ93">
        <v>12.76</v>
      </c>
      <c r="FA93">
        <v>12.92</v>
      </c>
      <c r="FB93">
        <v>13.02</v>
      </c>
      <c r="FC93">
        <v>13.16</v>
      </c>
      <c r="FD93">
        <v>13.21</v>
      </c>
      <c r="FE93">
        <v>13.32</v>
      </c>
      <c r="FF93">
        <v>13.42</v>
      </c>
      <c r="FG93">
        <v>13.51</v>
      </c>
      <c r="FH93">
        <v>13.61</v>
      </c>
      <c r="FJ93">
        <v>13.83</v>
      </c>
      <c r="FK93">
        <v>13.89</v>
      </c>
      <c r="FL93">
        <v>14.07</v>
      </c>
      <c r="FM93">
        <v>14.17</v>
      </c>
      <c r="FN93">
        <v>14.38</v>
      </c>
      <c r="FO93">
        <v>14.58</v>
      </c>
      <c r="FP93">
        <v>14.72</v>
      </c>
      <c r="FQ93">
        <v>15.01</v>
      </c>
      <c r="FR93">
        <v>15.12</v>
      </c>
      <c r="FS93">
        <v>15.25</v>
      </c>
      <c r="FT93">
        <v>15.44</v>
      </c>
      <c r="FU93">
        <v>15.63</v>
      </c>
      <c r="FV93">
        <v>15.82</v>
      </c>
      <c r="FW93">
        <v>16.2</v>
      </c>
      <c r="FX93">
        <v>16.350000000000001</v>
      </c>
      <c r="FY93">
        <v>16.52</v>
      </c>
      <c r="FZ93">
        <v>16.7</v>
      </c>
      <c r="GA93">
        <v>16.93</v>
      </c>
      <c r="GB93">
        <v>17.16</v>
      </c>
      <c r="GC93">
        <v>17.41</v>
      </c>
      <c r="GD93">
        <v>17.66</v>
      </c>
      <c r="GE93">
        <v>17.84</v>
      </c>
      <c r="GF93">
        <v>18.07</v>
      </c>
      <c r="GG93">
        <v>18.32</v>
      </c>
      <c r="GH93">
        <v>18.5</v>
      </c>
      <c r="GI93">
        <v>18.72</v>
      </c>
      <c r="GJ93">
        <v>19.059999999999999</v>
      </c>
      <c r="GK93">
        <v>19.3</v>
      </c>
      <c r="GL93">
        <v>19.63</v>
      </c>
      <c r="GM93">
        <v>19.88</v>
      </c>
      <c r="GN93">
        <v>20.53</v>
      </c>
      <c r="GO93">
        <v>21</v>
      </c>
      <c r="GP93">
        <v>21.26</v>
      </c>
      <c r="GQ93">
        <v>21.74</v>
      </c>
      <c r="GR93">
        <v>22.22</v>
      </c>
      <c r="GS93">
        <v>22.81</v>
      </c>
      <c r="GT93">
        <v>23.05</v>
      </c>
      <c r="GU93">
        <v>23.29</v>
      </c>
      <c r="GV93">
        <v>23.73</v>
      </c>
      <c r="GW93">
        <v>23.85</v>
      </c>
      <c r="GX93">
        <v>24.26</v>
      </c>
      <c r="GY93">
        <v>24.32</v>
      </c>
      <c r="GZ93">
        <v>24.95</v>
      </c>
      <c r="HA93">
        <v>25.17</v>
      </c>
      <c r="HB93">
        <v>25.45</v>
      </c>
      <c r="HC93">
        <v>25.67</v>
      </c>
      <c r="HD93">
        <v>25.95</v>
      </c>
      <c r="HE93">
        <v>26.74</v>
      </c>
      <c r="HG93">
        <v>27.25</v>
      </c>
      <c r="HH93">
        <v>27.34</v>
      </c>
      <c r="HI93">
        <v>27.64</v>
      </c>
      <c r="HJ93">
        <v>28.09</v>
      </c>
      <c r="HK93">
        <v>28.36</v>
      </c>
      <c r="HL93">
        <v>28.65</v>
      </c>
      <c r="HM93">
        <v>28.96</v>
      </c>
      <c r="HN93">
        <v>29.34</v>
      </c>
      <c r="HP93">
        <v>29.84</v>
      </c>
      <c r="HQ93">
        <v>30.11</v>
      </c>
      <c r="HR93">
        <v>30.28</v>
      </c>
      <c r="HS93">
        <v>30.68</v>
      </c>
      <c r="HT93">
        <v>31.01</v>
      </c>
      <c r="HU93">
        <v>31.39</v>
      </c>
      <c r="HV93">
        <v>31.54</v>
      </c>
      <c r="HW93">
        <v>32.020000000000003</v>
      </c>
      <c r="HX93">
        <v>32.33</v>
      </c>
      <c r="HY93">
        <v>32.659999999999997</v>
      </c>
      <c r="HZ93">
        <v>33.049999999999997</v>
      </c>
      <c r="IA93">
        <v>33.44</v>
      </c>
      <c r="IC93">
        <v>34.22</v>
      </c>
      <c r="IE93">
        <v>35.17</v>
      </c>
      <c r="IF93">
        <v>35.46</v>
      </c>
      <c r="IG93">
        <v>35.89</v>
      </c>
      <c r="IH93">
        <v>36.299999999999997</v>
      </c>
      <c r="II93">
        <v>36.729999999999997</v>
      </c>
      <c r="IJ93">
        <v>36.86</v>
      </c>
      <c r="IK93">
        <v>37.28</v>
      </c>
      <c r="IL93">
        <v>37.61</v>
      </c>
      <c r="IM93">
        <v>37.950000000000003</v>
      </c>
      <c r="IO93">
        <v>38.85</v>
      </c>
      <c r="IP93">
        <v>39.409999999999997</v>
      </c>
      <c r="IR93">
        <v>39.89</v>
      </c>
      <c r="IS93">
        <v>40.33</v>
      </c>
      <c r="IT93">
        <v>40.74</v>
      </c>
      <c r="IU93">
        <v>41.06</v>
      </c>
      <c r="IV93">
        <v>41.14</v>
      </c>
      <c r="IW93">
        <v>41.36</v>
      </c>
      <c r="IX93">
        <v>41.68</v>
      </c>
      <c r="IY93">
        <v>41.79</v>
      </c>
      <c r="IZ93">
        <v>42.25</v>
      </c>
      <c r="JA93">
        <v>42.91</v>
      </c>
      <c r="JB93">
        <v>43.38</v>
      </c>
      <c r="JC93">
        <v>44.18</v>
      </c>
      <c r="JD93">
        <v>44.92</v>
      </c>
      <c r="JE93">
        <v>45.4</v>
      </c>
      <c r="JF93">
        <v>45.88</v>
      </c>
      <c r="JG93">
        <v>46.27</v>
      </c>
      <c r="JH93">
        <v>47.48</v>
      </c>
      <c r="JI93">
        <v>48.07</v>
      </c>
      <c r="JJ93">
        <v>48.49</v>
      </c>
      <c r="JK93">
        <v>48.64</v>
      </c>
      <c r="JL93">
        <v>49.13</v>
      </c>
      <c r="JM93">
        <v>49.41</v>
      </c>
      <c r="JN93">
        <v>50.21</v>
      </c>
      <c r="JO93">
        <v>50.99</v>
      </c>
      <c r="JP93">
        <v>51.74</v>
      </c>
      <c r="JQ93">
        <v>51.97</v>
      </c>
      <c r="JR93">
        <v>52.64</v>
      </c>
      <c r="JS93">
        <v>53.13</v>
      </c>
      <c r="JT93">
        <v>53.85</v>
      </c>
      <c r="JU93">
        <v>54.02</v>
      </c>
      <c r="JV93">
        <v>54.64</v>
      </c>
      <c r="JW93">
        <v>55.36</v>
      </c>
      <c r="JX93">
        <v>55.79</v>
      </c>
      <c r="JY93">
        <v>57.13</v>
      </c>
      <c r="JZ93">
        <v>57.76</v>
      </c>
      <c r="KA93">
        <v>58.29</v>
      </c>
      <c r="KB93">
        <v>58.98</v>
      </c>
      <c r="KC93">
        <v>59.37</v>
      </c>
      <c r="KD93">
        <v>60.09</v>
      </c>
      <c r="KE93">
        <v>60.83</v>
      </c>
      <c r="KF93">
        <v>61.16</v>
      </c>
      <c r="KG93">
        <v>61.42</v>
      </c>
      <c r="KH93">
        <v>62.35</v>
      </c>
      <c r="KI93">
        <v>62.67</v>
      </c>
      <c r="KJ93">
        <v>63.13</v>
      </c>
      <c r="KK93">
        <v>63.62</v>
      </c>
      <c r="KL93">
        <v>64.099999999999994</v>
      </c>
      <c r="KM93">
        <v>64.66</v>
      </c>
      <c r="KN93">
        <v>65.03</v>
      </c>
      <c r="KO93">
        <v>65.38</v>
      </c>
      <c r="KP93">
        <v>65.89</v>
      </c>
      <c r="KQ93">
        <v>66.28</v>
      </c>
      <c r="KR93">
        <v>66.540000000000006</v>
      </c>
      <c r="KS93">
        <v>67.12</v>
      </c>
      <c r="KT93">
        <v>67.680000000000007</v>
      </c>
      <c r="KU93">
        <v>68.260000000000005</v>
      </c>
      <c r="KV93">
        <v>68.53</v>
      </c>
      <c r="KW93">
        <v>68.989999999999995</v>
      </c>
      <c r="KX93">
        <v>69.319999999999993</v>
      </c>
      <c r="KY93">
        <v>69.5</v>
      </c>
      <c r="KZ93">
        <v>69.7</v>
      </c>
      <c r="LA93">
        <v>69.81</v>
      </c>
      <c r="LB93">
        <v>70.069999999999993</v>
      </c>
      <c r="LC93">
        <v>70.260000000000005</v>
      </c>
      <c r="LD93">
        <v>70.84</v>
      </c>
      <c r="LE93">
        <v>71.58</v>
      </c>
      <c r="LF93">
        <v>72</v>
      </c>
      <c r="LG93">
        <v>72.48</v>
      </c>
      <c r="LH93">
        <v>72.75</v>
      </c>
      <c r="LI93">
        <v>73.36</v>
      </c>
      <c r="LJ93">
        <v>73.5</v>
      </c>
      <c r="LK93">
        <v>73.98</v>
      </c>
      <c r="LL93">
        <v>74.39</v>
      </c>
      <c r="LM93">
        <v>74.81</v>
      </c>
      <c r="LN93">
        <v>75.48</v>
      </c>
      <c r="LO93">
        <v>75.959999999999994</v>
      </c>
      <c r="LP93">
        <v>76.260000000000005</v>
      </c>
      <c r="LQ93">
        <v>76.62</v>
      </c>
      <c r="LR93">
        <v>76.77</v>
      </c>
      <c r="LS93">
        <v>77.150000000000006</v>
      </c>
      <c r="LT93">
        <v>77.3</v>
      </c>
      <c r="LU93">
        <v>77.349999999999994</v>
      </c>
      <c r="LV93">
        <v>77.52</v>
      </c>
      <c r="LW93">
        <v>77.73</v>
      </c>
      <c r="LX93">
        <v>78.099999999999994</v>
      </c>
      <c r="LY93">
        <v>78.38</v>
      </c>
      <c r="LZ93">
        <v>78.790000000000006</v>
      </c>
      <c r="MA93">
        <v>79.14</v>
      </c>
      <c r="MB93">
        <v>79.760000000000005</v>
      </c>
      <c r="MC93">
        <v>80.319999999999993</v>
      </c>
      <c r="MD93">
        <v>80.59</v>
      </c>
      <c r="ME93">
        <v>80.88</v>
      </c>
      <c r="MF93">
        <v>81.36</v>
      </c>
      <c r="MG93">
        <v>81.89</v>
      </c>
      <c r="MH93">
        <v>82.44</v>
      </c>
      <c r="MI93">
        <v>82.79</v>
      </c>
      <c r="MJ93">
        <v>83.51</v>
      </c>
      <c r="MK93">
        <v>83.83</v>
      </c>
      <c r="ML93">
        <v>84.39</v>
      </c>
      <c r="MM93">
        <v>84.97</v>
      </c>
      <c r="MN93">
        <v>85.67</v>
      </c>
      <c r="MO93">
        <v>86.01</v>
      </c>
      <c r="MP93">
        <v>86.89</v>
      </c>
      <c r="MQ93">
        <v>87.02</v>
      </c>
      <c r="MR93">
        <v>87.78</v>
      </c>
      <c r="MS93">
        <v>88.16</v>
      </c>
      <c r="MT93">
        <v>88.78</v>
      </c>
      <c r="MU93">
        <v>89.39</v>
      </c>
      <c r="MV93">
        <v>90.13</v>
      </c>
      <c r="MW93">
        <v>90.55</v>
      </c>
      <c r="MX93">
        <v>91.42</v>
      </c>
      <c r="MY93">
        <v>91.77</v>
      </c>
      <c r="MZ93">
        <v>92.13</v>
      </c>
      <c r="NA93">
        <v>92.72</v>
      </c>
      <c r="NB93">
        <v>93.29</v>
      </c>
      <c r="NC93">
        <v>93.89</v>
      </c>
      <c r="ND93">
        <v>94.18</v>
      </c>
      <c r="NE93">
        <v>95.27</v>
      </c>
      <c r="NF93">
        <v>95.55</v>
      </c>
      <c r="NG93">
        <v>95.84</v>
      </c>
      <c r="NH93">
        <v>96.62</v>
      </c>
      <c r="NI93">
        <v>97.06</v>
      </c>
      <c r="NJ93">
        <v>97.35</v>
      </c>
      <c r="NK93">
        <v>97.99</v>
      </c>
      <c r="NL93">
        <v>98.54</v>
      </c>
      <c r="NM93">
        <v>98.78</v>
      </c>
      <c r="NN93">
        <v>99.05</v>
      </c>
      <c r="NO93">
        <v>99.65</v>
      </c>
      <c r="NP93">
        <v>99.83</v>
      </c>
      <c r="NQ93">
        <v>100.35</v>
      </c>
      <c r="NR93">
        <v>100.8</v>
      </c>
      <c r="NS93">
        <v>101.48</v>
      </c>
      <c r="NT93">
        <v>101.53</v>
      </c>
      <c r="NU93">
        <v>101.8</v>
      </c>
      <c r="NV93">
        <v>102.34</v>
      </c>
      <c r="NW93">
        <v>103</v>
      </c>
      <c r="NX93">
        <v>103.25</v>
      </c>
      <c r="NY93">
        <v>103.98</v>
      </c>
      <c r="NZ93">
        <v>104.35</v>
      </c>
      <c r="OA93">
        <v>104.53</v>
      </c>
      <c r="OB93">
        <v>105.1</v>
      </c>
      <c r="OC93">
        <v>105.66</v>
      </c>
      <c r="OD93">
        <v>106.37</v>
      </c>
      <c r="OE93">
        <v>107.07</v>
      </c>
      <c r="OF93">
        <v>108.05</v>
      </c>
      <c r="OG93">
        <v>108.22</v>
      </c>
      <c r="OH93">
        <v>108.92</v>
      </c>
      <c r="OI93">
        <v>109.39</v>
      </c>
      <c r="OJ93">
        <v>110.37</v>
      </c>
      <c r="OK93">
        <v>110.83</v>
      </c>
      <c r="OL93">
        <v>111.52</v>
      </c>
      <c r="OM93">
        <v>111.7</v>
      </c>
      <c r="ON93">
        <v>112.36</v>
      </c>
      <c r="OO93">
        <v>112.72</v>
      </c>
      <c r="OP93">
        <v>113.09</v>
      </c>
      <c r="OQ93">
        <v>113.1</v>
      </c>
      <c r="OR93">
        <v>114.28</v>
      </c>
      <c r="OS93">
        <v>114.85</v>
      </c>
      <c r="OT93">
        <v>115.52</v>
      </c>
      <c r="OU93">
        <v>116.05</v>
      </c>
      <c r="OV93">
        <v>116.42</v>
      </c>
      <c r="OW93">
        <v>116.51</v>
      </c>
      <c r="OX93">
        <v>117</v>
      </c>
      <c r="OY93">
        <v>117.42</v>
      </c>
      <c r="OZ93">
        <v>117.63</v>
      </c>
      <c r="PA93">
        <v>118.08</v>
      </c>
      <c r="PB93">
        <v>118.45</v>
      </c>
      <c r="PC93">
        <v>118.94</v>
      </c>
      <c r="PD93">
        <v>119.48</v>
      </c>
      <c r="PE93">
        <v>119.93</v>
      </c>
      <c r="PF93">
        <v>120.35</v>
      </c>
      <c r="PG93">
        <v>120.68</v>
      </c>
      <c r="PH93">
        <v>121.07</v>
      </c>
      <c r="PI93">
        <v>121.51</v>
      </c>
      <c r="PJ93">
        <v>121.71</v>
      </c>
      <c r="PK93">
        <v>121.72</v>
      </c>
      <c r="PL93">
        <v>122.2</v>
      </c>
      <c r="PM93">
        <v>122.72</v>
      </c>
      <c r="PN93">
        <v>122.75</v>
      </c>
      <c r="PO93">
        <v>123.45</v>
      </c>
      <c r="PP93">
        <v>123.68</v>
      </c>
      <c r="PQ93">
        <v>124.01</v>
      </c>
      <c r="PR93">
        <v>124.14</v>
      </c>
      <c r="PS93">
        <v>124.59</v>
      </c>
      <c r="PT93">
        <v>124.78</v>
      </c>
      <c r="PU93">
        <v>125.16</v>
      </c>
      <c r="PV93">
        <v>125.44</v>
      </c>
      <c r="PW93">
        <v>125.7</v>
      </c>
      <c r="PX93">
        <v>125.84</v>
      </c>
      <c r="PY93">
        <v>126.01</v>
      </c>
      <c r="PZ93">
        <v>126.27</v>
      </c>
      <c r="QA93">
        <v>126.43</v>
      </c>
      <c r="QB93">
        <v>126.67</v>
      </c>
      <c r="QC93">
        <v>126.93</v>
      </c>
      <c r="QD93">
        <v>127.19</v>
      </c>
      <c r="QE93">
        <v>127.29</v>
      </c>
      <c r="QF93">
        <v>127.4</v>
      </c>
      <c r="QG93">
        <v>127.51</v>
      </c>
      <c r="QH93">
        <v>127.62</v>
      </c>
      <c r="QI93">
        <v>127.85</v>
      </c>
      <c r="QJ93">
        <v>128.04</v>
      </c>
      <c r="QK93">
        <v>128.24</v>
      </c>
      <c r="QL93">
        <v>128.31</v>
      </c>
      <c r="QM93">
        <v>128.41</v>
      </c>
      <c r="QN93">
        <v>128.57</v>
      </c>
      <c r="QO93">
        <v>128.71</v>
      </c>
      <c r="QP93">
        <v>128.85</v>
      </c>
      <c r="QQ93">
        <v>129.05000000000001</v>
      </c>
      <c r="QR93">
        <v>129.13999999999999</v>
      </c>
      <c r="QS93">
        <v>129.22999999999999</v>
      </c>
      <c r="QT93">
        <v>129.36000000000001</v>
      </c>
      <c r="QU93">
        <v>129.47999999999999</v>
      </c>
      <c r="QV93">
        <v>129.61000000000001</v>
      </c>
      <c r="QW93">
        <v>129.75</v>
      </c>
      <c r="QX93">
        <v>129.84</v>
      </c>
      <c r="QY93">
        <v>129.93</v>
      </c>
      <c r="QZ93">
        <v>130</v>
      </c>
      <c r="RA93">
        <v>130.18</v>
      </c>
      <c r="RB93">
        <v>130.36000000000001</v>
      </c>
      <c r="RC93">
        <v>130.66</v>
      </c>
      <c r="RD93">
        <v>130.91999999999999</v>
      </c>
      <c r="RE93">
        <v>131.06</v>
      </c>
      <c r="RF93">
        <v>131.35</v>
      </c>
      <c r="RG93">
        <v>131.43</v>
      </c>
      <c r="RH93">
        <v>131.55000000000001</v>
      </c>
      <c r="RI93">
        <v>131.66</v>
      </c>
      <c r="RJ93">
        <v>131.94</v>
      </c>
      <c r="RK93">
        <v>132.19</v>
      </c>
      <c r="RM93">
        <v>132.55000000000001</v>
      </c>
      <c r="RN93">
        <v>132.66999999999999</v>
      </c>
      <c r="RO93">
        <v>132.83000000000001</v>
      </c>
      <c r="RP93">
        <v>132.94999999999999</v>
      </c>
      <c r="RQ93">
        <v>133.22</v>
      </c>
      <c r="RR93">
        <v>133.29</v>
      </c>
      <c r="RS93">
        <v>133.44999999999999</v>
      </c>
      <c r="RT93">
        <v>133.53</v>
      </c>
      <c r="RU93">
        <v>133.63</v>
      </c>
      <c r="RW93">
        <v>133.88</v>
      </c>
      <c r="RX93">
        <v>134.04</v>
      </c>
      <c r="RY93">
        <v>134.09</v>
      </c>
      <c r="RZ93">
        <v>134.22</v>
      </c>
      <c r="SA93">
        <v>134.36000000000001</v>
      </c>
      <c r="SC93">
        <v>134.62</v>
      </c>
      <c r="SD93">
        <v>134.69</v>
      </c>
      <c r="SE93">
        <v>134.86000000000001</v>
      </c>
      <c r="SF93">
        <v>135.02000000000001</v>
      </c>
      <c r="SG93">
        <v>135.18</v>
      </c>
      <c r="SH93">
        <v>135.41999999999999</v>
      </c>
      <c r="SI93">
        <v>135.54</v>
      </c>
      <c r="SJ93">
        <v>135.71</v>
      </c>
      <c r="SK93">
        <v>135.77000000000001</v>
      </c>
      <c r="SL93">
        <v>135.88</v>
      </c>
      <c r="SM93">
        <v>135.93</v>
      </c>
      <c r="SN93">
        <v>136.05000000000001</v>
      </c>
      <c r="SO93">
        <v>136.19</v>
      </c>
      <c r="SP93">
        <v>136.33000000000001</v>
      </c>
      <c r="SQ93">
        <v>136.46</v>
      </c>
      <c r="SR93">
        <v>136.56</v>
      </c>
      <c r="SS93">
        <v>136.68</v>
      </c>
      <c r="ST93">
        <v>136.79</v>
      </c>
      <c r="SU93">
        <v>136.91</v>
      </c>
      <c r="SV93">
        <v>137.02000000000001</v>
      </c>
      <c r="SW93">
        <v>137.13999999999999</v>
      </c>
      <c r="SX93">
        <v>137.25</v>
      </c>
      <c r="SY93">
        <v>137.28</v>
      </c>
      <c r="SZ93">
        <v>137.38</v>
      </c>
      <c r="TA93">
        <v>137.49</v>
      </c>
      <c r="TB93">
        <v>137.6</v>
      </c>
      <c r="TC93">
        <v>137.72</v>
      </c>
      <c r="TD93">
        <v>137.84</v>
      </c>
      <c r="TE93">
        <v>137.94</v>
      </c>
      <c r="TF93">
        <v>138.01</v>
      </c>
      <c r="TG93">
        <v>138.12</v>
      </c>
      <c r="TH93">
        <v>138.22</v>
      </c>
      <c r="TI93">
        <v>138.33000000000001</v>
      </c>
      <c r="TJ93">
        <v>138.44</v>
      </c>
      <c r="TK93">
        <v>138.56</v>
      </c>
      <c r="TL93">
        <v>138.65</v>
      </c>
      <c r="TM93">
        <v>138.68</v>
      </c>
      <c r="TN93">
        <v>138.78</v>
      </c>
      <c r="TO93">
        <v>138.94</v>
      </c>
      <c r="TP93">
        <v>138.96</v>
      </c>
      <c r="TQ93">
        <v>139.05000000000001</v>
      </c>
      <c r="TR93">
        <v>139.15</v>
      </c>
      <c r="TS93">
        <v>139.22</v>
      </c>
      <c r="TT93">
        <v>139.26</v>
      </c>
      <c r="TU93">
        <v>139.36000000000001</v>
      </c>
      <c r="TV93">
        <v>139.47999999999999</v>
      </c>
      <c r="TW93">
        <v>139.6</v>
      </c>
      <c r="TX93">
        <v>139.72</v>
      </c>
      <c r="TY93">
        <v>139.84</v>
      </c>
      <c r="TZ93">
        <v>139.94</v>
      </c>
      <c r="UA93">
        <v>140.03</v>
      </c>
      <c r="UB93">
        <v>140.13999999999999</v>
      </c>
      <c r="UC93">
        <v>140.25</v>
      </c>
      <c r="UD93">
        <v>140.37</v>
      </c>
      <c r="UE93">
        <v>140.49</v>
      </c>
      <c r="UF93">
        <v>140.61000000000001</v>
      </c>
      <c r="UG93">
        <v>140.69999999999999</v>
      </c>
      <c r="UH93">
        <v>140.72999999999999</v>
      </c>
      <c r="UI93">
        <v>140.84</v>
      </c>
      <c r="UJ93">
        <v>140.93</v>
      </c>
      <c r="UK93">
        <v>141.05000000000001</v>
      </c>
      <c r="UL93">
        <v>141.16</v>
      </c>
      <c r="UM93">
        <v>141.28</v>
      </c>
      <c r="UN93">
        <v>141.37</v>
      </c>
      <c r="UO93">
        <v>141.41</v>
      </c>
      <c r="UP93">
        <v>141.55000000000001</v>
      </c>
      <c r="UQ93">
        <v>141.65</v>
      </c>
      <c r="UR93">
        <v>141.76</v>
      </c>
      <c r="US93">
        <v>141.85</v>
      </c>
      <c r="UT93">
        <v>141.93</v>
      </c>
      <c r="UU93">
        <v>141.99</v>
      </c>
      <c r="UV93">
        <v>142.02000000000001</v>
      </c>
      <c r="UW93">
        <v>142.11000000000001</v>
      </c>
      <c r="UX93">
        <v>142.18</v>
      </c>
      <c r="UY93">
        <v>142.28</v>
      </c>
      <c r="UZ93">
        <v>142.41</v>
      </c>
      <c r="VB93">
        <v>141.16</v>
      </c>
      <c r="VC93">
        <v>141.24</v>
      </c>
      <c r="VD93">
        <v>141.32</v>
      </c>
      <c r="VE93">
        <v>141.47</v>
      </c>
      <c r="VF93">
        <v>141.68</v>
      </c>
      <c r="VG93">
        <v>141.87</v>
      </c>
      <c r="VJ93">
        <v>142.22999999999999</v>
      </c>
      <c r="VK93">
        <v>142.36000000000001</v>
      </c>
      <c r="VL93">
        <v>142.56</v>
      </c>
      <c r="VM93">
        <v>142.79</v>
      </c>
      <c r="VN93">
        <v>143.07</v>
      </c>
      <c r="VO93">
        <v>143.33000000000001</v>
      </c>
      <c r="VP93">
        <v>143.54</v>
      </c>
      <c r="VQ93">
        <v>143.66999999999999</v>
      </c>
      <c r="VR93">
        <v>143.9</v>
      </c>
      <c r="VS93">
        <v>144.12</v>
      </c>
      <c r="VT93">
        <v>144.43</v>
      </c>
      <c r="VU93">
        <v>144.69</v>
      </c>
      <c r="VV93">
        <v>144.94</v>
      </c>
      <c r="VW93">
        <v>145.19999999999999</v>
      </c>
      <c r="VX93">
        <v>145.38999999999999</v>
      </c>
      <c r="VZ93">
        <v>145.85</v>
      </c>
      <c r="WA93">
        <v>146.1</v>
      </c>
      <c r="WB93">
        <v>146.34</v>
      </c>
      <c r="WC93">
        <v>146.56</v>
      </c>
      <c r="WD93">
        <v>146.79</v>
      </c>
      <c r="WE93">
        <v>147</v>
      </c>
      <c r="WF93">
        <v>147.12</v>
      </c>
      <c r="WG93">
        <v>147.29</v>
      </c>
      <c r="WH93">
        <v>147.41999999999999</v>
      </c>
      <c r="WI93">
        <v>147.61000000000001</v>
      </c>
      <c r="WJ93">
        <v>147.61000000000001</v>
      </c>
      <c r="WK93">
        <v>147.96</v>
      </c>
      <c r="WL93">
        <v>147.96</v>
      </c>
      <c r="WM93">
        <v>148.22</v>
      </c>
      <c r="WN93">
        <v>148.49</v>
      </c>
      <c r="WO93">
        <v>148.69999999999999</v>
      </c>
      <c r="WP93">
        <v>148.80000000000001</v>
      </c>
      <c r="WQ93">
        <v>149.01</v>
      </c>
      <c r="WR93">
        <v>149.24</v>
      </c>
      <c r="WS93">
        <v>149.44999999999999</v>
      </c>
      <c r="WT93">
        <v>149.63999999999999</v>
      </c>
      <c r="WU93">
        <v>149.81</v>
      </c>
      <c r="WV93">
        <v>150.04</v>
      </c>
      <c r="WW93">
        <v>150.22</v>
      </c>
      <c r="WX93">
        <v>150.4</v>
      </c>
      <c r="WY93">
        <v>150.58000000000001</v>
      </c>
      <c r="WZ93">
        <v>150.76</v>
      </c>
      <c r="XA93">
        <v>150.91</v>
      </c>
      <c r="XB93">
        <v>151.01</v>
      </c>
      <c r="XC93">
        <v>151.18</v>
      </c>
      <c r="XD93">
        <v>151.36000000000001</v>
      </c>
      <c r="XE93">
        <v>151.51</v>
      </c>
      <c r="XF93">
        <v>151.72</v>
      </c>
      <c r="XG93">
        <v>151.86000000000001</v>
      </c>
      <c r="XH93">
        <v>152.01</v>
      </c>
      <c r="XI93">
        <v>152.27000000000001</v>
      </c>
      <c r="XJ93">
        <v>152.46</v>
      </c>
      <c r="XK93">
        <v>152.61000000000001</v>
      </c>
      <c r="XL93">
        <v>152.75</v>
      </c>
      <c r="XM93">
        <v>152.94999999999999</v>
      </c>
      <c r="XN93">
        <v>153.11000000000001</v>
      </c>
      <c r="XO93">
        <v>153.25</v>
      </c>
      <c r="XP93">
        <v>153.47</v>
      </c>
      <c r="XQ93">
        <v>153.6</v>
      </c>
      <c r="XR93">
        <v>153.77000000000001</v>
      </c>
      <c r="XS93">
        <v>153.88</v>
      </c>
      <c r="XT93">
        <v>153.97</v>
      </c>
      <c r="XU93">
        <v>154.06</v>
      </c>
      <c r="XV93">
        <v>154.15</v>
      </c>
      <c r="XW93">
        <v>154.26</v>
      </c>
      <c r="XX93">
        <v>154.37</v>
      </c>
      <c r="XY93">
        <v>154.47999999999999</v>
      </c>
      <c r="XZ93">
        <v>154.59</v>
      </c>
      <c r="YA93">
        <v>154.66</v>
      </c>
      <c r="YB93">
        <v>154.77000000000001</v>
      </c>
      <c r="YC93">
        <v>154.87</v>
      </c>
      <c r="YD93">
        <v>155.04</v>
      </c>
      <c r="YE93">
        <v>155.27000000000001</v>
      </c>
      <c r="YF93">
        <v>155.37</v>
      </c>
      <c r="YG93">
        <v>155.41</v>
      </c>
      <c r="YH93">
        <v>155.43</v>
      </c>
      <c r="YI93">
        <v>155.44999999999999</v>
      </c>
      <c r="YJ93">
        <v>155.47</v>
      </c>
      <c r="YK93">
        <v>155.47999999999999</v>
      </c>
      <c r="YL93">
        <v>155.51</v>
      </c>
      <c r="YM93">
        <v>155.54</v>
      </c>
      <c r="YN93">
        <v>155.57</v>
      </c>
      <c r="YO93">
        <v>155.63</v>
      </c>
      <c r="YP93">
        <v>155.63</v>
      </c>
      <c r="YQ93">
        <v>155.68</v>
      </c>
      <c r="YS93">
        <v>155.74</v>
      </c>
      <c r="YT93">
        <v>155.79</v>
      </c>
      <c r="YU93">
        <v>155.82</v>
      </c>
      <c r="YV93">
        <v>155.83000000000001</v>
      </c>
      <c r="YW93">
        <v>155.86000000000001</v>
      </c>
      <c r="YX93">
        <v>155.88999999999999</v>
      </c>
      <c r="YY93">
        <v>155.91999999999999</v>
      </c>
      <c r="YZ93">
        <v>155.94999999999999</v>
      </c>
      <c r="ZA93">
        <v>155.97</v>
      </c>
      <c r="ZB93">
        <v>155.97999999999999</v>
      </c>
      <c r="ZC93">
        <v>155.99</v>
      </c>
      <c r="ZD93">
        <v>155.99</v>
      </c>
      <c r="ZE93">
        <v>154.94</v>
      </c>
      <c r="ZF93">
        <v>154.94999999999999</v>
      </c>
      <c r="ZG93">
        <v>154.96</v>
      </c>
      <c r="ZH93">
        <v>154.97</v>
      </c>
      <c r="ZI93">
        <v>154.97999999999999</v>
      </c>
      <c r="ZL93">
        <v>155</v>
      </c>
      <c r="ZM93">
        <v>155.01</v>
      </c>
      <c r="ZN93">
        <v>155.02000000000001</v>
      </c>
      <c r="ZO93">
        <v>155.04</v>
      </c>
      <c r="ZP93">
        <v>155.05000000000001</v>
      </c>
      <c r="ZQ93">
        <v>155.05000000000001</v>
      </c>
      <c r="ZR93">
        <v>155.06</v>
      </c>
      <c r="ZS93">
        <v>155.06</v>
      </c>
      <c r="ZT93">
        <v>155.07</v>
      </c>
      <c r="ZU93">
        <v>155.08000000000001</v>
      </c>
      <c r="ZV93">
        <v>155.09</v>
      </c>
      <c r="ZW93">
        <v>155.1</v>
      </c>
      <c r="ZX93">
        <v>155.1</v>
      </c>
      <c r="ZY93">
        <v>155.11000000000001</v>
      </c>
      <c r="ZZ93">
        <v>155.11000000000001</v>
      </c>
      <c r="AAA93">
        <v>155.12</v>
      </c>
      <c r="AAB93">
        <v>155.13</v>
      </c>
      <c r="AAC93">
        <v>155.13999999999999</v>
      </c>
      <c r="AAD93">
        <v>155.13999999999999</v>
      </c>
      <c r="AAE93">
        <v>155.13999999999999</v>
      </c>
      <c r="AAF93">
        <v>155.15</v>
      </c>
      <c r="AAG93">
        <v>155.15</v>
      </c>
      <c r="AAH93">
        <v>155.16</v>
      </c>
      <c r="AAI93">
        <v>155.16</v>
      </c>
      <c r="AAJ93">
        <v>155.16999999999999</v>
      </c>
      <c r="AAK93">
        <v>155.16999999999999</v>
      </c>
      <c r="AAL93">
        <v>155.16999999999999</v>
      </c>
      <c r="AAM93">
        <v>155.18</v>
      </c>
      <c r="AAN93">
        <v>155.18</v>
      </c>
      <c r="AAO93">
        <v>155.19</v>
      </c>
      <c r="AAP93">
        <v>155.19</v>
      </c>
      <c r="AAQ93">
        <v>155.19</v>
      </c>
      <c r="AAR93">
        <v>155.19999999999999</v>
      </c>
      <c r="AAS93">
        <v>155.19999999999999</v>
      </c>
      <c r="AAT93">
        <v>155.19999999999999</v>
      </c>
      <c r="AAU93">
        <v>155.19999999999999</v>
      </c>
      <c r="AAV93">
        <v>155.21</v>
      </c>
      <c r="AAW93">
        <v>155.21</v>
      </c>
      <c r="AAX93">
        <v>155.21</v>
      </c>
      <c r="AAY93">
        <v>155.22</v>
      </c>
      <c r="AAZ93">
        <v>155.22</v>
      </c>
      <c r="ABA93">
        <v>155.22</v>
      </c>
      <c r="ABB93">
        <v>155.22</v>
      </c>
      <c r="ABC93">
        <v>155.22999999999999</v>
      </c>
      <c r="ABD93">
        <v>155.22999999999999</v>
      </c>
      <c r="ABE93">
        <v>155.24</v>
      </c>
      <c r="ABF93">
        <v>155.24</v>
      </c>
      <c r="ABG93">
        <v>155.24</v>
      </c>
      <c r="ABH93">
        <v>155.24</v>
      </c>
      <c r="ABI93">
        <v>155.25</v>
      </c>
      <c r="ABJ93">
        <v>155.25</v>
      </c>
      <c r="ABK93">
        <v>155.26</v>
      </c>
      <c r="ABL93">
        <v>155.27000000000001</v>
      </c>
      <c r="ABM93">
        <v>155.27000000000001</v>
      </c>
      <c r="ABN93">
        <v>155.28</v>
      </c>
      <c r="ABO93">
        <v>155.28</v>
      </c>
      <c r="ABP93">
        <v>155.29</v>
      </c>
      <c r="ABQ93">
        <v>155.30000000000001</v>
      </c>
      <c r="ABR93">
        <v>155.30000000000001</v>
      </c>
      <c r="ABS93">
        <v>155.31</v>
      </c>
      <c r="ABT93">
        <v>155.31</v>
      </c>
      <c r="ABU93">
        <v>155.31</v>
      </c>
      <c r="ABV93">
        <v>155.32</v>
      </c>
      <c r="ABW93">
        <v>155.32</v>
      </c>
      <c r="ABX93">
        <v>155.32</v>
      </c>
      <c r="ABY93">
        <v>155.33000000000001</v>
      </c>
      <c r="ABZ93">
        <v>155.33000000000001</v>
      </c>
      <c r="ACA93">
        <v>155.34</v>
      </c>
      <c r="ACB93">
        <v>155.34</v>
      </c>
      <c r="ACC93">
        <v>155.34</v>
      </c>
      <c r="ACD93">
        <v>155.34</v>
      </c>
      <c r="ACE93">
        <v>155.35</v>
      </c>
      <c r="ACF93">
        <v>155.35</v>
      </c>
      <c r="ACG93">
        <v>155.36000000000001</v>
      </c>
      <c r="ACH93">
        <v>155.36000000000001</v>
      </c>
      <c r="ACI93">
        <v>155.36000000000001</v>
      </c>
      <c r="ACJ93">
        <v>155.36000000000001</v>
      </c>
      <c r="ACK93">
        <v>155.37</v>
      </c>
      <c r="ACL93">
        <v>155.38</v>
      </c>
      <c r="ACM93">
        <v>155.38999999999999</v>
      </c>
      <c r="ACN93">
        <v>155.41</v>
      </c>
      <c r="ACO93">
        <v>155.44</v>
      </c>
      <c r="ACP93">
        <v>155.44</v>
      </c>
      <c r="ACQ93">
        <v>155.44999999999999</v>
      </c>
      <c r="ACR93">
        <v>155.47</v>
      </c>
      <c r="ACS93">
        <v>155.49</v>
      </c>
      <c r="ACT93">
        <v>155.49</v>
      </c>
      <c r="ACU93">
        <v>155.51</v>
      </c>
      <c r="ACV93">
        <v>155.53</v>
      </c>
      <c r="ACW93">
        <v>155.56</v>
      </c>
      <c r="ACX93">
        <v>155.58000000000001</v>
      </c>
      <c r="ACY93">
        <v>155.6</v>
      </c>
      <c r="ACZ93">
        <v>155.61000000000001</v>
      </c>
      <c r="ADA93">
        <v>155.62</v>
      </c>
      <c r="ADB93">
        <v>155.63</v>
      </c>
      <c r="ADC93">
        <v>155.63999999999999</v>
      </c>
      <c r="ADD93">
        <v>155.65</v>
      </c>
      <c r="ADE93">
        <v>155.66</v>
      </c>
      <c r="ADF93">
        <v>155.66999999999999</v>
      </c>
      <c r="ADG93">
        <v>155.66999999999999</v>
      </c>
      <c r="ADH93">
        <v>155.68</v>
      </c>
      <c r="ADI93">
        <v>155.68</v>
      </c>
      <c r="ADJ93">
        <v>155.68</v>
      </c>
      <c r="ADK93">
        <v>155.68</v>
      </c>
      <c r="ADL93">
        <v>155.68</v>
      </c>
      <c r="ADM93">
        <v>155.68</v>
      </c>
      <c r="ADN93">
        <v>155.68</v>
      </c>
      <c r="ADO93">
        <v>155.68</v>
      </c>
      <c r="ADP93">
        <v>155.68</v>
      </c>
      <c r="ADQ93">
        <v>155.68</v>
      </c>
      <c r="ADR93">
        <v>155.68</v>
      </c>
      <c r="ADS93">
        <v>155.68</v>
      </c>
      <c r="ADT93">
        <v>155.69</v>
      </c>
      <c r="ADU93">
        <v>155.69</v>
      </c>
      <c r="ADV93">
        <v>155.69</v>
      </c>
      <c r="ADW93">
        <v>155.69</v>
      </c>
      <c r="ADX93">
        <v>155.69</v>
      </c>
      <c r="ADY93">
        <v>155.69</v>
      </c>
      <c r="ADZ93">
        <v>155.69</v>
      </c>
      <c r="AEA93">
        <v>155.69</v>
      </c>
      <c r="AEB93">
        <v>155.69</v>
      </c>
      <c r="AEC93">
        <v>155.69</v>
      </c>
      <c r="AED93">
        <v>155.69</v>
      </c>
      <c r="AEE93">
        <v>155.69</v>
      </c>
      <c r="AEF93">
        <v>155.69</v>
      </c>
    </row>
    <row r="94" spans="1:812">
      <c r="A94" s="1" t="s">
        <v>57</v>
      </c>
      <c r="B94" t="s">
        <v>57</v>
      </c>
      <c r="AJ94">
        <v>0</v>
      </c>
      <c r="AT94">
        <v>0.05</v>
      </c>
      <c r="AV94">
        <v>0.05</v>
      </c>
      <c r="AW94">
        <v>0.06</v>
      </c>
      <c r="AX94">
        <v>0.09</v>
      </c>
      <c r="AY94">
        <v>0.11</v>
      </c>
      <c r="AZ94">
        <v>0.14000000000000001</v>
      </c>
      <c r="BA94">
        <v>0.15</v>
      </c>
      <c r="BB94">
        <v>0.18</v>
      </c>
      <c r="BC94">
        <v>0.19</v>
      </c>
      <c r="BD94">
        <v>0.21</v>
      </c>
      <c r="BE94">
        <v>0.24</v>
      </c>
      <c r="BF94">
        <v>0.26</v>
      </c>
      <c r="BG94">
        <v>0.28999999999999998</v>
      </c>
      <c r="BH94">
        <v>0.32</v>
      </c>
      <c r="BI94">
        <v>0.33</v>
      </c>
      <c r="BJ94">
        <v>0.34</v>
      </c>
      <c r="BK94">
        <v>0.36</v>
      </c>
      <c r="BL94">
        <v>0.39</v>
      </c>
      <c r="BM94">
        <v>0.46</v>
      </c>
      <c r="BN94">
        <v>0.5</v>
      </c>
      <c r="BP94">
        <v>0.54</v>
      </c>
      <c r="BQ94">
        <v>0.55000000000000004</v>
      </c>
      <c r="BR94">
        <v>0.57999999999999996</v>
      </c>
      <c r="BS94">
        <v>0.61</v>
      </c>
      <c r="BT94">
        <v>0.64</v>
      </c>
      <c r="BU94">
        <v>0.65</v>
      </c>
      <c r="BW94">
        <v>0.72</v>
      </c>
      <c r="BZ94">
        <v>0.75</v>
      </c>
      <c r="CA94">
        <v>0.8</v>
      </c>
      <c r="CB94">
        <v>0.85</v>
      </c>
      <c r="CC94">
        <v>0.9</v>
      </c>
      <c r="CD94">
        <v>0.95</v>
      </c>
      <c r="CE94">
        <v>0.98</v>
      </c>
      <c r="CF94">
        <v>1.04</v>
      </c>
      <c r="CG94">
        <v>1.1100000000000001</v>
      </c>
      <c r="CH94">
        <v>1.24</v>
      </c>
      <c r="CJ94">
        <v>1.29</v>
      </c>
      <c r="CL94">
        <v>1.47</v>
      </c>
      <c r="CO94">
        <v>1.77</v>
      </c>
      <c r="CP94">
        <v>1.82</v>
      </c>
      <c r="CQ94">
        <v>1.87</v>
      </c>
      <c r="CR94">
        <v>1.99</v>
      </c>
      <c r="CS94">
        <v>2</v>
      </c>
      <c r="CT94">
        <v>2.1</v>
      </c>
      <c r="CU94">
        <v>2.2599999999999998</v>
      </c>
      <c r="CV94">
        <v>2.41</v>
      </c>
      <c r="CW94">
        <v>2.48</v>
      </c>
      <c r="CX94">
        <v>2.69</v>
      </c>
      <c r="CY94">
        <v>2.86</v>
      </c>
      <c r="CZ94">
        <v>2.88</v>
      </c>
      <c r="DA94">
        <v>3.01</v>
      </c>
      <c r="DB94">
        <v>3.41</v>
      </c>
      <c r="DD94">
        <v>3.56</v>
      </c>
      <c r="DE94">
        <v>3.81</v>
      </c>
      <c r="DF94">
        <v>3.81</v>
      </c>
      <c r="DG94">
        <v>3.94</v>
      </c>
      <c r="DJ94">
        <v>4.2699999999999996</v>
      </c>
      <c r="DK94">
        <v>4.47</v>
      </c>
      <c r="DL94">
        <v>4.49</v>
      </c>
      <c r="DN94">
        <v>4.62</v>
      </c>
      <c r="DP94">
        <v>4.92</v>
      </c>
      <c r="DR94">
        <v>5.14</v>
      </c>
      <c r="DT94">
        <v>5.51</v>
      </c>
      <c r="DV94">
        <v>5.7</v>
      </c>
      <c r="DW94">
        <v>5.78</v>
      </c>
      <c r="DX94">
        <v>5.85</v>
      </c>
      <c r="DY94">
        <v>6.03</v>
      </c>
      <c r="EA94">
        <v>6.1</v>
      </c>
      <c r="EC94">
        <v>6.22</v>
      </c>
      <c r="ED94">
        <v>6.32</v>
      </c>
      <c r="EE94">
        <v>6.45</v>
      </c>
      <c r="EF94">
        <v>6.55</v>
      </c>
      <c r="EG94">
        <v>6.7</v>
      </c>
      <c r="EI94">
        <v>6.79</v>
      </c>
      <c r="EJ94">
        <v>6.89</v>
      </c>
      <c r="EK94">
        <v>7.03</v>
      </c>
      <c r="EL94">
        <v>7.15</v>
      </c>
      <c r="EM94">
        <v>7.27</v>
      </c>
      <c r="EN94">
        <v>7.34</v>
      </c>
      <c r="EP94">
        <v>7.38</v>
      </c>
      <c r="ER94">
        <v>7.57</v>
      </c>
      <c r="ET94">
        <v>7.81</v>
      </c>
      <c r="EU94">
        <v>7.92</v>
      </c>
      <c r="EW94">
        <v>8.0399999999999991</v>
      </c>
      <c r="EY94">
        <v>8.24</v>
      </c>
      <c r="FA94">
        <v>8.27</v>
      </c>
      <c r="FB94">
        <v>8.27</v>
      </c>
      <c r="FD94">
        <v>8.31</v>
      </c>
      <c r="FE94">
        <v>8.3800000000000008</v>
      </c>
      <c r="FF94">
        <v>8.5</v>
      </c>
      <c r="FH94">
        <v>8.7899999999999991</v>
      </c>
      <c r="FI94">
        <v>8.93</v>
      </c>
      <c r="FK94">
        <v>9.06</v>
      </c>
      <c r="FL94">
        <v>9.08</v>
      </c>
      <c r="FM94">
        <v>9.43</v>
      </c>
      <c r="FR94">
        <v>9.83</v>
      </c>
      <c r="FS94">
        <v>9.89</v>
      </c>
      <c r="FT94">
        <v>9.98</v>
      </c>
      <c r="FU94">
        <v>10.1</v>
      </c>
      <c r="FV94">
        <v>10.25</v>
      </c>
      <c r="FW94">
        <v>10.41</v>
      </c>
      <c r="FX94">
        <v>10.49</v>
      </c>
      <c r="FY94">
        <v>10.52</v>
      </c>
      <c r="FZ94">
        <v>10.59</v>
      </c>
      <c r="GA94">
        <v>10.83</v>
      </c>
      <c r="GB94">
        <v>11.02</v>
      </c>
      <c r="GC94">
        <v>11.22</v>
      </c>
      <c r="GD94">
        <v>11.41</v>
      </c>
      <c r="GE94">
        <v>11.55</v>
      </c>
      <c r="GF94">
        <v>11.6</v>
      </c>
      <c r="GG94">
        <v>11.71</v>
      </c>
      <c r="GH94">
        <v>11.92</v>
      </c>
      <c r="GI94">
        <v>12.16</v>
      </c>
      <c r="GJ94">
        <v>12.42</v>
      </c>
      <c r="GK94">
        <v>12.63</v>
      </c>
      <c r="GL94">
        <v>12.83</v>
      </c>
      <c r="GM94">
        <v>12.9</v>
      </c>
      <c r="GN94">
        <v>13.14</v>
      </c>
      <c r="GO94">
        <v>13.37</v>
      </c>
      <c r="GP94">
        <v>13.53</v>
      </c>
      <c r="GQ94">
        <v>13.78</v>
      </c>
      <c r="GR94">
        <v>14.04</v>
      </c>
      <c r="GS94">
        <v>14.28</v>
      </c>
      <c r="GT94">
        <v>14.74</v>
      </c>
      <c r="GU94">
        <v>14.84</v>
      </c>
      <c r="GV94">
        <v>15.37</v>
      </c>
      <c r="GW94">
        <v>15.63</v>
      </c>
      <c r="GX94">
        <v>16.149999999999999</v>
      </c>
      <c r="GY94">
        <v>16.329999999999998</v>
      </c>
      <c r="GZ94">
        <v>16.63</v>
      </c>
      <c r="HA94">
        <v>16.829999999999998</v>
      </c>
      <c r="HB94">
        <v>16.940000000000001</v>
      </c>
      <c r="HC94">
        <v>17.350000000000001</v>
      </c>
      <c r="HD94">
        <v>17.73</v>
      </c>
      <c r="HE94">
        <v>18.09</v>
      </c>
      <c r="HF94">
        <v>18.52</v>
      </c>
      <c r="HG94">
        <v>18.7</v>
      </c>
      <c r="HH94">
        <v>18.75</v>
      </c>
      <c r="HI94">
        <v>18.79</v>
      </c>
      <c r="HJ94">
        <v>18.8</v>
      </c>
      <c r="HK94">
        <v>19.93</v>
      </c>
      <c r="HL94">
        <v>20.41</v>
      </c>
      <c r="HM94">
        <v>20.84</v>
      </c>
      <c r="HN94">
        <v>21.02</v>
      </c>
      <c r="HO94">
        <v>21.19</v>
      </c>
      <c r="HP94">
        <v>21.39</v>
      </c>
      <c r="HQ94">
        <v>21.5</v>
      </c>
      <c r="HR94">
        <v>21.65</v>
      </c>
      <c r="HS94">
        <v>22.11</v>
      </c>
      <c r="HT94">
        <v>22.37</v>
      </c>
      <c r="HU94">
        <v>22.52</v>
      </c>
      <c r="HV94">
        <v>22.8</v>
      </c>
      <c r="HW94">
        <v>22.98</v>
      </c>
      <c r="HX94">
        <v>23.38</v>
      </c>
      <c r="HY94">
        <v>23.7</v>
      </c>
      <c r="HZ94">
        <v>24.11</v>
      </c>
      <c r="IA94">
        <v>24.48</v>
      </c>
      <c r="IB94">
        <v>24.77</v>
      </c>
      <c r="IC94">
        <v>24.92</v>
      </c>
      <c r="ID94">
        <v>25.09</v>
      </c>
      <c r="IE94">
        <v>25.42</v>
      </c>
      <c r="IF94">
        <v>25.76</v>
      </c>
      <c r="IG94">
        <v>25.97</v>
      </c>
      <c r="IH94">
        <v>26.43</v>
      </c>
      <c r="II94">
        <v>26.74</v>
      </c>
      <c r="IJ94">
        <v>27.15</v>
      </c>
      <c r="IK94">
        <v>27.66</v>
      </c>
      <c r="IL94">
        <v>28.13</v>
      </c>
      <c r="IM94">
        <v>28.58</v>
      </c>
      <c r="IN94">
        <v>28.9</v>
      </c>
      <c r="IQ94">
        <v>29.84</v>
      </c>
      <c r="IR94">
        <v>30.31</v>
      </c>
      <c r="IS94">
        <v>30.76</v>
      </c>
      <c r="IT94">
        <v>30.93</v>
      </c>
      <c r="IU94">
        <v>31.59</v>
      </c>
      <c r="IV94">
        <v>31.57</v>
      </c>
      <c r="IW94">
        <v>31.91</v>
      </c>
      <c r="IX94">
        <v>32.18</v>
      </c>
      <c r="IY94">
        <v>32.5</v>
      </c>
      <c r="IZ94">
        <v>32.97</v>
      </c>
      <c r="JA94">
        <v>33.33</v>
      </c>
      <c r="JB94">
        <v>33.57</v>
      </c>
      <c r="JC94">
        <v>34.21</v>
      </c>
      <c r="JD94">
        <v>34.71</v>
      </c>
      <c r="JE94">
        <v>34.92</v>
      </c>
      <c r="JF94">
        <v>35.51</v>
      </c>
      <c r="JG94">
        <v>35.81</v>
      </c>
      <c r="JH94">
        <v>36.43</v>
      </c>
      <c r="JI94">
        <v>37.049999999999997</v>
      </c>
      <c r="JJ94">
        <v>37.520000000000003</v>
      </c>
      <c r="JK94">
        <v>37.770000000000003</v>
      </c>
      <c r="JL94">
        <v>38</v>
      </c>
      <c r="JM94">
        <v>38.6</v>
      </c>
      <c r="JN94">
        <v>38.85</v>
      </c>
      <c r="JO94">
        <v>39.409999999999997</v>
      </c>
      <c r="JP94">
        <v>40.049999999999997</v>
      </c>
      <c r="JQ94">
        <v>40.54</v>
      </c>
      <c r="JR94">
        <v>41.17</v>
      </c>
      <c r="JS94">
        <v>41.43</v>
      </c>
      <c r="JT94">
        <v>42.04</v>
      </c>
      <c r="JU94">
        <v>42.27</v>
      </c>
      <c r="JV94">
        <v>42.74</v>
      </c>
      <c r="JW94">
        <v>43.54</v>
      </c>
      <c r="JX94">
        <v>43.98</v>
      </c>
      <c r="JY94">
        <v>44.6</v>
      </c>
      <c r="JZ94">
        <v>45.1</v>
      </c>
      <c r="KA94">
        <v>45.19</v>
      </c>
      <c r="KB94">
        <v>45.69</v>
      </c>
      <c r="KC94">
        <v>46.54</v>
      </c>
      <c r="KD94">
        <v>47.12</v>
      </c>
      <c r="KE94">
        <v>48.05</v>
      </c>
      <c r="KF94">
        <v>48.28</v>
      </c>
      <c r="KG94">
        <v>48.56</v>
      </c>
      <c r="KH94">
        <v>49.55</v>
      </c>
      <c r="KI94">
        <v>50</v>
      </c>
      <c r="KJ94">
        <v>50.74</v>
      </c>
      <c r="KK94">
        <v>51.45</v>
      </c>
      <c r="KL94">
        <v>52.07</v>
      </c>
      <c r="KM94">
        <v>52.61</v>
      </c>
      <c r="KN94">
        <v>52.99</v>
      </c>
      <c r="KO94">
        <v>53.27</v>
      </c>
      <c r="KP94">
        <v>53.77</v>
      </c>
      <c r="KQ94">
        <v>54.36</v>
      </c>
      <c r="KR94">
        <v>54.8</v>
      </c>
      <c r="KS94">
        <v>55.82</v>
      </c>
      <c r="KT94">
        <v>56.55</v>
      </c>
      <c r="KU94">
        <v>57.07</v>
      </c>
      <c r="KV94">
        <v>57.15</v>
      </c>
      <c r="KW94">
        <v>57.81</v>
      </c>
      <c r="KX94">
        <v>58.65</v>
      </c>
      <c r="KY94">
        <v>59.61</v>
      </c>
      <c r="KZ94">
        <v>60.38</v>
      </c>
      <c r="LA94">
        <v>61.09</v>
      </c>
      <c r="LB94">
        <v>61.6</v>
      </c>
      <c r="LC94">
        <v>61.94</v>
      </c>
      <c r="LD94">
        <v>62.6</v>
      </c>
      <c r="LE94">
        <v>63.11</v>
      </c>
      <c r="LF94">
        <v>63.53</v>
      </c>
      <c r="LG94">
        <v>64.34</v>
      </c>
      <c r="LH94">
        <v>64.930000000000007</v>
      </c>
      <c r="LI94">
        <v>65.48</v>
      </c>
      <c r="LJ94">
        <v>65.739999999999995</v>
      </c>
      <c r="LK94">
        <v>66.39</v>
      </c>
      <c r="LL94">
        <v>67.16</v>
      </c>
      <c r="LM94">
        <v>67.930000000000007</v>
      </c>
      <c r="LN94">
        <v>68.66</v>
      </c>
      <c r="LO94">
        <v>69.63</v>
      </c>
      <c r="LP94">
        <v>69.97</v>
      </c>
      <c r="LQ94">
        <v>70.56</v>
      </c>
      <c r="LR94">
        <v>70.81</v>
      </c>
      <c r="LS94">
        <v>71.569999999999993</v>
      </c>
      <c r="LT94">
        <v>72.2</v>
      </c>
      <c r="LU94">
        <v>72.92</v>
      </c>
      <c r="LV94">
        <v>73.19</v>
      </c>
      <c r="LW94">
        <v>73.849999999999994</v>
      </c>
      <c r="LX94">
        <v>74.040000000000006</v>
      </c>
      <c r="LY94">
        <v>74.73</v>
      </c>
      <c r="LZ94">
        <v>75.37</v>
      </c>
      <c r="MA94">
        <v>75.94</v>
      </c>
      <c r="MB94">
        <v>76.680000000000007</v>
      </c>
      <c r="MC94">
        <v>77.12</v>
      </c>
      <c r="MD94">
        <v>77.599999999999994</v>
      </c>
      <c r="ME94">
        <v>77.86</v>
      </c>
      <c r="MF94">
        <v>78.400000000000006</v>
      </c>
      <c r="MG94">
        <v>78.989999999999995</v>
      </c>
      <c r="MH94">
        <v>79.03</v>
      </c>
      <c r="MI94">
        <v>80.099999999999994</v>
      </c>
      <c r="MJ94">
        <v>80.61</v>
      </c>
      <c r="MK94">
        <v>80.92</v>
      </c>
      <c r="ML94">
        <v>81.41</v>
      </c>
      <c r="MM94">
        <v>81.86</v>
      </c>
      <c r="MO94">
        <v>83.45</v>
      </c>
      <c r="MQ94">
        <v>84.26</v>
      </c>
      <c r="MU94">
        <v>85.66</v>
      </c>
      <c r="MV94">
        <v>86.68</v>
      </c>
      <c r="MW94">
        <v>87.08</v>
      </c>
      <c r="MX94">
        <v>87.36</v>
      </c>
      <c r="MZ94">
        <v>87.54</v>
      </c>
      <c r="NA94">
        <v>87.97</v>
      </c>
      <c r="NB94">
        <v>88.38</v>
      </c>
      <c r="NC94">
        <v>88.87</v>
      </c>
      <c r="ND94">
        <v>89.33</v>
      </c>
      <c r="NE94">
        <v>90.24</v>
      </c>
      <c r="NF94">
        <v>90.45</v>
      </c>
      <c r="NH94">
        <v>91.5</v>
      </c>
      <c r="NJ94">
        <v>92.07</v>
      </c>
      <c r="NK94">
        <v>93.31</v>
      </c>
      <c r="NL94">
        <v>93.53</v>
      </c>
      <c r="NN94">
        <v>93.7</v>
      </c>
      <c r="NO94">
        <v>94.19</v>
      </c>
      <c r="NP94">
        <v>94.82</v>
      </c>
      <c r="NQ94">
        <v>95.44</v>
      </c>
      <c r="NR94">
        <v>96.02</v>
      </c>
      <c r="NS94">
        <v>96.46</v>
      </c>
      <c r="NT94">
        <v>96.71</v>
      </c>
      <c r="NU94">
        <v>96.9</v>
      </c>
      <c r="NV94">
        <v>97.47</v>
      </c>
      <c r="NW94">
        <v>98.15</v>
      </c>
      <c r="NX94">
        <v>98.79</v>
      </c>
      <c r="NY94">
        <v>99.83</v>
      </c>
      <c r="NZ94">
        <v>101.32</v>
      </c>
      <c r="OB94">
        <v>101.76</v>
      </c>
      <c r="OD94">
        <v>102.6</v>
      </c>
      <c r="OE94">
        <v>103.1</v>
      </c>
      <c r="OG94">
        <v>103.54</v>
      </c>
      <c r="OH94">
        <v>103.84</v>
      </c>
      <c r="OI94">
        <v>104.04</v>
      </c>
      <c r="OK94">
        <v>104.97</v>
      </c>
      <c r="OL94">
        <v>106.11</v>
      </c>
      <c r="ON94">
        <v>106.77</v>
      </c>
      <c r="OO94">
        <v>107.12</v>
      </c>
      <c r="OP94">
        <v>107.33</v>
      </c>
      <c r="OQ94">
        <v>107.79</v>
      </c>
      <c r="OR94">
        <v>108.49</v>
      </c>
      <c r="OS94">
        <v>109.11</v>
      </c>
      <c r="OT94">
        <v>109.71</v>
      </c>
      <c r="OU94">
        <v>110.18</v>
      </c>
      <c r="OV94">
        <v>110.44</v>
      </c>
      <c r="OW94">
        <v>110.62</v>
      </c>
      <c r="OX94">
        <v>111.13</v>
      </c>
      <c r="OY94">
        <v>111.51</v>
      </c>
      <c r="OZ94">
        <v>111.98</v>
      </c>
      <c r="PA94">
        <v>112.48</v>
      </c>
      <c r="PB94">
        <v>112.86</v>
      </c>
      <c r="PC94">
        <v>113.1</v>
      </c>
      <c r="PD94">
        <v>113.15</v>
      </c>
      <c r="PJ94">
        <v>117.01</v>
      </c>
      <c r="PK94">
        <v>117.61</v>
      </c>
      <c r="PL94">
        <v>117.96</v>
      </c>
      <c r="PM94">
        <v>118.61</v>
      </c>
      <c r="PN94">
        <v>119.03</v>
      </c>
      <c r="PP94">
        <v>119.81</v>
      </c>
      <c r="PQ94">
        <v>119.85</v>
      </c>
      <c r="PR94">
        <v>120.32</v>
      </c>
      <c r="PS94">
        <v>120.79</v>
      </c>
      <c r="PT94">
        <v>121.25</v>
      </c>
      <c r="PU94">
        <v>121.75</v>
      </c>
      <c r="PX94">
        <v>122.52</v>
      </c>
      <c r="PY94">
        <v>122.9</v>
      </c>
      <c r="QA94">
        <v>123.77</v>
      </c>
      <c r="QC94">
        <v>124.57</v>
      </c>
      <c r="QE94">
        <v>124.57</v>
      </c>
      <c r="QG94">
        <v>125.09</v>
      </c>
      <c r="QI94">
        <v>126.52</v>
      </c>
      <c r="QL94">
        <v>127.58</v>
      </c>
      <c r="QM94">
        <v>127.98</v>
      </c>
      <c r="QN94">
        <v>128.30000000000001</v>
      </c>
      <c r="QR94">
        <v>130.04</v>
      </c>
      <c r="QT94">
        <v>130.35</v>
      </c>
      <c r="QW94">
        <v>131.66999999999999</v>
      </c>
      <c r="RB94">
        <v>133.21</v>
      </c>
      <c r="RC94">
        <v>133.83000000000001</v>
      </c>
      <c r="RD94">
        <v>133.94999999999999</v>
      </c>
      <c r="RH94">
        <v>136.02000000000001</v>
      </c>
      <c r="RI94">
        <v>136.44999999999999</v>
      </c>
      <c r="RJ94">
        <v>136.80000000000001</v>
      </c>
      <c r="RK94">
        <v>137.29</v>
      </c>
      <c r="RM94">
        <v>137.87</v>
      </c>
      <c r="RN94">
        <v>138.63999999999999</v>
      </c>
      <c r="RO94">
        <v>138.86000000000001</v>
      </c>
      <c r="RP94">
        <v>139.09</v>
      </c>
      <c r="RQ94">
        <v>139.80000000000001</v>
      </c>
      <c r="RR94">
        <v>140.16999999999999</v>
      </c>
      <c r="RS94">
        <v>140.41</v>
      </c>
      <c r="RT94">
        <v>140.88</v>
      </c>
      <c r="RU94">
        <v>141.15</v>
      </c>
      <c r="RV94">
        <v>142.02000000000001</v>
      </c>
      <c r="RW94">
        <v>142.29</v>
      </c>
      <c r="RX94">
        <v>142.55000000000001</v>
      </c>
      <c r="RZ94">
        <v>143.55000000000001</v>
      </c>
      <c r="SB94">
        <v>143.96</v>
      </c>
      <c r="SC94">
        <v>144.06</v>
      </c>
      <c r="SD94">
        <v>144.28</v>
      </c>
      <c r="SE94">
        <v>144.56</v>
      </c>
      <c r="SF94">
        <v>145.21</v>
      </c>
      <c r="SG94">
        <v>145.21</v>
      </c>
      <c r="SH94">
        <v>145.21</v>
      </c>
      <c r="SI94">
        <v>145.21</v>
      </c>
      <c r="SJ94">
        <v>145.21</v>
      </c>
      <c r="SK94">
        <v>145.21</v>
      </c>
      <c r="SL94">
        <v>145.21</v>
      </c>
      <c r="SM94">
        <v>145.21</v>
      </c>
      <c r="SO94">
        <v>145.21</v>
      </c>
      <c r="SP94">
        <v>145.21</v>
      </c>
      <c r="SQ94">
        <v>145.21</v>
      </c>
      <c r="SR94">
        <v>145.21</v>
      </c>
      <c r="SU94">
        <v>145.21</v>
      </c>
      <c r="SV94">
        <v>145.21</v>
      </c>
      <c r="SW94">
        <v>145.21</v>
      </c>
      <c r="SX94">
        <v>145.21</v>
      </c>
      <c r="SY94">
        <v>145.21</v>
      </c>
      <c r="SZ94">
        <v>145.21</v>
      </c>
      <c r="TA94">
        <v>145.21</v>
      </c>
      <c r="TB94">
        <v>145.21</v>
      </c>
      <c r="TC94">
        <v>145.21</v>
      </c>
      <c r="TD94">
        <v>145.21</v>
      </c>
      <c r="TE94">
        <v>145.21</v>
      </c>
      <c r="TF94">
        <v>145.21</v>
      </c>
      <c r="TG94">
        <v>145.21</v>
      </c>
      <c r="TH94">
        <v>145.21</v>
      </c>
      <c r="TI94">
        <v>145.21</v>
      </c>
      <c r="TJ94">
        <v>145.21</v>
      </c>
      <c r="TK94">
        <v>145.21</v>
      </c>
      <c r="TL94">
        <v>145.21</v>
      </c>
      <c r="TM94">
        <v>145.21</v>
      </c>
      <c r="TN94">
        <v>145.21</v>
      </c>
      <c r="TO94">
        <v>145.21</v>
      </c>
      <c r="TP94">
        <v>145.21</v>
      </c>
      <c r="TQ94">
        <v>145.21</v>
      </c>
      <c r="TU94">
        <v>150.30000000000001</v>
      </c>
      <c r="UC94">
        <v>151.08000000000001</v>
      </c>
      <c r="VD94">
        <v>154.63</v>
      </c>
      <c r="AAN94">
        <v>161.33000000000001</v>
      </c>
      <c r="ABH94">
        <v>160.86000000000001</v>
      </c>
      <c r="ACJ94">
        <v>161.27000000000001</v>
      </c>
    </row>
    <row r="95" spans="1:812">
      <c r="A95" s="1" t="s">
        <v>47</v>
      </c>
      <c r="B95" t="s">
        <v>47</v>
      </c>
      <c r="BK95">
        <v>0</v>
      </c>
      <c r="BL95">
        <v>0</v>
      </c>
      <c r="BT95">
        <v>0.01</v>
      </c>
      <c r="CX95">
        <v>0.15</v>
      </c>
      <c r="DF95">
        <v>0.38</v>
      </c>
      <c r="DX95">
        <v>0.55000000000000004</v>
      </c>
      <c r="EC95">
        <v>0.65</v>
      </c>
      <c r="ED95">
        <v>0.74</v>
      </c>
      <c r="EF95">
        <v>0.79</v>
      </c>
      <c r="EL95">
        <v>1.1200000000000001</v>
      </c>
      <c r="EM95">
        <v>1.19</v>
      </c>
      <c r="EN95">
        <v>1.27</v>
      </c>
      <c r="ER95">
        <v>1.57</v>
      </c>
      <c r="EU95">
        <v>1.77</v>
      </c>
      <c r="EX95">
        <v>2.1</v>
      </c>
      <c r="FE95">
        <v>2.77</v>
      </c>
      <c r="FL95">
        <v>3.74</v>
      </c>
      <c r="GA95">
        <v>5.42</v>
      </c>
      <c r="GG95">
        <v>5.71</v>
      </c>
      <c r="GN95">
        <v>5.92</v>
      </c>
      <c r="GV95">
        <v>6.81</v>
      </c>
      <c r="HJ95">
        <v>7.77</v>
      </c>
      <c r="HP95">
        <v>9.7100000000000009</v>
      </c>
      <c r="HW95">
        <v>12.11</v>
      </c>
      <c r="ID95">
        <v>14.75</v>
      </c>
      <c r="IK95">
        <v>19.3</v>
      </c>
      <c r="IR95">
        <v>23.69</v>
      </c>
      <c r="IZ95">
        <v>27.21</v>
      </c>
      <c r="JE95">
        <v>30.79</v>
      </c>
      <c r="JS95">
        <v>41.22</v>
      </c>
      <c r="JY95">
        <v>49.4</v>
      </c>
      <c r="KA95">
        <v>51.01</v>
      </c>
      <c r="LC95">
        <v>87.16</v>
      </c>
      <c r="LF95">
        <v>91.31</v>
      </c>
      <c r="LH95">
        <v>93.54</v>
      </c>
      <c r="LJ95">
        <v>95.69</v>
      </c>
      <c r="LN95">
        <v>100.4</v>
      </c>
      <c r="LR95">
        <v>104.97</v>
      </c>
      <c r="LU95">
        <v>109</v>
      </c>
      <c r="LY95">
        <v>112.75</v>
      </c>
      <c r="MC95">
        <v>115.47</v>
      </c>
      <c r="MK95">
        <v>120.13</v>
      </c>
      <c r="MY95">
        <v>126.47</v>
      </c>
      <c r="OH95">
        <v>143.66</v>
      </c>
      <c r="OM95">
        <v>147.32</v>
      </c>
      <c r="ON95">
        <v>147.66999999999999</v>
      </c>
      <c r="OO95">
        <v>148.15</v>
      </c>
      <c r="OP95">
        <v>148.66</v>
      </c>
      <c r="OQ95">
        <v>149.1</v>
      </c>
      <c r="OR95">
        <v>149.62</v>
      </c>
      <c r="OS95">
        <v>150.16999999999999</v>
      </c>
      <c r="OU95">
        <v>150.83000000000001</v>
      </c>
      <c r="OV95">
        <v>151.29</v>
      </c>
      <c r="OW95">
        <v>151.74</v>
      </c>
      <c r="OY95">
        <v>152.79</v>
      </c>
      <c r="PA95">
        <v>153.72999999999999</v>
      </c>
      <c r="PB95">
        <v>154.12</v>
      </c>
      <c r="PC95">
        <v>154.79</v>
      </c>
      <c r="PD95">
        <v>155.47999999999999</v>
      </c>
      <c r="PE95">
        <v>156.09</v>
      </c>
      <c r="PF95">
        <v>156.83000000000001</v>
      </c>
      <c r="PG95">
        <v>157.76</v>
      </c>
      <c r="PH95">
        <v>158.12</v>
      </c>
      <c r="PI95">
        <v>158.54</v>
      </c>
      <c r="PJ95">
        <v>159.08000000000001</v>
      </c>
      <c r="PK95">
        <v>159.6</v>
      </c>
      <c r="PL95">
        <v>160.04</v>
      </c>
      <c r="PM95">
        <v>160.51</v>
      </c>
      <c r="PN95">
        <v>160.96</v>
      </c>
      <c r="PO95">
        <v>161.25</v>
      </c>
      <c r="PP95">
        <v>161.52000000000001</v>
      </c>
      <c r="PQ95">
        <v>161.9</v>
      </c>
      <c r="PR95">
        <v>162.28</v>
      </c>
      <c r="PS95">
        <v>162.53</v>
      </c>
      <c r="PT95">
        <v>162.72</v>
      </c>
      <c r="PV95">
        <v>163.34</v>
      </c>
      <c r="PW95">
        <v>163.65</v>
      </c>
      <c r="PX95">
        <v>164.02</v>
      </c>
      <c r="PY95">
        <v>164.39</v>
      </c>
      <c r="PZ95">
        <v>164.73</v>
      </c>
      <c r="QC95">
        <v>165.64</v>
      </c>
      <c r="QD95">
        <v>165.83</v>
      </c>
      <c r="QE95">
        <v>166</v>
      </c>
      <c r="QF95">
        <v>166.45</v>
      </c>
      <c r="QG95">
        <v>166.68</v>
      </c>
      <c r="QH95">
        <v>166.81</v>
      </c>
      <c r="QI95">
        <v>167.02</v>
      </c>
      <c r="QK95">
        <v>167.63</v>
      </c>
      <c r="QL95">
        <v>168.04</v>
      </c>
      <c r="QM95">
        <v>168.45</v>
      </c>
      <c r="QN95">
        <v>168.76</v>
      </c>
      <c r="QO95">
        <v>169.11</v>
      </c>
      <c r="QP95">
        <v>169.45</v>
      </c>
      <c r="QR95">
        <v>170</v>
      </c>
      <c r="QT95">
        <v>170.58</v>
      </c>
      <c r="QW95">
        <v>171.38</v>
      </c>
      <c r="QY95">
        <v>171.63</v>
      </c>
      <c r="QZ95">
        <v>171.76</v>
      </c>
      <c r="RB95">
        <v>171.84</v>
      </c>
      <c r="RE95">
        <v>171.92</v>
      </c>
      <c r="RG95">
        <v>172.06</v>
      </c>
      <c r="RH95">
        <v>172.48</v>
      </c>
      <c r="RI95">
        <v>172.64</v>
      </c>
      <c r="RJ95">
        <v>172.75</v>
      </c>
      <c r="RL95">
        <v>173.06</v>
      </c>
      <c r="RM95">
        <v>173.16</v>
      </c>
      <c r="RN95">
        <v>173.3</v>
      </c>
      <c r="RO95">
        <v>173.39</v>
      </c>
      <c r="RQ95">
        <v>173.79</v>
      </c>
      <c r="RR95">
        <v>173.89</v>
      </c>
      <c r="RS95">
        <v>174.01</v>
      </c>
      <c r="RT95">
        <v>174.07</v>
      </c>
      <c r="RV95">
        <v>174.4</v>
      </c>
      <c r="RW95">
        <v>174.48</v>
      </c>
      <c r="RY95">
        <v>174.64</v>
      </c>
      <c r="SA95">
        <v>174.75</v>
      </c>
      <c r="SB95">
        <v>174.77</v>
      </c>
      <c r="SC95">
        <v>174.8</v>
      </c>
      <c r="SD95">
        <v>174.87</v>
      </c>
      <c r="SE95">
        <v>174.92</v>
      </c>
      <c r="SG95">
        <v>175.06</v>
      </c>
      <c r="SI95">
        <v>175.12</v>
      </c>
      <c r="SK95">
        <v>175.22</v>
      </c>
      <c r="SL95">
        <v>175.24</v>
      </c>
      <c r="SO95">
        <v>175.3</v>
      </c>
      <c r="SP95">
        <v>175.34</v>
      </c>
      <c r="SQ95">
        <v>175.42</v>
      </c>
      <c r="SR95">
        <v>175.47</v>
      </c>
      <c r="SS95">
        <v>175.54</v>
      </c>
      <c r="ST95">
        <v>175.62</v>
      </c>
      <c r="SW95">
        <v>175.75</v>
      </c>
      <c r="SX95">
        <v>175.79</v>
      </c>
      <c r="TA95">
        <v>175.93</v>
      </c>
      <c r="TB95">
        <v>175.96</v>
      </c>
      <c r="TC95">
        <v>175.97</v>
      </c>
      <c r="TD95">
        <v>176.01</v>
      </c>
      <c r="TE95">
        <v>176.06</v>
      </c>
      <c r="TF95">
        <v>176.09</v>
      </c>
      <c r="TG95">
        <v>176.13</v>
      </c>
      <c r="TH95">
        <v>176.17</v>
      </c>
      <c r="TK95">
        <v>176.22</v>
      </c>
      <c r="TM95">
        <v>176.3</v>
      </c>
      <c r="TO95">
        <v>176.36</v>
      </c>
      <c r="VG95">
        <v>171.72</v>
      </c>
      <c r="ABJ95">
        <v>174.78</v>
      </c>
      <c r="ACI95">
        <v>174.98</v>
      </c>
      <c r="ACV95">
        <v>175.05</v>
      </c>
    </row>
    <row r="96" spans="1:812">
      <c r="A96" s="1" t="s">
        <v>55</v>
      </c>
      <c r="B96" t="s">
        <v>335</v>
      </c>
      <c r="CF96">
        <v>0</v>
      </c>
      <c r="DH96">
        <v>7.0000000000000007E-2</v>
      </c>
      <c r="DN96">
        <v>0.23</v>
      </c>
      <c r="DO96">
        <v>0.26</v>
      </c>
      <c r="DV96">
        <v>0.38</v>
      </c>
      <c r="DZ96">
        <v>0.49</v>
      </c>
      <c r="EG96">
        <v>0.74</v>
      </c>
      <c r="EY96">
        <v>1.1299999999999999</v>
      </c>
      <c r="FI96">
        <v>1.29</v>
      </c>
      <c r="FM96">
        <v>1.37</v>
      </c>
      <c r="FP96">
        <v>1.45</v>
      </c>
      <c r="GA96">
        <v>1.53</v>
      </c>
      <c r="GG96">
        <v>1.75</v>
      </c>
      <c r="GM96">
        <v>2</v>
      </c>
      <c r="HB96">
        <v>2.7</v>
      </c>
      <c r="IH96">
        <v>5.23</v>
      </c>
      <c r="JA96">
        <v>7.57</v>
      </c>
      <c r="JF96">
        <v>8.18</v>
      </c>
      <c r="JH96">
        <v>8.51</v>
      </c>
      <c r="JM96">
        <v>9.1199999999999992</v>
      </c>
      <c r="KD96">
        <v>18.09</v>
      </c>
      <c r="ME96">
        <v>25.94</v>
      </c>
      <c r="NB96">
        <v>31.36</v>
      </c>
      <c r="QD96">
        <v>40.76</v>
      </c>
      <c r="QK96">
        <v>41.32</v>
      </c>
      <c r="SE96">
        <v>43.86</v>
      </c>
      <c r="UB96">
        <v>45</v>
      </c>
      <c r="UH96">
        <v>45.14</v>
      </c>
      <c r="ABJ96">
        <v>43.94</v>
      </c>
    </row>
    <row r="97" spans="1:812">
      <c r="A97" s="1" t="s">
        <v>88</v>
      </c>
      <c r="B97" t="s">
        <v>270</v>
      </c>
      <c r="X97">
        <v>0.04</v>
      </c>
      <c r="AB97">
        <v>0.08</v>
      </c>
      <c r="AE97">
        <v>0.31</v>
      </c>
      <c r="AH97">
        <v>0.81</v>
      </c>
      <c r="AK97">
        <v>1.57</v>
      </c>
      <c r="AO97">
        <v>1.9</v>
      </c>
      <c r="AR97">
        <v>2.4700000000000002</v>
      </c>
      <c r="AV97">
        <v>2.9</v>
      </c>
      <c r="AY97">
        <v>3.27</v>
      </c>
      <c r="BC97">
        <v>4.05</v>
      </c>
      <c r="BH97">
        <v>4.67</v>
      </c>
      <c r="BJ97">
        <v>4.87</v>
      </c>
      <c r="BK97">
        <v>4.93</v>
      </c>
      <c r="BL97">
        <v>5.03</v>
      </c>
      <c r="BM97">
        <v>5.2</v>
      </c>
      <c r="BN97">
        <v>5.29</v>
      </c>
      <c r="BO97">
        <v>5.37</v>
      </c>
      <c r="BP97">
        <v>5.44</v>
      </c>
      <c r="BQ97">
        <v>5.51</v>
      </c>
      <c r="BR97">
        <v>5.68</v>
      </c>
      <c r="BS97">
        <v>5.95</v>
      </c>
      <c r="BT97">
        <v>6.3</v>
      </c>
      <c r="BU97">
        <v>6.61</v>
      </c>
      <c r="BV97">
        <v>6.9</v>
      </c>
      <c r="BW97">
        <v>7.09</v>
      </c>
      <c r="BX97">
        <v>7.17</v>
      </c>
      <c r="BY97">
        <v>7.28</v>
      </c>
      <c r="BZ97">
        <v>7.56</v>
      </c>
      <c r="CA97">
        <v>7.93</v>
      </c>
      <c r="CB97">
        <v>8.2899999999999991</v>
      </c>
      <c r="CC97">
        <v>8.6300000000000008</v>
      </c>
      <c r="CD97">
        <v>8.83</v>
      </c>
      <c r="CE97">
        <v>8.91</v>
      </c>
      <c r="CF97">
        <v>9.0399999999999991</v>
      </c>
      <c r="CG97">
        <v>9.33</v>
      </c>
      <c r="CI97">
        <v>10</v>
      </c>
      <c r="CJ97">
        <v>10.4</v>
      </c>
      <c r="CK97">
        <v>10.59</v>
      </c>
      <c r="CL97">
        <v>10.65</v>
      </c>
      <c r="CM97">
        <v>10.87</v>
      </c>
      <c r="CN97">
        <v>11.2</v>
      </c>
      <c r="CO97">
        <v>11.55</v>
      </c>
      <c r="CP97">
        <v>11.94</v>
      </c>
      <c r="CQ97">
        <v>12.29</v>
      </c>
      <c r="CR97">
        <v>12.47</v>
      </c>
      <c r="CS97">
        <v>12.5</v>
      </c>
      <c r="CT97">
        <v>12.57</v>
      </c>
      <c r="CU97">
        <v>12.81</v>
      </c>
      <c r="CV97">
        <v>12.95</v>
      </c>
      <c r="CW97">
        <v>13.25</v>
      </c>
      <c r="CX97">
        <v>13.54</v>
      </c>
      <c r="CY97">
        <v>13.69</v>
      </c>
      <c r="CZ97">
        <v>13.77</v>
      </c>
      <c r="DA97">
        <v>13.98</v>
      </c>
      <c r="DB97">
        <v>14.37</v>
      </c>
      <c r="DC97">
        <v>14.84</v>
      </c>
      <c r="DD97">
        <v>15.39</v>
      </c>
      <c r="DE97">
        <v>15.93</v>
      </c>
      <c r="DF97">
        <v>16.25</v>
      </c>
      <c r="DG97">
        <v>16.329999999999998</v>
      </c>
      <c r="DH97">
        <v>16.600000000000001</v>
      </c>
      <c r="DI97">
        <v>17.02</v>
      </c>
      <c r="DJ97">
        <v>17.53</v>
      </c>
      <c r="DK97">
        <v>18.09</v>
      </c>
      <c r="DL97">
        <v>18.71</v>
      </c>
      <c r="DM97">
        <v>18.88</v>
      </c>
      <c r="DO97">
        <v>19.05</v>
      </c>
      <c r="DP97">
        <v>19.48</v>
      </c>
      <c r="DQ97">
        <v>20.62</v>
      </c>
      <c r="DS97">
        <v>21.18</v>
      </c>
      <c r="DU97">
        <v>21.54</v>
      </c>
      <c r="DV97">
        <v>21.8</v>
      </c>
      <c r="DW97">
        <v>22.18</v>
      </c>
      <c r="DX97">
        <v>22.7</v>
      </c>
      <c r="DZ97">
        <v>24.07</v>
      </c>
      <c r="EA97">
        <v>24.38</v>
      </c>
      <c r="EB97">
        <v>24.47</v>
      </c>
      <c r="ED97">
        <v>25.13</v>
      </c>
      <c r="EE97">
        <v>25.84</v>
      </c>
      <c r="EF97">
        <v>26.68</v>
      </c>
      <c r="EG97">
        <v>27.54</v>
      </c>
      <c r="EH97">
        <v>28.06</v>
      </c>
      <c r="EI97">
        <v>28.31</v>
      </c>
      <c r="EJ97">
        <v>28.72</v>
      </c>
      <c r="EK97">
        <v>29.41</v>
      </c>
      <c r="EL97">
        <v>30.12</v>
      </c>
      <c r="EN97">
        <v>31.85</v>
      </c>
      <c r="EO97">
        <v>32.24</v>
      </c>
      <c r="EP97">
        <v>32.5</v>
      </c>
      <c r="EQ97">
        <v>32.85</v>
      </c>
      <c r="ER97">
        <v>33.53</v>
      </c>
      <c r="ET97">
        <v>35.380000000000003</v>
      </c>
      <c r="EU97">
        <v>36.44</v>
      </c>
      <c r="EV97">
        <v>37.01</v>
      </c>
      <c r="EW97">
        <v>37.44</v>
      </c>
      <c r="EX97">
        <v>38.130000000000003</v>
      </c>
      <c r="EY97">
        <v>38.94</v>
      </c>
      <c r="FK97">
        <v>47.58</v>
      </c>
      <c r="FR97">
        <v>48.35</v>
      </c>
      <c r="GB97">
        <v>62.78</v>
      </c>
      <c r="GF97">
        <v>65.180000000000007</v>
      </c>
      <c r="GM97">
        <v>74.52</v>
      </c>
      <c r="GT97">
        <v>81.11</v>
      </c>
      <c r="HA97">
        <v>88.48</v>
      </c>
      <c r="HB97">
        <v>89.58</v>
      </c>
      <c r="HC97">
        <v>90.87</v>
      </c>
      <c r="HD97">
        <v>92.25</v>
      </c>
      <c r="HF97">
        <v>94.71</v>
      </c>
      <c r="HG97">
        <v>95.33</v>
      </c>
      <c r="HH97">
        <v>95.97</v>
      </c>
      <c r="HI97">
        <v>97.04</v>
      </c>
      <c r="HJ97">
        <v>98.26</v>
      </c>
      <c r="HK97">
        <v>99.49</v>
      </c>
      <c r="HL97">
        <v>101.17</v>
      </c>
      <c r="HM97">
        <v>103.41</v>
      </c>
      <c r="HN97">
        <v>104.15</v>
      </c>
      <c r="HO97">
        <v>104.87</v>
      </c>
      <c r="HP97">
        <v>105.92</v>
      </c>
      <c r="HQ97">
        <v>107.04</v>
      </c>
      <c r="HR97">
        <v>108.24</v>
      </c>
      <c r="HS97">
        <v>110.12</v>
      </c>
      <c r="HT97">
        <v>111.31</v>
      </c>
      <c r="HV97">
        <v>112.43</v>
      </c>
      <c r="HX97">
        <v>114.79</v>
      </c>
      <c r="HY97">
        <v>115.97</v>
      </c>
      <c r="IA97">
        <v>117.93</v>
      </c>
      <c r="IB97">
        <v>118.47</v>
      </c>
      <c r="IC97">
        <v>118.9</v>
      </c>
      <c r="ID97">
        <v>119.55</v>
      </c>
      <c r="IE97">
        <v>120.47</v>
      </c>
      <c r="IF97">
        <v>121.36</v>
      </c>
      <c r="IG97">
        <v>122.32</v>
      </c>
      <c r="II97">
        <v>123.43</v>
      </c>
      <c r="IJ97">
        <v>123.85</v>
      </c>
      <c r="IK97">
        <v>124.65</v>
      </c>
      <c r="IL97">
        <v>125.4</v>
      </c>
      <c r="IM97">
        <v>126.32</v>
      </c>
      <c r="IN97">
        <v>127.36</v>
      </c>
      <c r="IO97">
        <v>128.12</v>
      </c>
      <c r="IP97">
        <v>128.61000000000001</v>
      </c>
      <c r="IQ97">
        <v>129.03</v>
      </c>
      <c r="IS97">
        <v>130.77000000000001</v>
      </c>
      <c r="IT97">
        <v>131.62</v>
      </c>
      <c r="IU97">
        <v>132.37</v>
      </c>
      <c r="IV97">
        <v>131.93</v>
      </c>
      <c r="IW97">
        <v>132.33000000000001</v>
      </c>
      <c r="IX97">
        <v>132.72999999999999</v>
      </c>
      <c r="IY97">
        <v>133.29</v>
      </c>
      <c r="IZ97">
        <v>133.97</v>
      </c>
      <c r="JA97">
        <v>134.56</v>
      </c>
      <c r="JB97">
        <v>135.19</v>
      </c>
      <c r="JC97">
        <v>135.77000000000001</v>
      </c>
      <c r="JD97">
        <v>136.13</v>
      </c>
      <c r="JE97">
        <v>136.5</v>
      </c>
      <c r="JF97">
        <v>136.84</v>
      </c>
      <c r="JG97">
        <v>137.19</v>
      </c>
      <c r="JI97">
        <v>137.9</v>
      </c>
      <c r="JK97">
        <v>138.61000000000001</v>
      </c>
      <c r="JM97">
        <v>139.22</v>
      </c>
      <c r="JO97">
        <v>139.86000000000001</v>
      </c>
      <c r="JQ97">
        <v>140.6</v>
      </c>
      <c r="JS97">
        <v>141.18</v>
      </c>
      <c r="JU97">
        <v>141.68</v>
      </c>
      <c r="JV97">
        <v>142</v>
      </c>
      <c r="JW97">
        <v>142.26</v>
      </c>
      <c r="JX97">
        <v>142.61000000000001</v>
      </c>
      <c r="JZ97">
        <v>143.09</v>
      </c>
      <c r="KA97">
        <v>143.24</v>
      </c>
      <c r="KB97">
        <v>143.41999999999999</v>
      </c>
      <c r="KC97">
        <v>143.63999999999999</v>
      </c>
      <c r="KD97">
        <v>143.85</v>
      </c>
      <c r="KE97">
        <v>144.03</v>
      </c>
      <c r="KF97">
        <v>144.22</v>
      </c>
      <c r="KG97">
        <v>144.4</v>
      </c>
      <c r="KH97">
        <v>144.51</v>
      </c>
      <c r="KI97">
        <v>144.65</v>
      </c>
      <c r="KJ97">
        <v>144.76</v>
      </c>
      <c r="KN97">
        <v>145.21</v>
      </c>
      <c r="MK97">
        <v>159.96</v>
      </c>
      <c r="ML97">
        <v>160.35</v>
      </c>
      <c r="MM97">
        <v>161.09</v>
      </c>
      <c r="MU97">
        <v>166.59</v>
      </c>
      <c r="NG97">
        <v>174.45</v>
      </c>
      <c r="NH97">
        <v>175.51</v>
      </c>
      <c r="NK97">
        <v>179.12</v>
      </c>
      <c r="NN97">
        <v>182.75</v>
      </c>
      <c r="NY97">
        <v>193.75</v>
      </c>
      <c r="OE97">
        <v>197.26</v>
      </c>
      <c r="OS97">
        <v>205.6</v>
      </c>
      <c r="OT97">
        <v>205.96</v>
      </c>
      <c r="OU97">
        <v>206.23</v>
      </c>
      <c r="PD97">
        <v>208.05</v>
      </c>
      <c r="PZ97">
        <v>212.12</v>
      </c>
      <c r="QB97">
        <v>212.36</v>
      </c>
      <c r="QF97">
        <v>212.83</v>
      </c>
      <c r="QH97">
        <v>213.03</v>
      </c>
      <c r="QI97">
        <v>213.13</v>
      </c>
      <c r="QO97">
        <v>213.82</v>
      </c>
      <c r="QP97">
        <v>213.91</v>
      </c>
      <c r="QS97">
        <v>214.31</v>
      </c>
      <c r="QU97">
        <v>214.47</v>
      </c>
      <c r="QY97">
        <v>214.73</v>
      </c>
      <c r="QZ97">
        <v>214.86</v>
      </c>
      <c r="RB97">
        <v>214.98</v>
      </c>
      <c r="RF97">
        <v>215.42</v>
      </c>
      <c r="RG97">
        <v>215.53</v>
      </c>
      <c r="TC97">
        <v>218.97</v>
      </c>
      <c r="TD97">
        <v>219.02</v>
      </c>
      <c r="TF97">
        <v>219.1</v>
      </c>
      <c r="TG97">
        <v>219.15</v>
      </c>
      <c r="TU97">
        <v>219.67</v>
      </c>
      <c r="TV97">
        <v>219.69</v>
      </c>
      <c r="UB97">
        <v>219.85</v>
      </c>
      <c r="UC97">
        <v>219.87</v>
      </c>
      <c r="UG97">
        <v>220.01</v>
      </c>
      <c r="UH97">
        <v>220.04</v>
      </c>
      <c r="UI97">
        <v>220.07</v>
      </c>
      <c r="UJ97">
        <v>220.09</v>
      </c>
      <c r="UT97">
        <v>220.43</v>
      </c>
      <c r="UU97">
        <v>220.44</v>
      </c>
      <c r="UV97">
        <v>220.47</v>
      </c>
      <c r="VB97">
        <v>220.44</v>
      </c>
      <c r="VL97">
        <v>220.66</v>
      </c>
      <c r="ZL97">
        <v>220.27</v>
      </c>
      <c r="ZM97">
        <v>220.28</v>
      </c>
      <c r="ZX97">
        <v>220.43</v>
      </c>
      <c r="ZY97">
        <v>220.44</v>
      </c>
      <c r="AAA97">
        <v>220.47</v>
      </c>
      <c r="AAB97">
        <v>220.48</v>
      </c>
      <c r="AAC97">
        <v>220.49</v>
      </c>
      <c r="AAD97">
        <v>220.49</v>
      </c>
      <c r="AAE97">
        <v>220.5</v>
      </c>
      <c r="AAG97">
        <v>220.53</v>
      </c>
      <c r="AAH97">
        <v>220.54</v>
      </c>
      <c r="AAL97">
        <v>220.57</v>
      </c>
      <c r="AAN97">
        <v>220.6</v>
      </c>
      <c r="AAO97">
        <v>220.61</v>
      </c>
      <c r="AAS97">
        <v>220.64</v>
      </c>
      <c r="AAT97">
        <v>220.65</v>
      </c>
      <c r="AAZ97">
        <v>220.68</v>
      </c>
      <c r="ABA97">
        <v>220.69</v>
      </c>
      <c r="ABB97">
        <v>220.7</v>
      </c>
      <c r="ABC97">
        <v>220.7</v>
      </c>
      <c r="ABG97">
        <v>220.75</v>
      </c>
      <c r="ABH97">
        <v>220.75</v>
      </c>
      <c r="ABI97">
        <v>220.76</v>
      </c>
      <c r="ABJ97">
        <v>220.76</v>
      </c>
      <c r="ABV97">
        <v>220.86</v>
      </c>
      <c r="ABW97">
        <v>220.87</v>
      </c>
      <c r="ABX97">
        <v>220.87</v>
      </c>
      <c r="ABY97">
        <v>220.88</v>
      </c>
      <c r="ABZ97">
        <v>220.89</v>
      </c>
      <c r="ACA97">
        <v>220.9</v>
      </c>
      <c r="ACC97">
        <v>220.93</v>
      </c>
      <c r="ACD97">
        <v>220.94</v>
      </c>
      <c r="ACE97">
        <v>220.95</v>
      </c>
      <c r="ACI97">
        <v>220.99</v>
      </c>
      <c r="ACJ97">
        <v>221</v>
      </c>
      <c r="ACK97">
        <v>221.01</v>
      </c>
      <c r="ACL97">
        <v>221.01</v>
      </c>
      <c r="ACP97">
        <v>221.07</v>
      </c>
      <c r="ACQ97">
        <v>221.07</v>
      </c>
      <c r="ACR97">
        <v>221.08</v>
      </c>
      <c r="ACS97">
        <v>221.08</v>
      </c>
      <c r="ACT97">
        <v>221.08</v>
      </c>
      <c r="ACU97">
        <v>221.09</v>
      </c>
      <c r="ACV97">
        <v>221.09</v>
      </c>
      <c r="ACW97">
        <v>221.09</v>
      </c>
      <c r="ACX97">
        <v>221.1</v>
      </c>
      <c r="ACY97">
        <v>221.1</v>
      </c>
      <c r="ACZ97">
        <v>221.1</v>
      </c>
      <c r="ADD97">
        <v>221.15</v>
      </c>
      <c r="ADE97">
        <v>221.15</v>
      </c>
      <c r="ADF97">
        <v>221.15</v>
      </c>
      <c r="ADG97">
        <v>221.16</v>
      </c>
      <c r="ADH97">
        <v>221.16</v>
      </c>
      <c r="ADI97">
        <v>221.16</v>
      </c>
      <c r="ADJ97">
        <v>221.17</v>
      </c>
      <c r="ADK97">
        <v>221.17</v>
      </c>
      <c r="ADL97">
        <v>221.17</v>
      </c>
      <c r="ADM97">
        <v>221.17</v>
      </c>
      <c r="ADN97">
        <v>221.18</v>
      </c>
      <c r="ADR97">
        <v>221.19</v>
      </c>
      <c r="ADS97">
        <v>221.19</v>
      </c>
      <c r="ADT97">
        <v>221.2</v>
      </c>
      <c r="ADU97">
        <v>221.2</v>
      </c>
      <c r="ADV97">
        <v>221.2</v>
      </c>
      <c r="ADW97">
        <v>221.21</v>
      </c>
      <c r="ADX97">
        <v>221.21</v>
      </c>
      <c r="ADZ97">
        <v>221.19</v>
      </c>
      <c r="AEA97">
        <v>221.19</v>
      </c>
      <c r="AEB97">
        <v>221.2</v>
      </c>
      <c r="AEC97">
        <v>221.2</v>
      </c>
      <c r="AED97">
        <v>221.2</v>
      </c>
      <c r="AEE97">
        <v>221.2</v>
      </c>
    </row>
    <row r="98" spans="1:812">
      <c r="A98" s="1" t="s">
        <v>189</v>
      </c>
      <c r="B98" t="s">
        <v>297</v>
      </c>
      <c r="AS98">
        <v>4.18</v>
      </c>
      <c r="AT98">
        <v>4.29</v>
      </c>
      <c r="AW98">
        <v>4.95</v>
      </c>
      <c r="AX98">
        <v>5.75</v>
      </c>
      <c r="AY98">
        <v>6.57</v>
      </c>
      <c r="AZ98">
        <v>7.39</v>
      </c>
      <c r="BA98">
        <v>8.07</v>
      </c>
      <c r="BE98">
        <v>9.76</v>
      </c>
      <c r="BF98">
        <v>11.25</v>
      </c>
      <c r="BG98">
        <v>12.01</v>
      </c>
      <c r="BH98">
        <v>12.02</v>
      </c>
      <c r="BI98">
        <v>12.76</v>
      </c>
      <c r="BJ98">
        <v>13.23</v>
      </c>
      <c r="BK98">
        <v>13.71</v>
      </c>
      <c r="BL98">
        <v>14.14</v>
      </c>
      <c r="BM98">
        <v>14.63</v>
      </c>
      <c r="BN98">
        <v>15.07</v>
      </c>
      <c r="BO98">
        <v>15.07</v>
      </c>
      <c r="BP98">
        <v>15.87</v>
      </c>
      <c r="BQ98">
        <v>16.149999999999999</v>
      </c>
      <c r="BS98">
        <v>16.78</v>
      </c>
      <c r="BT98">
        <v>17.41</v>
      </c>
      <c r="BU98">
        <v>17.989999999999998</v>
      </c>
      <c r="BV98">
        <v>20.170000000000002</v>
      </c>
      <c r="BW98">
        <v>20.2</v>
      </c>
      <c r="BX98">
        <v>20.58</v>
      </c>
      <c r="BY98">
        <v>20.94</v>
      </c>
      <c r="BZ98">
        <v>21.22</v>
      </c>
      <c r="CA98">
        <v>21.55</v>
      </c>
      <c r="CB98">
        <v>22.1</v>
      </c>
      <c r="CC98">
        <v>23.38</v>
      </c>
      <c r="CD98">
        <v>24.5</v>
      </c>
      <c r="CE98">
        <v>25.23</v>
      </c>
      <c r="CF98">
        <v>25.87</v>
      </c>
      <c r="CG98">
        <v>26.8</v>
      </c>
      <c r="CH98">
        <v>27.55</v>
      </c>
      <c r="CI98">
        <v>27.56</v>
      </c>
      <c r="CJ98">
        <v>28.09</v>
      </c>
      <c r="CK98">
        <v>28.59</v>
      </c>
      <c r="CL98">
        <v>29.16</v>
      </c>
      <c r="CM98">
        <v>29.5</v>
      </c>
      <c r="CN98">
        <v>30.78</v>
      </c>
      <c r="CO98">
        <v>32.14</v>
      </c>
      <c r="CP98">
        <v>33.44</v>
      </c>
      <c r="CQ98">
        <v>35.04</v>
      </c>
      <c r="CR98">
        <v>36.49</v>
      </c>
      <c r="CS98">
        <v>37.659999999999997</v>
      </c>
      <c r="CT98">
        <v>38.51</v>
      </c>
      <c r="CU98">
        <v>39.200000000000003</v>
      </c>
      <c r="CW98">
        <v>39.200000000000003</v>
      </c>
      <c r="DF98">
        <v>55.62</v>
      </c>
      <c r="DI98">
        <v>58.55</v>
      </c>
      <c r="DJ98">
        <v>59.3</v>
      </c>
      <c r="DK98">
        <v>60.69</v>
      </c>
      <c r="DL98">
        <v>62.13</v>
      </c>
      <c r="DM98">
        <v>63.59</v>
      </c>
      <c r="DN98">
        <v>64.069999999999993</v>
      </c>
      <c r="DO98">
        <v>64.59</v>
      </c>
      <c r="DP98">
        <v>65.900000000000006</v>
      </c>
      <c r="DQ98">
        <v>67.31</v>
      </c>
      <c r="DR98">
        <v>68.790000000000006</v>
      </c>
      <c r="DS98">
        <v>70.28</v>
      </c>
      <c r="DT98">
        <v>71.61</v>
      </c>
      <c r="DU98">
        <v>72.09</v>
      </c>
      <c r="DV98">
        <v>72.56</v>
      </c>
      <c r="DW98">
        <v>73.97</v>
      </c>
      <c r="DX98">
        <v>74.66</v>
      </c>
      <c r="DY98">
        <v>74.88</v>
      </c>
      <c r="DZ98">
        <v>75.38</v>
      </c>
      <c r="EA98">
        <v>75.83</v>
      </c>
      <c r="EB98">
        <v>76.540000000000006</v>
      </c>
      <c r="EC98">
        <v>77.239999999999995</v>
      </c>
      <c r="ED98">
        <v>78.099999999999994</v>
      </c>
      <c r="EE98">
        <v>78.89</v>
      </c>
      <c r="EF98">
        <v>79.87</v>
      </c>
      <c r="EG98">
        <v>80.489999999999995</v>
      </c>
      <c r="EI98">
        <v>81.92</v>
      </c>
      <c r="EJ98">
        <v>82.61</v>
      </c>
      <c r="EK98">
        <v>83.27</v>
      </c>
      <c r="EL98">
        <v>84.32</v>
      </c>
      <c r="EM98">
        <v>85.4</v>
      </c>
      <c r="EO98">
        <v>85.41</v>
      </c>
      <c r="EQ98">
        <v>85.47</v>
      </c>
      <c r="ER98">
        <v>86.4</v>
      </c>
      <c r="ET98">
        <v>88.22</v>
      </c>
      <c r="EV98">
        <v>88.25</v>
      </c>
      <c r="EW98">
        <v>89.12</v>
      </c>
      <c r="EY98">
        <v>89.85</v>
      </c>
      <c r="EZ98">
        <v>90.53</v>
      </c>
      <c r="FF98">
        <v>92.22</v>
      </c>
      <c r="FG98">
        <v>93.26</v>
      </c>
      <c r="FH98">
        <v>94.5</v>
      </c>
      <c r="FI98">
        <v>95.76</v>
      </c>
      <c r="FJ98">
        <v>96.26</v>
      </c>
      <c r="FK98">
        <v>97.8</v>
      </c>
      <c r="FL98">
        <v>98.59</v>
      </c>
      <c r="FM98">
        <v>101.1</v>
      </c>
      <c r="FN98">
        <v>101.97</v>
      </c>
      <c r="FO98">
        <v>102.87</v>
      </c>
      <c r="FP98">
        <v>104.76</v>
      </c>
      <c r="FQ98">
        <v>105.26</v>
      </c>
      <c r="FV98">
        <v>105.52</v>
      </c>
      <c r="GB98">
        <v>105.59</v>
      </c>
      <c r="GG98">
        <v>106.64</v>
      </c>
      <c r="GH98">
        <v>107.01</v>
      </c>
      <c r="GI98">
        <v>108.07</v>
      </c>
      <c r="GJ98">
        <v>109.41</v>
      </c>
      <c r="GL98">
        <v>111.29</v>
      </c>
      <c r="GM98">
        <v>112.62</v>
      </c>
      <c r="GO98">
        <v>114.52</v>
      </c>
      <c r="GP98">
        <v>115.89</v>
      </c>
      <c r="GQ98">
        <v>117.42</v>
      </c>
      <c r="GR98">
        <v>118.74</v>
      </c>
      <c r="GU98">
        <v>122.61</v>
      </c>
      <c r="GV98">
        <v>123.48</v>
      </c>
      <c r="GX98">
        <v>126.22</v>
      </c>
      <c r="GY98">
        <v>127.76</v>
      </c>
      <c r="GZ98">
        <v>128.22</v>
      </c>
      <c r="HA98">
        <v>128.6</v>
      </c>
      <c r="HB98">
        <v>130.02000000000001</v>
      </c>
      <c r="HC98">
        <v>130.91</v>
      </c>
      <c r="HD98">
        <v>131.82</v>
      </c>
      <c r="HE98">
        <v>132.5</v>
      </c>
      <c r="HF98">
        <v>132.9</v>
      </c>
      <c r="HG98">
        <v>133.59</v>
      </c>
      <c r="HH98">
        <v>134.29</v>
      </c>
      <c r="HI98">
        <v>135.16999999999999</v>
      </c>
      <c r="HJ98">
        <v>135.91</v>
      </c>
      <c r="HK98">
        <v>137.12</v>
      </c>
      <c r="HL98">
        <v>138.38999999999999</v>
      </c>
      <c r="HO98">
        <v>139.35</v>
      </c>
      <c r="HP98">
        <v>141.16</v>
      </c>
      <c r="HQ98">
        <v>141.16999999999999</v>
      </c>
      <c r="HR98">
        <v>142.33000000000001</v>
      </c>
      <c r="HV98">
        <v>142.35</v>
      </c>
      <c r="HW98">
        <v>143.26</v>
      </c>
      <c r="HX98">
        <v>144.13</v>
      </c>
      <c r="HY98">
        <v>144.94999999999999</v>
      </c>
      <c r="IA98">
        <v>145.15</v>
      </c>
      <c r="IB98">
        <v>145.77000000000001</v>
      </c>
      <c r="ID98">
        <v>146.27000000000001</v>
      </c>
      <c r="IE98">
        <v>146.78</v>
      </c>
      <c r="IM98">
        <v>147.69999999999999</v>
      </c>
      <c r="IR98">
        <v>147.71</v>
      </c>
      <c r="IS98">
        <v>147.75</v>
      </c>
      <c r="IV98">
        <v>147.12</v>
      </c>
      <c r="IW98">
        <v>147.51</v>
      </c>
      <c r="IY98">
        <v>147.53</v>
      </c>
      <c r="IZ98">
        <v>148.44</v>
      </c>
      <c r="JE98">
        <v>148.61000000000001</v>
      </c>
      <c r="JG98">
        <v>149.38</v>
      </c>
      <c r="JI98">
        <v>149.68</v>
      </c>
      <c r="JJ98">
        <v>149.68</v>
      </c>
      <c r="JL98">
        <v>149.71</v>
      </c>
      <c r="JM98">
        <v>150.22</v>
      </c>
      <c r="JO98">
        <v>150.31</v>
      </c>
      <c r="JP98">
        <v>150.47999999999999</v>
      </c>
      <c r="JQ98">
        <v>150.57</v>
      </c>
      <c r="JR98">
        <v>150.68</v>
      </c>
      <c r="JT98">
        <v>150.69</v>
      </c>
      <c r="JW98">
        <v>150.94</v>
      </c>
      <c r="KB98">
        <v>151.38</v>
      </c>
      <c r="KE98">
        <v>151.38999999999999</v>
      </c>
      <c r="KI98">
        <v>151.41</v>
      </c>
      <c r="KL98">
        <v>151.5</v>
      </c>
      <c r="KM98">
        <v>151.5</v>
      </c>
      <c r="KN98">
        <v>151.5</v>
      </c>
      <c r="KO98">
        <v>151.6</v>
      </c>
      <c r="KP98">
        <v>151.6</v>
      </c>
      <c r="KQ98">
        <v>151.6</v>
      </c>
      <c r="KR98">
        <v>151.61000000000001</v>
      </c>
      <c r="KS98">
        <v>151.61000000000001</v>
      </c>
      <c r="KT98">
        <v>151.61000000000001</v>
      </c>
      <c r="KU98">
        <v>151.61000000000001</v>
      </c>
      <c r="KW98">
        <v>151.62</v>
      </c>
      <c r="KX98">
        <v>151.63</v>
      </c>
      <c r="KY98">
        <v>151.65</v>
      </c>
      <c r="LD98">
        <v>154</v>
      </c>
      <c r="LF98">
        <v>154.11000000000001</v>
      </c>
      <c r="LJ98">
        <v>154.28</v>
      </c>
      <c r="LN98">
        <v>154.88</v>
      </c>
      <c r="LO98">
        <v>154.91</v>
      </c>
      <c r="LQ98">
        <v>155.04</v>
      </c>
      <c r="LR98">
        <v>155.05000000000001</v>
      </c>
      <c r="LU98">
        <v>155.16</v>
      </c>
      <c r="LV98">
        <v>155.55000000000001</v>
      </c>
      <c r="LX98">
        <v>155.55000000000001</v>
      </c>
      <c r="MB98">
        <v>155.56</v>
      </c>
      <c r="MC98">
        <v>155.56</v>
      </c>
      <c r="MD98">
        <v>155.56</v>
      </c>
      <c r="MF98">
        <v>155.56</v>
      </c>
      <c r="MH98">
        <v>155.63</v>
      </c>
      <c r="MI98">
        <v>155.68</v>
      </c>
      <c r="MM98">
        <v>155.69</v>
      </c>
      <c r="MN98">
        <v>155.69</v>
      </c>
      <c r="MO98">
        <v>155.77000000000001</v>
      </c>
      <c r="MP98">
        <v>155.83000000000001</v>
      </c>
      <c r="MS98">
        <v>155.86000000000001</v>
      </c>
      <c r="MT98">
        <v>155.87</v>
      </c>
      <c r="MU98">
        <v>155.9</v>
      </c>
      <c r="MV98">
        <v>155.91</v>
      </c>
      <c r="MW98">
        <v>155.94999999999999</v>
      </c>
      <c r="MX98">
        <v>155.94999999999999</v>
      </c>
      <c r="MZ98">
        <v>156</v>
      </c>
      <c r="NA98">
        <v>156.02000000000001</v>
      </c>
      <c r="NB98">
        <v>156.05000000000001</v>
      </c>
      <c r="NC98">
        <v>156.05000000000001</v>
      </c>
      <c r="ND98">
        <v>156.05000000000001</v>
      </c>
      <c r="NE98">
        <v>156.36000000000001</v>
      </c>
      <c r="NG98">
        <v>156.38999999999999</v>
      </c>
      <c r="NH98">
        <v>156.38999999999999</v>
      </c>
      <c r="NJ98">
        <v>156.38999999999999</v>
      </c>
      <c r="NK98">
        <v>156.44999999999999</v>
      </c>
      <c r="NL98">
        <v>156.46</v>
      </c>
      <c r="NN98">
        <v>156.46</v>
      </c>
      <c r="NP98">
        <v>156.62</v>
      </c>
      <c r="NQ98">
        <v>204.77</v>
      </c>
      <c r="NR98">
        <v>205.2</v>
      </c>
      <c r="NU98">
        <v>205.96</v>
      </c>
      <c r="NV98">
        <v>206.72</v>
      </c>
      <c r="NX98">
        <v>207.98</v>
      </c>
      <c r="NY98">
        <v>208.19</v>
      </c>
      <c r="OC98">
        <v>209.51</v>
      </c>
      <c r="OD98">
        <v>210.53</v>
      </c>
      <c r="OE98">
        <v>212.08</v>
      </c>
      <c r="OF98">
        <v>212.47</v>
      </c>
      <c r="OG98">
        <v>213.26</v>
      </c>
      <c r="OH98">
        <v>213.28</v>
      </c>
      <c r="OI98">
        <v>213.67</v>
      </c>
      <c r="OJ98">
        <v>213.96</v>
      </c>
      <c r="OK98">
        <v>214.12</v>
      </c>
      <c r="OL98">
        <v>214.33</v>
      </c>
      <c r="OQ98">
        <v>215.02</v>
      </c>
      <c r="OR98">
        <v>215.15</v>
      </c>
      <c r="OS98">
        <v>215.33</v>
      </c>
      <c r="OT98">
        <v>215.6</v>
      </c>
      <c r="OX98">
        <v>215.99</v>
      </c>
      <c r="OZ98">
        <v>216.35</v>
      </c>
      <c r="PA98">
        <v>216.44</v>
      </c>
      <c r="PE98">
        <v>216.99</v>
      </c>
      <c r="PF98">
        <v>217.23</v>
      </c>
      <c r="PG98">
        <v>217.38</v>
      </c>
      <c r="PH98">
        <v>217.45</v>
      </c>
      <c r="PI98">
        <v>217.58</v>
      </c>
      <c r="PL98">
        <v>217.62</v>
      </c>
      <c r="PM98">
        <v>217.89</v>
      </c>
      <c r="PN98">
        <v>218.02</v>
      </c>
      <c r="PP98">
        <v>218.07</v>
      </c>
      <c r="PR98">
        <v>218.07</v>
      </c>
      <c r="PS98">
        <v>218.17</v>
      </c>
      <c r="PT98">
        <v>218.25</v>
      </c>
      <c r="PU98">
        <v>218.34</v>
      </c>
      <c r="PV98">
        <v>218.55</v>
      </c>
      <c r="PY98">
        <v>218.68</v>
      </c>
      <c r="PZ98">
        <v>218.81</v>
      </c>
      <c r="QA98">
        <v>218.86</v>
      </c>
      <c r="QB98">
        <v>219.15</v>
      </c>
      <c r="QC98">
        <v>219.36</v>
      </c>
      <c r="QD98">
        <v>219.38</v>
      </c>
      <c r="QF98">
        <v>219.39</v>
      </c>
      <c r="QG98">
        <v>219.55</v>
      </c>
      <c r="QH98">
        <v>219.76</v>
      </c>
      <c r="QK98">
        <v>219.84</v>
      </c>
      <c r="QL98">
        <v>219.93</v>
      </c>
      <c r="QM98">
        <v>219.93</v>
      </c>
      <c r="QN98">
        <v>220.09</v>
      </c>
      <c r="QO98">
        <v>220.29</v>
      </c>
      <c r="QP98">
        <v>220.51</v>
      </c>
      <c r="QR98">
        <v>220.51</v>
      </c>
      <c r="QT98">
        <v>220.57</v>
      </c>
      <c r="QU98">
        <v>220.69</v>
      </c>
      <c r="QV98">
        <v>220.88</v>
      </c>
      <c r="QW98">
        <v>220.94</v>
      </c>
      <c r="QX98">
        <v>221</v>
      </c>
      <c r="RA98">
        <v>221.22</v>
      </c>
      <c r="RB98">
        <v>221.31</v>
      </c>
      <c r="RC98">
        <v>221.48</v>
      </c>
      <c r="RD98">
        <v>221.62</v>
      </c>
      <c r="RE98">
        <v>221.78</v>
      </c>
      <c r="RH98">
        <v>221.85</v>
      </c>
      <c r="RI98">
        <v>221.87</v>
      </c>
      <c r="RJ98">
        <v>221.89</v>
      </c>
      <c r="RK98">
        <v>221.9</v>
      </c>
      <c r="RL98">
        <v>221.94</v>
      </c>
      <c r="RM98">
        <v>222.03</v>
      </c>
      <c r="RN98">
        <v>222.08</v>
      </c>
      <c r="UJ98">
        <v>222.45</v>
      </c>
      <c r="UK98">
        <v>222.45</v>
      </c>
    </row>
    <row r="99" spans="1:812">
      <c r="A99" s="1" t="s">
        <v>65</v>
      </c>
      <c r="B99" t="s">
        <v>65</v>
      </c>
      <c r="L99">
        <v>0</v>
      </c>
      <c r="M99">
        <v>0.09</v>
      </c>
      <c r="N99">
        <v>0.37</v>
      </c>
      <c r="O99">
        <v>0.89</v>
      </c>
      <c r="P99">
        <v>1.62</v>
      </c>
      <c r="Q99">
        <v>2.4700000000000002</v>
      </c>
      <c r="R99">
        <v>2.91</v>
      </c>
      <c r="S99">
        <v>3.29</v>
      </c>
      <c r="T99">
        <v>4.51</v>
      </c>
      <c r="U99">
        <v>6.08</v>
      </c>
      <c r="V99">
        <v>7.9</v>
      </c>
      <c r="W99">
        <v>9.68</v>
      </c>
      <c r="X99">
        <v>11.52</v>
      </c>
      <c r="Y99">
        <v>12.36</v>
      </c>
      <c r="Z99">
        <v>13.19</v>
      </c>
      <c r="AA99">
        <v>14.8</v>
      </c>
      <c r="AB99">
        <v>16.559999999999999</v>
      </c>
      <c r="AC99">
        <v>18</v>
      </c>
      <c r="AD99">
        <v>19.190000000000001</v>
      </c>
      <c r="AE99">
        <v>20.52</v>
      </c>
      <c r="AF99">
        <v>21.29</v>
      </c>
      <c r="AG99">
        <v>21.8</v>
      </c>
      <c r="AH99">
        <v>22.3</v>
      </c>
      <c r="AI99">
        <v>22.77</v>
      </c>
      <c r="AJ99">
        <v>23.45</v>
      </c>
      <c r="AK99">
        <v>24.71</v>
      </c>
      <c r="AL99">
        <v>26.15</v>
      </c>
      <c r="AM99">
        <v>26.92</v>
      </c>
      <c r="AN99">
        <v>27.56</v>
      </c>
      <c r="AO99">
        <v>29.32</v>
      </c>
      <c r="AP99">
        <v>31.51</v>
      </c>
      <c r="AQ99">
        <v>33.94</v>
      </c>
      <c r="AR99">
        <v>36.479999999999997</v>
      </c>
      <c r="AS99">
        <v>39.18</v>
      </c>
      <c r="AT99">
        <v>40.43</v>
      </c>
      <c r="AU99">
        <v>41.51</v>
      </c>
      <c r="AV99">
        <v>43.93</v>
      </c>
      <c r="AW99">
        <v>46.47</v>
      </c>
      <c r="AX99">
        <v>48.83</v>
      </c>
      <c r="AY99">
        <v>51.17</v>
      </c>
      <c r="AZ99">
        <v>53.59</v>
      </c>
      <c r="BA99">
        <v>54.76</v>
      </c>
      <c r="BB99">
        <v>55.64</v>
      </c>
      <c r="BC99">
        <v>57.17</v>
      </c>
      <c r="BD99">
        <v>58.53</v>
      </c>
      <c r="BE99">
        <v>59.69</v>
      </c>
      <c r="BF99">
        <v>60.98</v>
      </c>
      <c r="BG99">
        <v>62.48</v>
      </c>
      <c r="BH99">
        <v>63.2</v>
      </c>
      <c r="BI99">
        <v>63.71</v>
      </c>
      <c r="BJ99">
        <v>65.12</v>
      </c>
      <c r="BK99">
        <v>66.55</v>
      </c>
      <c r="BL99">
        <v>68.09</v>
      </c>
      <c r="BM99">
        <v>69.73</v>
      </c>
      <c r="BN99">
        <v>71.489999999999995</v>
      </c>
      <c r="BO99">
        <v>72.37</v>
      </c>
      <c r="BP99">
        <v>73.040000000000006</v>
      </c>
      <c r="BQ99">
        <v>74.7</v>
      </c>
      <c r="BR99">
        <v>76.510000000000005</v>
      </c>
      <c r="BS99">
        <v>78.37</v>
      </c>
      <c r="BT99">
        <v>79.95</v>
      </c>
      <c r="BU99">
        <v>81.67</v>
      </c>
      <c r="BV99">
        <v>82.56</v>
      </c>
      <c r="BW99">
        <v>83.26</v>
      </c>
      <c r="BX99">
        <v>85.08</v>
      </c>
      <c r="BY99">
        <v>86.99</v>
      </c>
      <c r="BZ99">
        <v>88.69</v>
      </c>
      <c r="CA99">
        <v>90.12</v>
      </c>
      <c r="CB99">
        <v>91.46</v>
      </c>
      <c r="CC99">
        <v>92.12</v>
      </c>
      <c r="CD99">
        <v>92.57</v>
      </c>
      <c r="CE99">
        <v>93.68</v>
      </c>
      <c r="CF99">
        <v>94.94</v>
      </c>
      <c r="CG99">
        <v>96.16</v>
      </c>
      <c r="CH99">
        <v>97.41</v>
      </c>
      <c r="CI99">
        <v>98.78</v>
      </c>
      <c r="CJ99">
        <v>99.44</v>
      </c>
      <c r="CK99">
        <v>99.86</v>
      </c>
      <c r="CL99">
        <v>101.06</v>
      </c>
      <c r="CM99">
        <v>102.22</v>
      </c>
      <c r="CN99">
        <v>103.41</v>
      </c>
      <c r="CO99">
        <v>104.35</v>
      </c>
      <c r="CP99">
        <v>105.41</v>
      </c>
      <c r="CQ99">
        <v>106.02</v>
      </c>
      <c r="CR99">
        <v>106.4</v>
      </c>
      <c r="CS99">
        <v>107.49</v>
      </c>
      <c r="CT99">
        <v>108.63</v>
      </c>
      <c r="CU99">
        <v>109.66</v>
      </c>
      <c r="CV99">
        <v>110.55</v>
      </c>
      <c r="CW99">
        <v>111.4</v>
      </c>
      <c r="CX99">
        <v>111.8</v>
      </c>
      <c r="CY99">
        <v>112.03</v>
      </c>
      <c r="CZ99">
        <v>112.65</v>
      </c>
      <c r="DA99">
        <v>113.27</v>
      </c>
      <c r="DB99">
        <v>113.38</v>
      </c>
      <c r="DC99">
        <v>114.04</v>
      </c>
      <c r="DD99">
        <v>114.56</v>
      </c>
      <c r="DE99">
        <v>114.76</v>
      </c>
      <c r="DF99">
        <v>114.83</v>
      </c>
      <c r="DG99">
        <v>114.91</v>
      </c>
      <c r="DH99">
        <v>115.33</v>
      </c>
      <c r="DI99">
        <v>115.68</v>
      </c>
      <c r="DJ99">
        <v>115.99</v>
      </c>
      <c r="DK99">
        <v>116.32</v>
      </c>
      <c r="DL99">
        <v>116.45</v>
      </c>
      <c r="DM99">
        <v>116.5</v>
      </c>
      <c r="DN99">
        <v>116.87</v>
      </c>
      <c r="DO99">
        <v>117.23</v>
      </c>
      <c r="DP99">
        <v>117.52</v>
      </c>
      <c r="DQ99">
        <v>117.8</v>
      </c>
      <c r="DR99">
        <v>118.09</v>
      </c>
      <c r="DS99">
        <v>118.2</v>
      </c>
      <c r="DT99">
        <v>118.26</v>
      </c>
      <c r="DU99">
        <v>118.53</v>
      </c>
      <c r="DV99">
        <v>118.78</v>
      </c>
      <c r="DW99">
        <v>118.9</v>
      </c>
      <c r="DX99">
        <v>118.99</v>
      </c>
      <c r="DY99">
        <v>119</v>
      </c>
      <c r="DZ99">
        <v>119.12</v>
      </c>
      <c r="EA99">
        <v>119.15</v>
      </c>
      <c r="EB99">
        <v>119.31</v>
      </c>
      <c r="EC99">
        <v>119.46</v>
      </c>
      <c r="ED99">
        <v>119.61</v>
      </c>
      <c r="EE99">
        <v>119.76</v>
      </c>
      <c r="EF99">
        <v>119.91</v>
      </c>
      <c r="EG99">
        <v>119.98</v>
      </c>
      <c r="EH99">
        <v>120</v>
      </c>
      <c r="EI99">
        <v>120.14</v>
      </c>
      <c r="EJ99">
        <v>120.29</v>
      </c>
      <c r="EK99">
        <v>120.41</v>
      </c>
      <c r="EL99">
        <v>120.54</v>
      </c>
      <c r="EM99">
        <v>120.67</v>
      </c>
      <c r="EN99">
        <v>120.73</v>
      </c>
      <c r="EO99">
        <v>120.76</v>
      </c>
      <c r="EP99">
        <v>120.86</v>
      </c>
      <c r="EQ99">
        <v>120.97</v>
      </c>
      <c r="ER99">
        <v>121.06</v>
      </c>
      <c r="ES99">
        <v>121.14</v>
      </c>
      <c r="ET99">
        <v>121.21</v>
      </c>
      <c r="EU99">
        <v>121.26</v>
      </c>
      <c r="EV99">
        <v>121.26</v>
      </c>
      <c r="EW99">
        <v>121.35</v>
      </c>
      <c r="EX99">
        <v>121.43</v>
      </c>
      <c r="EY99">
        <v>121.5</v>
      </c>
      <c r="EZ99">
        <v>121.56</v>
      </c>
      <c r="FA99">
        <v>121.62</v>
      </c>
      <c r="FB99">
        <v>121.65</v>
      </c>
      <c r="FC99">
        <v>121.65</v>
      </c>
      <c r="FD99">
        <v>121.67</v>
      </c>
      <c r="FE99">
        <v>121.68</v>
      </c>
      <c r="FF99">
        <v>121.75</v>
      </c>
      <c r="FG99">
        <v>121.83</v>
      </c>
      <c r="FH99">
        <v>121.9</v>
      </c>
      <c r="FI99">
        <v>121.93</v>
      </c>
      <c r="FJ99">
        <v>121.93</v>
      </c>
      <c r="FK99">
        <v>121.99</v>
      </c>
      <c r="FL99">
        <v>122.06</v>
      </c>
      <c r="FM99">
        <v>122.1</v>
      </c>
      <c r="FN99">
        <v>122.15</v>
      </c>
      <c r="FO99">
        <v>122.2</v>
      </c>
      <c r="FP99">
        <v>122.22</v>
      </c>
      <c r="FQ99">
        <v>122.22</v>
      </c>
      <c r="FR99">
        <v>122.26</v>
      </c>
      <c r="FS99">
        <v>122.3</v>
      </c>
      <c r="FT99">
        <v>122.33</v>
      </c>
      <c r="FU99">
        <v>122.37</v>
      </c>
      <c r="FV99">
        <v>122.4</v>
      </c>
      <c r="FW99">
        <v>122.42</v>
      </c>
      <c r="FX99">
        <v>122.42</v>
      </c>
      <c r="FY99">
        <v>122.48</v>
      </c>
      <c r="FZ99">
        <v>122.53</v>
      </c>
      <c r="GA99">
        <v>122.58</v>
      </c>
      <c r="GB99">
        <v>122.64</v>
      </c>
      <c r="GC99">
        <v>122.69</v>
      </c>
      <c r="GD99">
        <v>122.71</v>
      </c>
      <c r="GE99">
        <v>122.71</v>
      </c>
      <c r="GF99">
        <v>122.76</v>
      </c>
      <c r="GG99">
        <v>122.81</v>
      </c>
      <c r="GH99">
        <v>122.85</v>
      </c>
      <c r="GI99">
        <v>122.89</v>
      </c>
      <c r="GJ99">
        <v>122.93</v>
      </c>
      <c r="GK99">
        <v>122.95</v>
      </c>
      <c r="GL99">
        <v>122.95</v>
      </c>
      <c r="GM99">
        <v>123</v>
      </c>
      <c r="GN99">
        <v>123.07</v>
      </c>
      <c r="GO99">
        <v>123.16</v>
      </c>
      <c r="GP99">
        <v>123.3</v>
      </c>
      <c r="GQ99">
        <v>123.45</v>
      </c>
      <c r="GR99">
        <v>123.54</v>
      </c>
      <c r="GS99">
        <v>123.56</v>
      </c>
      <c r="GT99">
        <v>123.76</v>
      </c>
      <c r="GU99">
        <v>123.96</v>
      </c>
      <c r="GV99">
        <v>124.19</v>
      </c>
      <c r="GW99">
        <v>124.42</v>
      </c>
      <c r="GX99">
        <v>124.66</v>
      </c>
      <c r="GY99">
        <v>124.79</v>
      </c>
      <c r="GZ99">
        <v>124.82</v>
      </c>
      <c r="HA99">
        <v>125.06</v>
      </c>
      <c r="HB99">
        <v>125.3</v>
      </c>
      <c r="HC99">
        <v>125.54</v>
      </c>
      <c r="HD99">
        <v>125.74</v>
      </c>
      <c r="HE99">
        <v>125.97</v>
      </c>
      <c r="HF99">
        <v>126.11</v>
      </c>
      <c r="HG99">
        <v>126.17</v>
      </c>
      <c r="HH99">
        <v>126.22</v>
      </c>
      <c r="HI99">
        <v>126.28</v>
      </c>
      <c r="HJ99">
        <v>126.38</v>
      </c>
      <c r="HK99">
        <v>126.49</v>
      </c>
      <c r="HL99">
        <v>126.63</v>
      </c>
      <c r="HM99">
        <v>126.71</v>
      </c>
      <c r="HN99">
        <v>126.73</v>
      </c>
      <c r="HO99">
        <v>126.86</v>
      </c>
      <c r="HP99">
        <v>127.03</v>
      </c>
      <c r="HQ99">
        <v>127.19</v>
      </c>
      <c r="HR99">
        <v>127.35</v>
      </c>
      <c r="HS99">
        <v>127.53</v>
      </c>
      <c r="HT99">
        <v>127.65</v>
      </c>
      <c r="HU99">
        <v>127.67</v>
      </c>
      <c r="HV99">
        <v>127.93</v>
      </c>
      <c r="HW99">
        <v>128.15</v>
      </c>
      <c r="HX99">
        <v>128.37</v>
      </c>
      <c r="HY99">
        <v>128.56</v>
      </c>
      <c r="HZ99">
        <v>128.77000000000001</v>
      </c>
      <c r="IA99">
        <v>128.97</v>
      </c>
      <c r="IB99">
        <v>129.1</v>
      </c>
      <c r="IC99">
        <v>129.58000000000001</v>
      </c>
      <c r="ID99">
        <v>130.32</v>
      </c>
      <c r="IE99">
        <v>131.30000000000001</v>
      </c>
      <c r="IF99">
        <v>132.31</v>
      </c>
      <c r="IG99">
        <v>133.41999999999999</v>
      </c>
      <c r="IH99">
        <v>133.97999999999999</v>
      </c>
      <c r="II99">
        <v>134.31</v>
      </c>
      <c r="IJ99">
        <v>135.33000000000001</v>
      </c>
      <c r="IK99">
        <v>136.31</v>
      </c>
      <c r="IL99">
        <v>137.27000000000001</v>
      </c>
      <c r="IM99">
        <v>138.09</v>
      </c>
      <c r="IN99">
        <v>138.88999999999999</v>
      </c>
      <c r="IO99">
        <v>139.46</v>
      </c>
      <c r="IP99">
        <v>140.01</v>
      </c>
      <c r="IQ99">
        <v>141.27000000000001</v>
      </c>
      <c r="IR99">
        <v>142.44</v>
      </c>
      <c r="IS99">
        <v>143.54</v>
      </c>
      <c r="IT99">
        <v>144.47999999999999</v>
      </c>
      <c r="IU99">
        <v>145.41</v>
      </c>
      <c r="IV99">
        <v>143.99</v>
      </c>
      <c r="IW99">
        <v>144.62</v>
      </c>
      <c r="IX99">
        <v>145.97999999999999</v>
      </c>
      <c r="IY99">
        <v>147.21</v>
      </c>
      <c r="IZ99">
        <v>148.51</v>
      </c>
      <c r="JA99">
        <v>149.79</v>
      </c>
      <c r="JB99">
        <v>151.11000000000001</v>
      </c>
      <c r="JC99">
        <v>151.83000000000001</v>
      </c>
      <c r="JD99">
        <v>152.27000000000001</v>
      </c>
      <c r="JE99">
        <v>153.37</v>
      </c>
      <c r="JF99">
        <v>154.91</v>
      </c>
      <c r="JG99">
        <v>156.35</v>
      </c>
      <c r="JH99">
        <v>157.46</v>
      </c>
      <c r="JI99">
        <v>159.28</v>
      </c>
      <c r="JJ99">
        <v>159.85</v>
      </c>
      <c r="JK99">
        <v>160.44</v>
      </c>
      <c r="JL99">
        <v>160.96</v>
      </c>
      <c r="JM99">
        <v>161.75</v>
      </c>
      <c r="JN99">
        <v>161.83000000000001</v>
      </c>
      <c r="JO99">
        <v>161.94</v>
      </c>
      <c r="JP99">
        <v>163</v>
      </c>
      <c r="JQ99">
        <v>163.52000000000001</v>
      </c>
      <c r="JR99">
        <v>163.74</v>
      </c>
      <c r="JS99">
        <v>164.53</v>
      </c>
      <c r="JT99">
        <v>165.23</v>
      </c>
      <c r="JU99">
        <v>165.92</v>
      </c>
      <c r="JV99">
        <v>166.16</v>
      </c>
      <c r="JW99">
        <v>166.19</v>
      </c>
      <c r="JX99">
        <v>166.8</v>
      </c>
      <c r="JY99">
        <v>166.92</v>
      </c>
      <c r="JZ99">
        <v>167.7</v>
      </c>
      <c r="KA99">
        <v>167.98</v>
      </c>
      <c r="KB99">
        <v>168.06</v>
      </c>
      <c r="KC99">
        <v>168.45</v>
      </c>
      <c r="KD99">
        <v>168.85</v>
      </c>
      <c r="KE99">
        <v>169.21</v>
      </c>
      <c r="KF99">
        <v>169.37</v>
      </c>
      <c r="KG99">
        <v>169.88</v>
      </c>
      <c r="KH99">
        <v>170.18</v>
      </c>
      <c r="KI99">
        <v>170.55</v>
      </c>
      <c r="KJ99">
        <v>171.42</v>
      </c>
      <c r="KK99">
        <v>172.54</v>
      </c>
      <c r="KL99">
        <v>173.01</v>
      </c>
      <c r="KM99">
        <v>173.47</v>
      </c>
      <c r="KN99">
        <v>174.48</v>
      </c>
      <c r="KO99">
        <v>175.27</v>
      </c>
      <c r="KP99">
        <v>175.9</v>
      </c>
      <c r="KQ99">
        <v>176.19</v>
      </c>
      <c r="KR99">
        <v>176.98</v>
      </c>
      <c r="KS99">
        <v>177.21</v>
      </c>
      <c r="KT99">
        <v>177.38</v>
      </c>
      <c r="KU99">
        <v>177.75</v>
      </c>
      <c r="KV99">
        <v>178.02</v>
      </c>
      <c r="KW99">
        <v>178.22</v>
      </c>
      <c r="KX99">
        <v>178.45</v>
      </c>
      <c r="KY99">
        <v>178.78</v>
      </c>
      <c r="KZ99">
        <v>178.89</v>
      </c>
      <c r="LA99">
        <v>178.98</v>
      </c>
      <c r="LB99">
        <v>179.21</v>
      </c>
      <c r="LC99">
        <v>179.39</v>
      </c>
      <c r="LD99">
        <v>179.55</v>
      </c>
      <c r="LE99">
        <v>179.71</v>
      </c>
      <c r="LF99">
        <v>179.92</v>
      </c>
      <c r="LG99">
        <v>179.99</v>
      </c>
      <c r="LH99">
        <v>180.06</v>
      </c>
      <c r="LI99">
        <v>180.24</v>
      </c>
      <c r="LJ99">
        <v>180.39</v>
      </c>
      <c r="LK99">
        <v>180.54</v>
      </c>
      <c r="LL99">
        <v>180.69</v>
      </c>
      <c r="LM99">
        <v>180.71</v>
      </c>
      <c r="LN99">
        <v>180.99</v>
      </c>
      <c r="LO99">
        <v>181.02</v>
      </c>
      <c r="LP99">
        <v>181.15</v>
      </c>
      <c r="LQ99">
        <v>181.26</v>
      </c>
      <c r="LR99">
        <v>181.41</v>
      </c>
      <c r="LS99">
        <v>181.51</v>
      </c>
      <c r="LT99">
        <v>181.57</v>
      </c>
      <c r="LU99">
        <v>181.58</v>
      </c>
      <c r="LV99">
        <v>181.58</v>
      </c>
      <c r="LW99">
        <v>181.85</v>
      </c>
      <c r="LX99">
        <v>172.13</v>
      </c>
      <c r="LY99">
        <v>172.23</v>
      </c>
      <c r="LZ99">
        <v>172.27</v>
      </c>
      <c r="MA99">
        <v>172.42</v>
      </c>
      <c r="MB99">
        <v>172.47</v>
      </c>
      <c r="MC99">
        <v>172.48</v>
      </c>
      <c r="MD99">
        <v>172.58</v>
      </c>
      <c r="ME99">
        <v>172.65</v>
      </c>
      <c r="MF99">
        <v>172.73</v>
      </c>
      <c r="MG99">
        <v>172.8</v>
      </c>
      <c r="MH99">
        <v>172.89</v>
      </c>
      <c r="MI99">
        <v>172.92</v>
      </c>
      <c r="MJ99">
        <v>172.95</v>
      </c>
      <c r="MK99">
        <v>173.05</v>
      </c>
      <c r="ML99">
        <v>173.14</v>
      </c>
      <c r="MM99">
        <v>173.3</v>
      </c>
      <c r="MN99">
        <v>173.35</v>
      </c>
      <c r="MO99">
        <v>173.61</v>
      </c>
      <c r="MP99">
        <v>173.69</v>
      </c>
      <c r="MQ99">
        <v>173.8</v>
      </c>
      <c r="MR99">
        <v>173.99</v>
      </c>
      <c r="MS99">
        <v>174.15</v>
      </c>
      <c r="MT99">
        <v>174.31</v>
      </c>
      <c r="MU99">
        <v>174.47</v>
      </c>
      <c r="MV99">
        <v>174.64</v>
      </c>
      <c r="MW99">
        <v>174.68</v>
      </c>
      <c r="MX99">
        <v>174.78</v>
      </c>
      <c r="MY99">
        <v>174.94</v>
      </c>
      <c r="MZ99">
        <v>175.08</v>
      </c>
      <c r="NA99">
        <v>175.2</v>
      </c>
      <c r="NB99">
        <v>175.32</v>
      </c>
      <c r="NC99">
        <v>175.44</v>
      </c>
      <c r="ND99">
        <v>175.52</v>
      </c>
      <c r="NE99">
        <v>175.55</v>
      </c>
      <c r="NF99">
        <v>175.71</v>
      </c>
      <c r="NG99">
        <v>175.85</v>
      </c>
      <c r="NH99">
        <v>176.06</v>
      </c>
      <c r="NI99">
        <v>176.27</v>
      </c>
      <c r="NJ99">
        <v>176.53</v>
      </c>
      <c r="NK99">
        <v>176.68</v>
      </c>
      <c r="NL99">
        <v>176.76</v>
      </c>
      <c r="NM99">
        <v>177.02</v>
      </c>
      <c r="NN99">
        <v>177.25</v>
      </c>
      <c r="NO99">
        <v>177.5</v>
      </c>
      <c r="NP99">
        <v>177.76</v>
      </c>
      <c r="NQ99">
        <v>178.01</v>
      </c>
      <c r="NR99">
        <v>178.24</v>
      </c>
      <c r="NS99">
        <v>178.35</v>
      </c>
      <c r="NT99">
        <v>178.43</v>
      </c>
      <c r="NU99">
        <v>178.92</v>
      </c>
      <c r="NV99">
        <v>179.27</v>
      </c>
      <c r="NW99">
        <v>179.37</v>
      </c>
      <c r="NX99">
        <v>179.92</v>
      </c>
      <c r="NY99">
        <v>179.93</v>
      </c>
      <c r="NZ99">
        <v>179.94</v>
      </c>
      <c r="OA99">
        <v>180.49</v>
      </c>
      <c r="OB99">
        <v>180.77</v>
      </c>
      <c r="OC99">
        <v>181.05</v>
      </c>
      <c r="OD99">
        <v>181.33</v>
      </c>
      <c r="OE99">
        <v>181.67</v>
      </c>
      <c r="OF99">
        <v>181.82</v>
      </c>
      <c r="OG99">
        <v>181.98</v>
      </c>
      <c r="OH99">
        <v>182.29</v>
      </c>
      <c r="OJ99">
        <v>187.51</v>
      </c>
      <c r="OK99">
        <v>188.28</v>
      </c>
      <c r="OL99">
        <v>188.98</v>
      </c>
      <c r="OM99">
        <v>189.18</v>
      </c>
      <c r="ON99">
        <v>189.4</v>
      </c>
      <c r="OO99">
        <v>189.72</v>
      </c>
      <c r="OR99">
        <v>190.75</v>
      </c>
      <c r="OS99">
        <v>190.9</v>
      </c>
      <c r="OT99">
        <v>191</v>
      </c>
      <c r="OU99">
        <v>191.1</v>
      </c>
      <c r="OW99">
        <v>191.41</v>
      </c>
      <c r="OX99">
        <v>191.55</v>
      </c>
      <c r="OY99">
        <v>191.67</v>
      </c>
      <c r="OZ99">
        <v>191.89</v>
      </c>
      <c r="PA99">
        <v>191.98</v>
      </c>
      <c r="PB99">
        <v>192.02</v>
      </c>
      <c r="PC99">
        <v>192.19</v>
      </c>
      <c r="PD99">
        <v>192.32</v>
      </c>
      <c r="PE99">
        <v>192.44</v>
      </c>
      <c r="PG99">
        <v>192.65</v>
      </c>
      <c r="PH99">
        <v>192.7</v>
      </c>
      <c r="PI99">
        <v>192.71</v>
      </c>
      <c r="PJ99">
        <v>192.8</v>
      </c>
      <c r="PK99">
        <v>192.91</v>
      </c>
      <c r="PL99">
        <v>193.02</v>
      </c>
      <c r="PM99">
        <v>193.1</v>
      </c>
      <c r="PN99">
        <v>193.11</v>
      </c>
      <c r="PO99">
        <v>193.22</v>
      </c>
      <c r="PP99">
        <v>193.23</v>
      </c>
      <c r="PQ99">
        <v>193.29</v>
      </c>
      <c r="PR99">
        <v>193.34</v>
      </c>
      <c r="PS99">
        <v>193.42</v>
      </c>
      <c r="PT99">
        <v>193.48</v>
      </c>
      <c r="PU99">
        <v>193.54</v>
      </c>
      <c r="PV99">
        <v>193.57</v>
      </c>
      <c r="PW99">
        <v>193.57</v>
      </c>
      <c r="PX99">
        <v>193.6</v>
      </c>
      <c r="PY99">
        <v>193.72</v>
      </c>
      <c r="PZ99">
        <v>193.76</v>
      </c>
      <c r="QA99">
        <v>193.76</v>
      </c>
      <c r="QB99">
        <v>193.81</v>
      </c>
      <c r="QC99">
        <v>193.82</v>
      </c>
      <c r="QD99">
        <v>193.83</v>
      </c>
      <c r="QE99">
        <v>193.84</v>
      </c>
      <c r="QF99">
        <v>193.87</v>
      </c>
      <c r="QG99">
        <v>193.89</v>
      </c>
      <c r="QH99">
        <v>193.91</v>
      </c>
      <c r="QI99">
        <v>193.93</v>
      </c>
      <c r="QJ99">
        <v>193.94</v>
      </c>
      <c r="QK99">
        <v>193.94</v>
      </c>
      <c r="QL99">
        <v>193.96</v>
      </c>
      <c r="QM99">
        <v>193.97</v>
      </c>
      <c r="QO99">
        <v>194.01</v>
      </c>
      <c r="QP99">
        <v>194.03</v>
      </c>
      <c r="QQ99">
        <v>194.04</v>
      </c>
      <c r="QR99">
        <v>194.04</v>
      </c>
      <c r="QS99">
        <v>194.05</v>
      </c>
      <c r="QT99">
        <v>194.07</v>
      </c>
      <c r="QU99">
        <v>194.08</v>
      </c>
      <c r="QV99">
        <v>194.1</v>
      </c>
      <c r="QW99">
        <v>194.11</v>
      </c>
      <c r="QX99">
        <v>194.11</v>
      </c>
      <c r="QY99">
        <v>194.12</v>
      </c>
      <c r="QZ99">
        <v>194.14</v>
      </c>
      <c r="RA99">
        <v>194.16</v>
      </c>
      <c r="RB99">
        <v>194.19</v>
      </c>
      <c r="RC99">
        <v>194.22</v>
      </c>
      <c r="RD99">
        <v>194.27</v>
      </c>
      <c r="RE99">
        <v>194.27</v>
      </c>
      <c r="RF99">
        <v>194.28</v>
      </c>
      <c r="RG99">
        <v>194.33</v>
      </c>
      <c r="RH99">
        <v>194.35</v>
      </c>
      <c r="RI99">
        <v>194.41</v>
      </c>
      <c r="RJ99">
        <v>194.45</v>
      </c>
      <c r="RK99">
        <v>194.5</v>
      </c>
      <c r="RL99">
        <v>194.55</v>
      </c>
      <c r="RM99">
        <v>194.59</v>
      </c>
      <c r="RN99">
        <v>194.63</v>
      </c>
      <c r="RO99">
        <v>194.66</v>
      </c>
      <c r="RP99">
        <v>194.7</v>
      </c>
      <c r="RQ99">
        <v>194.88</v>
      </c>
      <c r="RR99">
        <v>194.92</v>
      </c>
      <c r="RS99">
        <v>194.94</v>
      </c>
      <c r="RT99">
        <v>194.97</v>
      </c>
      <c r="RU99">
        <v>194.99</v>
      </c>
      <c r="RV99">
        <v>195.01</v>
      </c>
      <c r="RW99">
        <v>195.02</v>
      </c>
      <c r="RX99">
        <v>195.04</v>
      </c>
      <c r="RY99">
        <v>195.05</v>
      </c>
      <c r="SA99">
        <v>195.06</v>
      </c>
      <c r="SB99">
        <v>195.06</v>
      </c>
      <c r="SC99">
        <v>195.09</v>
      </c>
      <c r="SD99">
        <v>195.1</v>
      </c>
      <c r="SE99">
        <v>195.12</v>
      </c>
      <c r="SG99">
        <v>195.14</v>
      </c>
      <c r="SH99">
        <v>195.15</v>
      </c>
      <c r="SI99">
        <v>195.16</v>
      </c>
      <c r="SJ99">
        <v>195.17</v>
      </c>
      <c r="SK99">
        <v>195.18</v>
      </c>
      <c r="SM99">
        <v>195.2</v>
      </c>
      <c r="SO99">
        <v>195.2</v>
      </c>
      <c r="SP99">
        <v>195.21</v>
      </c>
      <c r="SQ99">
        <v>195.22</v>
      </c>
      <c r="SR99">
        <v>195.22</v>
      </c>
      <c r="SS99">
        <v>195.25</v>
      </c>
      <c r="ST99">
        <v>195.26</v>
      </c>
      <c r="SU99">
        <v>195.27</v>
      </c>
      <c r="SV99">
        <v>195.28</v>
      </c>
      <c r="SW99">
        <v>195.28</v>
      </c>
      <c r="SX99">
        <v>195.29</v>
      </c>
      <c r="SY99">
        <v>195.31</v>
      </c>
      <c r="SZ99">
        <v>195.32</v>
      </c>
      <c r="TA99">
        <v>195.33</v>
      </c>
      <c r="TB99">
        <v>195.34</v>
      </c>
      <c r="TC99">
        <v>195.35</v>
      </c>
      <c r="TD99">
        <v>195.35</v>
      </c>
      <c r="TE99">
        <v>195.36</v>
      </c>
      <c r="TF99">
        <v>195.37</v>
      </c>
      <c r="TG99">
        <v>195.38</v>
      </c>
      <c r="TH99">
        <v>195.39</v>
      </c>
      <c r="TI99">
        <v>195.39</v>
      </c>
      <c r="TJ99">
        <v>195.4</v>
      </c>
      <c r="TK99">
        <v>195.4</v>
      </c>
      <c r="TL99">
        <v>195.41</v>
      </c>
      <c r="TM99">
        <v>195.42</v>
      </c>
      <c r="TO99">
        <v>195.43</v>
      </c>
      <c r="TP99">
        <v>195.44</v>
      </c>
      <c r="TQ99">
        <v>195.44</v>
      </c>
      <c r="TR99">
        <v>195.44</v>
      </c>
      <c r="TS99">
        <v>195.45</v>
      </c>
      <c r="TT99">
        <v>195.45</v>
      </c>
      <c r="TU99">
        <v>195.47</v>
      </c>
      <c r="TV99">
        <v>195.47</v>
      </c>
      <c r="TW99">
        <v>195.49</v>
      </c>
      <c r="TX99">
        <v>195.49</v>
      </c>
      <c r="TY99">
        <v>195.49</v>
      </c>
      <c r="TZ99">
        <v>195.5</v>
      </c>
      <c r="UA99">
        <v>195.51</v>
      </c>
      <c r="UB99">
        <v>195.54</v>
      </c>
      <c r="UC99">
        <v>195.55</v>
      </c>
      <c r="UD99">
        <v>195.56</v>
      </c>
      <c r="UE99">
        <v>195.56</v>
      </c>
      <c r="UF99">
        <v>195.56</v>
      </c>
      <c r="UG99">
        <v>195.59</v>
      </c>
      <c r="UH99">
        <v>195.61</v>
      </c>
      <c r="UI99">
        <v>195.63</v>
      </c>
      <c r="UJ99">
        <v>195.64</v>
      </c>
      <c r="UK99">
        <v>195.66</v>
      </c>
      <c r="UL99">
        <v>195.67</v>
      </c>
      <c r="UM99">
        <v>195.67</v>
      </c>
      <c r="UN99">
        <v>195.68</v>
      </c>
      <c r="UO99">
        <v>195.69</v>
      </c>
      <c r="UP99">
        <v>195.72</v>
      </c>
      <c r="UQ99">
        <v>195.74</v>
      </c>
      <c r="UR99">
        <v>195.76</v>
      </c>
      <c r="US99">
        <v>195.76</v>
      </c>
      <c r="UT99">
        <v>195.76</v>
      </c>
      <c r="UU99">
        <v>195.78</v>
      </c>
      <c r="UV99">
        <v>195.79</v>
      </c>
      <c r="UW99">
        <v>195.8</v>
      </c>
      <c r="UY99">
        <v>195.82</v>
      </c>
      <c r="UZ99">
        <v>195.84</v>
      </c>
      <c r="VB99">
        <v>195.85</v>
      </c>
      <c r="VC99">
        <v>195.86</v>
      </c>
      <c r="VD99">
        <v>195.87</v>
      </c>
      <c r="VE99">
        <v>195.88</v>
      </c>
      <c r="VF99">
        <v>195.89</v>
      </c>
      <c r="VG99">
        <v>195.9</v>
      </c>
      <c r="VH99">
        <v>195.9</v>
      </c>
      <c r="VI99">
        <v>195.9</v>
      </c>
      <c r="VJ99">
        <v>195.92</v>
      </c>
      <c r="VK99">
        <v>195.93</v>
      </c>
      <c r="VL99">
        <v>195.94</v>
      </c>
      <c r="VM99">
        <v>195.95</v>
      </c>
      <c r="VN99">
        <v>195.95</v>
      </c>
      <c r="VO99">
        <v>195.95</v>
      </c>
      <c r="VP99">
        <v>195.96</v>
      </c>
      <c r="VQ99">
        <v>195.97</v>
      </c>
      <c r="VR99">
        <v>195.97</v>
      </c>
      <c r="VS99">
        <v>195.98</v>
      </c>
      <c r="VT99">
        <v>195.99</v>
      </c>
      <c r="VU99">
        <v>195.99</v>
      </c>
      <c r="VW99">
        <v>196</v>
      </c>
      <c r="VX99">
        <v>196.01</v>
      </c>
      <c r="VY99">
        <v>196.01</v>
      </c>
      <c r="VZ99">
        <v>196.02</v>
      </c>
      <c r="WA99">
        <v>196.02</v>
      </c>
      <c r="WC99">
        <v>196.02</v>
      </c>
      <c r="WE99">
        <v>196.04</v>
      </c>
      <c r="WF99">
        <v>196.04</v>
      </c>
      <c r="WG99">
        <v>196.05</v>
      </c>
      <c r="WH99">
        <v>196.05</v>
      </c>
      <c r="WI99">
        <v>196.05</v>
      </c>
      <c r="WJ99">
        <v>196.05</v>
      </c>
      <c r="WK99">
        <v>196.05</v>
      </c>
      <c r="WL99">
        <v>196.05</v>
      </c>
      <c r="WM99">
        <v>196.07</v>
      </c>
      <c r="WN99">
        <v>196.07</v>
      </c>
      <c r="WO99">
        <v>196.08</v>
      </c>
      <c r="WP99">
        <v>196.08</v>
      </c>
      <c r="WQ99">
        <v>196.08</v>
      </c>
      <c r="WR99">
        <v>196.09</v>
      </c>
      <c r="WS99">
        <v>196.09</v>
      </c>
      <c r="WT99">
        <v>196.1</v>
      </c>
      <c r="WU99">
        <v>196.1</v>
      </c>
      <c r="WV99">
        <v>196.1</v>
      </c>
      <c r="WY99">
        <v>196.11</v>
      </c>
      <c r="WZ99">
        <v>196.12</v>
      </c>
      <c r="XA99">
        <v>196.12</v>
      </c>
      <c r="XB99">
        <v>196.12</v>
      </c>
      <c r="XC99">
        <v>196.12</v>
      </c>
      <c r="XE99">
        <v>196.12</v>
      </c>
      <c r="XF99">
        <v>196.13</v>
      </c>
      <c r="XG99">
        <v>196.14</v>
      </c>
      <c r="XH99">
        <v>196.14</v>
      </c>
      <c r="XI99">
        <v>196.14</v>
      </c>
      <c r="XL99">
        <v>196.15</v>
      </c>
      <c r="XM99">
        <v>196.15</v>
      </c>
      <c r="XN99">
        <v>196.16</v>
      </c>
      <c r="XO99">
        <v>196.16</v>
      </c>
      <c r="XP99">
        <v>196.16</v>
      </c>
      <c r="XQ99">
        <v>196.16</v>
      </c>
      <c r="XR99">
        <v>196.16</v>
      </c>
      <c r="XS99">
        <v>196.17</v>
      </c>
      <c r="XT99">
        <v>196.17</v>
      </c>
      <c r="XU99">
        <v>196.17</v>
      </c>
      <c r="XV99">
        <v>196.18</v>
      </c>
      <c r="XW99">
        <v>196.18</v>
      </c>
      <c r="XZ99">
        <v>196.19</v>
      </c>
      <c r="YB99">
        <v>196.19</v>
      </c>
      <c r="YC99">
        <v>196.2</v>
      </c>
      <c r="YD99">
        <v>196.21</v>
      </c>
      <c r="YE99">
        <v>196.22</v>
      </c>
      <c r="YF99">
        <v>196.22</v>
      </c>
      <c r="YG99">
        <v>196.23</v>
      </c>
      <c r="YH99">
        <v>196.24</v>
      </c>
      <c r="YI99">
        <v>196.25</v>
      </c>
      <c r="YK99">
        <v>196.26</v>
      </c>
      <c r="YL99">
        <v>196.27</v>
      </c>
      <c r="YN99">
        <v>196.27</v>
      </c>
      <c r="YO99">
        <v>196.28</v>
      </c>
      <c r="YP99">
        <v>196.28</v>
      </c>
      <c r="YQ99">
        <v>196.3</v>
      </c>
      <c r="YR99">
        <v>196.31</v>
      </c>
      <c r="YS99">
        <v>196.31</v>
      </c>
      <c r="YV99">
        <v>196.32</v>
      </c>
      <c r="YW99">
        <v>196.33</v>
      </c>
      <c r="YX99">
        <v>196.34</v>
      </c>
      <c r="YY99">
        <v>196.36</v>
      </c>
      <c r="YZ99">
        <v>196.36</v>
      </c>
      <c r="ZB99">
        <v>196.37</v>
      </c>
      <c r="ZC99">
        <v>196.39</v>
      </c>
      <c r="ZD99">
        <v>196.39</v>
      </c>
      <c r="ZE99">
        <v>193.13</v>
      </c>
      <c r="ZF99">
        <v>193.14</v>
      </c>
      <c r="ZG99">
        <v>193.16</v>
      </c>
      <c r="ZJ99">
        <v>193.19</v>
      </c>
      <c r="ZL99">
        <v>193.2</v>
      </c>
      <c r="ZM99">
        <v>193.22</v>
      </c>
      <c r="ZN99">
        <v>193.22</v>
      </c>
      <c r="ZR99">
        <v>193.26</v>
      </c>
      <c r="ZS99">
        <v>193.29</v>
      </c>
      <c r="ZU99">
        <v>193.31</v>
      </c>
      <c r="ZV99">
        <v>193.31</v>
      </c>
      <c r="ZX99">
        <v>193.35</v>
      </c>
      <c r="ZY99">
        <v>193.37</v>
      </c>
      <c r="AAA99">
        <v>193.42</v>
      </c>
      <c r="AAB99">
        <v>193.42</v>
      </c>
      <c r="AAD99">
        <v>193.44</v>
      </c>
      <c r="AAE99">
        <v>193.46</v>
      </c>
      <c r="AAF99">
        <v>193.47</v>
      </c>
      <c r="AAG99">
        <v>193.5</v>
      </c>
      <c r="AAH99">
        <v>193.52</v>
      </c>
      <c r="AAI99">
        <v>193.53</v>
      </c>
      <c r="AAJ99">
        <v>193.53</v>
      </c>
      <c r="AAK99">
        <v>193.54</v>
      </c>
      <c r="AAL99">
        <v>193.56</v>
      </c>
      <c r="AAM99">
        <v>193.58</v>
      </c>
      <c r="AAN99">
        <v>193.6</v>
      </c>
      <c r="AAO99">
        <v>193.63</v>
      </c>
      <c r="AAP99">
        <v>193.63</v>
      </c>
      <c r="AAR99">
        <v>193.64</v>
      </c>
      <c r="AAS99">
        <v>196.17</v>
      </c>
      <c r="AAT99">
        <v>196.22</v>
      </c>
      <c r="AAU99">
        <v>196.27</v>
      </c>
      <c r="AAV99">
        <v>196.33</v>
      </c>
      <c r="AAW99">
        <v>196.35</v>
      </c>
      <c r="AAX99">
        <v>196.35</v>
      </c>
      <c r="AAY99">
        <v>196.38</v>
      </c>
      <c r="AAZ99">
        <v>196.45</v>
      </c>
      <c r="ABA99">
        <v>196.5</v>
      </c>
      <c r="ABB99">
        <v>196.55</v>
      </c>
      <c r="ABC99">
        <v>196.61</v>
      </c>
      <c r="ABD99">
        <v>196.62</v>
      </c>
      <c r="ABG99">
        <v>196.7</v>
      </c>
      <c r="ABH99">
        <v>196.72</v>
      </c>
      <c r="ABI99">
        <v>196.75</v>
      </c>
      <c r="ABJ99">
        <v>196.78</v>
      </c>
      <c r="ABK99">
        <v>196.79</v>
      </c>
      <c r="ABM99">
        <v>196.81</v>
      </c>
      <c r="ABN99">
        <v>196.83</v>
      </c>
      <c r="ABO99">
        <v>196.85</v>
      </c>
      <c r="ABP99">
        <v>196.87</v>
      </c>
      <c r="ABQ99">
        <v>196.89</v>
      </c>
      <c r="ABR99">
        <v>196.9</v>
      </c>
      <c r="ABS99">
        <v>196.9</v>
      </c>
      <c r="ABT99">
        <v>196.94</v>
      </c>
      <c r="ABU99">
        <v>196.96</v>
      </c>
      <c r="ABV99">
        <v>196.97</v>
      </c>
      <c r="ABW99">
        <v>196.99</v>
      </c>
      <c r="ABX99">
        <v>197.01</v>
      </c>
      <c r="ABY99">
        <v>197.01</v>
      </c>
      <c r="ACA99">
        <v>197.03</v>
      </c>
      <c r="ACB99">
        <v>197.04</v>
      </c>
      <c r="ACC99">
        <v>197.06</v>
      </c>
      <c r="ACD99">
        <v>197.08</v>
      </c>
      <c r="ACE99">
        <v>197.1</v>
      </c>
      <c r="ACF99">
        <v>197.1</v>
      </c>
      <c r="ACG99">
        <v>197.1</v>
      </c>
      <c r="ACH99">
        <v>197.11</v>
      </c>
      <c r="ACI99">
        <v>197.13</v>
      </c>
      <c r="ACJ99">
        <v>197.14</v>
      </c>
      <c r="ACK99">
        <v>197.15</v>
      </c>
      <c r="ACL99">
        <v>197.16</v>
      </c>
      <c r="ACM99">
        <v>197.16</v>
      </c>
      <c r="ACP99">
        <v>197.18</v>
      </c>
      <c r="ACQ99">
        <v>197.19</v>
      </c>
      <c r="ACR99">
        <v>197.2</v>
      </c>
      <c r="ACS99">
        <v>197.21</v>
      </c>
      <c r="ACT99">
        <v>197.21</v>
      </c>
      <c r="ACV99">
        <v>197.22</v>
      </c>
      <c r="ACW99">
        <v>197.22</v>
      </c>
      <c r="ACX99">
        <v>197.23</v>
      </c>
      <c r="ACY99">
        <v>197.23</v>
      </c>
      <c r="ACZ99">
        <v>197.24</v>
      </c>
      <c r="ADA99">
        <v>197.24</v>
      </c>
      <c r="ADC99">
        <v>197.25</v>
      </c>
      <c r="ADD99">
        <v>197.25</v>
      </c>
      <c r="ADE99">
        <v>197.25</v>
      </c>
      <c r="ADF99">
        <v>197.26</v>
      </c>
      <c r="ADG99">
        <v>197.26</v>
      </c>
      <c r="ADH99">
        <v>197.26</v>
      </c>
      <c r="ADI99">
        <v>197.26</v>
      </c>
      <c r="ADJ99">
        <v>197.27</v>
      </c>
      <c r="ADK99">
        <v>197.27</v>
      </c>
      <c r="ADL99">
        <v>197.27</v>
      </c>
      <c r="ADM99">
        <v>197.28</v>
      </c>
      <c r="ADN99">
        <v>197.28</v>
      </c>
      <c r="ADO99">
        <v>197.28</v>
      </c>
      <c r="ADQ99">
        <v>197.28</v>
      </c>
      <c r="ADR99">
        <v>197.29</v>
      </c>
      <c r="ADS99">
        <v>197.29</v>
      </c>
      <c r="ADT99">
        <v>197.29</v>
      </c>
      <c r="ADU99">
        <v>197.29</v>
      </c>
      <c r="ADV99">
        <v>197.29</v>
      </c>
      <c r="ADW99">
        <v>197.29</v>
      </c>
      <c r="ADX99">
        <v>197.3</v>
      </c>
      <c r="ADY99">
        <v>197.3</v>
      </c>
      <c r="ADZ99">
        <v>197.3</v>
      </c>
      <c r="AEA99">
        <v>197.3</v>
      </c>
      <c r="AEB99">
        <v>197.3</v>
      </c>
      <c r="AEC99">
        <v>197.31</v>
      </c>
      <c r="AED99">
        <v>197.31</v>
      </c>
      <c r="AEE99">
        <v>197.31</v>
      </c>
    </row>
    <row r="100" spans="1:812">
      <c r="A100" s="1" t="s">
        <v>50</v>
      </c>
      <c r="B100" t="s">
        <v>271</v>
      </c>
      <c r="T100">
        <v>0.01</v>
      </c>
      <c r="U100">
        <v>0.01</v>
      </c>
      <c r="V100">
        <v>0.01</v>
      </c>
      <c r="W100">
        <v>0.02</v>
      </c>
      <c r="X100">
        <v>0.06</v>
      </c>
      <c r="Y100">
        <v>0.08</v>
      </c>
      <c r="Z100">
        <v>0.15</v>
      </c>
      <c r="AA100">
        <v>0.21</v>
      </c>
      <c r="AB100">
        <v>0.32</v>
      </c>
      <c r="AC100">
        <v>0.45</v>
      </c>
      <c r="AD100">
        <v>0.56000000000000005</v>
      </c>
      <c r="AE100">
        <v>0.71</v>
      </c>
      <c r="AF100">
        <v>0.87</v>
      </c>
      <c r="AG100">
        <v>1.01</v>
      </c>
      <c r="AH100">
        <v>1.1100000000000001</v>
      </c>
      <c r="AI100">
        <v>1.25</v>
      </c>
      <c r="AJ100">
        <v>1.38</v>
      </c>
      <c r="AK100">
        <v>1.54</v>
      </c>
      <c r="AL100">
        <v>1.69</v>
      </c>
      <c r="AM100">
        <v>1.84</v>
      </c>
      <c r="AN100">
        <v>1.95</v>
      </c>
      <c r="AO100">
        <v>2.0099999999999998</v>
      </c>
      <c r="AP100">
        <v>2.08</v>
      </c>
      <c r="AQ100">
        <v>2.13</v>
      </c>
      <c r="AR100">
        <v>2.1800000000000002</v>
      </c>
      <c r="AS100">
        <v>2.2400000000000002</v>
      </c>
      <c r="AT100">
        <v>2.2799999999999998</v>
      </c>
      <c r="AU100">
        <v>2.35</v>
      </c>
      <c r="AV100">
        <v>2.4</v>
      </c>
      <c r="AW100">
        <v>2.52</v>
      </c>
      <c r="AX100">
        <v>2.65</v>
      </c>
      <c r="AY100">
        <v>2.76</v>
      </c>
      <c r="AZ100">
        <v>2.92</v>
      </c>
      <c r="BA100">
        <v>3.08</v>
      </c>
      <c r="BB100">
        <v>3.23</v>
      </c>
      <c r="BC100">
        <v>3.33</v>
      </c>
      <c r="BD100">
        <v>3.47</v>
      </c>
      <c r="BE100">
        <v>3.61</v>
      </c>
      <c r="BF100">
        <v>3.78</v>
      </c>
      <c r="BG100">
        <v>3.95</v>
      </c>
      <c r="BH100">
        <v>4.13</v>
      </c>
      <c r="BI100">
        <v>4.26</v>
      </c>
      <c r="BJ100">
        <v>4.32</v>
      </c>
      <c r="BK100">
        <v>4.43</v>
      </c>
      <c r="BL100">
        <v>4.54</v>
      </c>
      <c r="BM100">
        <v>4.66</v>
      </c>
      <c r="BN100">
        <v>4.78</v>
      </c>
      <c r="BO100">
        <v>4.9000000000000004</v>
      </c>
      <c r="BP100">
        <v>4.99</v>
      </c>
      <c r="BQ100">
        <v>5.04</v>
      </c>
      <c r="BR100">
        <v>5.14</v>
      </c>
      <c r="BS100">
        <v>5.26</v>
      </c>
      <c r="BT100">
        <v>5.39</v>
      </c>
      <c r="BU100">
        <v>5.54</v>
      </c>
      <c r="BV100">
        <v>5.69</v>
      </c>
      <c r="BW100">
        <v>5.82</v>
      </c>
      <c r="BX100">
        <v>5.9</v>
      </c>
      <c r="BY100">
        <v>6.08</v>
      </c>
      <c r="BZ100">
        <v>6.25</v>
      </c>
      <c r="CA100">
        <v>6.45</v>
      </c>
      <c r="CB100">
        <v>6.66</v>
      </c>
      <c r="CC100">
        <v>6.89</v>
      </c>
      <c r="CD100">
        <v>7.1</v>
      </c>
      <c r="CE100">
        <v>7.22</v>
      </c>
      <c r="CF100">
        <v>7.46</v>
      </c>
      <c r="CG100">
        <v>7.72</v>
      </c>
      <c r="CH100">
        <v>8.0299999999999994</v>
      </c>
      <c r="CI100">
        <v>8.35</v>
      </c>
      <c r="CJ100">
        <v>8.69</v>
      </c>
      <c r="CK100">
        <v>8.98</v>
      </c>
      <c r="CL100">
        <v>9.15</v>
      </c>
      <c r="CM100">
        <v>9.44</v>
      </c>
      <c r="CN100">
        <v>9.76</v>
      </c>
      <c r="CO100">
        <v>10.11</v>
      </c>
      <c r="CP100">
        <v>10.47</v>
      </c>
      <c r="CQ100">
        <v>10.81</v>
      </c>
      <c r="CR100">
        <v>11.1</v>
      </c>
      <c r="CS100">
        <v>11.28</v>
      </c>
      <c r="CT100">
        <v>11.56</v>
      </c>
      <c r="CU100">
        <v>11.79</v>
      </c>
      <c r="CV100">
        <v>12.06</v>
      </c>
      <c r="CW100">
        <v>12.33</v>
      </c>
      <c r="CX100">
        <v>12.62</v>
      </c>
      <c r="CY100">
        <v>12.91</v>
      </c>
      <c r="CZ100">
        <v>13.12</v>
      </c>
      <c r="DA100">
        <v>13.44</v>
      </c>
      <c r="DB100">
        <v>13.8</v>
      </c>
      <c r="DC100">
        <v>14.22</v>
      </c>
      <c r="DD100">
        <v>14.65</v>
      </c>
      <c r="DE100">
        <v>15.09</v>
      </c>
      <c r="DF100">
        <v>15.48</v>
      </c>
      <c r="DG100">
        <v>15.75</v>
      </c>
      <c r="DH100">
        <v>16.14</v>
      </c>
      <c r="DI100">
        <v>16.57</v>
      </c>
      <c r="DJ100">
        <v>17.07</v>
      </c>
      <c r="DK100">
        <v>17.64</v>
      </c>
      <c r="DL100">
        <v>18.11</v>
      </c>
      <c r="DM100">
        <v>18.48</v>
      </c>
      <c r="DN100">
        <v>18.64</v>
      </c>
      <c r="DO100">
        <v>18.93</v>
      </c>
      <c r="DP100">
        <v>19.39</v>
      </c>
      <c r="DQ100">
        <v>19.93</v>
      </c>
      <c r="DR100">
        <v>20.48</v>
      </c>
      <c r="DS100">
        <v>21.03</v>
      </c>
      <c r="DT100">
        <v>21.56</v>
      </c>
      <c r="DU100">
        <v>21.89</v>
      </c>
      <c r="DV100">
        <v>22.33</v>
      </c>
      <c r="DW100">
        <v>22.81</v>
      </c>
      <c r="DX100">
        <v>23.34</v>
      </c>
      <c r="DY100">
        <v>23.92</v>
      </c>
      <c r="DZ100">
        <v>24.54</v>
      </c>
      <c r="EA100">
        <v>25.14</v>
      </c>
      <c r="EB100">
        <v>25.54</v>
      </c>
      <c r="EC100">
        <v>26.05</v>
      </c>
      <c r="ED100">
        <v>26.6</v>
      </c>
      <c r="EE100">
        <v>27.22</v>
      </c>
      <c r="EF100">
        <v>27.88</v>
      </c>
      <c r="EG100">
        <v>28.55</v>
      </c>
      <c r="EH100">
        <v>29.19</v>
      </c>
      <c r="EI100">
        <v>29.63</v>
      </c>
      <c r="EJ100">
        <v>30.2</v>
      </c>
      <c r="EK100">
        <v>30.81</v>
      </c>
      <c r="EL100">
        <v>31.49</v>
      </c>
      <c r="EM100">
        <v>32.36</v>
      </c>
      <c r="EN100">
        <v>33.229999999999997</v>
      </c>
      <c r="EO100">
        <v>33.619999999999997</v>
      </c>
      <c r="EP100">
        <v>34.22</v>
      </c>
      <c r="EQ100">
        <v>34.89</v>
      </c>
      <c r="ER100">
        <v>35.619999999999997</v>
      </c>
      <c r="ES100">
        <v>36.4</v>
      </c>
      <c r="ET100">
        <v>37.24</v>
      </c>
      <c r="EU100">
        <v>38.119999999999997</v>
      </c>
      <c r="EV100">
        <v>38.96</v>
      </c>
      <c r="EW100">
        <v>39.58</v>
      </c>
      <c r="EX100">
        <v>40.299999999999997</v>
      </c>
      <c r="EY100">
        <v>41.04</v>
      </c>
      <c r="EZ100">
        <v>41.82</v>
      </c>
      <c r="FA100">
        <v>42.67</v>
      </c>
      <c r="FB100">
        <v>43.57</v>
      </c>
      <c r="FC100">
        <v>44.45</v>
      </c>
      <c r="FD100">
        <v>45.12</v>
      </c>
      <c r="FE100">
        <v>45.89</v>
      </c>
      <c r="FF100">
        <v>46.65</v>
      </c>
      <c r="FG100">
        <v>47.44</v>
      </c>
      <c r="FH100">
        <v>48.34</v>
      </c>
      <c r="FI100">
        <v>49.27</v>
      </c>
      <c r="FJ100">
        <v>50.12</v>
      </c>
      <c r="FK100">
        <v>50.78</v>
      </c>
      <c r="FL100">
        <v>51.54</v>
      </c>
      <c r="FM100">
        <v>52.32</v>
      </c>
      <c r="FN100">
        <v>53.18</v>
      </c>
      <c r="FO100">
        <v>54.14</v>
      </c>
      <c r="FP100">
        <v>55.11</v>
      </c>
      <c r="FQ100">
        <v>55.96</v>
      </c>
      <c r="FR100">
        <v>56.62</v>
      </c>
      <c r="FS100">
        <v>57.4</v>
      </c>
      <c r="FT100">
        <v>58.16</v>
      </c>
      <c r="FU100">
        <v>58.84</v>
      </c>
      <c r="FV100">
        <v>59.81</v>
      </c>
      <c r="FW100">
        <v>60.84</v>
      </c>
      <c r="FX100">
        <v>61.85</v>
      </c>
      <c r="FY100">
        <v>62.68</v>
      </c>
      <c r="FZ100">
        <v>63.61</v>
      </c>
      <c r="GA100">
        <v>64.56</v>
      </c>
      <c r="GB100">
        <v>65.53</v>
      </c>
      <c r="GC100">
        <v>66.55</v>
      </c>
      <c r="GD100">
        <v>67.569999999999993</v>
      </c>
      <c r="GE100">
        <v>68.48</v>
      </c>
      <c r="GF100">
        <v>69.19</v>
      </c>
      <c r="GG100">
        <v>70.06</v>
      </c>
      <c r="GH100">
        <v>70.930000000000007</v>
      </c>
      <c r="GI100">
        <v>71.83</v>
      </c>
      <c r="GJ100">
        <v>72.819999999999993</v>
      </c>
      <c r="GK100">
        <v>73.81</v>
      </c>
      <c r="GL100">
        <v>74.72</v>
      </c>
      <c r="GM100">
        <v>75.44</v>
      </c>
      <c r="GN100">
        <v>76.349999999999994</v>
      </c>
      <c r="GO100">
        <v>77.28</v>
      </c>
      <c r="GP100">
        <v>78.2</v>
      </c>
      <c r="GQ100">
        <v>79.2</v>
      </c>
      <c r="GR100">
        <v>80.2</v>
      </c>
      <c r="GS100">
        <v>81.099999999999994</v>
      </c>
      <c r="GT100">
        <v>81.81</v>
      </c>
      <c r="GU100">
        <v>82.72</v>
      </c>
      <c r="GV100">
        <v>83.63</v>
      </c>
      <c r="GW100">
        <v>84.56</v>
      </c>
      <c r="GX100">
        <v>86.85</v>
      </c>
      <c r="GY100">
        <v>87.76</v>
      </c>
      <c r="GZ100">
        <v>88.63</v>
      </c>
      <c r="HA100">
        <v>89.32</v>
      </c>
      <c r="HB100">
        <v>90.21</v>
      </c>
      <c r="HC100">
        <v>91.09</v>
      </c>
      <c r="HD100">
        <v>92</v>
      </c>
      <c r="HE100">
        <v>92.96</v>
      </c>
      <c r="HF100">
        <v>93.95</v>
      </c>
      <c r="HG100">
        <v>94.89</v>
      </c>
      <c r="HH100">
        <v>95.57</v>
      </c>
      <c r="HI100">
        <v>96.51</v>
      </c>
      <c r="HJ100">
        <v>97.45</v>
      </c>
      <c r="HK100">
        <v>98.38</v>
      </c>
      <c r="HL100">
        <v>99.4</v>
      </c>
      <c r="HM100">
        <v>100.38</v>
      </c>
      <c r="HN100">
        <v>101.27</v>
      </c>
      <c r="HO100">
        <v>102</v>
      </c>
      <c r="HP100">
        <v>102.95</v>
      </c>
      <c r="HQ100">
        <v>103.88</v>
      </c>
      <c r="HR100">
        <v>104.84</v>
      </c>
      <c r="HS100">
        <v>105.83</v>
      </c>
      <c r="HT100">
        <v>106.8</v>
      </c>
      <c r="HU100">
        <v>107.59</v>
      </c>
      <c r="HV100">
        <v>108.24</v>
      </c>
      <c r="HW100">
        <v>109.17</v>
      </c>
      <c r="HX100">
        <v>110.11</v>
      </c>
      <c r="HY100">
        <v>111</v>
      </c>
      <c r="HZ100">
        <v>111.87</v>
      </c>
      <c r="IA100">
        <v>112.72</v>
      </c>
      <c r="IB100">
        <v>113.43</v>
      </c>
      <c r="IC100">
        <v>114.1</v>
      </c>
      <c r="ID100">
        <v>114.88</v>
      </c>
      <c r="IE100">
        <v>115.65</v>
      </c>
      <c r="IF100">
        <v>116.44</v>
      </c>
      <c r="IG100">
        <v>117.19</v>
      </c>
      <c r="IH100">
        <v>117.91</v>
      </c>
      <c r="II100">
        <v>118.48</v>
      </c>
      <c r="IJ100">
        <v>118.91</v>
      </c>
      <c r="IK100">
        <v>119.58</v>
      </c>
      <c r="IL100">
        <v>120.2</v>
      </c>
      <c r="IM100">
        <v>120.79</v>
      </c>
      <c r="IN100">
        <v>121.35</v>
      </c>
      <c r="IO100">
        <v>121.83</v>
      </c>
      <c r="IP100">
        <v>122.04</v>
      </c>
      <c r="IQ100">
        <v>122.13</v>
      </c>
      <c r="IR100">
        <v>122.52</v>
      </c>
      <c r="IS100">
        <v>122.93</v>
      </c>
      <c r="IT100">
        <v>123.35</v>
      </c>
      <c r="IU100">
        <v>123.75</v>
      </c>
      <c r="IV100">
        <v>124.38</v>
      </c>
      <c r="IW100">
        <v>124.64</v>
      </c>
      <c r="IX100">
        <v>124.82</v>
      </c>
      <c r="IY100">
        <v>125.33</v>
      </c>
      <c r="IZ100">
        <v>125.8</v>
      </c>
      <c r="JA100">
        <v>126.28</v>
      </c>
      <c r="JB100">
        <v>126.74</v>
      </c>
      <c r="JC100">
        <v>127.21</v>
      </c>
      <c r="JD100">
        <v>127.58</v>
      </c>
      <c r="JE100">
        <v>127.88</v>
      </c>
      <c r="JF100">
        <v>128.44999999999999</v>
      </c>
      <c r="JG100">
        <v>129.01</v>
      </c>
      <c r="JH100">
        <v>129.47999999999999</v>
      </c>
      <c r="JI100">
        <v>130.03</v>
      </c>
      <c r="JJ100">
        <v>130.53</v>
      </c>
      <c r="JK100">
        <v>130.9</v>
      </c>
      <c r="JL100">
        <v>131.13</v>
      </c>
      <c r="JM100">
        <v>131.65</v>
      </c>
      <c r="JN100">
        <v>132.1</v>
      </c>
      <c r="JO100">
        <v>132.54</v>
      </c>
      <c r="JP100">
        <v>133.01</v>
      </c>
      <c r="JQ100">
        <v>133.47</v>
      </c>
      <c r="JR100">
        <v>133.77000000000001</v>
      </c>
      <c r="JS100">
        <v>134.03</v>
      </c>
      <c r="JT100">
        <v>134.47</v>
      </c>
      <c r="JU100">
        <v>134.87</v>
      </c>
      <c r="JV100">
        <v>135.25</v>
      </c>
      <c r="JW100">
        <v>135.61000000000001</v>
      </c>
      <c r="JX100">
        <v>135.97</v>
      </c>
      <c r="JY100">
        <v>136.30000000000001</v>
      </c>
      <c r="JZ100">
        <v>136.53</v>
      </c>
      <c r="KA100">
        <v>136.97</v>
      </c>
      <c r="KB100">
        <v>137.41</v>
      </c>
      <c r="KC100">
        <v>137.85</v>
      </c>
      <c r="KD100">
        <v>138.22</v>
      </c>
      <c r="KE100">
        <v>138.6</v>
      </c>
      <c r="KF100">
        <v>138.93</v>
      </c>
      <c r="KG100">
        <v>139.13</v>
      </c>
      <c r="KH100">
        <v>139.49</v>
      </c>
      <c r="KI100">
        <v>139.84</v>
      </c>
      <c r="KJ100">
        <v>140.06</v>
      </c>
      <c r="KK100">
        <v>140.47999999999999</v>
      </c>
      <c r="KL100">
        <v>140.69999999999999</v>
      </c>
      <c r="KM100">
        <v>141</v>
      </c>
      <c r="KN100">
        <v>141.12</v>
      </c>
      <c r="KO100">
        <v>141.44999999999999</v>
      </c>
      <c r="KP100">
        <v>141.72999999999999</v>
      </c>
      <c r="KQ100">
        <v>142</v>
      </c>
      <c r="KR100">
        <v>142.27000000000001</v>
      </c>
      <c r="KS100">
        <v>142.55000000000001</v>
      </c>
      <c r="KT100">
        <v>142.80000000000001</v>
      </c>
      <c r="KU100">
        <v>142.93</v>
      </c>
      <c r="KV100">
        <v>143.21</v>
      </c>
      <c r="KW100">
        <v>143.56</v>
      </c>
      <c r="KX100">
        <v>143.9</v>
      </c>
      <c r="KY100">
        <v>144.27000000000001</v>
      </c>
      <c r="KZ100">
        <v>144.63</v>
      </c>
      <c r="LA100">
        <v>144.91</v>
      </c>
      <c r="LB100">
        <v>145.08000000000001</v>
      </c>
      <c r="LC100">
        <v>145.38999999999999</v>
      </c>
      <c r="LD100">
        <v>145.69999999999999</v>
      </c>
      <c r="LE100">
        <v>145.05000000000001</v>
      </c>
      <c r="LF100">
        <v>146.37</v>
      </c>
      <c r="LG100">
        <v>146.62</v>
      </c>
      <c r="LH100">
        <v>146.91</v>
      </c>
      <c r="LI100">
        <v>147.01</v>
      </c>
      <c r="LJ100">
        <v>147.31</v>
      </c>
      <c r="LK100">
        <v>147.58000000000001</v>
      </c>
      <c r="LL100">
        <v>147.88</v>
      </c>
      <c r="LM100">
        <v>148.21</v>
      </c>
      <c r="LN100">
        <v>148.53</v>
      </c>
      <c r="LO100">
        <v>148.74</v>
      </c>
      <c r="LP100">
        <v>148.84</v>
      </c>
      <c r="LQ100">
        <v>148.93</v>
      </c>
      <c r="LR100">
        <v>149.21</v>
      </c>
      <c r="LS100">
        <v>149.49</v>
      </c>
      <c r="LT100">
        <v>149.83000000000001</v>
      </c>
      <c r="LU100">
        <v>150.21</v>
      </c>
      <c r="LV100">
        <v>150.46</v>
      </c>
      <c r="LW100">
        <v>150.57</v>
      </c>
      <c r="LX100">
        <v>150.9</v>
      </c>
      <c r="LY100">
        <v>151.22999999999999</v>
      </c>
      <c r="LZ100">
        <v>151.41999999999999</v>
      </c>
      <c r="MA100">
        <v>151.88</v>
      </c>
      <c r="MB100">
        <v>152.25</v>
      </c>
      <c r="MC100">
        <v>152.51</v>
      </c>
      <c r="MD100">
        <v>152.63</v>
      </c>
      <c r="ME100">
        <v>152.96</v>
      </c>
      <c r="MF100">
        <v>153.31</v>
      </c>
      <c r="MG100">
        <v>153.68</v>
      </c>
      <c r="MH100">
        <v>154.06</v>
      </c>
      <c r="MI100">
        <v>154.41</v>
      </c>
      <c r="MJ100">
        <v>154.75</v>
      </c>
      <c r="MK100">
        <v>154.88</v>
      </c>
      <c r="ML100">
        <v>155.26</v>
      </c>
      <c r="MM100">
        <v>155.84</v>
      </c>
      <c r="MN100">
        <v>156.34</v>
      </c>
      <c r="MO100">
        <v>156.96</v>
      </c>
      <c r="MP100">
        <v>157.55000000000001</v>
      </c>
      <c r="MQ100">
        <v>158.05000000000001</v>
      </c>
      <c r="MR100">
        <v>158.32</v>
      </c>
      <c r="MS100">
        <v>159</v>
      </c>
      <c r="MT100">
        <v>159.58000000000001</v>
      </c>
      <c r="MU100">
        <v>160.6</v>
      </c>
      <c r="MV100">
        <v>161.38</v>
      </c>
      <c r="MW100">
        <v>162.27000000000001</v>
      </c>
      <c r="MX100">
        <v>163.04</v>
      </c>
      <c r="MY100">
        <v>163.55000000000001</v>
      </c>
      <c r="MZ100">
        <v>164.42</v>
      </c>
      <c r="NA100">
        <v>165.31</v>
      </c>
      <c r="NB100">
        <v>165.79</v>
      </c>
      <c r="NC100">
        <v>166.69</v>
      </c>
      <c r="ND100">
        <v>167.68</v>
      </c>
      <c r="NE100">
        <v>168.48</v>
      </c>
      <c r="NF100">
        <v>169.01</v>
      </c>
      <c r="NG100">
        <v>169.9</v>
      </c>
      <c r="NH100">
        <v>170.79</v>
      </c>
      <c r="NJ100">
        <v>172.72</v>
      </c>
      <c r="NK100">
        <v>173.74</v>
      </c>
      <c r="NL100">
        <v>174.58</v>
      </c>
      <c r="NM100">
        <v>175.17</v>
      </c>
      <c r="NN100">
        <v>176.1</v>
      </c>
      <c r="NO100">
        <v>177.03</v>
      </c>
      <c r="NP100">
        <v>177.76</v>
      </c>
      <c r="NQ100">
        <v>178.8</v>
      </c>
      <c r="NR100">
        <v>179.22</v>
      </c>
      <c r="NS100">
        <v>179.28</v>
      </c>
      <c r="NT100">
        <v>179.54</v>
      </c>
      <c r="NU100">
        <v>180.48</v>
      </c>
      <c r="NV100">
        <v>181.63</v>
      </c>
      <c r="NW100">
        <v>182.18</v>
      </c>
      <c r="NX100">
        <v>183.65</v>
      </c>
      <c r="NY100">
        <v>184.14</v>
      </c>
      <c r="NZ100">
        <v>184.26</v>
      </c>
      <c r="OA100">
        <v>184.82</v>
      </c>
      <c r="OB100">
        <v>185.82</v>
      </c>
      <c r="OC100">
        <v>186.94</v>
      </c>
      <c r="OD100">
        <v>188.04</v>
      </c>
      <c r="OE100">
        <v>188.61</v>
      </c>
      <c r="OF100">
        <v>189.68</v>
      </c>
      <c r="OG100">
        <v>190.65</v>
      </c>
      <c r="OH100">
        <v>191.32</v>
      </c>
      <c r="OI100">
        <v>192.58</v>
      </c>
      <c r="OJ100">
        <v>193.85</v>
      </c>
      <c r="OK100">
        <v>195.03</v>
      </c>
      <c r="OL100">
        <v>196.11</v>
      </c>
      <c r="OM100">
        <v>197.32</v>
      </c>
      <c r="ON100">
        <v>198.52</v>
      </c>
      <c r="OO100">
        <v>199.25</v>
      </c>
      <c r="OP100">
        <v>200.27</v>
      </c>
      <c r="OQ100">
        <v>201.36</v>
      </c>
      <c r="OR100">
        <v>202.37</v>
      </c>
      <c r="OS100">
        <v>203.29</v>
      </c>
      <c r="OT100">
        <v>204.21</v>
      </c>
      <c r="OU100">
        <v>205.11</v>
      </c>
      <c r="OV100">
        <v>205.67</v>
      </c>
      <c r="OW100">
        <v>206.59</v>
      </c>
      <c r="OX100">
        <v>207.48</v>
      </c>
      <c r="OY100">
        <v>208.36</v>
      </c>
      <c r="OZ100">
        <v>208.79</v>
      </c>
      <c r="PA100">
        <v>210.38</v>
      </c>
      <c r="PB100">
        <v>211.27</v>
      </c>
      <c r="PC100">
        <v>211.8</v>
      </c>
      <c r="PD100">
        <v>212.56</v>
      </c>
      <c r="PE100">
        <v>213.29</v>
      </c>
      <c r="PF100">
        <v>213.95</v>
      </c>
      <c r="PG100">
        <v>214.56</v>
      </c>
      <c r="PH100">
        <v>215.68</v>
      </c>
      <c r="PI100">
        <v>216.27</v>
      </c>
      <c r="PJ100">
        <v>216.59</v>
      </c>
      <c r="PK100">
        <v>216.83</v>
      </c>
      <c r="PL100">
        <v>217.51</v>
      </c>
      <c r="PM100">
        <v>217.91</v>
      </c>
      <c r="PN100">
        <v>217.83</v>
      </c>
      <c r="PO100">
        <v>218.24</v>
      </c>
      <c r="PP100">
        <v>218.63</v>
      </c>
      <c r="PQ100">
        <v>218.83</v>
      </c>
      <c r="PR100">
        <v>219.14</v>
      </c>
      <c r="PS100">
        <v>219.45</v>
      </c>
      <c r="PT100">
        <v>219.72</v>
      </c>
      <c r="PU100">
        <v>219.95</v>
      </c>
      <c r="PV100">
        <v>220.25</v>
      </c>
      <c r="PW100">
        <v>220.52</v>
      </c>
      <c r="PX100">
        <v>220.65</v>
      </c>
      <c r="PY100">
        <v>220.88</v>
      </c>
      <c r="PZ100">
        <v>221.1</v>
      </c>
      <c r="QA100">
        <v>221.29</v>
      </c>
      <c r="QB100">
        <v>221.49</v>
      </c>
      <c r="QC100">
        <v>221.71</v>
      </c>
      <c r="QD100">
        <v>221.9</v>
      </c>
      <c r="QE100">
        <v>222</v>
      </c>
      <c r="QF100">
        <v>222.23</v>
      </c>
      <c r="QG100">
        <v>222.36</v>
      </c>
      <c r="QH100">
        <v>222.51</v>
      </c>
      <c r="QI100">
        <v>222.64</v>
      </c>
      <c r="QJ100">
        <v>222.76</v>
      </c>
      <c r="QK100">
        <v>222.91</v>
      </c>
      <c r="QL100">
        <v>222.96</v>
      </c>
      <c r="QM100">
        <v>223.08</v>
      </c>
      <c r="QN100">
        <v>223.2</v>
      </c>
      <c r="QO100">
        <v>223.32</v>
      </c>
      <c r="QP100">
        <v>223.44</v>
      </c>
      <c r="QQ100">
        <v>223.57</v>
      </c>
      <c r="QR100">
        <v>223.7</v>
      </c>
      <c r="QS100">
        <v>223.74</v>
      </c>
      <c r="QT100">
        <v>223.85</v>
      </c>
      <c r="QU100">
        <v>223.96</v>
      </c>
      <c r="QV100">
        <v>224.05</v>
      </c>
      <c r="QW100">
        <v>224.15</v>
      </c>
      <c r="QX100">
        <v>224.25</v>
      </c>
      <c r="QY100">
        <v>224.35</v>
      </c>
      <c r="QZ100">
        <v>224.38</v>
      </c>
      <c r="RA100">
        <v>224.46</v>
      </c>
      <c r="RB100">
        <v>224.55</v>
      </c>
      <c r="RC100">
        <v>224.62</v>
      </c>
      <c r="RD100">
        <v>224.72</v>
      </c>
      <c r="RE100">
        <v>224.81</v>
      </c>
      <c r="RF100">
        <v>224.9</v>
      </c>
      <c r="RG100">
        <v>224.93</v>
      </c>
      <c r="RH100">
        <v>225</v>
      </c>
      <c r="RI100">
        <v>225.07</v>
      </c>
      <c r="RJ100">
        <v>225.13</v>
      </c>
      <c r="RK100">
        <v>225.21</v>
      </c>
      <c r="RL100">
        <v>225.32</v>
      </c>
      <c r="RM100">
        <v>225.36</v>
      </c>
      <c r="RN100">
        <v>225.41</v>
      </c>
      <c r="RO100">
        <v>225.46</v>
      </c>
      <c r="RP100">
        <v>225.51</v>
      </c>
      <c r="RQ100">
        <v>225.63</v>
      </c>
      <c r="RR100">
        <v>225.68</v>
      </c>
      <c r="RS100">
        <v>225.72</v>
      </c>
      <c r="RT100">
        <v>225.77</v>
      </c>
      <c r="RU100">
        <v>225.83</v>
      </c>
      <c r="RV100">
        <v>225.92</v>
      </c>
      <c r="RW100">
        <v>225.92</v>
      </c>
      <c r="RX100">
        <v>225.99</v>
      </c>
      <c r="RY100">
        <v>226.07</v>
      </c>
      <c r="RZ100">
        <v>226.14</v>
      </c>
      <c r="SA100">
        <v>226.22</v>
      </c>
      <c r="SB100">
        <v>226.29</v>
      </c>
      <c r="SC100">
        <v>226.3</v>
      </c>
      <c r="SD100">
        <v>226.3</v>
      </c>
      <c r="SE100">
        <v>226.39</v>
      </c>
      <c r="SF100">
        <v>226.47</v>
      </c>
      <c r="SG100">
        <v>226.54</v>
      </c>
      <c r="SH100">
        <v>226.62</v>
      </c>
      <c r="SI100">
        <v>226.68</v>
      </c>
      <c r="SJ100">
        <v>226.69</v>
      </c>
      <c r="SK100">
        <v>226.74</v>
      </c>
      <c r="SL100">
        <v>226.8</v>
      </c>
      <c r="SM100">
        <v>226.85</v>
      </c>
      <c r="SN100">
        <v>226.95</v>
      </c>
      <c r="SO100">
        <v>227.02</v>
      </c>
      <c r="SP100">
        <v>227.06</v>
      </c>
      <c r="SQ100">
        <v>227.07</v>
      </c>
      <c r="SR100">
        <v>227.14</v>
      </c>
      <c r="SS100">
        <v>227.2</v>
      </c>
      <c r="ST100">
        <v>227.29</v>
      </c>
      <c r="SU100">
        <v>227.35</v>
      </c>
      <c r="SV100">
        <v>227.43</v>
      </c>
      <c r="SW100">
        <v>227.47</v>
      </c>
      <c r="SX100">
        <v>227.48</v>
      </c>
      <c r="SY100">
        <v>227.53</v>
      </c>
      <c r="SZ100">
        <v>227.6</v>
      </c>
      <c r="TA100">
        <v>227.66</v>
      </c>
      <c r="TC100">
        <v>227.79</v>
      </c>
      <c r="TD100">
        <v>227.83</v>
      </c>
      <c r="TE100">
        <v>227.84</v>
      </c>
      <c r="TF100">
        <v>227.89</v>
      </c>
      <c r="TG100">
        <v>227.95</v>
      </c>
      <c r="TH100">
        <v>228</v>
      </c>
      <c r="TI100">
        <v>228.06</v>
      </c>
      <c r="TJ100">
        <v>228.12</v>
      </c>
      <c r="TK100">
        <v>228.15</v>
      </c>
      <c r="TL100">
        <v>228.16</v>
      </c>
      <c r="TM100">
        <v>228.21</v>
      </c>
      <c r="TN100">
        <v>228.25</v>
      </c>
      <c r="TO100">
        <v>228.29</v>
      </c>
      <c r="TP100">
        <v>228.3</v>
      </c>
      <c r="TQ100">
        <v>228.33</v>
      </c>
      <c r="TR100">
        <v>228.35</v>
      </c>
      <c r="TS100">
        <v>228.35</v>
      </c>
      <c r="TT100">
        <v>228.38</v>
      </c>
      <c r="TU100">
        <v>228.42</v>
      </c>
      <c r="TV100">
        <v>228.46</v>
      </c>
      <c r="TW100">
        <v>228.5</v>
      </c>
      <c r="TX100">
        <v>228.53</v>
      </c>
      <c r="TY100">
        <v>228.55</v>
      </c>
      <c r="TZ100">
        <v>228.56</v>
      </c>
      <c r="UA100">
        <v>228.58</v>
      </c>
      <c r="UB100">
        <v>228.62</v>
      </c>
      <c r="UC100">
        <v>228.66</v>
      </c>
      <c r="UD100">
        <v>228.69</v>
      </c>
      <c r="UE100">
        <v>228.72</v>
      </c>
      <c r="UF100">
        <v>228.74</v>
      </c>
      <c r="UG100">
        <v>228.75</v>
      </c>
      <c r="UH100">
        <v>228.78</v>
      </c>
      <c r="UI100">
        <v>228.81</v>
      </c>
      <c r="UJ100">
        <v>228.84</v>
      </c>
      <c r="UK100">
        <v>228.87</v>
      </c>
      <c r="UL100">
        <v>228.9</v>
      </c>
      <c r="UM100">
        <v>228.92</v>
      </c>
      <c r="UN100">
        <v>228.92</v>
      </c>
      <c r="UO100">
        <v>228.95</v>
      </c>
      <c r="UP100">
        <v>228.99</v>
      </c>
      <c r="UQ100">
        <v>229.02</v>
      </c>
      <c r="UR100">
        <v>229.06</v>
      </c>
      <c r="US100">
        <v>229.08</v>
      </c>
      <c r="UT100">
        <v>229.1</v>
      </c>
      <c r="UU100">
        <v>229.11</v>
      </c>
      <c r="UV100">
        <v>229.13</v>
      </c>
      <c r="UW100">
        <v>229.17</v>
      </c>
      <c r="UX100">
        <v>229.2</v>
      </c>
      <c r="UY100">
        <v>229.24</v>
      </c>
      <c r="UZ100">
        <v>229.28</v>
      </c>
      <c r="VA100">
        <v>229.31</v>
      </c>
      <c r="VB100">
        <v>233.68</v>
      </c>
      <c r="VC100">
        <v>233.72</v>
      </c>
      <c r="VD100">
        <v>233.91</v>
      </c>
      <c r="VE100">
        <v>233.99</v>
      </c>
      <c r="VF100">
        <v>234.1</v>
      </c>
      <c r="VG100">
        <v>234.21</v>
      </c>
      <c r="VH100">
        <v>234.29</v>
      </c>
      <c r="VI100">
        <v>234.3</v>
      </c>
      <c r="VJ100">
        <v>234.42</v>
      </c>
      <c r="VK100">
        <v>234.54</v>
      </c>
      <c r="VL100">
        <v>234.63</v>
      </c>
      <c r="VM100">
        <v>234.77</v>
      </c>
      <c r="VN100">
        <v>234.91</v>
      </c>
      <c r="VO100">
        <v>234.99</v>
      </c>
      <c r="VP100">
        <v>235</v>
      </c>
      <c r="VQ100">
        <v>235.11</v>
      </c>
      <c r="VR100">
        <v>235.22</v>
      </c>
      <c r="VS100">
        <v>235.35</v>
      </c>
      <c r="VT100">
        <v>235.48</v>
      </c>
      <c r="VU100">
        <v>235.6</v>
      </c>
      <c r="VV100">
        <v>235.67</v>
      </c>
      <c r="VW100">
        <v>235.77</v>
      </c>
      <c r="VX100">
        <v>235.86</v>
      </c>
      <c r="VY100">
        <v>235.95</v>
      </c>
      <c r="VZ100">
        <v>236.04</v>
      </c>
      <c r="WA100">
        <v>236.13</v>
      </c>
      <c r="WB100">
        <v>236.17</v>
      </c>
      <c r="WC100">
        <v>236.18</v>
      </c>
      <c r="WD100">
        <v>236.23</v>
      </c>
      <c r="WE100">
        <v>236.29</v>
      </c>
      <c r="WF100">
        <v>236.35</v>
      </c>
      <c r="WG100">
        <v>236.41</v>
      </c>
      <c r="WH100">
        <v>236.45</v>
      </c>
      <c r="WI100">
        <v>236.46</v>
      </c>
      <c r="WJ100">
        <v>236.46</v>
      </c>
      <c r="WK100">
        <v>236.46</v>
      </c>
      <c r="WL100">
        <v>236.46</v>
      </c>
      <c r="WM100">
        <v>236.53</v>
      </c>
      <c r="WN100">
        <v>236.58</v>
      </c>
      <c r="WO100">
        <v>236.61</v>
      </c>
      <c r="WP100">
        <v>236.62</v>
      </c>
      <c r="WQ100">
        <v>236.63</v>
      </c>
      <c r="WR100">
        <v>236.65</v>
      </c>
      <c r="WS100">
        <v>236.69</v>
      </c>
      <c r="WT100">
        <v>236.73</v>
      </c>
      <c r="WU100">
        <v>236.76</v>
      </c>
      <c r="WV100">
        <v>236.8</v>
      </c>
      <c r="WW100">
        <v>236.81</v>
      </c>
      <c r="WX100">
        <v>236.82</v>
      </c>
      <c r="WY100">
        <v>236.85</v>
      </c>
      <c r="WZ100">
        <v>236.88</v>
      </c>
      <c r="XA100">
        <v>236.92</v>
      </c>
      <c r="XB100">
        <v>236.95</v>
      </c>
      <c r="XC100">
        <v>236.98</v>
      </c>
      <c r="XD100">
        <v>237</v>
      </c>
      <c r="XE100">
        <v>237</v>
      </c>
      <c r="XF100">
        <v>237.02</v>
      </c>
      <c r="XG100">
        <v>237.05</v>
      </c>
      <c r="XH100">
        <v>237.08</v>
      </c>
      <c r="XI100">
        <v>237.11</v>
      </c>
      <c r="XJ100">
        <v>237.13</v>
      </c>
      <c r="XK100">
        <v>237.14</v>
      </c>
      <c r="XL100">
        <v>237.14</v>
      </c>
      <c r="XM100">
        <v>237.15</v>
      </c>
      <c r="XN100">
        <v>237.17</v>
      </c>
      <c r="XO100">
        <v>237.2</v>
      </c>
      <c r="XP100">
        <v>237.22</v>
      </c>
      <c r="XQ100">
        <v>237.24</v>
      </c>
      <c r="XS100">
        <v>237.26</v>
      </c>
      <c r="XT100">
        <v>237.27</v>
      </c>
      <c r="XU100">
        <v>237.34</v>
      </c>
      <c r="XV100">
        <v>237.37</v>
      </c>
      <c r="XW100">
        <v>237.4</v>
      </c>
      <c r="XX100">
        <v>237.41</v>
      </c>
      <c r="XY100">
        <v>237.41</v>
      </c>
      <c r="XZ100">
        <v>237.41</v>
      </c>
      <c r="YA100">
        <v>237.41</v>
      </c>
      <c r="YB100">
        <v>237.42</v>
      </c>
      <c r="YC100">
        <v>237.43</v>
      </c>
      <c r="YD100">
        <v>237.59</v>
      </c>
      <c r="YF100">
        <v>237.66</v>
      </c>
      <c r="YG100">
        <v>237.66</v>
      </c>
      <c r="YH100">
        <v>237.7</v>
      </c>
      <c r="YI100">
        <v>237.74</v>
      </c>
      <c r="YJ100">
        <v>237.81</v>
      </c>
      <c r="YK100">
        <v>237.89</v>
      </c>
      <c r="YL100">
        <v>237.96</v>
      </c>
      <c r="YM100">
        <v>238</v>
      </c>
      <c r="YN100">
        <v>238</v>
      </c>
      <c r="YO100">
        <v>238.14</v>
      </c>
      <c r="YP100">
        <v>238.14</v>
      </c>
      <c r="YQ100">
        <v>238.23</v>
      </c>
      <c r="YR100">
        <v>238.32</v>
      </c>
      <c r="YS100">
        <v>238.4</v>
      </c>
      <c r="YT100">
        <v>238.45</v>
      </c>
      <c r="YU100">
        <v>238.45</v>
      </c>
      <c r="YV100">
        <v>238.52</v>
      </c>
      <c r="YW100">
        <v>238.61</v>
      </c>
      <c r="YX100">
        <v>238.71</v>
      </c>
      <c r="YY100">
        <v>238.81</v>
      </c>
      <c r="YZ100">
        <v>238.9</v>
      </c>
      <c r="ZA100">
        <v>238.95</v>
      </c>
      <c r="ZB100">
        <v>238.95</v>
      </c>
      <c r="ZC100">
        <v>239.03</v>
      </c>
      <c r="ZD100">
        <v>239.11</v>
      </c>
      <c r="ZE100">
        <v>240.03</v>
      </c>
      <c r="ZF100">
        <v>240.12</v>
      </c>
      <c r="ZG100">
        <v>240.21</v>
      </c>
      <c r="ZH100">
        <v>240.25</v>
      </c>
      <c r="ZJ100">
        <v>240.31</v>
      </c>
      <c r="ZL100">
        <v>240.39</v>
      </c>
      <c r="ZM100">
        <v>240.47</v>
      </c>
      <c r="ZN100">
        <v>240.55</v>
      </c>
      <c r="ZO100">
        <v>240.58</v>
      </c>
      <c r="ZP100">
        <v>240.59</v>
      </c>
      <c r="ZQ100">
        <v>240.65</v>
      </c>
      <c r="ZR100">
        <v>240.72</v>
      </c>
      <c r="ZS100">
        <v>240.8</v>
      </c>
      <c r="ZT100">
        <v>240.87</v>
      </c>
      <c r="ZU100">
        <v>240.95</v>
      </c>
      <c r="ZV100">
        <v>240.99</v>
      </c>
      <c r="ZW100">
        <v>240.99</v>
      </c>
      <c r="ZX100">
        <v>241.06</v>
      </c>
      <c r="ZY100">
        <v>241.12</v>
      </c>
      <c r="ZZ100">
        <v>241.18</v>
      </c>
      <c r="AAA100">
        <v>241.27</v>
      </c>
      <c r="AAB100">
        <v>241.34</v>
      </c>
      <c r="AAC100">
        <v>241.37</v>
      </c>
      <c r="AAD100">
        <v>241.37</v>
      </c>
      <c r="AAE100">
        <v>241.42</v>
      </c>
      <c r="AAF100">
        <v>241.47</v>
      </c>
      <c r="AAG100">
        <v>241.54</v>
      </c>
      <c r="AAH100">
        <v>241.6</v>
      </c>
      <c r="AAI100">
        <v>241.65</v>
      </c>
      <c r="AAJ100">
        <v>241.69</v>
      </c>
      <c r="AAK100">
        <v>241.69</v>
      </c>
      <c r="AAL100">
        <v>241.75</v>
      </c>
      <c r="AAM100">
        <v>241.78</v>
      </c>
      <c r="AAN100">
        <v>241.88</v>
      </c>
      <c r="AAO100">
        <v>241.94</v>
      </c>
      <c r="AAP100">
        <v>242</v>
      </c>
      <c r="AAQ100">
        <v>242.03</v>
      </c>
      <c r="AAR100">
        <v>242.03</v>
      </c>
      <c r="AAS100">
        <v>242.1</v>
      </c>
      <c r="AAT100">
        <v>242.16</v>
      </c>
      <c r="AAU100">
        <v>242.21</v>
      </c>
      <c r="AAV100">
        <v>242.21</v>
      </c>
      <c r="AAW100">
        <v>242.25</v>
      </c>
      <c r="AAX100">
        <v>242.27</v>
      </c>
      <c r="AAY100">
        <v>242.27</v>
      </c>
      <c r="AAZ100">
        <v>242.34</v>
      </c>
      <c r="ABA100">
        <v>242.4</v>
      </c>
      <c r="ABB100">
        <v>242.45</v>
      </c>
      <c r="ABC100">
        <v>242.51</v>
      </c>
      <c r="ABD100">
        <v>242.56</v>
      </c>
      <c r="ABE100">
        <v>242.58</v>
      </c>
      <c r="ABF100">
        <v>242.59</v>
      </c>
      <c r="ABG100">
        <v>242.64</v>
      </c>
      <c r="ABH100">
        <v>242.68</v>
      </c>
      <c r="ABI100">
        <v>242.72</v>
      </c>
      <c r="ABJ100">
        <v>242.74</v>
      </c>
      <c r="ABK100">
        <v>242.76</v>
      </c>
      <c r="ABL100">
        <v>242.76</v>
      </c>
      <c r="ABM100">
        <v>242.76</v>
      </c>
      <c r="ABN100">
        <v>242.76</v>
      </c>
      <c r="ABO100">
        <v>242.78</v>
      </c>
      <c r="ABP100">
        <v>242.81</v>
      </c>
      <c r="ABQ100">
        <v>242.83</v>
      </c>
      <c r="ABR100">
        <v>242.85</v>
      </c>
      <c r="ABS100">
        <v>242.86</v>
      </c>
      <c r="ABT100">
        <v>242.86</v>
      </c>
      <c r="ABU100">
        <v>242.88</v>
      </c>
      <c r="ABV100">
        <v>242.91</v>
      </c>
      <c r="ABW100">
        <v>242.94</v>
      </c>
      <c r="ABX100">
        <v>242.97</v>
      </c>
      <c r="ABY100">
        <v>242.97</v>
      </c>
      <c r="ABZ100">
        <v>242.98</v>
      </c>
      <c r="ACA100">
        <v>242.98</v>
      </c>
      <c r="ACB100">
        <v>243</v>
      </c>
      <c r="ACC100">
        <v>243.03</v>
      </c>
      <c r="ACD100">
        <v>243.06</v>
      </c>
      <c r="ACE100">
        <v>243.09</v>
      </c>
      <c r="ACF100">
        <v>243.12</v>
      </c>
      <c r="ACG100">
        <v>243.14</v>
      </c>
      <c r="ACH100">
        <v>243.14</v>
      </c>
      <c r="ACI100">
        <v>243.14</v>
      </c>
      <c r="ACJ100">
        <v>243.16</v>
      </c>
      <c r="ACK100">
        <v>243.19</v>
      </c>
      <c r="ACL100">
        <v>243.21</v>
      </c>
      <c r="ACM100">
        <v>243.23</v>
      </c>
      <c r="ACN100">
        <v>243.24</v>
      </c>
      <c r="ACO100">
        <v>243.24</v>
      </c>
      <c r="ACP100">
        <v>243.29</v>
      </c>
      <c r="ACQ100">
        <v>243.31</v>
      </c>
      <c r="ACR100">
        <v>243.33</v>
      </c>
      <c r="ACS100">
        <v>243.35</v>
      </c>
      <c r="ACT100">
        <v>243.36</v>
      </c>
      <c r="ACU100">
        <v>243.37</v>
      </c>
      <c r="ACV100">
        <v>243.37</v>
      </c>
      <c r="ACW100">
        <v>243.38</v>
      </c>
      <c r="ACX100">
        <v>243.39</v>
      </c>
      <c r="ACY100">
        <v>243.4</v>
      </c>
      <c r="ADD100">
        <v>243.44</v>
      </c>
      <c r="ADE100">
        <v>243.44</v>
      </c>
      <c r="ADF100">
        <v>243.45</v>
      </c>
      <c r="ADG100">
        <v>243.46</v>
      </c>
      <c r="ADH100">
        <v>243.47</v>
      </c>
      <c r="ADI100">
        <v>243.47</v>
      </c>
      <c r="ADJ100">
        <v>243.47</v>
      </c>
      <c r="ADK100">
        <v>243.48</v>
      </c>
      <c r="ADL100">
        <v>243.48</v>
      </c>
      <c r="ADM100">
        <v>243.49</v>
      </c>
      <c r="ADN100">
        <v>243.49</v>
      </c>
      <c r="ADR100">
        <v>243.47</v>
      </c>
      <c r="ADS100">
        <v>243.47</v>
      </c>
      <c r="ADT100">
        <v>243.48</v>
      </c>
      <c r="ADU100">
        <v>243.48</v>
      </c>
      <c r="ADV100">
        <v>243.49</v>
      </c>
      <c r="ADW100">
        <v>243.49</v>
      </c>
      <c r="ADX100">
        <v>243.49</v>
      </c>
      <c r="ADY100">
        <v>243.49</v>
      </c>
      <c r="ADZ100">
        <v>243.57</v>
      </c>
      <c r="AEA100">
        <v>243.58</v>
      </c>
      <c r="AEB100">
        <v>243.58</v>
      </c>
      <c r="AEC100">
        <v>243.58</v>
      </c>
      <c r="AED100">
        <v>243.58</v>
      </c>
      <c r="AEE100">
        <v>243.58</v>
      </c>
    </row>
    <row r="101" spans="1:812">
      <c r="A101" s="1" t="s">
        <v>172</v>
      </c>
      <c r="B101" t="s">
        <v>172</v>
      </c>
      <c r="CN101">
        <v>0</v>
      </c>
      <c r="CS101">
        <v>0.41</v>
      </c>
      <c r="CU101">
        <v>0.54</v>
      </c>
      <c r="DD101">
        <v>1.1100000000000001</v>
      </c>
      <c r="DK101">
        <v>1.42</v>
      </c>
      <c r="DP101">
        <v>1.48</v>
      </c>
      <c r="DQ101">
        <v>1.61</v>
      </c>
      <c r="DW101">
        <v>4.57</v>
      </c>
      <c r="FB101">
        <v>5.17</v>
      </c>
      <c r="FI101">
        <v>5.56</v>
      </c>
      <c r="FP101">
        <v>6.01</v>
      </c>
      <c r="FW101">
        <v>6.01</v>
      </c>
      <c r="GD101">
        <v>6.56</v>
      </c>
      <c r="GR101">
        <v>8.44</v>
      </c>
      <c r="HF101">
        <v>9.74</v>
      </c>
      <c r="HJ101">
        <v>9.81</v>
      </c>
      <c r="HM101">
        <v>10</v>
      </c>
      <c r="HT101">
        <v>10.16</v>
      </c>
      <c r="IH101">
        <v>12.49</v>
      </c>
      <c r="IO101">
        <v>13.21</v>
      </c>
      <c r="IV101">
        <v>14.15</v>
      </c>
      <c r="IZ101">
        <v>15.73</v>
      </c>
      <c r="JA101">
        <v>16.71</v>
      </c>
      <c r="JC101">
        <v>16.87</v>
      </c>
      <c r="JD101">
        <v>17.07</v>
      </c>
      <c r="JE101">
        <v>17.23</v>
      </c>
      <c r="JG101">
        <v>18.260000000000002</v>
      </c>
      <c r="JH101">
        <v>18.5</v>
      </c>
      <c r="JJ101">
        <v>18.86</v>
      </c>
      <c r="JM101">
        <v>19.39</v>
      </c>
      <c r="JO101">
        <v>20.18</v>
      </c>
      <c r="JP101">
        <v>20.39</v>
      </c>
      <c r="JQ101">
        <v>20.65</v>
      </c>
      <c r="JT101">
        <v>21.78</v>
      </c>
      <c r="JV101">
        <v>23.33</v>
      </c>
      <c r="JW101">
        <v>23.63</v>
      </c>
      <c r="KB101">
        <v>23.93</v>
      </c>
      <c r="KE101">
        <v>24.07</v>
      </c>
      <c r="KH101">
        <v>24.99</v>
      </c>
      <c r="KI101">
        <v>25.42</v>
      </c>
      <c r="KM101">
        <v>26.53</v>
      </c>
      <c r="KQ101">
        <v>26.96</v>
      </c>
      <c r="KR101">
        <v>27.22</v>
      </c>
      <c r="KS101">
        <v>27.46</v>
      </c>
      <c r="KW101">
        <v>28.28</v>
      </c>
      <c r="KX101">
        <v>28.46</v>
      </c>
      <c r="KY101">
        <v>28.66</v>
      </c>
      <c r="KZ101">
        <v>28.94</v>
      </c>
      <c r="LD101">
        <v>29.49</v>
      </c>
      <c r="LF101">
        <v>29.72</v>
      </c>
      <c r="LG101">
        <v>29.85</v>
      </c>
      <c r="LH101">
        <v>29.97</v>
      </c>
      <c r="LI101">
        <v>30.05</v>
      </c>
      <c r="LJ101">
        <v>30.16</v>
      </c>
      <c r="LK101">
        <v>30.25</v>
      </c>
      <c r="LL101">
        <v>30.38</v>
      </c>
      <c r="LM101">
        <v>30.52</v>
      </c>
      <c r="LN101">
        <v>30.66</v>
      </c>
      <c r="LO101">
        <v>30.82</v>
      </c>
      <c r="LP101">
        <v>30.94</v>
      </c>
      <c r="LQ101">
        <v>31.08</v>
      </c>
      <c r="LR101">
        <v>31.43</v>
      </c>
      <c r="LS101">
        <v>31.92</v>
      </c>
      <c r="LU101">
        <v>32.700000000000003</v>
      </c>
      <c r="LV101">
        <v>33.03</v>
      </c>
      <c r="LW101">
        <v>33.450000000000003</v>
      </c>
      <c r="LX101">
        <v>33.79</v>
      </c>
      <c r="LY101">
        <v>33.979999999999997</v>
      </c>
      <c r="LZ101">
        <v>34.26</v>
      </c>
      <c r="MA101">
        <v>34.450000000000003</v>
      </c>
      <c r="MB101">
        <v>34.700000000000003</v>
      </c>
      <c r="MC101">
        <v>34.909999999999997</v>
      </c>
      <c r="ME101">
        <v>35.340000000000003</v>
      </c>
      <c r="MF101">
        <v>35.44</v>
      </c>
      <c r="MG101">
        <v>35.6</v>
      </c>
      <c r="MH101">
        <v>35.770000000000003</v>
      </c>
      <c r="MI101">
        <v>35.9</v>
      </c>
      <c r="MJ101">
        <v>36.04</v>
      </c>
      <c r="MK101">
        <v>36.17</v>
      </c>
      <c r="MM101">
        <v>36.4</v>
      </c>
      <c r="MN101">
        <v>36.549999999999997</v>
      </c>
      <c r="MO101">
        <v>36.700000000000003</v>
      </c>
      <c r="MP101">
        <v>36.85</v>
      </c>
      <c r="MQ101">
        <v>37</v>
      </c>
      <c r="MS101">
        <v>37.18</v>
      </c>
      <c r="MT101">
        <v>37.29</v>
      </c>
      <c r="MU101">
        <v>37.479999999999997</v>
      </c>
      <c r="MV101">
        <v>37.61</v>
      </c>
      <c r="MW101">
        <v>37.78</v>
      </c>
      <c r="MX101">
        <v>37.99</v>
      </c>
      <c r="MY101">
        <v>38.17</v>
      </c>
      <c r="MZ101">
        <v>38.26</v>
      </c>
      <c r="NA101">
        <v>38.369999999999997</v>
      </c>
      <c r="NB101">
        <v>38.520000000000003</v>
      </c>
      <c r="NC101">
        <v>38.68</v>
      </c>
      <c r="ND101">
        <v>38.96</v>
      </c>
      <c r="NF101">
        <v>39.049999999999997</v>
      </c>
      <c r="NG101">
        <v>39.25</v>
      </c>
      <c r="NI101">
        <v>39.380000000000003</v>
      </c>
      <c r="NJ101">
        <v>39.49</v>
      </c>
      <c r="NK101">
        <v>39.630000000000003</v>
      </c>
      <c r="NL101">
        <v>39.71</v>
      </c>
      <c r="NM101">
        <v>39.799999999999997</v>
      </c>
      <c r="NN101">
        <v>39.840000000000003</v>
      </c>
      <c r="NP101">
        <v>40.17</v>
      </c>
      <c r="NQ101">
        <v>40.19</v>
      </c>
      <c r="NR101">
        <v>40.29</v>
      </c>
      <c r="NS101">
        <v>40.32</v>
      </c>
      <c r="NT101">
        <v>40.32</v>
      </c>
      <c r="NV101">
        <v>40.33</v>
      </c>
      <c r="NX101">
        <v>40.65</v>
      </c>
      <c r="NZ101">
        <v>40.65</v>
      </c>
      <c r="OC101">
        <v>40.86</v>
      </c>
      <c r="OD101">
        <v>40.97</v>
      </c>
      <c r="OF101">
        <v>41.4</v>
      </c>
      <c r="OG101">
        <v>41.52</v>
      </c>
      <c r="OI101">
        <v>41.66</v>
      </c>
      <c r="OJ101">
        <v>41.77</v>
      </c>
      <c r="OK101">
        <v>41.94</v>
      </c>
      <c r="OM101">
        <v>42.25</v>
      </c>
      <c r="ON101">
        <v>42.37</v>
      </c>
      <c r="OO101">
        <v>42.44</v>
      </c>
      <c r="OP101">
        <v>42.48</v>
      </c>
      <c r="OQ101">
        <v>42.68</v>
      </c>
      <c r="OR101">
        <v>42.75</v>
      </c>
      <c r="OS101">
        <v>42.91</v>
      </c>
      <c r="OT101">
        <v>43.02</v>
      </c>
      <c r="OV101">
        <v>43.18</v>
      </c>
      <c r="OX101">
        <v>43.32</v>
      </c>
      <c r="OZ101">
        <v>43.57</v>
      </c>
      <c r="PA101">
        <v>43.7</v>
      </c>
      <c r="PC101">
        <v>43.84</v>
      </c>
      <c r="PD101">
        <v>43.85</v>
      </c>
      <c r="PE101">
        <v>43.96</v>
      </c>
      <c r="PF101">
        <v>44.03</v>
      </c>
      <c r="PG101">
        <v>44.17</v>
      </c>
      <c r="PH101">
        <v>44.27</v>
      </c>
      <c r="PI101">
        <v>44.34</v>
      </c>
      <c r="PJ101">
        <v>44.37</v>
      </c>
      <c r="PL101">
        <v>44.46</v>
      </c>
      <c r="PM101">
        <v>44.56</v>
      </c>
      <c r="PN101">
        <v>44.64</v>
      </c>
      <c r="PO101">
        <v>44.75</v>
      </c>
      <c r="PP101">
        <v>44.83</v>
      </c>
      <c r="PQ101">
        <v>44.87</v>
      </c>
      <c r="PR101">
        <v>44.89</v>
      </c>
      <c r="PS101">
        <v>44.95</v>
      </c>
      <c r="PT101">
        <v>45.02</v>
      </c>
      <c r="PU101">
        <v>45.11</v>
      </c>
      <c r="PV101">
        <v>45.2</v>
      </c>
      <c r="PX101">
        <v>45.28</v>
      </c>
      <c r="PY101">
        <v>45.3</v>
      </c>
      <c r="PZ101">
        <v>45.39</v>
      </c>
      <c r="QA101">
        <v>45.45</v>
      </c>
      <c r="QB101">
        <v>45.53</v>
      </c>
      <c r="QC101">
        <v>45.6</v>
      </c>
      <c r="QD101">
        <v>45.67</v>
      </c>
      <c r="QE101">
        <v>45.7</v>
      </c>
      <c r="QF101">
        <v>45.73</v>
      </c>
      <c r="QH101">
        <v>45.86</v>
      </c>
      <c r="QI101">
        <v>45.86</v>
      </c>
      <c r="QJ101">
        <v>45.94</v>
      </c>
      <c r="QK101">
        <v>46</v>
      </c>
      <c r="QL101">
        <v>46.03</v>
      </c>
      <c r="QM101">
        <v>46.04</v>
      </c>
      <c r="QN101">
        <v>46.09</v>
      </c>
      <c r="QO101">
        <v>46.16</v>
      </c>
      <c r="QP101">
        <v>46.27</v>
      </c>
      <c r="QR101">
        <v>46.33</v>
      </c>
      <c r="QS101">
        <v>46.34</v>
      </c>
      <c r="QT101">
        <v>46.37</v>
      </c>
      <c r="QU101">
        <v>46.41</v>
      </c>
      <c r="QV101">
        <v>46.47</v>
      </c>
      <c r="QW101">
        <v>46.52</v>
      </c>
      <c r="QX101">
        <v>46.57</v>
      </c>
      <c r="RA101">
        <v>46.64</v>
      </c>
      <c r="RB101">
        <v>46.67</v>
      </c>
      <c r="RC101">
        <v>46.71</v>
      </c>
      <c r="RD101">
        <v>46.74</v>
      </c>
      <c r="RE101">
        <v>46.78</v>
      </c>
      <c r="RF101">
        <v>46.83</v>
      </c>
      <c r="RH101">
        <v>46.84</v>
      </c>
      <c r="RI101">
        <v>46.88</v>
      </c>
      <c r="RJ101">
        <v>46.91</v>
      </c>
      <c r="RK101">
        <v>46.95</v>
      </c>
      <c r="RL101">
        <v>46.98</v>
      </c>
      <c r="RM101">
        <v>47.03</v>
      </c>
      <c r="RN101">
        <v>47.06</v>
      </c>
      <c r="RO101">
        <v>47.1</v>
      </c>
      <c r="RP101">
        <v>47.13</v>
      </c>
      <c r="RR101">
        <v>47.22</v>
      </c>
      <c r="RS101">
        <v>47.25</v>
      </c>
      <c r="RT101">
        <v>47.28</v>
      </c>
      <c r="RU101">
        <v>47.31</v>
      </c>
      <c r="RV101">
        <v>47.33</v>
      </c>
      <c r="RW101">
        <v>47.35</v>
      </c>
      <c r="RX101">
        <v>47.35</v>
      </c>
      <c r="RY101">
        <v>47.38</v>
      </c>
      <c r="RZ101">
        <v>47.42</v>
      </c>
      <c r="SA101">
        <v>47.45</v>
      </c>
      <c r="SD101">
        <v>47.49</v>
      </c>
      <c r="SE101">
        <v>47.53</v>
      </c>
      <c r="SF101">
        <v>47.53</v>
      </c>
      <c r="SG101">
        <v>47.6</v>
      </c>
      <c r="SH101">
        <v>47.62</v>
      </c>
      <c r="SK101">
        <v>47.55</v>
      </c>
      <c r="SL101">
        <v>47.71</v>
      </c>
      <c r="SN101">
        <v>47.77</v>
      </c>
      <c r="SQ101">
        <v>47.83</v>
      </c>
      <c r="SR101">
        <v>47.84</v>
      </c>
      <c r="ST101">
        <v>47.91</v>
      </c>
      <c r="SV101">
        <v>47.97</v>
      </c>
      <c r="SY101">
        <v>48.02</v>
      </c>
      <c r="SZ101">
        <v>48.05</v>
      </c>
      <c r="TB101">
        <v>48.11</v>
      </c>
      <c r="TC101">
        <v>48.15</v>
      </c>
      <c r="TE101">
        <v>48.19</v>
      </c>
      <c r="TG101">
        <v>48.2</v>
      </c>
      <c r="TH101">
        <v>48.23</v>
      </c>
      <c r="TM101">
        <v>48.36</v>
      </c>
      <c r="TQ101">
        <v>48.55</v>
      </c>
      <c r="TT101">
        <v>48.59</v>
      </c>
      <c r="TU101">
        <v>48.62</v>
      </c>
      <c r="TV101">
        <v>48.65</v>
      </c>
      <c r="TX101">
        <v>48.7</v>
      </c>
      <c r="UA101">
        <v>48.74</v>
      </c>
      <c r="UD101">
        <v>48.82</v>
      </c>
      <c r="UH101">
        <v>48.87</v>
      </c>
      <c r="UI101">
        <v>48.89</v>
      </c>
      <c r="UJ101">
        <v>48.91</v>
      </c>
      <c r="UK101">
        <v>48.92</v>
      </c>
      <c r="UL101">
        <v>48.95</v>
      </c>
      <c r="UM101">
        <v>48.96</v>
      </c>
      <c r="UO101">
        <v>48.98</v>
      </c>
      <c r="UP101">
        <v>49</v>
      </c>
      <c r="UQ101">
        <v>49.02</v>
      </c>
      <c r="UR101">
        <v>49.04</v>
      </c>
      <c r="US101">
        <v>49.06</v>
      </c>
      <c r="UV101">
        <v>49.08</v>
      </c>
      <c r="UW101">
        <v>49.11</v>
      </c>
      <c r="UX101">
        <v>49.13</v>
      </c>
      <c r="UZ101">
        <v>49.18</v>
      </c>
      <c r="VC101">
        <v>51.77</v>
      </c>
      <c r="VD101">
        <v>51.79</v>
      </c>
      <c r="VE101">
        <v>51.82</v>
      </c>
      <c r="VF101">
        <v>51.78</v>
      </c>
      <c r="VJ101">
        <v>51.84</v>
      </c>
      <c r="VL101">
        <v>51.89</v>
      </c>
      <c r="VQ101">
        <v>51.96</v>
      </c>
      <c r="VR101">
        <v>51.98</v>
      </c>
      <c r="VW101">
        <v>52.02</v>
      </c>
      <c r="WA101">
        <v>52.1</v>
      </c>
      <c r="WD101">
        <v>52.12</v>
      </c>
      <c r="WE101">
        <v>52.14</v>
      </c>
      <c r="WF101">
        <v>52.16</v>
      </c>
      <c r="WG101">
        <v>52.18</v>
      </c>
      <c r="WM101">
        <v>52.25</v>
      </c>
      <c r="WO101">
        <v>52.28</v>
      </c>
      <c r="WP101">
        <v>52.3</v>
      </c>
      <c r="WQ101">
        <v>52.3</v>
      </c>
      <c r="WU101">
        <v>52.35</v>
      </c>
      <c r="WY101">
        <v>52.39</v>
      </c>
      <c r="WZ101">
        <v>52.41</v>
      </c>
      <c r="XA101">
        <v>52.42</v>
      </c>
      <c r="XB101">
        <v>52.44</v>
      </c>
      <c r="XC101">
        <v>52.45</v>
      </c>
      <c r="XG101">
        <v>52.5</v>
      </c>
      <c r="XI101">
        <v>52.51</v>
      </c>
      <c r="XK101">
        <v>52.54</v>
      </c>
      <c r="XL101">
        <v>52.54</v>
      </c>
      <c r="XM101">
        <v>53.92</v>
      </c>
      <c r="XP101">
        <v>52.6</v>
      </c>
      <c r="XR101">
        <v>52.63</v>
      </c>
      <c r="XT101">
        <v>52.64</v>
      </c>
      <c r="XU101">
        <v>52.65</v>
      </c>
      <c r="XV101">
        <v>52.67</v>
      </c>
      <c r="XW101">
        <v>52.68</v>
      </c>
      <c r="XX101">
        <v>52.69</v>
      </c>
      <c r="XY101">
        <v>52.7</v>
      </c>
      <c r="YA101">
        <v>52.7</v>
      </c>
      <c r="YC101">
        <v>52.72</v>
      </c>
      <c r="YD101">
        <v>52.73</v>
      </c>
      <c r="YE101">
        <v>52.75</v>
      </c>
      <c r="YH101">
        <v>52.76</v>
      </c>
      <c r="ZN101">
        <v>52.89</v>
      </c>
      <c r="AAS101">
        <v>53.19</v>
      </c>
      <c r="ABC101">
        <v>53.23</v>
      </c>
      <c r="ABH101">
        <v>53.27</v>
      </c>
      <c r="ABP101">
        <v>53.29</v>
      </c>
      <c r="ABW101">
        <v>53.31</v>
      </c>
      <c r="ACD101">
        <v>53.35</v>
      </c>
      <c r="ACJ101">
        <v>53.4</v>
      </c>
      <c r="ACQ101">
        <v>53.44</v>
      </c>
      <c r="ACY101">
        <v>53.5</v>
      </c>
      <c r="ADU101">
        <v>53.65</v>
      </c>
      <c r="ADZ101">
        <v>53.68</v>
      </c>
    </row>
    <row r="102" spans="1:812">
      <c r="A102" s="1" t="s">
        <v>83</v>
      </c>
      <c r="B102" t="s">
        <v>336</v>
      </c>
      <c r="BT102">
        <v>0</v>
      </c>
      <c r="BU102">
        <v>0</v>
      </c>
      <c r="BV102">
        <v>0</v>
      </c>
      <c r="BY102">
        <v>0.01</v>
      </c>
      <c r="CA102">
        <v>0.01</v>
      </c>
      <c r="CB102">
        <v>0.02</v>
      </c>
      <c r="CC102">
        <v>0.02</v>
      </c>
      <c r="CF102">
        <v>0.03</v>
      </c>
      <c r="CG102">
        <v>0.03</v>
      </c>
      <c r="CH102">
        <v>0.03</v>
      </c>
      <c r="CI102">
        <v>0.03</v>
      </c>
      <c r="CJ102">
        <v>0.04</v>
      </c>
      <c r="CM102">
        <v>0.06</v>
      </c>
      <c r="CN102">
        <v>0.09</v>
      </c>
      <c r="CO102">
        <v>0.12</v>
      </c>
      <c r="CP102">
        <v>0.14000000000000001</v>
      </c>
      <c r="CQ102">
        <v>0.18</v>
      </c>
      <c r="CT102">
        <v>0.23</v>
      </c>
      <c r="CU102">
        <v>0.28000000000000003</v>
      </c>
      <c r="CV102">
        <v>0.35</v>
      </c>
      <c r="CW102">
        <v>0.4</v>
      </c>
      <c r="CX102">
        <v>0.46</v>
      </c>
      <c r="DA102">
        <v>0.52</v>
      </c>
      <c r="DB102">
        <v>0.55000000000000004</v>
      </c>
      <c r="DC102">
        <v>0.59</v>
      </c>
      <c r="DD102">
        <v>0.61</v>
      </c>
      <c r="DE102">
        <v>0.65</v>
      </c>
      <c r="DH102">
        <v>0.7</v>
      </c>
      <c r="DI102">
        <v>0.75</v>
      </c>
      <c r="DJ102">
        <v>0.79</v>
      </c>
      <c r="DK102">
        <v>0.83</v>
      </c>
      <c r="DL102">
        <v>0.87</v>
      </c>
      <c r="DO102">
        <v>0.95</v>
      </c>
      <c r="DP102">
        <v>1.02</v>
      </c>
      <c r="DQ102">
        <v>1.1000000000000001</v>
      </c>
      <c r="DR102">
        <v>1.18</v>
      </c>
      <c r="DS102">
        <v>1.26</v>
      </c>
      <c r="DV102">
        <v>1.34</v>
      </c>
      <c r="DW102">
        <v>1.38</v>
      </c>
      <c r="DX102">
        <v>1.42</v>
      </c>
      <c r="DY102">
        <v>1.47</v>
      </c>
      <c r="EB102">
        <v>1.53</v>
      </c>
      <c r="EC102">
        <v>1.62</v>
      </c>
      <c r="ED102">
        <v>1.73</v>
      </c>
      <c r="EE102">
        <v>1.86</v>
      </c>
      <c r="EF102">
        <v>1.99</v>
      </c>
      <c r="EI102">
        <v>2.15</v>
      </c>
      <c r="EJ102">
        <v>2.37</v>
      </c>
      <c r="EK102">
        <v>2.5499999999999998</v>
      </c>
      <c r="EM102">
        <v>2.76</v>
      </c>
      <c r="EO102">
        <v>3.26</v>
      </c>
      <c r="EP102">
        <v>3.27</v>
      </c>
      <c r="EQ102">
        <v>3.28</v>
      </c>
      <c r="ER102">
        <v>3.29</v>
      </c>
      <c r="ES102">
        <v>3.29</v>
      </c>
      <c r="ET102">
        <v>3.59</v>
      </c>
      <c r="EU102">
        <v>3.73</v>
      </c>
      <c r="EV102">
        <v>3.78</v>
      </c>
      <c r="EW102">
        <v>3.84</v>
      </c>
      <c r="EX102">
        <v>4.0999999999999996</v>
      </c>
      <c r="EY102">
        <v>4.3499999999999996</v>
      </c>
      <c r="EZ102">
        <v>4.63</v>
      </c>
      <c r="FA102">
        <v>4.9400000000000004</v>
      </c>
      <c r="FB102">
        <v>5.24</v>
      </c>
      <c r="FC102">
        <v>5.36</v>
      </c>
      <c r="FD102">
        <v>5.52</v>
      </c>
      <c r="FE102">
        <v>5.98</v>
      </c>
      <c r="FF102">
        <v>6.39</v>
      </c>
      <c r="FG102">
        <v>6.87</v>
      </c>
      <c r="FH102">
        <v>7.27</v>
      </c>
      <c r="FI102">
        <v>7.69</v>
      </c>
      <c r="FJ102">
        <v>7.93</v>
      </c>
      <c r="FK102">
        <v>8.1999999999999993</v>
      </c>
      <c r="FL102">
        <v>8.8000000000000007</v>
      </c>
      <c r="FM102">
        <v>9.3000000000000007</v>
      </c>
      <c r="FN102">
        <v>9.85</v>
      </c>
      <c r="FO102">
        <v>10.41</v>
      </c>
      <c r="FP102">
        <v>10.96</v>
      </c>
      <c r="FQ102">
        <v>11.36</v>
      </c>
      <c r="FR102">
        <v>11.76</v>
      </c>
      <c r="FS102">
        <v>12.45</v>
      </c>
      <c r="FT102">
        <v>13.12</v>
      </c>
      <c r="FU102">
        <v>13.82</v>
      </c>
      <c r="FV102">
        <v>14.52</v>
      </c>
      <c r="FW102">
        <v>15.2</v>
      </c>
      <c r="FX102">
        <v>15.76</v>
      </c>
      <c r="FY102">
        <v>16.32</v>
      </c>
      <c r="FZ102">
        <v>17.13</v>
      </c>
      <c r="GA102">
        <v>17.940000000000001</v>
      </c>
      <c r="GB102">
        <v>18.78</v>
      </c>
      <c r="GC102">
        <v>19.600000000000001</v>
      </c>
      <c r="GD102">
        <v>20.399999999999999</v>
      </c>
      <c r="GE102">
        <v>21.09</v>
      </c>
      <c r="GF102">
        <v>21.77</v>
      </c>
      <c r="GG102">
        <v>22.66</v>
      </c>
      <c r="GH102">
        <v>23.54</v>
      </c>
      <c r="GI102">
        <v>24.46</v>
      </c>
      <c r="GJ102">
        <v>25.38</v>
      </c>
      <c r="GK102">
        <v>26.25</v>
      </c>
      <c r="GL102">
        <v>27.03</v>
      </c>
      <c r="GM102">
        <v>27.83</v>
      </c>
      <c r="GN102">
        <v>28.77</v>
      </c>
      <c r="GO102">
        <v>29.7</v>
      </c>
      <c r="GP102">
        <v>30.66</v>
      </c>
      <c r="GQ102">
        <v>31.6</v>
      </c>
      <c r="GR102">
        <v>32.57</v>
      </c>
      <c r="GS102">
        <v>33.43</v>
      </c>
      <c r="GT102">
        <v>34.29</v>
      </c>
      <c r="GU102">
        <v>35.200000000000003</v>
      </c>
      <c r="GV102">
        <v>36.090000000000003</v>
      </c>
      <c r="GW102">
        <v>36.97</v>
      </c>
      <c r="GX102">
        <v>41.16</v>
      </c>
      <c r="GY102">
        <v>42.05</v>
      </c>
      <c r="GZ102">
        <v>43.1</v>
      </c>
      <c r="HA102">
        <v>44.1</v>
      </c>
      <c r="HB102">
        <v>45.23</v>
      </c>
      <c r="HC102">
        <v>46.39</v>
      </c>
      <c r="HD102">
        <v>47.54</v>
      </c>
      <c r="HE102">
        <v>48.68</v>
      </c>
      <c r="HF102">
        <v>49.81</v>
      </c>
      <c r="HG102">
        <v>50.95</v>
      </c>
      <c r="HH102">
        <v>51.95</v>
      </c>
      <c r="HI102">
        <v>53.02</v>
      </c>
      <c r="HJ102">
        <v>54.09</v>
      </c>
      <c r="HK102">
        <v>55.16</v>
      </c>
      <c r="HL102">
        <v>56.19</v>
      </c>
      <c r="HM102">
        <v>57.23</v>
      </c>
      <c r="HN102">
        <v>58.27</v>
      </c>
      <c r="HO102">
        <v>59.21</v>
      </c>
      <c r="HP102">
        <v>60.01</v>
      </c>
      <c r="HQ102">
        <v>61.01</v>
      </c>
      <c r="HR102">
        <v>61.98</v>
      </c>
      <c r="HS102">
        <v>62.41</v>
      </c>
      <c r="HT102">
        <v>62.73</v>
      </c>
      <c r="HU102">
        <v>63.6</v>
      </c>
      <c r="HV102">
        <v>64.66</v>
      </c>
      <c r="HW102">
        <v>65.62</v>
      </c>
      <c r="HX102">
        <v>66.59</v>
      </c>
      <c r="HY102">
        <v>67.56</v>
      </c>
      <c r="HZ102">
        <v>68.5</v>
      </c>
      <c r="IA102">
        <v>69.44</v>
      </c>
      <c r="IB102">
        <v>70.430000000000007</v>
      </c>
      <c r="IC102">
        <v>71.180000000000007</v>
      </c>
      <c r="ID102">
        <v>71.86</v>
      </c>
      <c r="IE102">
        <v>72.5</v>
      </c>
      <c r="IF102">
        <v>77.709999999999994</v>
      </c>
      <c r="IG102">
        <v>78.790000000000006</v>
      </c>
      <c r="IK102">
        <v>81.37</v>
      </c>
      <c r="IL102">
        <v>83.56</v>
      </c>
      <c r="IM102">
        <v>84.67</v>
      </c>
      <c r="IN102">
        <v>85.53</v>
      </c>
      <c r="IQ102">
        <v>86.9</v>
      </c>
      <c r="IR102">
        <v>87.8</v>
      </c>
      <c r="IS102">
        <v>89.62</v>
      </c>
      <c r="IT102">
        <v>90.66</v>
      </c>
      <c r="IU102">
        <v>91.51</v>
      </c>
      <c r="IX102">
        <v>93.86</v>
      </c>
      <c r="IZ102">
        <v>96.96</v>
      </c>
      <c r="JB102">
        <v>98.8</v>
      </c>
      <c r="JE102">
        <v>101.09</v>
      </c>
      <c r="JF102">
        <v>102.15</v>
      </c>
      <c r="JG102">
        <v>103.85</v>
      </c>
      <c r="JH102">
        <v>104.75</v>
      </c>
      <c r="JI102">
        <v>105.56</v>
      </c>
      <c r="JM102">
        <v>107.64</v>
      </c>
      <c r="JN102">
        <v>110.35</v>
      </c>
      <c r="JO102">
        <v>111.3</v>
      </c>
      <c r="JP102">
        <v>112.2</v>
      </c>
      <c r="JS102">
        <v>114.49</v>
      </c>
      <c r="JT102">
        <v>115.66</v>
      </c>
      <c r="JU102">
        <v>117.09</v>
      </c>
      <c r="JV102">
        <v>118.03</v>
      </c>
      <c r="JW102">
        <v>118.91</v>
      </c>
      <c r="KA102">
        <v>121.47</v>
      </c>
      <c r="KB102">
        <v>122.94</v>
      </c>
      <c r="KD102">
        <v>124.2</v>
      </c>
      <c r="KG102">
        <v>126.53</v>
      </c>
      <c r="KH102">
        <v>127.77</v>
      </c>
      <c r="KI102">
        <v>128.97999999999999</v>
      </c>
      <c r="KJ102">
        <v>129.9</v>
      </c>
      <c r="KK102">
        <v>130.79</v>
      </c>
      <c r="KN102">
        <v>132.84</v>
      </c>
      <c r="KO102">
        <v>133.88</v>
      </c>
      <c r="KP102">
        <v>135.09</v>
      </c>
      <c r="KQ102">
        <v>135.81</v>
      </c>
      <c r="KR102">
        <v>136.55000000000001</v>
      </c>
      <c r="KU102">
        <v>138.54</v>
      </c>
      <c r="KV102">
        <v>139.38999999999999</v>
      </c>
      <c r="KW102">
        <v>140.33000000000001</v>
      </c>
      <c r="KX102">
        <v>140.91</v>
      </c>
      <c r="KY102">
        <v>141.41999999999999</v>
      </c>
      <c r="LB102">
        <v>142.97</v>
      </c>
      <c r="LC102">
        <v>143.57</v>
      </c>
      <c r="LD102">
        <v>144.44999999999999</v>
      </c>
      <c r="LE102">
        <v>144.96</v>
      </c>
      <c r="LF102">
        <v>145.44999999999999</v>
      </c>
      <c r="LI102">
        <v>146.83000000000001</v>
      </c>
      <c r="LJ102">
        <v>147.54</v>
      </c>
      <c r="LL102">
        <v>148.15</v>
      </c>
      <c r="LM102">
        <v>149.04</v>
      </c>
      <c r="LP102">
        <v>150.19</v>
      </c>
      <c r="LQ102">
        <v>150.75</v>
      </c>
      <c r="LS102">
        <v>151.21</v>
      </c>
      <c r="LT102">
        <v>151.56</v>
      </c>
      <c r="LW102">
        <v>152.38</v>
      </c>
      <c r="LX102">
        <v>152.80000000000001</v>
      </c>
      <c r="LY102">
        <v>153.19</v>
      </c>
      <c r="MA102">
        <v>153.65</v>
      </c>
      <c r="MD102">
        <v>154.19999999999999</v>
      </c>
      <c r="ME102">
        <v>154.56</v>
      </c>
      <c r="MF102">
        <v>154.79</v>
      </c>
      <c r="MG102">
        <v>154.96</v>
      </c>
      <c r="MH102">
        <v>155.09</v>
      </c>
      <c r="MK102">
        <v>155.51</v>
      </c>
      <c r="MM102">
        <v>155.75</v>
      </c>
      <c r="MN102">
        <v>155.84</v>
      </c>
      <c r="MO102">
        <v>155.94999999999999</v>
      </c>
      <c r="MR102">
        <v>156.22</v>
      </c>
      <c r="MS102">
        <v>156.37</v>
      </c>
      <c r="MT102">
        <v>156.5</v>
      </c>
      <c r="MV102">
        <v>156.62</v>
      </c>
      <c r="MY102">
        <v>156.78</v>
      </c>
      <c r="MZ102">
        <v>156.88999999999999</v>
      </c>
      <c r="NB102">
        <v>157.03</v>
      </c>
      <c r="NC102">
        <v>157.09</v>
      </c>
      <c r="NF102">
        <v>157.22</v>
      </c>
      <c r="NG102">
        <v>157.28</v>
      </c>
      <c r="NH102">
        <v>157.36000000000001</v>
      </c>
      <c r="NI102">
        <v>157.41</v>
      </c>
      <c r="NJ102">
        <v>157.47</v>
      </c>
      <c r="NM102">
        <v>157.63999999999999</v>
      </c>
      <c r="NN102">
        <v>157.72</v>
      </c>
      <c r="NO102">
        <v>157.81</v>
      </c>
      <c r="NP102">
        <v>157.9</v>
      </c>
      <c r="NQ102">
        <v>157.97</v>
      </c>
      <c r="NU102">
        <v>158.13999999999999</v>
      </c>
      <c r="NV102">
        <v>158.35</v>
      </c>
      <c r="OB102">
        <v>159.66999999999999</v>
      </c>
      <c r="OI102">
        <v>159.79</v>
      </c>
      <c r="OJ102">
        <v>159.9</v>
      </c>
      <c r="OK102">
        <v>159.99</v>
      </c>
      <c r="OL102">
        <v>160.08000000000001</v>
      </c>
      <c r="OO102">
        <v>160.35</v>
      </c>
      <c r="OP102">
        <v>160.47999999999999</v>
      </c>
      <c r="OQ102">
        <v>160.62</v>
      </c>
      <c r="OR102">
        <v>160.78</v>
      </c>
      <c r="OS102">
        <v>160.94</v>
      </c>
      <c r="OV102">
        <v>161.32</v>
      </c>
      <c r="OW102">
        <v>161.56</v>
      </c>
      <c r="OX102">
        <v>161.79</v>
      </c>
      <c r="OY102">
        <v>162.02000000000001</v>
      </c>
      <c r="OZ102">
        <v>162.26</v>
      </c>
      <c r="PC102">
        <v>162.86000000000001</v>
      </c>
      <c r="PD102">
        <v>163.22</v>
      </c>
      <c r="PE102">
        <v>163.57</v>
      </c>
      <c r="PF102">
        <v>164.02</v>
      </c>
      <c r="PG102">
        <v>164.47</v>
      </c>
      <c r="PJ102">
        <v>165.63</v>
      </c>
      <c r="PK102">
        <v>166.32</v>
      </c>
      <c r="PL102">
        <v>167.03</v>
      </c>
      <c r="PM102">
        <v>167.71</v>
      </c>
      <c r="PQ102">
        <v>169.33</v>
      </c>
      <c r="PR102">
        <v>170.23</v>
      </c>
      <c r="PS102">
        <v>171.08</v>
      </c>
      <c r="PT102">
        <v>171.89</v>
      </c>
      <c r="PU102">
        <v>172.66</v>
      </c>
      <c r="PX102">
        <v>174.45</v>
      </c>
      <c r="PY102">
        <v>175.44</v>
      </c>
      <c r="QB102">
        <v>177.56</v>
      </c>
      <c r="QE102">
        <v>179.6</v>
      </c>
      <c r="QF102">
        <v>180.69</v>
      </c>
      <c r="QH102">
        <v>182.54</v>
      </c>
      <c r="QI102">
        <v>183.36</v>
      </c>
      <c r="QL102">
        <v>185.35</v>
      </c>
      <c r="QM102">
        <v>186.37</v>
      </c>
      <c r="QN102">
        <v>187.31</v>
      </c>
      <c r="QO102">
        <v>188.09</v>
      </c>
      <c r="QP102">
        <v>188.85</v>
      </c>
      <c r="QS102">
        <v>190.75</v>
      </c>
      <c r="QT102">
        <v>191.74</v>
      </c>
      <c r="QU102">
        <v>192.72</v>
      </c>
      <c r="QV102">
        <v>193.44</v>
      </c>
      <c r="QW102">
        <v>194.14</v>
      </c>
      <c r="RA102">
        <v>196.06</v>
      </c>
      <c r="RB102">
        <v>197.13</v>
      </c>
      <c r="RC102">
        <v>197.86</v>
      </c>
      <c r="RD102">
        <v>198.48</v>
      </c>
      <c r="RG102">
        <v>200.19</v>
      </c>
      <c r="RI102">
        <v>201.78</v>
      </c>
      <c r="RJ102">
        <v>202.36</v>
      </c>
      <c r="RK102">
        <v>202.87</v>
      </c>
      <c r="RL102">
        <v>204.02</v>
      </c>
      <c r="RM102">
        <v>204.6</v>
      </c>
      <c r="RN102">
        <v>205.24</v>
      </c>
      <c r="RO102">
        <v>205.65</v>
      </c>
      <c r="RP102">
        <v>206.06</v>
      </c>
      <c r="RR102">
        <v>207.85</v>
      </c>
      <c r="RS102">
        <v>208.36</v>
      </c>
      <c r="RT102">
        <v>208.75</v>
      </c>
      <c r="RU102">
        <v>209.12</v>
      </c>
      <c r="RV102">
        <v>210.33</v>
      </c>
      <c r="RW102">
        <v>210.87</v>
      </c>
      <c r="RX102">
        <v>211.39</v>
      </c>
      <c r="RY102">
        <v>211.73</v>
      </c>
      <c r="RZ102">
        <v>212.13</v>
      </c>
      <c r="SC102">
        <v>213.27</v>
      </c>
      <c r="SD102">
        <v>213.85</v>
      </c>
      <c r="SE102">
        <v>214.36</v>
      </c>
      <c r="SG102">
        <v>214.75</v>
      </c>
      <c r="SJ102">
        <v>215.79</v>
      </c>
      <c r="SN102">
        <v>216.37</v>
      </c>
      <c r="SR102">
        <v>217.57</v>
      </c>
      <c r="SS102">
        <v>217.84</v>
      </c>
      <c r="ST102">
        <v>218.1</v>
      </c>
      <c r="SU102">
        <v>218.33</v>
      </c>
      <c r="SX102">
        <v>219.08</v>
      </c>
      <c r="SY102">
        <v>219.54</v>
      </c>
      <c r="SZ102">
        <v>219.79</v>
      </c>
      <c r="TA102">
        <v>219.99</v>
      </c>
      <c r="TB102">
        <v>220.17</v>
      </c>
      <c r="TE102">
        <v>220.78</v>
      </c>
      <c r="TF102">
        <v>221.37</v>
      </c>
      <c r="TG102">
        <v>221.45</v>
      </c>
      <c r="TH102">
        <v>221.51</v>
      </c>
      <c r="TM102">
        <v>222.61</v>
      </c>
      <c r="TN102">
        <v>222.67</v>
      </c>
      <c r="TO102">
        <v>222.8</v>
      </c>
      <c r="TP102">
        <v>222.98</v>
      </c>
      <c r="TQ102">
        <v>223.1</v>
      </c>
      <c r="TR102">
        <v>223.24</v>
      </c>
      <c r="TS102">
        <v>223.44</v>
      </c>
      <c r="TT102">
        <v>223.48</v>
      </c>
      <c r="TU102">
        <v>223.75</v>
      </c>
      <c r="TV102">
        <v>223.8</v>
      </c>
      <c r="TW102">
        <v>223.85</v>
      </c>
      <c r="TX102">
        <v>223.96</v>
      </c>
      <c r="TY102">
        <v>224.08</v>
      </c>
      <c r="TZ102">
        <v>224.11</v>
      </c>
      <c r="UA102">
        <v>224.29</v>
      </c>
      <c r="UB102">
        <v>224.51</v>
      </c>
      <c r="UC102">
        <v>224.56</v>
      </c>
      <c r="UD102">
        <v>224.61</v>
      </c>
      <c r="UE102">
        <v>224.71</v>
      </c>
      <c r="UF102">
        <v>224.82</v>
      </c>
      <c r="UG102">
        <v>225.07</v>
      </c>
      <c r="UH102">
        <v>225.13</v>
      </c>
      <c r="UI102">
        <v>225.18</v>
      </c>
      <c r="UJ102">
        <v>225.23</v>
      </c>
      <c r="UK102">
        <v>225.27</v>
      </c>
      <c r="UO102">
        <v>225.78</v>
      </c>
      <c r="UP102">
        <v>225.93</v>
      </c>
      <c r="UQ102">
        <v>225.98</v>
      </c>
      <c r="UR102">
        <v>226.17</v>
      </c>
      <c r="US102">
        <v>226.31</v>
      </c>
      <c r="UT102">
        <v>226.59</v>
      </c>
      <c r="UU102">
        <v>226.69</v>
      </c>
      <c r="UV102">
        <v>226.84</v>
      </c>
      <c r="UW102">
        <v>226.99</v>
      </c>
      <c r="UX102">
        <v>227.11</v>
      </c>
      <c r="VB102">
        <v>230.77</v>
      </c>
      <c r="VC102">
        <v>231</v>
      </c>
      <c r="VD102">
        <v>231.32</v>
      </c>
      <c r="VE102">
        <v>231.51</v>
      </c>
      <c r="VF102">
        <v>231.83</v>
      </c>
      <c r="VJ102">
        <v>232.73</v>
      </c>
      <c r="VL102">
        <v>233.94</v>
      </c>
      <c r="VM102">
        <v>234.18</v>
      </c>
      <c r="VS102">
        <v>237.17</v>
      </c>
      <c r="VW102">
        <v>239.71</v>
      </c>
      <c r="VZ102">
        <v>241.39</v>
      </c>
      <c r="WC102">
        <v>242.7</v>
      </c>
      <c r="WE102">
        <v>244</v>
      </c>
      <c r="WG102">
        <v>244.67</v>
      </c>
      <c r="WM102">
        <v>246.54</v>
      </c>
      <c r="WN102">
        <v>246.96</v>
      </c>
      <c r="WQ102">
        <v>248.15</v>
      </c>
      <c r="WR102">
        <v>248.8</v>
      </c>
      <c r="WT102">
        <v>249.9</v>
      </c>
      <c r="WU102">
        <v>250.36</v>
      </c>
      <c r="WX102">
        <v>251.52</v>
      </c>
      <c r="WY102">
        <v>252.15</v>
      </c>
      <c r="XE102">
        <v>254.37</v>
      </c>
      <c r="XF102">
        <v>254.83</v>
      </c>
      <c r="XG102">
        <v>255.19</v>
      </c>
      <c r="XT102">
        <v>258.17</v>
      </c>
      <c r="XZ102">
        <v>259.06</v>
      </c>
      <c r="YA102">
        <v>259.31</v>
      </c>
      <c r="YB102">
        <v>259.52</v>
      </c>
      <c r="YC102">
        <v>259.7</v>
      </c>
      <c r="YD102">
        <v>259.87</v>
      </c>
      <c r="YF102">
        <v>260.25</v>
      </c>
      <c r="YG102">
        <v>260.27999999999997</v>
      </c>
      <c r="YH102">
        <v>260.48</v>
      </c>
      <c r="YI102">
        <v>260.66000000000003</v>
      </c>
      <c r="YK102">
        <v>260.94</v>
      </c>
      <c r="YO102">
        <v>261.63</v>
      </c>
      <c r="YP102">
        <v>261.63</v>
      </c>
      <c r="YQ102">
        <v>261.89999999999998</v>
      </c>
      <c r="YR102">
        <v>261.97000000000003</v>
      </c>
      <c r="YV102">
        <v>262.77999999999997</v>
      </c>
      <c r="YZ102">
        <v>263.70999999999998</v>
      </c>
      <c r="ZA102">
        <v>263.95</v>
      </c>
      <c r="ZB102">
        <v>264.04000000000002</v>
      </c>
      <c r="ZC102">
        <v>264.51</v>
      </c>
      <c r="ZD102">
        <v>264.62</v>
      </c>
      <c r="ZE102">
        <v>266.25</v>
      </c>
      <c r="ZG102">
        <v>266.82</v>
      </c>
      <c r="ZH102">
        <v>267.08</v>
      </c>
      <c r="ZI102">
        <v>267.17</v>
      </c>
      <c r="ZJ102">
        <v>267.52999999999997</v>
      </c>
      <c r="ZL102">
        <v>268.25</v>
      </c>
      <c r="ZM102">
        <v>268.33999999999997</v>
      </c>
      <c r="ZN102">
        <v>268.56</v>
      </c>
      <c r="ZO102">
        <v>268.81</v>
      </c>
      <c r="ZP102">
        <v>268.89999999999998</v>
      </c>
      <c r="ZQ102">
        <v>269.24</v>
      </c>
      <c r="ZR102">
        <v>269.51</v>
      </c>
      <c r="ZS102">
        <v>269.85000000000002</v>
      </c>
      <c r="ZT102">
        <v>269.95999999999998</v>
      </c>
      <c r="ZX102">
        <v>271.01</v>
      </c>
      <c r="AAA102">
        <v>275.27999999999997</v>
      </c>
      <c r="AAB102">
        <v>275.83</v>
      </c>
      <c r="AAC102">
        <v>276.41000000000003</v>
      </c>
      <c r="AAD102">
        <v>276.74</v>
      </c>
      <c r="AAE102">
        <v>277.02999999999997</v>
      </c>
      <c r="AAG102">
        <v>278.55</v>
      </c>
      <c r="AAH102">
        <v>278.95999999999998</v>
      </c>
      <c r="AAI102">
        <v>279.45999999999998</v>
      </c>
      <c r="AAJ102">
        <v>279.94</v>
      </c>
      <c r="AAK102">
        <v>280.18</v>
      </c>
      <c r="AAL102">
        <v>281.04000000000002</v>
      </c>
      <c r="AAN102">
        <v>282.74</v>
      </c>
      <c r="AAO102">
        <v>283.04000000000002</v>
      </c>
      <c r="AAS102">
        <v>286.42</v>
      </c>
      <c r="AAT102">
        <v>286.91000000000003</v>
      </c>
      <c r="AAU102">
        <v>287.38</v>
      </c>
      <c r="AAV102">
        <v>287.79000000000002</v>
      </c>
      <c r="AAW102">
        <v>288.31</v>
      </c>
      <c r="AAX102">
        <v>288.79000000000002</v>
      </c>
      <c r="AAY102">
        <v>289.01</v>
      </c>
      <c r="AAZ102">
        <v>290.89999999999998</v>
      </c>
      <c r="ABA102">
        <v>291.39999999999998</v>
      </c>
      <c r="ABB102">
        <v>291.86</v>
      </c>
      <c r="ABC102">
        <v>292.27</v>
      </c>
      <c r="ABD102">
        <v>292.77999999999997</v>
      </c>
      <c r="ABE102">
        <v>293.24</v>
      </c>
      <c r="ABF102">
        <v>293.45</v>
      </c>
      <c r="ABG102">
        <v>295.57</v>
      </c>
      <c r="ABH102">
        <v>296.08999999999997</v>
      </c>
      <c r="ABI102">
        <v>296.56</v>
      </c>
      <c r="ABJ102">
        <v>296.99</v>
      </c>
      <c r="ABK102">
        <v>297.54000000000002</v>
      </c>
      <c r="ABL102">
        <v>298.06</v>
      </c>
      <c r="ABM102">
        <v>298.3</v>
      </c>
      <c r="ABN102">
        <v>298.61</v>
      </c>
      <c r="ABO102">
        <v>298.86</v>
      </c>
      <c r="ABT102">
        <v>300.17</v>
      </c>
      <c r="ABU102">
        <v>300.17</v>
      </c>
      <c r="ABV102">
        <v>300.18</v>
      </c>
      <c r="ABW102">
        <v>300.23</v>
      </c>
      <c r="ABX102">
        <v>300.33</v>
      </c>
      <c r="ABY102">
        <v>300.51</v>
      </c>
      <c r="ABZ102">
        <v>300.7</v>
      </c>
      <c r="ACA102">
        <v>300.76</v>
      </c>
      <c r="ACB102">
        <v>300.77</v>
      </c>
      <c r="ACC102">
        <v>301.58</v>
      </c>
      <c r="ACD102">
        <v>301.77999999999997</v>
      </c>
      <c r="ACE102">
        <v>301.94</v>
      </c>
      <c r="ACF102">
        <v>302.18</v>
      </c>
      <c r="ACG102">
        <v>302.39999999999998</v>
      </c>
      <c r="ACH102">
        <v>302.45</v>
      </c>
      <c r="ACI102">
        <v>303.3</v>
      </c>
      <c r="ACJ102">
        <v>303.49</v>
      </c>
      <c r="ACK102">
        <v>303.64999999999998</v>
      </c>
      <c r="ACL102">
        <v>303.79000000000002</v>
      </c>
      <c r="ACM102">
        <v>303.99</v>
      </c>
      <c r="ACN102">
        <v>304.17</v>
      </c>
      <c r="ACO102">
        <v>304.20999999999998</v>
      </c>
      <c r="ACP102">
        <v>305.02999999999997</v>
      </c>
      <c r="ACQ102">
        <v>305.19</v>
      </c>
      <c r="ACR102">
        <v>305.32</v>
      </c>
      <c r="ACS102">
        <v>305.45999999999998</v>
      </c>
      <c r="ACT102">
        <v>305.69</v>
      </c>
      <c r="ACU102">
        <v>305.93</v>
      </c>
      <c r="ACV102">
        <v>305.99</v>
      </c>
      <c r="ACW102">
        <v>306.08999999999997</v>
      </c>
      <c r="ACX102">
        <v>306.18</v>
      </c>
      <c r="ACY102">
        <v>306.24</v>
      </c>
      <c r="ACZ102">
        <v>306.27</v>
      </c>
      <c r="ADD102">
        <v>307.05</v>
      </c>
      <c r="ADE102">
        <v>307.12</v>
      </c>
      <c r="ADF102">
        <v>307.17</v>
      </c>
      <c r="ADG102">
        <v>307.23</v>
      </c>
      <c r="ADH102">
        <v>307.33999999999997</v>
      </c>
      <c r="ADI102">
        <v>307.38</v>
      </c>
      <c r="ADJ102">
        <v>307.39999999999998</v>
      </c>
      <c r="ADK102">
        <v>307.44</v>
      </c>
      <c r="ADL102">
        <v>307.48</v>
      </c>
      <c r="ADM102">
        <v>307.52</v>
      </c>
      <c r="ADN102">
        <v>307.54000000000002</v>
      </c>
      <c r="ADR102">
        <v>307.88</v>
      </c>
      <c r="ADS102">
        <v>307.92</v>
      </c>
      <c r="ADT102">
        <v>307.95999999999998</v>
      </c>
      <c r="ADU102">
        <v>307.97000000000003</v>
      </c>
      <c r="ADV102">
        <v>308.02</v>
      </c>
      <c r="ADW102">
        <v>308.07</v>
      </c>
      <c r="ADX102">
        <v>308.08</v>
      </c>
      <c r="ADZ102">
        <v>308.32</v>
      </c>
      <c r="AEA102">
        <v>308.33</v>
      </c>
      <c r="AEB102">
        <v>308.35000000000002</v>
      </c>
      <c r="AEC102">
        <v>308.38</v>
      </c>
      <c r="AED102">
        <v>308.41000000000003</v>
      </c>
      <c r="AEE102">
        <v>308.41000000000003</v>
      </c>
    </row>
    <row r="103" spans="1:812">
      <c r="A103" s="1" t="s">
        <v>252</v>
      </c>
      <c r="B103" t="s">
        <v>252</v>
      </c>
      <c r="AV103">
        <v>11.26</v>
      </c>
      <c r="BC103">
        <v>14.68</v>
      </c>
      <c r="BJ103">
        <v>20.78</v>
      </c>
      <c r="BQ103">
        <v>25.68</v>
      </c>
      <c r="BX103">
        <v>29</v>
      </c>
      <c r="CE103">
        <v>33.159999999999997</v>
      </c>
      <c r="CL103">
        <v>39.01</v>
      </c>
      <c r="CO103">
        <v>41.78</v>
      </c>
      <c r="CS103">
        <v>45.27</v>
      </c>
      <c r="CV103">
        <v>48.21</v>
      </c>
      <c r="CZ103">
        <v>51.71</v>
      </c>
      <c r="DC103">
        <v>54.53</v>
      </c>
      <c r="DG103">
        <v>58.5</v>
      </c>
      <c r="DJ103">
        <v>61.47</v>
      </c>
      <c r="DN103">
        <v>67.040000000000006</v>
      </c>
      <c r="DU103">
        <v>70.11</v>
      </c>
      <c r="EB103">
        <v>76.37</v>
      </c>
      <c r="EI103">
        <v>81.86</v>
      </c>
      <c r="EP103">
        <v>87.47</v>
      </c>
      <c r="EZ103">
        <v>93.57</v>
      </c>
      <c r="FD103">
        <v>96.33</v>
      </c>
      <c r="FG103">
        <v>98.68</v>
      </c>
      <c r="FK103">
        <v>101.95</v>
      </c>
      <c r="FN103">
        <v>104.59</v>
      </c>
      <c r="FR103">
        <v>107.42</v>
      </c>
      <c r="FU103">
        <v>109.8</v>
      </c>
      <c r="FY103">
        <v>111.99</v>
      </c>
      <c r="GB103">
        <v>113.4</v>
      </c>
      <c r="GF103">
        <v>115.37</v>
      </c>
      <c r="GI103">
        <v>116.96</v>
      </c>
      <c r="GM103">
        <v>118.7</v>
      </c>
      <c r="GP103">
        <v>119.92</v>
      </c>
      <c r="GT103">
        <v>121.62</v>
      </c>
      <c r="HA103">
        <v>125.21</v>
      </c>
      <c r="HD103">
        <v>127.29</v>
      </c>
      <c r="HH103">
        <v>129.4</v>
      </c>
      <c r="HK103">
        <v>131.33000000000001</v>
      </c>
      <c r="HO103">
        <v>133.94</v>
      </c>
      <c r="HR103">
        <v>136.07</v>
      </c>
      <c r="HV103">
        <v>138.76</v>
      </c>
      <c r="HY103">
        <v>140.56</v>
      </c>
      <c r="IC103">
        <v>141.72</v>
      </c>
      <c r="IF103">
        <v>142.6</v>
      </c>
      <c r="IJ103">
        <v>143.36000000000001</v>
      </c>
      <c r="IM103">
        <v>144.11000000000001</v>
      </c>
      <c r="IQ103">
        <v>144.88</v>
      </c>
      <c r="IX103">
        <v>146.08000000000001</v>
      </c>
      <c r="KY103">
        <v>159.55000000000001</v>
      </c>
      <c r="MV103">
        <v>185.24</v>
      </c>
      <c r="QB103">
        <v>219.58</v>
      </c>
      <c r="UG103">
        <v>233.03</v>
      </c>
      <c r="ABM103">
        <v>240.3</v>
      </c>
      <c r="ABT103">
        <v>240.4</v>
      </c>
      <c r="ACV103">
        <v>240.94</v>
      </c>
    </row>
    <row r="104" spans="1:812">
      <c r="A104" s="1" t="s">
        <v>161</v>
      </c>
      <c r="B104" t="s">
        <v>337</v>
      </c>
      <c r="AJ104">
        <v>0</v>
      </c>
      <c r="AU104">
        <v>0.28999999999999998</v>
      </c>
      <c r="BC104">
        <v>0.39</v>
      </c>
      <c r="BY104">
        <v>0.78</v>
      </c>
      <c r="CB104">
        <v>1.47</v>
      </c>
      <c r="CT104">
        <v>2</v>
      </c>
      <c r="CV104">
        <v>2.37</v>
      </c>
      <c r="CZ104">
        <v>2.67</v>
      </c>
      <c r="DC104">
        <v>3.14</v>
      </c>
      <c r="DI104">
        <v>4.01</v>
      </c>
      <c r="DQ104">
        <v>5.14</v>
      </c>
      <c r="DX104">
        <v>6.52</v>
      </c>
      <c r="EC104">
        <v>7.17</v>
      </c>
      <c r="EM104">
        <v>9.02</v>
      </c>
      <c r="ER104">
        <v>10.69</v>
      </c>
      <c r="FF104">
        <v>13.92</v>
      </c>
      <c r="FN104">
        <v>17.149999999999999</v>
      </c>
      <c r="FO104">
        <v>18.420000000000002</v>
      </c>
      <c r="FP104">
        <v>18.66</v>
      </c>
      <c r="FY104">
        <v>22.62</v>
      </c>
      <c r="GA104">
        <v>24.38</v>
      </c>
      <c r="GC104">
        <v>24.65</v>
      </c>
      <c r="GD104">
        <v>24.66</v>
      </c>
      <c r="GF104">
        <v>25.5</v>
      </c>
      <c r="GG104">
        <v>26.28</v>
      </c>
      <c r="GH104">
        <v>26.97</v>
      </c>
      <c r="GI104">
        <v>27.62</v>
      </c>
      <c r="GJ104">
        <v>28.34</v>
      </c>
      <c r="GK104">
        <v>28.36</v>
      </c>
      <c r="GL104">
        <v>28.56</v>
      </c>
      <c r="GM104">
        <v>30.38</v>
      </c>
      <c r="GN104">
        <v>31.34</v>
      </c>
      <c r="GQ104">
        <v>32.75</v>
      </c>
      <c r="GR104">
        <v>33.119999999999997</v>
      </c>
      <c r="GS104">
        <v>33.72</v>
      </c>
      <c r="GT104">
        <v>34.53</v>
      </c>
      <c r="GU104">
        <v>35.46</v>
      </c>
      <c r="GW104">
        <v>38.299999999999997</v>
      </c>
      <c r="GY104">
        <v>38.380000000000003</v>
      </c>
      <c r="HA104">
        <v>39.159999999999997</v>
      </c>
      <c r="HB104">
        <v>39.729999999999997</v>
      </c>
      <c r="HC104">
        <v>40.340000000000003</v>
      </c>
      <c r="HD104">
        <v>40.97</v>
      </c>
      <c r="HF104">
        <v>41.6</v>
      </c>
      <c r="HH104">
        <v>42.26</v>
      </c>
      <c r="HI104">
        <v>42.79</v>
      </c>
      <c r="HJ104">
        <v>43.2</v>
      </c>
      <c r="HK104">
        <v>43.65</v>
      </c>
      <c r="HL104">
        <v>44.34</v>
      </c>
      <c r="HN104">
        <v>44.83</v>
      </c>
      <c r="HO104">
        <v>45.49</v>
      </c>
      <c r="HP104">
        <v>45.52</v>
      </c>
      <c r="HR104">
        <v>45.52</v>
      </c>
      <c r="HS104">
        <v>45.76</v>
      </c>
      <c r="HU104">
        <v>46.54</v>
      </c>
      <c r="HV104">
        <v>47.52</v>
      </c>
      <c r="HW104">
        <v>48.47</v>
      </c>
      <c r="HX104">
        <v>49.29</v>
      </c>
      <c r="HZ104">
        <v>50.53</v>
      </c>
      <c r="IA104">
        <v>50.71</v>
      </c>
      <c r="IB104">
        <v>51.11</v>
      </c>
      <c r="IC104">
        <v>51.6</v>
      </c>
      <c r="IK104">
        <v>55.08</v>
      </c>
      <c r="IL104">
        <v>55.1</v>
      </c>
      <c r="IM104">
        <v>55.71</v>
      </c>
      <c r="IO104">
        <v>55.79</v>
      </c>
      <c r="IP104">
        <v>56.27</v>
      </c>
      <c r="IQ104">
        <v>56.76</v>
      </c>
      <c r="IR104">
        <v>57.29</v>
      </c>
      <c r="IS104">
        <v>57.8</v>
      </c>
      <c r="IT104">
        <v>58.35</v>
      </c>
      <c r="IU104">
        <v>58.8</v>
      </c>
      <c r="IV104">
        <v>58.5</v>
      </c>
      <c r="IW104">
        <v>58.86</v>
      </c>
      <c r="IX104">
        <v>59.39</v>
      </c>
      <c r="IY104">
        <v>59.75</v>
      </c>
      <c r="IZ104">
        <v>60.24</v>
      </c>
      <c r="JA104">
        <v>60.6</v>
      </c>
      <c r="JB104">
        <v>60.96</v>
      </c>
      <c r="JC104">
        <v>61.02</v>
      </c>
      <c r="JD104">
        <v>61.26</v>
      </c>
      <c r="JE104">
        <v>62.05</v>
      </c>
      <c r="JG104">
        <v>62.55</v>
      </c>
      <c r="JJ104">
        <v>62.89</v>
      </c>
      <c r="JK104">
        <v>63.09</v>
      </c>
      <c r="JL104">
        <v>63.42</v>
      </c>
      <c r="JM104">
        <v>63.97</v>
      </c>
      <c r="JO104">
        <v>64.209999999999994</v>
      </c>
      <c r="JP104">
        <v>64.44</v>
      </c>
      <c r="JQ104">
        <v>64.48</v>
      </c>
      <c r="JR104">
        <v>64.66</v>
      </c>
      <c r="JS104">
        <v>64.94</v>
      </c>
      <c r="JT104">
        <v>65.2</v>
      </c>
      <c r="JU104">
        <v>65.45</v>
      </c>
      <c r="JV104">
        <v>65.69</v>
      </c>
      <c r="JW104">
        <v>65.89</v>
      </c>
      <c r="JX104">
        <v>65.930000000000007</v>
      </c>
      <c r="JY104">
        <v>66.09</v>
      </c>
      <c r="JZ104">
        <v>66.27</v>
      </c>
      <c r="KA104">
        <v>66.45</v>
      </c>
      <c r="KB104">
        <v>66.680000000000007</v>
      </c>
      <c r="KC104">
        <v>66.86</v>
      </c>
      <c r="KD104">
        <v>67.02</v>
      </c>
      <c r="KE104">
        <v>67.06</v>
      </c>
      <c r="KF104">
        <v>67.23</v>
      </c>
      <c r="KG104">
        <v>67.39</v>
      </c>
      <c r="KH104">
        <v>67.61</v>
      </c>
      <c r="KI104">
        <v>67.78</v>
      </c>
      <c r="KJ104">
        <v>67.94</v>
      </c>
      <c r="KK104">
        <v>68.19</v>
      </c>
      <c r="KL104">
        <v>68.22</v>
      </c>
      <c r="KM104">
        <v>68.36</v>
      </c>
      <c r="KN104">
        <v>68.53</v>
      </c>
      <c r="KO104">
        <v>68.78</v>
      </c>
      <c r="KP104">
        <v>68.97</v>
      </c>
      <c r="KR104">
        <v>69.33</v>
      </c>
      <c r="KS104">
        <v>69.36</v>
      </c>
      <c r="KT104">
        <v>69.66</v>
      </c>
      <c r="KW104">
        <v>69.97</v>
      </c>
      <c r="KX104">
        <v>70.11</v>
      </c>
      <c r="KY104">
        <v>70.239999999999995</v>
      </c>
      <c r="KZ104">
        <v>70.260000000000005</v>
      </c>
      <c r="LA104">
        <v>70.37</v>
      </c>
      <c r="LB104">
        <v>70.489999999999995</v>
      </c>
      <c r="LC104">
        <v>70.599999999999994</v>
      </c>
      <c r="LD104">
        <v>70.61</v>
      </c>
      <c r="LF104">
        <v>71.150000000000006</v>
      </c>
      <c r="LG104">
        <v>71.19</v>
      </c>
      <c r="LH104">
        <v>71.38</v>
      </c>
      <c r="LI104">
        <v>71.62</v>
      </c>
      <c r="LJ104">
        <v>71.849999999999994</v>
      </c>
      <c r="LK104">
        <v>72.06</v>
      </c>
      <c r="LL104">
        <v>72.25</v>
      </c>
      <c r="LM104">
        <v>72.459999999999994</v>
      </c>
      <c r="LN104">
        <v>72.48</v>
      </c>
      <c r="LO104">
        <v>72.63</v>
      </c>
      <c r="LP104">
        <v>72.81</v>
      </c>
      <c r="LQ104">
        <v>73.010000000000005</v>
      </c>
      <c r="LR104">
        <v>73.180000000000007</v>
      </c>
      <c r="LS104">
        <v>73.34</v>
      </c>
      <c r="LT104">
        <v>73.489999999999995</v>
      </c>
      <c r="LU104">
        <v>73.510000000000005</v>
      </c>
      <c r="LV104">
        <v>73.62</v>
      </c>
      <c r="LW104">
        <v>73.760000000000005</v>
      </c>
      <c r="LX104">
        <v>73.900000000000006</v>
      </c>
      <c r="LY104">
        <v>74.03</v>
      </c>
      <c r="LZ104">
        <v>74.13</v>
      </c>
      <c r="MA104">
        <v>74.3</v>
      </c>
      <c r="MB104">
        <v>74.319999999999993</v>
      </c>
      <c r="MC104">
        <v>74.44</v>
      </c>
      <c r="MD104">
        <v>74.62</v>
      </c>
      <c r="ME104">
        <v>74.8</v>
      </c>
      <c r="MF104">
        <v>74.95</v>
      </c>
      <c r="MH104">
        <v>75.260000000000005</v>
      </c>
      <c r="MJ104">
        <v>75.39</v>
      </c>
      <c r="MK104">
        <v>75.53</v>
      </c>
      <c r="ML104">
        <v>75.66</v>
      </c>
      <c r="MM104">
        <v>75.849999999999994</v>
      </c>
      <c r="MN104">
        <v>76</v>
      </c>
      <c r="MO104">
        <v>76.16</v>
      </c>
      <c r="MQ104">
        <v>76.31</v>
      </c>
      <c r="MR104">
        <v>76.48</v>
      </c>
      <c r="MS104">
        <v>76.64</v>
      </c>
      <c r="MT104">
        <v>76.78</v>
      </c>
      <c r="MU104">
        <v>76.900000000000006</v>
      </c>
      <c r="MV104">
        <v>77.03</v>
      </c>
      <c r="MW104">
        <v>77.05</v>
      </c>
      <c r="MX104">
        <v>77.209999999999994</v>
      </c>
      <c r="MY104">
        <v>77.42</v>
      </c>
      <c r="MZ104">
        <v>77.64</v>
      </c>
      <c r="NA104">
        <v>77.81</v>
      </c>
      <c r="NB104">
        <v>77.959999999999994</v>
      </c>
      <c r="NC104">
        <v>78.09</v>
      </c>
      <c r="ND104">
        <v>78.12</v>
      </c>
      <c r="NE104">
        <v>78.23</v>
      </c>
      <c r="NF104">
        <v>78.39</v>
      </c>
      <c r="NG104">
        <v>78.69</v>
      </c>
      <c r="NI104">
        <v>78.81</v>
      </c>
      <c r="NJ104">
        <v>78.95</v>
      </c>
      <c r="NK104">
        <v>78.98</v>
      </c>
      <c r="NL104">
        <v>79.09</v>
      </c>
      <c r="NM104">
        <v>79.25</v>
      </c>
      <c r="NN104">
        <v>79.38</v>
      </c>
      <c r="NP104">
        <v>79.63</v>
      </c>
      <c r="NQ104">
        <v>79.78</v>
      </c>
      <c r="NT104">
        <v>80.05</v>
      </c>
      <c r="NU104">
        <v>80.31</v>
      </c>
      <c r="NV104">
        <v>80.489999999999995</v>
      </c>
      <c r="PF104">
        <v>90.25</v>
      </c>
      <c r="RW104">
        <v>96.16</v>
      </c>
      <c r="SF104">
        <v>96.37</v>
      </c>
      <c r="SN104">
        <v>96.42</v>
      </c>
    </row>
    <row r="105" spans="1:812">
      <c r="A105" s="1" t="s">
        <v>61</v>
      </c>
      <c r="B105" t="s">
        <v>338</v>
      </c>
      <c r="BC105">
        <v>0</v>
      </c>
      <c r="BN105">
        <v>7.0000000000000007E-2</v>
      </c>
      <c r="CA105">
        <v>0.12</v>
      </c>
      <c r="CT105">
        <v>0.47</v>
      </c>
      <c r="CW105">
        <v>0.59</v>
      </c>
      <c r="DT105">
        <v>2.0499999999999998</v>
      </c>
      <c r="DV105">
        <v>2.36</v>
      </c>
      <c r="EB105">
        <v>4.5599999999999996</v>
      </c>
      <c r="EE105">
        <v>4.76</v>
      </c>
      <c r="EF105">
        <v>5.09</v>
      </c>
      <c r="EH105">
        <v>5.34</v>
      </c>
      <c r="EK105">
        <v>6.04</v>
      </c>
      <c r="EL105">
        <v>8.31</v>
      </c>
      <c r="ER105">
        <v>9.42</v>
      </c>
      <c r="ES105">
        <v>10.79</v>
      </c>
      <c r="EU105">
        <v>11.5</v>
      </c>
      <c r="EY105">
        <v>13.08</v>
      </c>
      <c r="FB105">
        <v>13.38</v>
      </c>
      <c r="FC105">
        <v>13.66</v>
      </c>
      <c r="FD105">
        <v>13.8</v>
      </c>
      <c r="FE105">
        <v>13.87</v>
      </c>
      <c r="FF105">
        <v>14.11</v>
      </c>
      <c r="FG105">
        <v>14.38</v>
      </c>
      <c r="FH105">
        <v>14.67</v>
      </c>
      <c r="FI105">
        <v>14.96</v>
      </c>
      <c r="FJ105">
        <v>15.3</v>
      </c>
      <c r="FK105">
        <v>15.46</v>
      </c>
      <c r="FL105">
        <v>15.52</v>
      </c>
      <c r="FM105">
        <v>15.79</v>
      </c>
      <c r="FN105">
        <v>16.03</v>
      </c>
      <c r="FO105">
        <v>16.5</v>
      </c>
      <c r="FQ105">
        <v>16.73</v>
      </c>
      <c r="FS105">
        <v>16.88</v>
      </c>
      <c r="FT105">
        <v>17.079999999999998</v>
      </c>
      <c r="FU105">
        <v>17.27</v>
      </c>
      <c r="FV105">
        <v>17.45</v>
      </c>
      <c r="FW105">
        <v>17.7</v>
      </c>
      <c r="FX105">
        <v>17.97</v>
      </c>
      <c r="FY105">
        <v>18.16</v>
      </c>
      <c r="FZ105">
        <v>18.3</v>
      </c>
      <c r="GA105">
        <v>18.63</v>
      </c>
      <c r="GB105">
        <v>19</v>
      </c>
      <c r="GC105">
        <v>19.36</v>
      </c>
      <c r="GD105">
        <v>19.78</v>
      </c>
      <c r="GE105">
        <v>20.27</v>
      </c>
      <c r="GF105">
        <v>20.57</v>
      </c>
      <c r="GG105">
        <v>20.72</v>
      </c>
      <c r="GH105">
        <v>21.21</v>
      </c>
      <c r="GI105">
        <v>21.67</v>
      </c>
      <c r="GJ105">
        <v>22.14</v>
      </c>
      <c r="GK105">
        <v>22.66</v>
      </c>
      <c r="GL105">
        <v>23.14</v>
      </c>
      <c r="GM105">
        <v>23.42</v>
      </c>
      <c r="GN105">
        <v>23.58</v>
      </c>
      <c r="GO105">
        <v>24.1</v>
      </c>
      <c r="GP105">
        <v>24.56</v>
      </c>
      <c r="GQ105">
        <v>25.1</v>
      </c>
      <c r="GR105">
        <v>25.71</v>
      </c>
      <c r="GS105">
        <v>26.37</v>
      </c>
      <c r="GT105">
        <v>26.74</v>
      </c>
      <c r="GU105">
        <v>27</v>
      </c>
      <c r="GV105">
        <v>27.7</v>
      </c>
      <c r="GW105">
        <v>28.42</v>
      </c>
      <c r="GX105">
        <v>29.04</v>
      </c>
      <c r="GY105">
        <v>29.76</v>
      </c>
      <c r="GZ105">
        <v>30.61</v>
      </c>
      <c r="HA105">
        <v>31.38</v>
      </c>
      <c r="HB105">
        <v>31.75</v>
      </c>
      <c r="HC105">
        <v>32.270000000000003</v>
      </c>
      <c r="HD105">
        <v>32.71</v>
      </c>
      <c r="HE105">
        <v>33.57</v>
      </c>
      <c r="HF105">
        <v>34.46</v>
      </c>
      <c r="HG105">
        <v>35.32</v>
      </c>
      <c r="HH105">
        <v>35.909999999999997</v>
      </c>
      <c r="HI105">
        <v>36.29</v>
      </c>
      <c r="HJ105">
        <v>37.159999999999997</v>
      </c>
      <c r="HK105">
        <v>38.049999999999997</v>
      </c>
      <c r="HL105">
        <v>38.89</v>
      </c>
      <c r="HN105">
        <v>40.299999999999997</v>
      </c>
      <c r="HO105">
        <v>40.72</v>
      </c>
      <c r="HP105">
        <v>40.97</v>
      </c>
      <c r="HQ105">
        <v>41.65</v>
      </c>
      <c r="HR105">
        <v>41.93</v>
      </c>
      <c r="HS105">
        <v>42.61</v>
      </c>
      <c r="HT105">
        <v>43.3</v>
      </c>
      <c r="HU105">
        <v>44.04</v>
      </c>
      <c r="HV105">
        <v>44.52</v>
      </c>
      <c r="HW105">
        <v>44.79</v>
      </c>
      <c r="HX105">
        <v>45.51</v>
      </c>
      <c r="HY105">
        <v>46.16</v>
      </c>
      <c r="HZ105">
        <v>46.93</v>
      </c>
      <c r="IA105">
        <v>47.69</v>
      </c>
      <c r="IB105">
        <v>48.47</v>
      </c>
      <c r="IC105">
        <v>49.04</v>
      </c>
      <c r="ID105">
        <v>49.35</v>
      </c>
      <c r="IE105">
        <v>50.18</v>
      </c>
      <c r="IF105">
        <v>51.02</v>
      </c>
      <c r="IG105">
        <v>51.84</v>
      </c>
      <c r="IH105">
        <v>52.54</v>
      </c>
      <c r="II105">
        <v>53.28</v>
      </c>
      <c r="IJ105">
        <v>53.7</v>
      </c>
      <c r="IK105">
        <v>53.97</v>
      </c>
      <c r="IL105">
        <v>54.61</v>
      </c>
      <c r="IM105">
        <v>55.31</v>
      </c>
      <c r="IN105">
        <v>55.94</v>
      </c>
      <c r="IO105">
        <v>56.5</v>
      </c>
      <c r="IP105">
        <v>57.05</v>
      </c>
      <c r="IQ105">
        <v>57.38</v>
      </c>
      <c r="IR105">
        <v>57.58</v>
      </c>
      <c r="IS105">
        <v>58.1</v>
      </c>
      <c r="IT105">
        <v>58.6</v>
      </c>
      <c r="IU105">
        <v>59.1</v>
      </c>
      <c r="IV105">
        <v>58.91</v>
      </c>
      <c r="IW105">
        <v>59.41</v>
      </c>
      <c r="IX105">
        <v>59.74</v>
      </c>
      <c r="IY105">
        <v>59.92</v>
      </c>
      <c r="IZ105">
        <v>60.46</v>
      </c>
      <c r="JA105">
        <v>60.92</v>
      </c>
      <c r="JB105">
        <v>61.17</v>
      </c>
      <c r="JC105">
        <v>61.87</v>
      </c>
      <c r="JD105">
        <v>62.38</v>
      </c>
      <c r="JE105">
        <v>62.7</v>
      </c>
      <c r="JF105">
        <v>62.91</v>
      </c>
      <c r="JG105">
        <v>63.15</v>
      </c>
      <c r="JH105">
        <v>63.74</v>
      </c>
      <c r="JI105">
        <v>64.290000000000006</v>
      </c>
      <c r="JJ105">
        <v>64.8</v>
      </c>
      <c r="JK105">
        <v>65.3</v>
      </c>
      <c r="JL105">
        <v>65.63</v>
      </c>
      <c r="JM105">
        <v>65.819999999999993</v>
      </c>
      <c r="JN105">
        <v>66.3</v>
      </c>
      <c r="JO105">
        <v>66.78</v>
      </c>
      <c r="JP105">
        <v>67.2</v>
      </c>
      <c r="JQ105">
        <v>67.62</v>
      </c>
      <c r="JR105">
        <v>68</v>
      </c>
      <c r="JS105">
        <v>68.260000000000005</v>
      </c>
      <c r="JT105">
        <v>68.41</v>
      </c>
      <c r="JU105">
        <v>68.819999999999993</v>
      </c>
      <c r="JV105">
        <v>69.19</v>
      </c>
      <c r="JW105">
        <v>69.569999999999993</v>
      </c>
      <c r="JX105">
        <v>69.95</v>
      </c>
      <c r="JY105">
        <v>70.38</v>
      </c>
      <c r="JZ105">
        <v>70.69</v>
      </c>
      <c r="KA105">
        <v>70.87</v>
      </c>
      <c r="KB105">
        <v>71.260000000000005</v>
      </c>
      <c r="KC105">
        <v>71.7</v>
      </c>
      <c r="KD105">
        <v>72.11</v>
      </c>
      <c r="KE105">
        <v>72.52</v>
      </c>
      <c r="KF105">
        <v>72.930000000000007</v>
      </c>
      <c r="KG105">
        <v>73.19</v>
      </c>
      <c r="KH105">
        <v>73.349999999999994</v>
      </c>
      <c r="KI105">
        <v>73.78</v>
      </c>
      <c r="KJ105">
        <v>74.2</v>
      </c>
      <c r="KK105">
        <v>74.59</v>
      </c>
      <c r="KL105">
        <v>75.010000000000005</v>
      </c>
      <c r="KM105">
        <v>75.39</v>
      </c>
      <c r="KN105">
        <v>75.61</v>
      </c>
      <c r="KO105">
        <v>75.75</v>
      </c>
      <c r="KP105">
        <v>76.099999999999994</v>
      </c>
      <c r="KQ105">
        <v>76.45</v>
      </c>
      <c r="KR105">
        <v>76.61</v>
      </c>
      <c r="KS105">
        <v>77.069999999999993</v>
      </c>
      <c r="KT105">
        <v>77.37</v>
      </c>
      <c r="KU105">
        <v>77.569999999999993</v>
      </c>
      <c r="KV105">
        <v>77.709999999999994</v>
      </c>
      <c r="KW105">
        <v>78.06</v>
      </c>
      <c r="KX105">
        <v>78.430000000000007</v>
      </c>
      <c r="KY105">
        <v>78.81</v>
      </c>
      <c r="KZ105">
        <v>79.16</v>
      </c>
      <c r="LA105">
        <v>79.5</v>
      </c>
      <c r="LB105">
        <v>79.69</v>
      </c>
      <c r="LC105">
        <v>79.8</v>
      </c>
      <c r="LD105">
        <v>80.13</v>
      </c>
      <c r="LE105">
        <v>80.45</v>
      </c>
      <c r="LF105">
        <v>80.75</v>
      </c>
      <c r="LG105">
        <v>81.040000000000006</v>
      </c>
      <c r="LH105">
        <v>81.319999999999993</v>
      </c>
      <c r="LI105">
        <v>81.48</v>
      </c>
      <c r="LJ105">
        <v>81.59</v>
      </c>
      <c r="LK105">
        <v>81.87</v>
      </c>
      <c r="LL105">
        <v>82.16</v>
      </c>
      <c r="LM105">
        <v>82.42</v>
      </c>
      <c r="LN105">
        <v>82.69</v>
      </c>
      <c r="LO105">
        <v>82.92</v>
      </c>
      <c r="LP105">
        <v>83.09</v>
      </c>
      <c r="LQ105">
        <v>83.18</v>
      </c>
      <c r="LR105">
        <v>83.43</v>
      </c>
      <c r="LS105">
        <v>83.7</v>
      </c>
      <c r="LT105">
        <v>83.94</v>
      </c>
      <c r="LU105">
        <v>84.19</v>
      </c>
      <c r="LV105">
        <v>84.45</v>
      </c>
      <c r="LW105">
        <v>84.6</v>
      </c>
      <c r="LX105">
        <v>84.68</v>
      </c>
      <c r="LY105">
        <v>84.94</v>
      </c>
      <c r="LZ105">
        <v>85.2</v>
      </c>
      <c r="MA105">
        <v>85.45</v>
      </c>
      <c r="MB105">
        <v>85.7</v>
      </c>
      <c r="MC105">
        <v>85.93</v>
      </c>
      <c r="MD105">
        <v>86.05</v>
      </c>
      <c r="ME105">
        <v>86.11</v>
      </c>
      <c r="MF105">
        <v>86.33</v>
      </c>
      <c r="MG105">
        <v>86.54</v>
      </c>
      <c r="MH105">
        <v>86.73</v>
      </c>
      <c r="MI105">
        <v>86.93</v>
      </c>
      <c r="MJ105">
        <v>87.13</v>
      </c>
      <c r="MK105">
        <v>87.24</v>
      </c>
      <c r="ML105">
        <v>87.3</v>
      </c>
      <c r="MN105">
        <v>87.5</v>
      </c>
      <c r="MO105">
        <v>87.85</v>
      </c>
      <c r="MP105">
        <v>88</v>
      </c>
      <c r="MQ105">
        <v>88.16</v>
      </c>
      <c r="MR105">
        <v>88.27</v>
      </c>
      <c r="MS105">
        <v>88.32</v>
      </c>
      <c r="MT105">
        <v>88.38</v>
      </c>
      <c r="MU105">
        <v>88.7</v>
      </c>
      <c r="MV105">
        <v>88.77</v>
      </c>
      <c r="MW105">
        <v>88.98</v>
      </c>
      <c r="MX105">
        <v>89.17</v>
      </c>
      <c r="MY105">
        <v>89.26</v>
      </c>
      <c r="MZ105">
        <v>89.32</v>
      </c>
      <c r="NA105">
        <v>89.49</v>
      </c>
      <c r="NB105">
        <v>89.67</v>
      </c>
      <c r="NC105">
        <v>89.84</v>
      </c>
      <c r="ND105">
        <v>90</v>
      </c>
      <c r="NE105">
        <v>90.15</v>
      </c>
      <c r="NF105">
        <v>90.22</v>
      </c>
      <c r="NG105">
        <v>90.27</v>
      </c>
      <c r="NH105">
        <v>90.68</v>
      </c>
      <c r="NK105">
        <v>90.73</v>
      </c>
      <c r="NL105">
        <v>90.78</v>
      </c>
      <c r="NM105">
        <v>90.85</v>
      </c>
      <c r="NN105">
        <v>90.88</v>
      </c>
      <c r="NO105">
        <v>91.02</v>
      </c>
      <c r="NP105">
        <v>91.16</v>
      </c>
      <c r="NQ105">
        <v>91.28</v>
      </c>
      <c r="NR105">
        <v>91.41</v>
      </c>
      <c r="NS105">
        <v>91.53</v>
      </c>
      <c r="NT105">
        <v>91.6</v>
      </c>
      <c r="NU105">
        <v>91.64</v>
      </c>
      <c r="NV105">
        <v>91.76</v>
      </c>
      <c r="NW105">
        <v>91.88</v>
      </c>
      <c r="NX105">
        <v>92.02</v>
      </c>
      <c r="NY105">
        <v>92.14</v>
      </c>
      <c r="NZ105">
        <v>92.19</v>
      </c>
      <c r="OA105">
        <v>92.24</v>
      </c>
      <c r="OB105">
        <v>92.26</v>
      </c>
      <c r="OC105">
        <v>92.3</v>
      </c>
      <c r="OJ105">
        <v>92.53</v>
      </c>
      <c r="OK105">
        <v>92.63</v>
      </c>
      <c r="OL105">
        <v>92.78</v>
      </c>
      <c r="OM105">
        <v>92.88</v>
      </c>
      <c r="ON105">
        <v>92.99</v>
      </c>
      <c r="OO105">
        <v>93.06</v>
      </c>
      <c r="OP105">
        <v>93.09</v>
      </c>
      <c r="OQ105">
        <v>93.2</v>
      </c>
      <c r="OR105">
        <v>93.32</v>
      </c>
      <c r="OS105">
        <v>93.44</v>
      </c>
      <c r="OT105">
        <v>93.56</v>
      </c>
      <c r="OU105">
        <v>93.68</v>
      </c>
      <c r="OV105">
        <v>93.75</v>
      </c>
      <c r="OW105">
        <v>93.8</v>
      </c>
      <c r="OX105">
        <v>93.92</v>
      </c>
      <c r="OY105">
        <v>94.03</v>
      </c>
      <c r="OZ105">
        <v>94.15</v>
      </c>
      <c r="PA105">
        <v>94.25</v>
      </c>
      <c r="PC105">
        <v>94.41</v>
      </c>
      <c r="PD105">
        <v>94.45</v>
      </c>
      <c r="PE105">
        <v>94.56</v>
      </c>
      <c r="PF105">
        <v>94.65</v>
      </c>
      <c r="PG105">
        <v>94.75</v>
      </c>
      <c r="PH105">
        <v>94.94</v>
      </c>
      <c r="PJ105">
        <v>95</v>
      </c>
      <c r="PK105">
        <v>95.05</v>
      </c>
      <c r="PL105">
        <v>95.15</v>
      </c>
      <c r="PM105">
        <v>95.26</v>
      </c>
      <c r="PN105">
        <v>95.37</v>
      </c>
      <c r="PO105">
        <v>95.47</v>
      </c>
      <c r="PP105">
        <v>95.58</v>
      </c>
      <c r="PQ105">
        <v>106.73</v>
      </c>
      <c r="PR105">
        <v>106.86</v>
      </c>
      <c r="PS105">
        <v>107.19</v>
      </c>
      <c r="PT105">
        <v>107.52</v>
      </c>
      <c r="PU105">
        <v>107.78</v>
      </c>
      <c r="PV105">
        <v>108.19</v>
      </c>
      <c r="PW105">
        <v>108.52</v>
      </c>
      <c r="PX105">
        <v>108.73</v>
      </c>
      <c r="PY105">
        <v>108.83</v>
      </c>
      <c r="PZ105">
        <v>109.13</v>
      </c>
      <c r="QA105">
        <v>109.44</v>
      </c>
      <c r="QB105">
        <v>109.73</v>
      </c>
      <c r="QC105">
        <v>109.82</v>
      </c>
      <c r="QD105">
        <v>109.9</v>
      </c>
      <c r="QE105">
        <v>109.9</v>
      </c>
      <c r="QF105">
        <v>109.95</v>
      </c>
      <c r="QG105">
        <v>109.98</v>
      </c>
      <c r="QH105">
        <v>110.06</v>
      </c>
      <c r="QI105">
        <v>110.13</v>
      </c>
    </row>
    <row r="106" spans="1:812">
      <c r="A106" s="1" t="s">
        <v>92</v>
      </c>
      <c r="B106" t="s">
        <v>339</v>
      </c>
      <c r="CI106">
        <v>0</v>
      </c>
      <c r="CO106">
        <v>0.01</v>
      </c>
      <c r="CS106">
        <v>0.02</v>
      </c>
      <c r="CV106">
        <v>0.04</v>
      </c>
      <c r="DC106">
        <v>0.12</v>
      </c>
      <c r="DE106">
        <v>0.17</v>
      </c>
      <c r="DJ106">
        <v>0.3</v>
      </c>
      <c r="DM106">
        <v>0.37</v>
      </c>
      <c r="DQ106">
        <v>0.63</v>
      </c>
      <c r="DR106">
        <v>0.78</v>
      </c>
      <c r="DX106">
        <v>1.06</v>
      </c>
      <c r="DZ106">
        <v>1.21</v>
      </c>
      <c r="EE106">
        <v>1.4</v>
      </c>
      <c r="EL106">
        <v>1.59</v>
      </c>
      <c r="FA106">
        <v>1.73</v>
      </c>
      <c r="FB106">
        <v>1.74</v>
      </c>
      <c r="FG106">
        <v>1.76</v>
      </c>
      <c r="FH106">
        <v>1.76</v>
      </c>
      <c r="FI106">
        <v>1.77</v>
      </c>
      <c r="FK106">
        <v>1.77</v>
      </c>
      <c r="FL106">
        <v>1.78</v>
      </c>
      <c r="FM106">
        <v>1.78</v>
      </c>
      <c r="FN106">
        <v>1.79</v>
      </c>
      <c r="FO106">
        <v>1.79</v>
      </c>
      <c r="FP106">
        <v>1.8</v>
      </c>
      <c r="FQ106">
        <v>1.8</v>
      </c>
      <c r="FS106">
        <v>1.8</v>
      </c>
      <c r="FU106">
        <v>1.81</v>
      </c>
      <c r="FV106">
        <v>1.81</v>
      </c>
      <c r="FW106">
        <v>1.82</v>
      </c>
      <c r="FX106">
        <v>1.83</v>
      </c>
      <c r="FY106">
        <v>1.83</v>
      </c>
      <c r="FZ106">
        <v>1.84</v>
      </c>
      <c r="GA106">
        <v>1.87</v>
      </c>
      <c r="GB106">
        <v>1.92</v>
      </c>
      <c r="GC106">
        <v>1.97</v>
      </c>
      <c r="GD106">
        <v>2.04</v>
      </c>
      <c r="GF106">
        <v>2.0699999999999998</v>
      </c>
      <c r="GG106">
        <v>2.08</v>
      </c>
      <c r="GH106">
        <v>2.12</v>
      </c>
      <c r="GI106">
        <v>2.15</v>
      </c>
      <c r="GJ106">
        <v>2.17</v>
      </c>
      <c r="GK106">
        <v>2.1800000000000002</v>
      </c>
      <c r="GL106">
        <v>2.2000000000000002</v>
      </c>
      <c r="GM106">
        <v>2.2000000000000002</v>
      </c>
      <c r="GN106">
        <v>2.21</v>
      </c>
      <c r="GO106">
        <v>2.21</v>
      </c>
      <c r="GP106">
        <v>2.23</v>
      </c>
      <c r="GQ106">
        <v>2.27</v>
      </c>
      <c r="GS106">
        <v>2.38</v>
      </c>
      <c r="GT106">
        <v>2.39</v>
      </c>
      <c r="GU106">
        <v>2.4</v>
      </c>
      <c r="GV106">
        <v>2.48</v>
      </c>
      <c r="GW106">
        <v>2.56</v>
      </c>
      <c r="GX106">
        <v>2.64</v>
      </c>
      <c r="GY106">
        <v>2.69</v>
      </c>
      <c r="GZ106">
        <v>2.73</v>
      </c>
      <c r="HA106">
        <v>2.74</v>
      </c>
      <c r="HB106">
        <v>2.75</v>
      </c>
      <c r="HC106">
        <v>2.78</v>
      </c>
      <c r="HD106">
        <v>2.81</v>
      </c>
      <c r="HE106">
        <v>2.84</v>
      </c>
      <c r="HF106">
        <v>2.85</v>
      </c>
      <c r="HH106">
        <v>2.86</v>
      </c>
      <c r="HI106">
        <v>2.88</v>
      </c>
      <c r="HJ106">
        <v>2.88</v>
      </c>
      <c r="HK106">
        <v>2.91</v>
      </c>
      <c r="HL106">
        <v>2.99</v>
      </c>
      <c r="HN106">
        <v>3.01</v>
      </c>
      <c r="HO106">
        <v>3.01</v>
      </c>
      <c r="HQ106">
        <v>3.04</v>
      </c>
      <c r="HR106">
        <v>3.04</v>
      </c>
      <c r="HS106">
        <v>3.07</v>
      </c>
      <c r="HT106">
        <v>3.09</v>
      </c>
      <c r="HU106">
        <v>3.11</v>
      </c>
      <c r="HV106">
        <v>3.11</v>
      </c>
      <c r="HW106">
        <v>3.11</v>
      </c>
      <c r="HX106">
        <v>3.13</v>
      </c>
      <c r="HY106">
        <v>3.15</v>
      </c>
      <c r="HZ106">
        <v>3.18</v>
      </c>
      <c r="IA106">
        <v>3.18</v>
      </c>
      <c r="IC106">
        <v>3.21</v>
      </c>
      <c r="ID106">
        <v>3.21</v>
      </c>
      <c r="IE106">
        <v>3.22</v>
      </c>
      <c r="IF106">
        <v>3.24</v>
      </c>
      <c r="IG106">
        <v>3.26</v>
      </c>
      <c r="IH106">
        <v>3.29</v>
      </c>
      <c r="II106">
        <v>3.34</v>
      </c>
      <c r="IK106">
        <v>3.36</v>
      </c>
      <c r="IL106">
        <v>3.43</v>
      </c>
      <c r="IM106">
        <v>3.5</v>
      </c>
      <c r="IN106">
        <v>3.57</v>
      </c>
      <c r="IO106">
        <v>3.66</v>
      </c>
      <c r="IP106">
        <v>3.74</v>
      </c>
      <c r="IQ106">
        <v>3.78</v>
      </c>
      <c r="IR106">
        <v>3.82</v>
      </c>
      <c r="IT106">
        <v>4.01</v>
      </c>
      <c r="IU106">
        <v>4.13</v>
      </c>
      <c r="IV106">
        <v>4.17</v>
      </c>
      <c r="IW106">
        <v>4.32</v>
      </c>
      <c r="IX106">
        <v>4.3600000000000003</v>
      </c>
      <c r="IY106">
        <v>4.3899999999999997</v>
      </c>
      <c r="IZ106">
        <v>4.55</v>
      </c>
      <c r="JA106">
        <v>4.7</v>
      </c>
      <c r="JB106">
        <v>4.82</v>
      </c>
      <c r="JC106">
        <v>4.9000000000000004</v>
      </c>
      <c r="JE106">
        <v>4.99</v>
      </c>
      <c r="JF106">
        <v>5.01</v>
      </c>
      <c r="JG106">
        <v>5.04</v>
      </c>
      <c r="JH106">
        <v>5.08</v>
      </c>
      <c r="JK106">
        <v>5.19</v>
      </c>
      <c r="JL106">
        <v>5.21</v>
      </c>
      <c r="JM106">
        <v>5.22</v>
      </c>
      <c r="JN106">
        <v>5.23</v>
      </c>
      <c r="JO106">
        <v>5.34</v>
      </c>
      <c r="JQ106">
        <v>5.51</v>
      </c>
      <c r="JS106">
        <v>5.62</v>
      </c>
      <c r="JT106">
        <v>5.64</v>
      </c>
      <c r="JV106">
        <v>5.81</v>
      </c>
      <c r="JW106">
        <v>5.9</v>
      </c>
      <c r="JX106">
        <v>5.98</v>
      </c>
      <c r="KA106">
        <v>6.12</v>
      </c>
      <c r="KB106">
        <v>6.2</v>
      </c>
      <c r="KC106">
        <v>6.29</v>
      </c>
      <c r="KD106">
        <v>6.38</v>
      </c>
      <c r="KE106">
        <v>6.46</v>
      </c>
      <c r="KF106">
        <v>6.55</v>
      </c>
      <c r="KG106">
        <v>6.57</v>
      </c>
      <c r="KI106">
        <v>6.66</v>
      </c>
      <c r="KJ106">
        <v>6.75</v>
      </c>
      <c r="KL106">
        <v>6.93</v>
      </c>
      <c r="KQ106">
        <v>7.26</v>
      </c>
      <c r="LN106">
        <v>9.6199999999999992</v>
      </c>
      <c r="LO106">
        <v>9.65</v>
      </c>
      <c r="LS106">
        <v>9.9700000000000006</v>
      </c>
      <c r="LX106">
        <v>10.35</v>
      </c>
      <c r="MA106">
        <v>10.72</v>
      </c>
      <c r="MD106">
        <v>10.91</v>
      </c>
      <c r="ME106">
        <v>11.06</v>
      </c>
      <c r="MM106">
        <v>12</v>
      </c>
      <c r="MR106">
        <v>12.66</v>
      </c>
      <c r="MS106">
        <v>12.85</v>
      </c>
      <c r="MT106">
        <v>13.05</v>
      </c>
      <c r="MV106">
        <v>13.49</v>
      </c>
      <c r="MY106">
        <v>13.79</v>
      </c>
      <c r="ND106">
        <v>14.81</v>
      </c>
      <c r="NH106">
        <v>15.24</v>
      </c>
      <c r="NJ106">
        <v>15.78</v>
      </c>
      <c r="NS106">
        <v>17.399999999999999</v>
      </c>
      <c r="OA106">
        <v>18.43</v>
      </c>
      <c r="OB106">
        <v>18.59</v>
      </c>
      <c r="OC106">
        <v>18.75</v>
      </c>
      <c r="OD106">
        <v>18.84</v>
      </c>
      <c r="OE106">
        <v>19.05</v>
      </c>
      <c r="OH106">
        <v>19.3</v>
      </c>
      <c r="OU106">
        <v>20.96</v>
      </c>
      <c r="OV106">
        <v>20.99</v>
      </c>
      <c r="OW106">
        <v>21.01</v>
      </c>
      <c r="OX106">
        <v>21.14</v>
      </c>
      <c r="OY106">
        <v>21.3</v>
      </c>
      <c r="OZ106">
        <v>21.43</v>
      </c>
      <c r="PA106">
        <v>21.57</v>
      </c>
      <c r="PB106">
        <v>21.8</v>
      </c>
      <c r="PC106">
        <v>22.02</v>
      </c>
      <c r="PE106">
        <v>22.64</v>
      </c>
      <c r="PF106">
        <v>23.01</v>
      </c>
      <c r="PG106">
        <v>23.43</v>
      </c>
      <c r="PH106">
        <v>23.89</v>
      </c>
      <c r="PI106">
        <v>24.37</v>
      </c>
      <c r="PK106">
        <v>25.07</v>
      </c>
      <c r="PL106">
        <v>25.41</v>
      </c>
      <c r="PM106">
        <v>25.81</v>
      </c>
      <c r="PN106">
        <v>26.31</v>
      </c>
      <c r="PO106">
        <v>26.82</v>
      </c>
      <c r="PP106">
        <v>27.34</v>
      </c>
      <c r="PQ106">
        <v>27.71</v>
      </c>
      <c r="PR106">
        <v>28.08</v>
      </c>
      <c r="PS106">
        <v>28.4</v>
      </c>
      <c r="PU106">
        <v>28.94</v>
      </c>
      <c r="PV106">
        <v>29.13</v>
      </c>
      <c r="PW106">
        <v>29.28</v>
      </c>
      <c r="PX106">
        <v>29.34</v>
      </c>
      <c r="PY106">
        <v>29.38</v>
      </c>
      <c r="PZ106">
        <v>29.5</v>
      </c>
      <c r="QA106">
        <v>29.64</v>
      </c>
      <c r="QB106">
        <v>29.79</v>
      </c>
      <c r="QD106">
        <v>30.07</v>
      </c>
      <c r="QE106">
        <v>30.15</v>
      </c>
      <c r="QF106">
        <v>30.22</v>
      </c>
      <c r="QG106">
        <v>30.36</v>
      </c>
      <c r="QH106">
        <v>30.44</v>
      </c>
      <c r="QP106">
        <v>31.02</v>
      </c>
      <c r="QQ106">
        <v>31.11</v>
      </c>
      <c r="QS106">
        <v>31.15</v>
      </c>
      <c r="QT106">
        <v>31.23</v>
      </c>
      <c r="QY106">
        <v>31.51</v>
      </c>
    </row>
    <row r="107" spans="1:812">
      <c r="A107" s="1" t="s">
        <v>422</v>
      </c>
      <c r="IK107">
        <v>11.7</v>
      </c>
      <c r="JU107">
        <v>25.81</v>
      </c>
      <c r="KI107">
        <v>29.93</v>
      </c>
      <c r="KP107">
        <v>37.4</v>
      </c>
      <c r="KW107">
        <v>42.37</v>
      </c>
      <c r="LJ107">
        <v>53.78</v>
      </c>
      <c r="ME107">
        <v>60.07</v>
      </c>
      <c r="MT107">
        <v>67.69</v>
      </c>
      <c r="OC107">
        <v>86.14</v>
      </c>
      <c r="OJ107">
        <v>92.01</v>
      </c>
      <c r="PK107">
        <v>99.35</v>
      </c>
      <c r="QM107">
        <v>104.56</v>
      </c>
      <c r="RA107">
        <v>110.35</v>
      </c>
      <c r="RM107">
        <v>112.66</v>
      </c>
      <c r="SK107">
        <v>118.81</v>
      </c>
      <c r="TF107">
        <v>121.51</v>
      </c>
      <c r="WD107">
        <v>121.68</v>
      </c>
      <c r="XM107">
        <v>124.06</v>
      </c>
      <c r="ZX107">
        <v>139.38</v>
      </c>
      <c r="AAE107">
        <v>143.9</v>
      </c>
      <c r="AAL107">
        <v>147.44</v>
      </c>
      <c r="ACX107">
        <v>164.12</v>
      </c>
      <c r="ADR107">
        <v>167.62</v>
      </c>
    </row>
    <row r="108" spans="1:812">
      <c r="A108" s="1" t="s">
        <v>307</v>
      </c>
      <c r="B108" t="s">
        <v>307</v>
      </c>
      <c r="DG108">
        <v>0</v>
      </c>
      <c r="DM108">
        <v>0.04</v>
      </c>
      <c r="DN108">
        <v>0.13</v>
      </c>
      <c r="DX108">
        <v>0.55000000000000004</v>
      </c>
      <c r="EB108">
        <v>0.83</v>
      </c>
      <c r="EG108">
        <v>1.1399999999999999</v>
      </c>
      <c r="FE108">
        <v>2.39</v>
      </c>
      <c r="FH108">
        <v>2.86</v>
      </c>
      <c r="FU108">
        <v>3.61</v>
      </c>
      <c r="FY108">
        <v>4.1500000000000004</v>
      </c>
      <c r="GF108">
        <v>5.08</v>
      </c>
      <c r="GM108">
        <v>6.93</v>
      </c>
      <c r="GW108">
        <v>9.26</v>
      </c>
      <c r="HE108">
        <v>12.59</v>
      </c>
      <c r="HF108">
        <v>12.97</v>
      </c>
      <c r="HG108">
        <v>13.09</v>
      </c>
      <c r="HH108">
        <v>13.13</v>
      </c>
      <c r="HI108">
        <v>13.5</v>
      </c>
      <c r="HJ108">
        <v>14</v>
      </c>
      <c r="HK108">
        <v>14.6</v>
      </c>
      <c r="HL108">
        <v>15.2</v>
      </c>
      <c r="HM108">
        <v>15.83</v>
      </c>
      <c r="HN108">
        <v>16.059999999999999</v>
      </c>
      <c r="HQ108">
        <v>16.77</v>
      </c>
      <c r="HS108">
        <v>17.27</v>
      </c>
      <c r="HT108">
        <v>17.760000000000002</v>
      </c>
      <c r="HW108">
        <v>18.52</v>
      </c>
      <c r="HX108">
        <v>19.36</v>
      </c>
      <c r="HY108">
        <v>20.079999999999998</v>
      </c>
      <c r="HZ108">
        <v>20.71</v>
      </c>
      <c r="IA108">
        <v>21.37</v>
      </c>
      <c r="IB108">
        <v>22.19</v>
      </c>
      <c r="IE108">
        <v>23.06</v>
      </c>
      <c r="IF108">
        <v>23.82</v>
      </c>
      <c r="IG108">
        <v>24.31</v>
      </c>
      <c r="IH108">
        <v>24.74</v>
      </c>
      <c r="II108">
        <v>25.23</v>
      </c>
      <c r="IL108">
        <v>26.12</v>
      </c>
      <c r="IM108">
        <v>26.99</v>
      </c>
      <c r="IP108">
        <v>28.92</v>
      </c>
      <c r="IS108">
        <v>31.13</v>
      </c>
      <c r="JE108">
        <v>41.81</v>
      </c>
      <c r="JK108">
        <v>46.62</v>
      </c>
      <c r="JL108">
        <v>47.74</v>
      </c>
      <c r="JN108">
        <v>48.56</v>
      </c>
      <c r="JP108">
        <v>50.46</v>
      </c>
      <c r="JQ108">
        <v>51.53</v>
      </c>
      <c r="JR108">
        <v>52.55</v>
      </c>
      <c r="JS108">
        <v>53.5</v>
      </c>
      <c r="JT108">
        <v>54.16</v>
      </c>
      <c r="JU108">
        <v>55.2</v>
      </c>
      <c r="JV108">
        <v>56.38</v>
      </c>
      <c r="JW108">
        <v>57.45</v>
      </c>
      <c r="JX108">
        <v>58.43</v>
      </c>
      <c r="JY108">
        <v>59.39</v>
      </c>
      <c r="JZ108">
        <v>60.38</v>
      </c>
      <c r="KA108">
        <v>60.85</v>
      </c>
      <c r="KB108">
        <v>61.77</v>
      </c>
      <c r="KC108">
        <v>62.61</v>
      </c>
      <c r="KD108">
        <v>63.44</v>
      </c>
      <c r="KE108">
        <v>64.260000000000005</v>
      </c>
      <c r="KF108">
        <v>65.069999999999993</v>
      </c>
      <c r="KG108">
        <v>65.92</v>
      </c>
      <c r="KH108">
        <v>66.42</v>
      </c>
      <c r="KI108">
        <v>67.23</v>
      </c>
      <c r="KJ108">
        <v>67.930000000000007</v>
      </c>
      <c r="KL108">
        <v>75.680000000000007</v>
      </c>
      <c r="KQ108">
        <v>78.7</v>
      </c>
      <c r="KS108">
        <v>79.98</v>
      </c>
      <c r="KT108">
        <v>80.67</v>
      </c>
      <c r="KV108">
        <v>82.06</v>
      </c>
      <c r="KX108">
        <v>83.14</v>
      </c>
      <c r="KZ108">
        <v>83.91</v>
      </c>
      <c r="LE108">
        <v>85.3</v>
      </c>
      <c r="LH108">
        <v>86.32</v>
      </c>
      <c r="LN108">
        <v>87.79</v>
      </c>
      <c r="LO108">
        <v>88.22</v>
      </c>
      <c r="LT108">
        <v>88.73</v>
      </c>
      <c r="LZ108">
        <v>89.08</v>
      </c>
      <c r="MB108">
        <v>89.33</v>
      </c>
      <c r="MF108">
        <v>89.63</v>
      </c>
      <c r="MM108">
        <v>90.2</v>
      </c>
      <c r="MN108">
        <v>90.3</v>
      </c>
      <c r="MT108">
        <v>90.64</v>
      </c>
      <c r="MU108">
        <v>90.76</v>
      </c>
      <c r="MW108">
        <v>91</v>
      </c>
      <c r="NA108">
        <v>91.47</v>
      </c>
      <c r="NB108">
        <v>91.65</v>
      </c>
      <c r="NG108">
        <v>92.29</v>
      </c>
      <c r="NH108">
        <v>92.46</v>
      </c>
      <c r="NI108">
        <v>92.6</v>
      </c>
      <c r="NK108">
        <v>92.69</v>
      </c>
      <c r="NL108">
        <v>92.8</v>
      </c>
      <c r="NN108">
        <v>92.86</v>
      </c>
      <c r="NQ108">
        <v>93.21</v>
      </c>
      <c r="NV108">
        <v>93.49</v>
      </c>
      <c r="OC108">
        <v>94.1</v>
      </c>
      <c r="OD108">
        <v>94.25</v>
      </c>
      <c r="OF108">
        <v>94.71</v>
      </c>
      <c r="OH108">
        <v>94.99</v>
      </c>
      <c r="OJ108">
        <v>95.27</v>
      </c>
      <c r="OO108">
        <v>96.3</v>
      </c>
      <c r="OQ108">
        <v>96.68</v>
      </c>
      <c r="OS108">
        <v>97.24</v>
      </c>
      <c r="OU108">
        <v>97.75</v>
      </c>
      <c r="OV108">
        <v>97.97</v>
      </c>
      <c r="OX108">
        <v>98.44</v>
      </c>
      <c r="OZ108">
        <v>99.01</v>
      </c>
      <c r="PC108">
        <v>99.66</v>
      </c>
      <c r="PF108">
        <v>100.09</v>
      </c>
      <c r="PH108">
        <v>100.39</v>
      </c>
      <c r="PQ108">
        <v>101.07</v>
      </c>
      <c r="PT108">
        <v>101.24</v>
      </c>
      <c r="PW108">
        <v>101.38</v>
      </c>
      <c r="PX108">
        <v>101.41</v>
      </c>
      <c r="PZ108">
        <v>101.49</v>
      </c>
      <c r="QH108">
        <v>101.83</v>
      </c>
      <c r="QI108">
        <v>101.85</v>
      </c>
      <c r="QJ108">
        <v>101.88</v>
      </c>
      <c r="QK108">
        <v>101.89</v>
      </c>
      <c r="QL108">
        <v>101.89</v>
      </c>
      <c r="QM108">
        <v>101.92</v>
      </c>
      <c r="QN108">
        <v>101.94</v>
      </c>
      <c r="QO108">
        <v>101.95</v>
      </c>
      <c r="QP108">
        <v>101.99</v>
      </c>
      <c r="QQ108">
        <v>101.99</v>
      </c>
      <c r="QR108">
        <v>102</v>
      </c>
      <c r="QS108">
        <v>102</v>
      </c>
      <c r="QT108">
        <v>102.02</v>
      </c>
      <c r="QU108">
        <v>102.04</v>
      </c>
      <c r="QV108">
        <v>102.06</v>
      </c>
      <c r="QW108">
        <v>102.08</v>
      </c>
      <c r="QX108">
        <v>102.1</v>
      </c>
      <c r="QY108">
        <v>102.1</v>
      </c>
      <c r="QZ108">
        <v>102.11</v>
      </c>
      <c r="RA108">
        <v>102.13</v>
      </c>
      <c r="RB108">
        <v>102.15</v>
      </c>
      <c r="RD108">
        <v>102.18</v>
      </c>
      <c r="RE108">
        <v>102.19</v>
      </c>
      <c r="RF108">
        <v>102.2</v>
      </c>
      <c r="RG108">
        <v>102.2</v>
      </c>
      <c r="RH108">
        <v>102.21</v>
      </c>
      <c r="RI108">
        <v>102.23</v>
      </c>
      <c r="RJ108">
        <v>102.25</v>
      </c>
      <c r="RK108">
        <v>102.26</v>
      </c>
      <c r="RL108">
        <v>102.28</v>
      </c>
      <c r="RM108">
        <v>102.29</v>
      </c>
      <c r="RN108">
        <v>102.3</v>
      </c>
      <c r="RO108">
        <v>102.31</v>
      </c>
      <c r="RP108">
        <v>102.32</v>
      </c>
      <c r="RQ108">
        <v>102.33</v>
      </c>
      <c r="RR108">
        <v>102.35</v>
      </c>
      <c r="RS108">
        <v>102.35</v>
      </c>
      <c r="RT108">
        <v>102.36</v>
      </c>
      <c r="RU108">
        <v>102.37</v>
      </c>
      <c r="RV108">
        <v>102.38</v>
      </c>
      <c r="RW108">
        <v>102.4</v>
      </c>
      <c r="RX108">
        <v>102.4</v>
      </c>
      <c r="RY108">
        <v>102.41</v>
      </c>
      <c r="RZ108">
        <v>102.42</v>
      </c>
      <c r="SA108">
        <v>102.43</v>
      </c>
      <c r="SD108">
        <v>102.43</v>
      </c>
      <c r="SE108">
        <v>102.45</v>
      </c>
      <c r="SF108">
        <v>102.45</v>
      </c>
      <c r="SG108">
        <v>102.47</v>
      </c>
      <c r="SH108">
        <v>102.47</v>
      </c>
      <c r="SI108">
        <v>102.48</v>
      </c>
      <c r="SJ108">
        <v>102.48</v>
      </c>
      <c r="SL108">
        <v>102.48</v>
      </c>
      <c r="SM108">
        <v>102.5</v>
      </c>
      <c r="SN108">
        <v>102.51</v>
      </c>
      <c r="SO108">
        <v>102.52</v>
      </c>
      <c r="SP108">
        <v>102.52</v>
      </c>
      <c r="SQ108">
        <v>102.52</v>
      </c>
      <c r="SR108">
        <v>102.53</v>
      </c>
      <c r="SS108">
        <v>102.54</v>
      </c>
      <c r="ST108">
        <v>102.55</v>
      </c>
      <c r="SU108">
        <v>102.56</v>
      </c>
      <c r="SV108">
        <v>102.56</v>
      </c>
      <c r="SW108">
        <v>102.56</v>
      </c>
      <c r="SX108">
        <v>102.57</v>
      </c>
      <c r="SY108">
        <v>102.57</v>
      </c>
      <c r="SZ108">
        <v>102.58</v>
      </c>
      <c r="TA108">
        <v>102.59</v>
      </c>
      <c r="TB108">
        <v>102.59</v>
      </c>
      <c r="TC108">
        <v>102.6</v>
      </c>
      <c r="TD108">
        <v>102.6</v>
      </c>
      <c r="TE108">
        <v>102.6</v>
      </c>
      <c r="TF108">
        <v>102.61</v>
      </c>
      <c r="TG108">
        <v>102.62</v>
      </c>
      <c r="TH108">
        <v>102.62</v>
      </c>
      <c r="TI108">
        <v>102.62</v>
      </c>
      <c r="TJ108">
        <v>102.63</v>
      </c>
      <c r="TK108">
        <v>102.63</v>
      </c>
      <c r="TL108">
        <v>102.63</v>
      </c>
      <c r="TM108">
        <v>102.64</v>
      </c>
      <c r="TN108">
        <v>102.64</v>
      </c>
      <c r="TO108">
        <v>102.65</v>
      </c>
      <c r="TP108">
        <v>102.65</v>
      </c>
      <c r="TQ108">
        <v>102.65</v>
      </c>
      <c r="TR108">
        <v>102.65</v>
      </c>
      <c r="TS108">
        <v>102.66</v>
      </c>
      <c r="TT108">
        <v>102.66</v>
      </c>
      <c r="TU108">
        <v>102.67</v>
      </c>
      <c r="TV108">
        <v>102.67</v>
      </c>
      <c r="TW108">
        <v>102.67</v>
      </c>
      <c r="TX108">
        <v>102.68</v>
      </c>
      <c r="UA108">
        <v>102.68</v>
      </c>
      <c r="UB108">
        <v>102.69</v>
      </c>
      <c r="UC108">
        <v>102.69</v>
      </c>
      <c r="UD108">
        <v>102.69</v>
      </c>
      <c r="UE108">
        <v>102.7</v>
      </c>
      <c r="UF108">
        <v>102.7</v>
      </c>
      <c r="UG108">
        <v>102.7</v>
      </c>
      <c r="UH108">
        <v>102.7</v>
      </c>
      <c r="UI108">
        <v>102.7</v>
      </c>
      <c r="UJ108">
        <v>102.7</v>
      </c>
      <c r="UK108">
        <v>102.71</v>
      </c>
      <c r="UL108">
        <v>102.71</v>
      </c>
      <c r="UM108">
        <v>102.71</v>
      </c>
      <c r="UN108">
        <v>102.71</v>
      </c>
      <c r="UO108">
        <v>102.71</v>
      </c>
      <c r="UP108">
        <v>102.72</v>
      </c>
      <c r="UQ108">
        <v>102.72</v>
      </c>
      <c r="UR108">
        <v>102.72</v>
      </c>
      <c r="US108">
        <v>102.73</v>
      </c>
      <c r="UU108">
        <v>102.73</v>
      </c>
      <c r="UV108">
        <v>102.73</v>
      </c>
      <c r="UW108">
        <v>102.74</v>
      </c>
      <c r="UX108">
        <v>102.74</v>
      </c>
      <c r="UY108">
        <v>102.74</v>
      </c>
      <c r="VA108">
        <v>102.75</v>
      </c>
      <c r="VB108">
        <v>102.75</v>
      </c>
      <c r="VC108">
        <v>102.75</v>
      </c>
      <c r="VD108">
        <v>102.77</v>
      </c>
      <c r="VE108">
        <v>102.78</v>
      </c>
      <c r="VF108">
        <v>102.8</v>
      </c>
      <c r="VG108">
        <v>102.81</v>
      </c>
      <c r="VI108">
        <v>102.82</v>
      </c>
      <c r="VJ108">
        <v>102.84</v>
      </c>
      <c r="VK108">
        <v>102.86</v>
      </c>
      <c r="VL108">
        <v>102.87</v>
      </c>
      <c r="VM108">
        <v>102.88</v>
      </c>
      <c r="VN108">
        <v>102.89</v>
      </c>
      <c r="VO108">
        <v>102.89</v>
      </c>
      <c r="VP108">
        <v>102.89</v>
      </c>
      <c r="VQ108">
        <v>102.9</v>
      </c>
      <c r="VR108">
        <v>102.91</v>
      </c>
      <c r="VS108">
        <v>102.91</v>
      </c>
      <c r="VT108">
        <v>102.92</v>
      </c>
      <c r="VU108">
        <v>102.93</v>
      </c>
      <c r="VV108">
        <v>102.93</v>
      </c>
      <c r="VW108">
        <v>102.93</v>
      </c>
      <c r="VX108">
        <v>102.94</v>
      </c>
      <c r="VY108">
        <v>102.94</v>
      </c>
      <c r="VZ108">
        <v>102.94</v>
      </c>
      <c r="WA108">
        <v>102.95</v>
      </c>
      <c r="WB108">
        <v>102.95</v>
      </c>
      <c r="WC108">
        <v>102.95</v>
      </c>
      <c r="WD108">
        <v>102.95</v>
      </c>
      <c r="WE108">
        <v>102.96</v>
      </c>
      <c r="WF108">
        <v>102.96</v>
      </c>
      <c r="WG108">
        <v>102.96</v>
      </c>
      <c r="WH108">
        <v>102.97</v>
      </c>
      <c r="WI108">
        <v>102.97</v>
      </c>
      <c r="WJ108">
        <v>102.97</v>
      </c>
      <c r="WK108">
        <v>102.97</v>
      </c>
      <c r="WL108">
        <v>102.97</v>
      </c>
      <c r="WM108">
        <v>102.98</v>
      </c>
      <c r="WN108">
        <v>102.98</v>
      </c>
      <c r="WO108">
        <v>102.98</v>
      </c>
      <c r="WQ108">
        <v>102.98</v>
      </c>
      <c r="WR108">
        <v>102.98</v>
      </c>
      <c r="WS108">
        <v>102.99</v>
      </c>
      <c r="WT108">
        <v>102.99</v>
      </c>
      <c r="WU108">
        <v>102.99</v>
      </c>
      <c r="WV108">
        <v>103</v>
      </c>
      <c r="XA108">
        <v>103</v>
      </c>
      <c r="XG108">
        <v>103.01</v>
      </c>
      <c r="XL108">
        <v>103.01</v>
      </c>
      <c r="XO108">
        <v>103.02</v>
      </c>
      <c r="XP108">
        <v>103.02</v>
      </c>
      <c r="XQ108">
        <v>103.02</v>
      </c>
      <c r="XS108">
        <v>103.02</v>
      </c>
      <c r="XT108">
        <v>103.02</v>
      </c>
      <c r="XU108">
        <v>103.03</v>
      </c>
      <c r="XV108">
        <v>103.03</v>
      </c>
      <c r="XW108">
        <v>103.03</v>
      </c>
      <c r="XX108">
        <v>103.03</v>
      </c>
      <c r="XY108">
        <v>103.03</v>
      </c>
      <c r="XZ108">
        <v>103.03</v>
      </c>
      <c r="YA108">
        <v>103.03</v>
      </c>
      <c r="YB108">
        <v>103.03</v>
      </c>
      <c r="YC108">
        <v>103.03</v>
      </c>
      <c r="YD108">
        <v>103.03</v>
      </c>
      <c r="YE108">
        <v>103.04</v>
      </c>
      <c r="YF108">
        <v>103.04</v>
      </c>
      <c r="YG108">
        <v>103.04</v>
      </c>
      <c r="YH108">
        <v>103.04</v>
      </c>
      <c r="YI108">
        <v>103.04</v>
      </c>
      <c r="YJ108">
        <v>103.04</v>
      </c>
      <c r="YK108">
        <v>103.04</v>
      </c>
      <c r="YL108">
        <v>103.04</v>
      </c>
      <c r="YM108">
        <v>103.04</v>
      </c>
      <c r="YN108">
        <v>103.04</v>
      </c>
      <c r="YO108">
        <v>103.04</v>
      </c>
      <c r="YP108">
        <v>103.04</v>
      </c>
      <c r="YR108">
        <v>103.04</v>
      </c>
      <c r="YS108">
        <v>103.04</v>
      </c>
      <c r="YX108">
        <v>103.05</v>
      </c>
      <c r="YY108">
        <v>103.05</v>
      </c>
      <c r="YZ108">
        <v>103.05</v>
      </c>
      <c r="ZB108">
        <v>103.05</v>
      </c>
      <c r="ZC108">
        <v>103.05</v>
      </c>
      <c r="ZD108">
        <v>103.05</v>
      </c>
      <c r="ZE108">
        <v>103.05</v>
      </c>
      <c r="ZF108">
        <v>103.05</v>
      </c>
      <c r="ZG108">
        <v>103.05</v>
      </c>
      <c r="ZJ108">
        <v>103.06</v>
      </c>
      <c r="ZL108">
        <v>103.06</v>
      </c>
      <c r="ZM108">
        <v>103.06</v>
      </c>
      <c r="ZN108">
        <v>103.06</v>
      </c>
      <c r="ZO108">
        <v>103.06</v>
      </c>
      <c r="ZQ108">
        <v>103.06</v>
      </c>
      <c r="ZR108">
        <v>103.06</v>
      </c>
      <c r="ZS108">
        <v>103.06</v>
      </c>
      <c r="ZT108">
        <v>103.06</v>
      </c>
      <c r="ZU108">
        <v>103.06</v>
      </c>
      <c r="ZX108">
        <v>103.06</v>
      </c>
      <c r="ZZ108">
        <v>103.07</v>
      </c>
      <c r="AAA108">
        <v>103.07</v>
      </c>
      <c r="AAB108">
        <v>103.07</v>
      </c>
      <c r="AAE108">
        <v>103.07</v>
      </c>
      <c r="AAF108">
        <v>103.07</v>
      </c>
      <c r="AAG108">
        <v>103.07</v>
      </c>
      <c r="AAH108">
        <v>103.07</v>
      </c>
      <c r="AAI108">
        <v>103.07</v>
      </c>
      <c r="AAJ108">
        <v>103.07</v>
      </c>
      <c r="AAL108">
        <v>103.07</v>
      </c>
      <c r="AAM108">
        <v>103.07</v>
      </c>
      <c r="AAO108">
        <v>103.07</v>
      </c>
      <c r="AAP108">
        <v>103.07</v>
      </c>
      <c r="AAS108">
        <v>103.07</v>
      </c>
      <c r="AAT108">
        <v>103.07</v>
      </c>
      <c r="AAU108">
        <v>103.07</v>
      </c>
      <c r="AAV108">
        <v>103.08</v>
      </c>
      <c r="AAW108">
        <v>103.08</v>
      </c>
      <c r="AAX108">
        <v>103.08</v>
      </c>
      <c r="AAZ108">
        <v>103.08</v>
      </c>
      <c r="ABA108">
        <v>103.08</v>
      </c>
      <c r="ABB108">
        <v>103.08</v>
      </c>
      <c r="ABC108">
        <v>103.08</v>
      </c>
      <c r="ABD108">
        <v>103.08</v>
      </c>
      <c r="ABG108">
        <v>103.08</v>
      </c>
      <c r="ABI108">
        <v>103.08</v>
      </c>
      <c r="ABJ108">
        <v>103.08</v>
      </c>
      <c r="ABP108">
        <v>103.08</v>
      </c>
      <c r="ABR108">
        <v>103.08</v>
      </c>
      <c r="ABW108">
        <v>103.09</v>
      </c>
      <c r="ABX108">
        <v>103.09</v>
      </c>
      <c r="ABY108">
        <v>103.09</v>
      </c>
      <c r="ABZ108">
        <v>103.09</v>
      </c>
      <c r="ACG108">
        <v>103.09</v>
      </c>
      <c r="ACH108">
        <v>103.09</v>
      </c>
      <c r="ACT108">
        <v>103.1</v>
      </c>
      <c r="ADJ108">
        <v>103.1</v>
      </c>
    </row>
    <row r="109" spans="1:812">
      <c r="A109" s="1" t="s">
        <v>70</v>
      </c>
      <c r="B109" t="s">
        <v>70</v>
      </c>
      <c r="U109">
        <v>0.06</v>
      </c>
      <c r="AX109">
        <v>0.82</v>
      </c>
      <c r="BR109">
        <v>4.0999999999999996</v>
      </c>
      <c r="CM109">
        <v>8.43</v>
      </c>
      <c r="DH109">
        <v>14.16</v>
      </c>
      <c r="EB109">
        <v>20.14</v>
      </c>
      <c r="EI109">
        <v>23.42</v>
      </c>
      <c r="ER109">
        <v>32.01</v>
      </c>
      <c r="ET109">
        <v>33.72</v>
      </c>
      <c r="FD109">
        <v>42.62</v>
      </c>
      <c r="GZ109">
        <v>55.62</v>
      </c>
      <c r="MT109">
        <v>151.97999999999999</v>
      </c>
      <c r="NC109">
        <v>153.31</v>
      </c>
      <c r="NG109">
        <v>154.26</v>
      </c>
      <c r="NN109">
        <v>156.88</v>
      </c>
      <c r="NQ109">
        <v>158.33000000000001</v>
      </c>
      <c r="NU109">
        <v>160.12</v>
      </c>
      <c r="NV109">
        <v>160.38999999999999</v>
      </c>
      <c r="OD109">
        <v>163.16</v>
      </c>
      <c r="OH109">
        <v>164.05</v>
      </c>
      <c r="OP109">
        <v>166.29</v>
      </c>
      <c r="OR109">
        <v>166.67</v>
      </c>
      <c r="PD109">
        <v>169.4</v>
      </c>
      <c r="PF109">
        <v>169.71</v>
      </c>
      <c r="QE109">
        <v>174.83</v>
      </c>
      <c r="QL109">
        <v>175.4</v>
      </c>
      <c r="RM109">
        <v>182.03</v>
      </c>
      <c r="RW109">
        <v>183.41</v>
      </c>
      <c r="SE109">
        <v>184</v>
      </c>
      <c r="SF109">
        <v>184.11</v>
      </c>
      <c r="SN109">
        <v>184.28</v>
      </c>
      <c r="TF109">
        <v>185.34</v>
      </c>
      <c r="UC109">
        <v>186.66</v>
      </c>
      <c r="UI109">
        <v>187.09</v>
      </c>
      <c r="UR109">
        <v>187.61</v>
      </c>
      <c r="ZL109">
        <v>192.92</v>
      </c>
      <c r="AAS109">
        <v>193.32</v>
      </c>
      <c r="AAZ109">
        <v>193.36</v>
      </c>
      <c r="ABJ109">
        <v>193.39</v>
      </c>
      <c r="ACV109">
        <v>193.45</v>
      </c>
      <c r="ADK109">
        <v>193.46</v>
      </c>
      <c r="ADL109">
        <v>193.46</v>
      </c>
      <c r="ADS109">
        <v>193.46</v>
      </c>
      <c r="ADZ109">
        <v>193.46</v>
      </c>
    </row>
    <row r="110" spans="1:812">
      <c r="A110" s="1" t="s">
        <v>81</v>
      </c>
      <c r="B110" t="s">
        <v>340</v>
      </c>
      <c r="DG110">
        <v>0</v>
      </c>
      <c r="DP110">
        <v>0.01</v>
      </c>
      <c r="DQ110">
        <v>0.01</v>
      </c>
      <c r="DV110">
        <v>0.03</v>
      </c>
      <c r="EL110">
        <v>0.43</v>
      </c>
      <c r="EY110">
        <v>0.66</v>
      </c>
      <c r="FF110">
        <v>0.83</v>
      </c>
      <c r="GB110">
        <v>2.08</v>
      </c>
      <c r="GP110">
        <v>2.66</v>
      </c>
      <c r="HX110">
        <v>7.75</v>
      </c>
      <c r="HY110">
        <v>7.94</v>
      </c>
      <c r="HZ110">
        <v>8.27</v>
      </c>
      <c r="IA110">
        <v>8.6199999999999992</v>
      </c>
      <c r="IB110">
        <v>8.75</v>
      </c>
      <c r="IC110">
        <v>8.8800000000000008</v>
      </c>
      <c r="ID110">
        <v>9.1999999999999993</v>
      </c>
      <c r="IE110">
        <v>9.73</v>
      </c>
      <c r="IF110">
        <v>9.9</v>
      </c>
      <c r="IG110">
        <v>10.3</v>
      </c>
      <c r="IH110">
        <v>10.67</v>
      </c>
      <c r="II110">
        <v>10.88</v>
      </c>
      <c r="IJ110">
        <v>11.06</v>
      </c>
      <c r="IK110">
        <v>11.48</v>
      </c>
      <c r="IL110">
        <v>11.91</v>
      </c>
      <c r="IM110">
        <v>12.35</v>
      </c>
      <c r="IN110">
        <v>12.56</v>
      </c>
      <c r="IO110">
        <v>12.89</v>
      </c>
      <c r="IP110">
        <v>13</v>
      </c>
      <c r="IQ110">
        <v>13.27</v>
      </c>
      <c r="IR110">
        <v>13.61</v>
      </c>
      <c r="IS110">
        <v>13.97</v>
      </c>
      <c r="IT110">
        <v>14.3</v>
      </c>
      <c r="IU110">
        <v>14.77</v>
      </c>
      <c r="IV110">
        <v>14.81</v>
      </c>
      <c r="IW110">
        <v>14.93</v>
      </c>
      <c r="IX110">
        <v>15.09</v>
      </c>
      <c r="IY110">
        <v>15.42</v>
      </c>
      <c r="JA110">
        <v>16.059999999999999</v>
      </c>
      <c r="JB110">
        <v>16.440000000000001</v>
      </c>
      <c r="JC110">
        <v>16.690000000000001</v>
      </c>
      <c r="JD110">
        <v>16.75</v>
      </c>
      <c r="JE110">
        <v>16.96</v>
      </c>
      <c r="JF110">
        <v>16.989999999999998</v>
      </c>
      <c r="JG110">
        <v>17.22</v>
      </c>
      <c r="JH110">
        <v>17.3</v>
      </c>
      <c r="JI110">
        <v>17.64</v>
      </c>
      <c r="JJ110">
        <v>17.75</v>
      </c>
      <c r="JK110">
        <v>17.809999999999999</v>
      </c>
      <c r="JL110">
        <v>17.93</v>
      </c>
      <c r="JM110">
        <v>18.170000000000002</v>
      </c>
      <c r="JN110">
        <v>18.28</v>
      </c>
      <c r="JQ110">
        <v>18.95</v>
      </c>
      <c r="JR110">
        <v>18.97</v>
      </c>
      <c r="JS110">
        <v>19.16</v>
      </c>
      <c r="JT110">
        <v>19.27</v>
      </c>
      <c r="JU110">
        <v>19.52</v>
      </c>
      <c r="JV110">
        <v>19.78</v>
      </c>
      <c r="JW110">
        <v>19.850000000000001</v>
      </c>
      <c r="JX110">
        <v>20.02</v>
      </c>
      <c r="JY110">
        <v>20.079999999999998</v>
      </c>
      <c r="JZ110">
        <v>20.2</v>
      </c>
      <c r="KA110">
        <v>20.37</v>
      </c>
      <c r="KB110">
        <v>20.54</v>
      </c>
      <c r="KC110">
        <v>20.76</v>
      </c>
      <c r="KD110">
        <v>21.01</v>
      </c>
      <c r="KE110">
        <v>21.11</v>
      </c>
      <c r="KF110">
        <v>21.14</v>
      </c>
      <c r="KG110">
        <v>21.3</v>
      </c>
      <c r="KH110">
        <v>21.47</v>
      </c>
      <c r="KI110">
        <v>21.68</v>
      </c>
      <c r="KJ110">
        <v>21.85</v>
      </c>
      <c r="KK110">
        <v>22.02</v>
      </c>
      <c r="KL110">
        <v>22.12</v>
      </c>
      <c r="KM110">
        <v>22.15</v>
      </c>
      <c r="KN110">
        <v>22.21</v>
      </c>
      <c r="KO110">
        <v>22.36</v>
      </c>
      <c r="KP110">
        <v>22.52</v>
      </c>
      <c r="KQ110">
        <v>22.67</v>
      </c>
      <c r="KR110">
        <v>22.84</v>
      </c>
      <c r="KS110">
        <v>23</v>
      </c>
      <c r="KT110">
        <v>23.05</v>
      </c>
      <c r="KU110">
        <v>23.15</v>
      </c>
      <c r="KV110">
        <v>23.31</v>
      </c>
      <c r="KW110">
        <v>23.48</v>
      </c>
      <c r="KX110">
        <v>23.62</v>
      </c>
      <c r="KY110">
        <v>23.81</v>
      </c>
      <c r="KZ110">
        <v>23.98</v>
      </c>
      <c r="LA110">
        <v>24.03</v>
      </c>
      <c r="LB110">
        <v>24.11</v>
      </c>
      <c r="LC110">
        <v>24.32</v>
      </c>
      <c r="LD110">
        <v>24.53</v>
      </c>
      <c r="LE110">
        <v>24.7</v>
      </c>
      <c r="LF110">
        <v>24.87</v>
      </c>
      <c r="LG110">
        <v>24.99</v>
      </c>
      <c r="LH110">
        <v>25.06</v>
      </c>
      <c r="LI110">
        <v>25.15</v>
      </c>
      <c r="LJ110">
        <v>25.31</v>
      </c>
      <c r="LK110">
        <v>25.48</v>
      </c>
      <c r="LL110">
        <v>25.67</v>
      </c>
      <c r="LM110">
        <v>25.89</v>
      </c>
      <c r="LN110">
        <v>26.05</v>
      </c>
      <c r="LO110">
        <v>26.08</v>
      </c>
      <c r="LP110">
        <v>26.27</v>
      </c>
      <c r="LQ110">
        <v>26.37</v>
      </c>
      <c r="LR110">
        <v>26.6</v>
      </c>
      <c r="LS110">
        <v>26.76</v>
      </c>
      <c r="LT110">
        <v>26.91</v>
      </c>
      <c r="LU110">
        <v>27.11</v>
      </c>
      <c r="LV110">
        <v>27.15</v>
      </c>
      <c r="LW110">
        <v>27.19</v>
      </c>
      <c r="LX110">
        <v>27.24</v>
      </c>
      <c r="LY110">
        <v>27.37</v>
      </c>
      <c r="LZ110">
        <v>27.52</v>
      </c>
      <c r="MA110">
        <v>27.81</v>
      </c>
      <c r="MB110">
        <v>27.97</v>
      </c>
      <c r="MC110">
        <v>27.99</v>
      </c>
      <c r="MD110">
        <v>28.12</v>
      </c>
      <c r="ME110">
        <v>28.3</v>
      </c>
      <c r="MF110">
        <v>28.49</v>
      </c>
      <c r="MG110">
        <v>28.67</v>
      </c>
      <c r="MH110">
        <v>28.78</v>
      </c>
      <c r="MI110">
        <v>28.98</v>
      </c>
      <c r="MJ110">
        <v>29.01</v>
      </c>
      <c r="MK110">
        <v>29.18</v>
      </c>
      <c r="ML110">
        <v>29.35</v>
      </c>
      <c r="MM110">
        <v>29.55</v>
      </c>
      <c r="MN110">
        <v>29.67</v>
      </c>
      <c r="MO110">
        <v>29.86</v>
      </c>
      <c r="MP110">
        <v>29.98</v>
      </c>
      <c r="MQ110">
        <v>30.05</v>
      </c>
      <c r="MS110">
        <v>30.35</v>
      </c>
      <c r="MT110">
        <v>30.5</v>
      </c>
      <c r="MU110">
        <v>30.68</v>
      </c>
      <c r="MV110">
        <v>30.83</v>
      </c>
      <c r="MW110">
        <v>30.95</v>
      </c>
      <c r="MY110">
        <v>31.02</v>
      </c>
      <c r="MZ110">
        <v>31.17</v>
      </c>
      <c r="NA110">
        <v>31.3</v>
      </c>
      <c r="NB110">
        <v>31.48</v>
      </c>
      <c r="NC110">
        <v>31.57</v>
      </c>
      <c r="ND110">
        <v>31.74</v>
      </c>
      <c r="NE110">
        <v>31.77</v>
      </c>
      <c r="NF110">
        <v>31.87</v>
      </c>
      <c r="NG110">
        <v>32.06</v>
      </c>
      <c r="NH110">
        <v>32.22</v>
      </c>
      <c r="NO110">
        <v>33.020000000000003</v>
      </c>
      <c r="NP110">
        <v>33.159999999999997</v>
      </c>
      <c r="NQ110">
        <v>33.31</v>
      </c>
      <c r="NR110">
        <v>33.46</v>
      </c>
      <c r="NS110">
        <v>33.49</v>
      </c>
      <c r="NT110">
        <v>33.56</v>
      </c>
      <c r="NU110">
        <v>33.69</v>
      </c>
      <c r="NV110">
        <v>33.840000000000003</v>
      </c>
      <c r="NW110">
        <v>33.869999999999997</v>
      </c>
      <c r="NY110">
        <v>34.020000000000003</v>
      </c>
      <c r="NZ110">
        <v>34.04</v>
      </c>
      <c r="OA110">
        <v>34.11</v>
      </c>
      <c r="OB110">
        <v>34.18</v>
      </c>
      <c r="OC110">
        <v>34.28</v>
      </c>
      <c r="OD110">
        <v>34.39</v>
      </c>
      <c r="OE110">
        <v>34.43</v>
      </c>
      <c r="OF110">
        <v>34.47</v>
      </c>
      <c r="OG110">
        <v>34.5</v>
      </c>
      <c r="OH110">
        <v>34.590000000000003</v>
      </c>
      <c r="OI110">
        <v>34.729999999999997</v>
      </c>
      <c r="OJ110">
        <v>34.869999999999997</v>
      </c>
      <c r="OK110">
        <v>35.01</v>
      </c>
      <c r="OL110">
        <v>35.200000000000003</v>
      </c>
      <c r="OM110">
        <v>35.33</v>
      </c>
      <c r="ON110">
        <v>35.36</v>
      </c>
      <c r="OO110">
        <v>35.49</v>
      </c>
      <c r="OQ110">
        <v>35.81</v>
      </c>
      <c r="OR110">
        <v>36.01</v>
      </c>
      <c r="OS110">
        <v>36.28</v>
      </c>
      <c r="OT110">
        <v>36.409999999999997</v>
      </c>
      <c r="OU110">
        <v>36.44</v>
      </c>
      <c r="OV110">
        <v>36.5</v>
      </c>
      <c r="OW110">
        <v>36.630000000000003</v>
      </c>
      <c r="OX110">
        <v>36.840000000000003</v>
      </c>
      <c r="OY110">
        <v>37.01</v>
      </c>
      <c r="OZ110">
        <v>37.19</v>
      </c>
      <c r="PA110">
        <v>37.36</v>
      </c>
      <c r="PB110">
        <v>37.42</v>
      </c>
      <c r="PC110">
        <v>37.549999999999997</v>
      </c>
      <c r="PD110">
        <v>37.700000000000003</v>
      </c>
      <c r="PE110">
        <v>37.85</v>
      </c>
      <c r="PF110">
        <v>37.99</v>
      </c>
      <c r="PG110">
        <v>38.119999999999997</v>
      </c>
      <c r="PH110">
        <v>38.229999999999997</v>
      </c>
      <c r="PI110">
        <v>38.26</v>
      </c>
      <c r="PJ110">
        <v>38.299999999999997</v>
      </c>
      <c r="PK110">
        <v>38.47</v>
      </c>
      <c r="PL110">
        <v>38.64</v>
      </c>
      <c r="PM110">
        <v>38.770000000000003</v>
      </c>
      <c r="PN110">
        <v>38.94</v>
      </c>
      <c r="PO110">
        <v>39.1</v>
      </c>
      <c r="PP110">
        <v>39.15</v>
      </c>
      <c r="PQ110">
        <v>39.229999999999997</v>
      </c>
      <c r="PR110">
        <v>39.4</v>
      </c>
      <c r="PS110">
        <v>39.54</v>
      </c>
      <c r="PT110">
        <v>39.75</v>
      </c>
      <c r="PU110">
        <v>39.979999999999997</v>
      </c>
      <c r="PV110">
        <v>40.200000000000003</v>
      </c>
      <c r="PW110">
        <v>40.229999999999997</v>
      </c>
      <c r="PX110">
        <v>40.33</v>
      </c>
      <c r="PY110">
        <v>40.5</v>
      </c>
      <c r="PZ110">
        <v>40.57</v>
      </c>
      <c r="QA110">
        <v>40.659999999999997</v>
      </c>
      <c r="QB110">
        <v>40.83</v>
      </c>
      <c r="QC110">
        <v>41</v>
      </c>
      <c r="QD110">
        <v>41.04</v>
      </c>
      <c r="QE110">
        <v>41.14</v>
      </c>
      <c r="QF110">
        <v>41.32</v>
      </c>
      <c r="QG110">
        <v>41.47</v>
      </c>
      <c r="QH110">
        <v>41.65</v>
      </c>
      <c r="QI110">
        <v>41.8</v>
      </c>
      <c r="QJ110">
        <v>41.88</v>
      </c>
      <c r="QK110">
        <v>41.89</v>
      </c>
      <c r="QL110">
        <v>41.97</v>
      </c>
      <c r="QM110">
        <v>41.98</v>
      </c>
      <c r="QN110">
        <v>42.08</v>
      </c>
      <c r="QO110">
        <v>42.2</v>
      </c>
      <c r="QP110">
        <v>42.37</v>
      </c>
      <c r="QQ110">
        <v>42.44</v>
      </c>
      <c r="QR110">
        <v>42.45</v>
      </c>
      <c r="QT110">
        <v>42.64</v>
      </c>
      <c r="QU110">
        <v>42.77</v>
      </c>
      <c r="QV110">
        <v>42.86</v>
      </c>
      <c r="QW110">
        <v>42.97</v>
      </c>
      <c r="QX110">
        <v>43.07</v>
      </c>
      <c r="QY110">
        <v>43.08</v>
      </c>
      <c r="QZ110">
        <v>43.09</v>
      </c>
      <c r="RA110">
        <v>43.17</v>
      </c>
      <c r="RB110">
        <v>43.27</v>
      </c>
      <c r="RC110">
        <v>43.38</v>
      </c>
      <c r="RD110">
        <v>43.48</v>
      </c>
      <c r="RE110">
        <v>43.55</v>
      </c>
      <c r="RF110">
        <v>43.56</v>
      </c>
      <c r="RG110">
        <v>43.62</v>
      </c>
      <c r="RH110">
        <v>43.67</v>
      </c>
      <c r="RI110">
        <v>43.8</v>
      </c>
      <c r="RJ110">
        <v>43.89</v>
      </c>
      <c r="RK110">
        <v>43.96</v>
      </c>
      <c r="RL110">
        <v>44.09</v>
      </c>
      <c r="RM110">
        <v>44.15</v>
      </c>
      <c r="RN110">
        <v>44.23</v>
      </c>
      <c r="RO110">
        <v>44.26</v>
      </c>
      <c r="RP110">
        <v>44.3</v>
      </c>
      <c r="RQ110">
        <v>44.43</v>
      </c>
      <c r="RR110">
        <v>44.55</v>
      </c>
      <c r="RS110">
        <v>44.6</v>
      </c>
      <c r="RT110">
        <v>44.68</v>
      </c>
      <c r="RU110">
        <v>44.76</v>
      </c>
      <c r="RV110">
        <v>44.86</v>
      </c>
      <c r="RW110">
        <v>44.95</v>
      </c>
      <c r="RX110">
        <v>44.98</v>
      </c>
      <c r="RY110">
        <v>45.04</v>
      </c>
      <c r="RZ110">
        <v>45.1</v>
      </c>
      <c r="SB110">
        <v>45.18</v>
      </c>
      <c r="SC110">
        <v>45.21</v>
      </c>
      <c r="SD110">
        <v>45.28</v>
      </c>
      <c r="SE110">
        <v>45.34</v>
      </c>
      <c r="SF110">
        <v>45.41</v>
      </c>
      <c r="SG110">
        <v>45.49</v>
      </c>
      <c r="SH110">
        <v>45.54</v>
      </c>
      <c r="SI110">
        <v>45.55</v>
      </c>
      <c r="SJ110">
        <v>45.55</v>
      </c>
      <c r="SK110">
        <v>45.56</v>
      </c>
      <c r="SL110">
        <v>45.6</v>
      </c>
      <c r="SM110">
        <v>45.64</v>
      </c>
      <c r="SN110">
        <v>45.67</v>
      </c>
      <c r="SO110">
        <v>45.74</v>
      </c>
      <c r="SP110">
        <v>45.75</v>
      </c>
      <c r="SQ110">
        <v>45.75</v>
      </c>
      <c r="SR110">
        <v>45.79</v>
      </c>
      <c r="SS110">
        <v>45.86</v>
      </c>
      <c r="ST110">
        <v>45.92</v>
      </c>
      <c r="SW110">
        <v>45.99</v>
      </c>
      <c r="SX110">
        <v>46.04</v>
      </c>
      <c r="SY110">
        <v>46.15</v>
      </c>
      <c r="SZ110">
        <v>46.19</v>
      </c>
      <c r="TA110">
        <v>46.26</v>
      </c>
      <c r="TB110">
        <v>46.32</v>
      </c>
      <c r="TC110">
        <v>46.39</v>
      </c>
      <c r="TD110">
        <v>46.4</v>
      </c>
      <c r="TE110">
        <v>46.43</v>
      </c>
      <c r="TF110">
        <v>46.49</v>
      </c>
      <c r="TG110">
        <v>46.55</v>
      </c>
      <c r="TH110">
        <v>46.61</v>
      </c>
      <c r="TI110">
        <v>46.66</v>
      </c>
      <c r="TJ110">
        <v>46.7</v>
      </c>
      <c r="TK110">
        <v>46.71</v>
      </c>
      <c r="TL110">
        <v>46.73</v>
      </c>
      <c r="TM110">
        <v>46.78</v>
      </c>
      <c r="TN110">
        <v>46.83</v>
      </c>
      <c r="TO110">
        <v>46.87</v>
      </c>
      <c r="TP110">
        <v>46.91</v>
      </c>
      <c r="TQ110">
        <v>46.95</v>
      </c>
      <c r="TR110">
        <v>46.96</v>
      </c>
      <c r="TS110">
        <v>46.98</v>
      </c>
      <c r="TT110">
        <v>47.03</v>
      </c>
      <c r="TU110">
        <v>47.07</v>
      </c>
      <c r="TV110">
        <v>47.1</v>
      </c>
      <c r="TW110">
        <v>47.13</v>
      </c>
      <c r="TX110">
        <v>47.16</v>
      </c>
      <c r="TY110">
        <v>47.17</v>
      </c>
      <c r="TZ110">
        <v>47.18</v>
      </c>
      <c r="UA110">
        <v>47.22</v>
      </c>
      <c r="UB110">
        <v>47.24</v>
      </c>
      <c r="UC110">
        <v>47.27</v>
      </c>
      <c r="UD110">
        <v>47.3</v>
      </c>
      <c r="UE110">
        <v>47.33</v>
      </c>
      <c r="UF110">
        <v>47.34</v>
      </c>
      <c r="UG110">
        <v>47.35</v>
      </c>
      <c r="UH110">
        <v>47.37</v>
      </c>
      <c r="UI110">
        <v>47.4</v>
      </c>
      <c r="UJ110">
        <v>47.43</v>
      </c>
      <c r="UK110">
        <v>47.46</v>
      </c>
      <c r="UL110">
        <v>47.48</v>
      </c>
      <c r="UM110">
        <v>47.49</v>
      </c>
      <c r="UN110">
        <v>47.5</v>
      </c>
      <c r="UO110">
        <v>47.52</v>
      </c>
      <c r="UP110">
        <v>47.54</v>
      </c>
      <c r="UQ110">
        <v>47.56</v>
      </c>
      <c r="UR110">
        <v>47.57</v>
      </c>
      <c r="US110">
        <v>47.58</v>
      </c>
      <c r="UT110">
        <v>47.58</v>
      </c>
      <c r="UU110">
        <v>47.59</v>
      </c>
      <c r="UV110">
        <v>47.6</v>
      </c>
      <c r="UW110">
        <v>47.61</v>
      </c>
      <c r="UX110">
        <v>47.63</v>
      </c>
      <c r="UY110">
        <v>47.64</v>
      </c>
      <c r="VA110">
        <v>47.65</v>
      </c>
      <c r="VB110">
        <v>48.39</v>
      </c>
      <c r="VC110">
        <v>48.4</v>
      </c>
      <c r="VD110">
        <v>48.42</v>
      </c>
      <c r="VE110">
        <v>48.44</v>
      </c>
      <c r="VF110">
        <v>48.45</v>
      </c>
      <c r="VG110">
        <v>48.48</v>
      </c>
      <c r="VH110">
        <v>48.48</v>
      </c>
      <c r="VI110">
        <v>48.49</v>
      </c>
      <c r="VJ110">
        <v>48.51</v>
      </c>
      <c r="VK110">
        <v>48.52</v>
      </c>
      <c r="VL110">
        <v>48.53</v>
      </c>
      <c r="VM110">
        <v>48.54</v>
      </c>
      <c r="VN110">
        <v>48.55</v>
      </c>
      <c r="VO110">
        <v>48.56</v>
      </c>
      <c r="VP110">
        <v>48.56</v>
      </c>
      <c r="VQ110">
        <v>48.57</v>
      </c>
      <c r="WD110">
        <v>48.61</v>
      </c>
      <c r="WG110">
        <v>48.64</v>
      </c>
      <c r="WH110">
        <v>48.66</v>
      </c>
      <c r="WM110">
        <v>48.75</v>
      </c>
      <c r="WN110">
        <v>48.78</v>
      </c>
      <c r="WO110">
        <v>48.81</v>
      </c>
      <c r="WP110">
        <v>48.82</v>
      </c>
      <c r="WQ110">
        <v>48.84</v>
      </c>
      <c r="WR110">
        <v>48.88</v>
      </c>
      <c r="WS110">
        <v>48.93</v>
      </c>
      <c r="WT110">
        <v>48.96</v>
      </c>
      <c r="WU110">
        <v>49</v>
      </c>
      <c r="WV110">
        <v>49.03</v>
      </c>
      <c r="WW110">
        <v>49.03</v>
      </c>
      <c r="WX110">
        <v>49.04</v>
      </c>
      <c r="WY110">
        <v>49.08</v>
      </c>
      <c r="WZ110">
        <v>49.1</v>
      </c>
      <c r="XA110">
        <v>49.11</v>
      </c>
      <c r="XB110">
        <v>49.14</v>
      </c>
      <c r="XC110">
        <v>49.17</v>
      </c>
      <c r="XD110">
        <v>49.17</v>
      </c>
      <c r="XE110">
        <v>49.19</v>
      </c>
      <c r="XF110">
        <v>49.22</v>
      </c>
      <c r="XG110">
        <v>49.26</v>
      </c>
      <c r="XH110">
        <v>49.29</v>
      </c>
      <c r="XI110">
        <v>49.32</v>
      </c>
      <c r="XJ110">
        <v>49.36</v>
      </c>
      <c r="XK110">
        <v>49.36</v>
      </c>
      <c r="XL110">
        <v>49.38</v>
      </c>
      <c r="XM110">
        <v>49.41</v>
      </c>
      <c r="XN110">
        <v>49.44</v>
      </c>
      <c r="XO110">
        <v>49.48</v>
      </c>
      <c r="XP110">
        <v>49.51</v>
      </c>
      <c r="XQ110">
        <v>49.54</v>
      </c>
      <c r="XR110">
        <v>49.55</v>
      </c>
      <c r="XS110">
        <v>49.56</v>
      </c>
      <c r="XT110">
        <v>49.59</v>
      </c>
      <c r="XU110">
        <v>49.62</v>
      </c>
      <c r="XV110">
        <v>49.65</v>
      </c>
      <c r="XW110">
        <v>49.68</v>
      </c>
      <c r="XX110">
        <v>49.7</v>
      </c>
      <c r="XY110">
        <v>49.71</v>
      </c>
      <c r="XZ110">
        <v>49.72</v>
      </c>
      <c r="YA110">
        <v>49.75</v>
      </c>
      <c r="YB110">
        <v>49.79</v>
      </c>
      <c r="YC110">
        <v>49.82</v>
      </c>
      <c r="YD110">
        <v>49.85</v>
      </c>
      <c r="YE110">
        <v>49.89</v>
      </c>
      <c r="YF110">
        <v>49.89</v>
      </c>
      <c r="YG110">
        <v>49.9</v>
      </c>
      <c r="YH110">
        <v>49.93</v>
      </c>
      <c r="YI110">
        <v>49.96</v>
      </c>
      <c r="YJ110">
        <v>50</v>
      </c>
      <c r="YK110">
        <v>50.04</v>
      </c>
      <c r="YL110">
        <v>50.07</v>
      </c>
      <c r="YM110">
        <v>50.07</v>
      </c>
      <c r="YN110">
        <v>50.08</v>
      </c>
      <c r="YO110">
        <v>50.17</v>
      </c>
      <c r="YP110">
        <v>50.17</v>
      </c>
      <c r="YR110">
        <v>50.23</v>
      </c>
      <c r="YS110">
        <v>50.26</v>
      </c>
      <c r="YT110">
        <v>50.26</v>
      </c>
      <c r="YU110">
        <v>50.27</v>
      </c>
      <c r="YV110">
        <v>50.3</v>
      </c>
      <c r="YW110">
        <v>50.33</v>
      </c>
      <c r="YX110">
        <v>50.36</v>
      </c>
      <c r="YY110">
        <v>50.39</v>
      </c>
      <c r="YZ110">
        <v>50.42</v>
      </c>
      <c r="ZA110">
        <v>50.43</v>
      </c>
      <c r="ZB110">
        <v>50.44</v>
      </c>
      <c r="ZC110">
        <v>50.48</v>
      </c>
      <c r="ZD110">
        <v>50.52</v>
      </c>
      <c r="ZE110">
        <v>49.77</v>
      </c>
      <c r="ZF110">
        <v>49.81</v>
      </c>
      <c r="ZG110">
        <v>49.87</v>
      </c>
      <c r="ZH110">
        <v>49.89</v>
      </c>
      <c r="ZJ110">
        <v>49.95</v>
      </c>
      <c r="ZL110">
        <v>49.99</v>
      </c>
      <c r="ZM110">
        <v>50</v>
      </c>
      <c r="ZN110">
        <v>50.02</v>
      </c>
      <c r="ZO110">
        <v>50.02</v>
      </c>
      <c r="ZP110">
        <v>50.02</v>
      </c>
      <c r="ZQ110">
        <v>50.02</v>
      </c>
      <c r="ZR110">
        <v>50.03</v>
      </c>
      <c r="ZS110">
        <v>50.04</v>
      </c>
      <c r="ZT110">
        <v>50.06</v>
      </c>
      <c r="ZU110">
        <v>50.09</v>
      </c>
      <c r="ZV110">
        <v>50.09</v>
      </c>
      <c r="ZW110">
        <v>50.1</v>
      </c>
      <c r="ZX110">
        <v>50.12</v>
      </c>
      <c r="ZY110">
        <v>50.14</v>
      </c>
      <c r="ZZ110">
        <v>50.15</v>
      </c>
      <c r="AAA110">
        <v>50.16</v>
      </c>
      <c r="AAB110">
        <v>50.18</v>
      </c>
      <c r="AAC110">
        <v>50.18</v>
      </c>
      <c r="AAD110">
        <v>50.18</v>
      </c>
      <c r="AAE110">
        <v>50.2</v>
      </c>
      <c r="AAF110">
        <v>50.22</v>
      </c>
      <c r="AAG110">
        <v>50.23</v>
      </c>
      <c r="AAH110">
        <v>50.25</v>
      </c>
      <c r="AAI110">
        <v>50.26</v>
      </c>
      <c r="AAJ110">
        <v>50.26</v>
      </c>
      <c r="AAK110">
        <v>50.27</v>
      </c>
      <c r="AAL110">
        <v>50.29</v>
      </c>
      <c r="AAM110">
        <v>50.3</v>
      </c>
      <c r="AAN110">
        <v>50.31</v>
      </c>
      <c r="AAO110">
        <v>50.32</v>
      </c>
      <c r="AAP110">
        <v>50.33</v>
      </c>
      <c r="AAQ110">
        <v>50.34</v>
      </c>
      <c r="AAR110">
        <v>50.34</v>
      </c>
      <c r="AAS110">
        <v>50.36</v>
      </c>
      <c r="AAT110">
        <v>50.38</v>
      </c>
      <c r="AAU110">
        <v>50.41</v>
      </c>
      <c r="AAV110">
        <v>50.44</v>
      </c>
      <c r="AAW110">
        <v>50.47</v>
      </c>
      <c r="AAX110">
        <v>50.48</v>
      </c>
      <c r="AAY110">
        <v>50.49</v>
      </c>
      <c r="AAZ110">
        <v>50.51</v>
      </c>
      <c r="ABA110">
        <v>50.54</v>
      </c>
      <c r="ABB110">
        <v>50.55</v>
      </c>
      <c r="ABC110">
        <v>50.57</v>
      </c>
      <c r="ABD110">
        <v>50.58</v>
      </c>
      <c r="ABE110">
        <v>50.58</v>
      </c>
      <c r="ABF110">
        <v>50.59</v>
      </c>
      <c r="ABG110">
        <v>50.61</v>
      </c>
      <c r="ABH110">
        <v>50.63</v>
      </c>
      <c r="ABI110">
        <v>50.65</v>
      </c>
      <c r="ABJ110">
        <v>50.68</v>
      </c>
      <c r="ABK110">
        <v>50.7</v>
      </c>
      <c r="ABL110">
        <v>50.71</v>
      </c>
      <c r="ABM110">
        <v>50.71</v>
      </c>
      <c r="ABN110">
        <v>50.75</v>
      </c>
      <c r="ABO110">
        <v>50.76</v>
      </c>
      <c r="ABP110">
        <v>50.79</v>
      </c>
      <c r="ABQ110">
        <v>50.81</v>
      </c>
      <c r="ABR110">
        <v>50.82</v>
      </c>
      <c r="ABS110">
        <v>50.82</v>
      </c>
      <c r="ABT110">
        <v>50.82</v>
      </c>
      <c r="ABU110">
        <v>50.83</v>
      </c>
      <c r="ABV110">
        <v>50.84</v>
      </c>
      <c r="ABW110">
        <v>50.86</v>
      </c>
      <c r="ABX110">
        <v>50.88</v>
      </c>
      <c r="ABY110">
        <v>50.89</v>
      </c>
      <c r="ABZ110">
        <v>50.89</v>
      </c>
      <c r="ACA110">
        <v>50.9</v>
      </c>
      <c r="ACB110">
        <v>50.93</v>
      </c>
      <c r="ACC110">
        <v>50.95</v>
      </c>
      <c r="ACD110">
        <v>50.97</v>
      </c>
      <c r="ACE110">
        <v>51</v>
      </c>
      <c r="ACF110">
        <v>51.02</v>
      </c>
      <c r="ACG110">
        <v>51.03</v>
      </c>
      <c r="ACH110">
        <v>51.04</v>
      </c>
      <c r="ACI110">
        <v>51.07</v>
      </c>
      <c r="ACJ110">
        <v>51.09</v>
      </c>
      <c r="ACK110">
        <v>51.12</v>
      </c>
      <c r="ACL110">
        <v>51.15</v>
      </c>
      <c r="ACM110">
        <v>51.18</v>
      </c>
      <c r="ACN110">
        <v>51.18</v>
      </c>
      <c r="ACO110">
        <v>51.19</v>
      </c>
      <c r="ACP110">
        <v>51.23</v>
      </c>
      <c r="ACQ110">
        <v>51.26</v>
      </c>
      <c r="ACR110">
        <v>51.31</v>
      </c>
      <c r="ACS110">
        <v>51.36</v>
      </c>
      <c r="ACT110">
        <v>51.41</v>
      </c>
      <c r="ACU110">
        <v>51.42</v>
      </c>
      <c r="ACV110">
        <v>51.43</v>
      </c>
      <c r="ACW110">
        <v>51.46</v>
      </c>
      <c r="ACX110">
        <v>51.48</v>
      </c>
      <c r="ADJ110">
        <v>51.56</v>
      </c>
      <c r="ADK110">
        <v>51.58</v>
      </c>
      <c r="ADL110">
        <v>51.59</v>
      </c>
      <c r="ADM110">
        <v>51.6</v>
      </c>
      <c r="ADN110">
        <v>51.61</v>
      </c>
      <c r="ADO110">
        <v>51.62</v>
      </c>
      <c r="ADP110">
        <v>51.62</v>
      </c>
      <c r="ADQ110">
        <v>51.63</v>
      </c>
      <c r="ADR110">
        <v>51.63</v>
      </c>
      <c r="ADS110">
        <v>51.65</v>
      </c>
      <c r="ADT110">
        <v>51.66</v>
      </c>
      <c r="ADU110">
        <v>51.66</v>
      </c>
      <c r="ADV110">
        <v>51.68</v>
      </c>
      <c r="ADW110">
        <v>51.68</v>
      </c>
      <c r="ADX110">
        <v>51.69</v>
      </c>
      <c r="ADY110">
        <v>51.7</v>
      </c>
      <c r="ADZ110">
        <v>51.71</v>
      </c>
      <c r="AEA110">
        <v>51.72</v>
      </c>
      <c r="AEB110">
        <v>51.73</v>
      </c>
      <c r="AEC110">
        <v>51.74</v>
      </c>
      <c r="AED110">
        <v>51.75</v>
      </c>
      <c r="AEE110">
        <v>51.75</v>
      </c>
      <c r="AEF110">
        <v>51.76</v>
      </c>
    </row>
    <row r="111" spans="1:812">
      <c r="A111" s="1" t="s">
        <v>213</v>
      </c>
      <c r="B111" t="s">
        <v>213</v>
      </c>
      <c r="CS111">
        <v>1.87</v>
      </c>
      <c r="DX111">
        <v>1.87</v>
      </c>
      <c r="EC111">
        <v>1.88</v>
      </c>
      <c r="EE111">
        <v>2.08</v>
      </c>
      <c r="EF111">
        <v>2.16</v>
      </c>
      <c r="EH111">
        <v>2.4700000000000002</v>
      </c>
      <c r="EI111">
        <v>2.52</v>
      </c>
      <c r="EJ111">
        <v>2.5299999999999998</v>
      </c>
      <c r="EX111">
        <v>6.71</v>
      </c>
      <c r="FB111">
        <v>7.74</v>
      </c>
      <c r="FC111">
        <v>8.01</v>
      </c>
      <c r="FE111">
        <v>8.57</v>
      </c>
      <c r="FF111">
        <v>8.7200000000000006</v>
      </c>
      <c r="FG111">
        <v>8.92</v>
      </c>
      <c r="FH111">
        <v>9.1999999999999993</v>
      </c>
      <c r="FI111">
        <v>9.49</v>
      </c>
      <c r="FJ111">
        <v>10.02</v>
      </c>
      <c r="FK111">
        <v>10.02</v>
      </c>
      <c r="FN111">
        <v>10.32</v>
      </c>
      <c r="FS111">
        <v>11.9</v>
      </c>
      <c r="FT111">
        <v>12.4</v>
      </c>
      <c r="FU111">
        <v>12.56</v>
      </c>
      <c r="FV111">
        <v>12.83</v>
      </c>
      <c r="FW111">
        <v>13.16</v>
      </c>
      <c r="FX111">
        <v>13.5</v>
      </c>
      <c r="FY111">
        <v>13.66</v>
      </c>
      <c r="FZ111">
        <v>13.75</v>
      </c>
      <c r="GA111">
        <v>13.99</v>
      </c>
      <c r="GB111">
        <v>14.22</v>
      </c>
      <c r="GC111">
        <v>14.49</v>
      </c>
      <c r="GD111">
        <v>14.84</v>
      </c>
      <c r="GE111">
        <v>15.1</v>
      </c>
      <c r="GF111">
        <v>15.23</v>
      </c>
      <c r="GG111">
        <v>15.27</v>
      </c>
      <c r="GH111">
        <v>15.42</v>
      </c>
      <c r="GI111">
        <v>15.59</v>
      </c>
      <c r="GJ111">
        <v>15.59</v>
      </c>
      <c r="GK111">
        <v>16.260000000000002</v>
      </c>
      <c r="GL111">
        <v>16.62</v>
      </c>
      <c r="GN111">
        <v>17.07</v>
      </c>
      <c r="GO111">
        <v>17.440000000000001</v>
      </c>
      <c r="GQ111">
        <v>18.53</v>
      </c>
      <c r="GR111">
        <v>19</v>
      </c>
      <c r="GS111">
        <v>19.36</v>
      </c>
      <c r="GU111">
        <v>19.47</v>
      </c>
      <c r="HA111">
        <v>21.04</v>
      </c>
      <c r="HB111">
        <v>21.13</v>
      </c>
      <c r="HC111">
        <v>21.33</v>
      </c>
      <c r="HF111">
        <v>22.65</v>
      </c>
      <c r="HH111">
        <v>22.91</v>
      </c>
      <c r="HK111">
        <v>23.49</v>
      </c>
      <c r="HN111">
        <v>24.43</v>
      </c>
      <c r="HR111">
        <v>25.59</v>
      </c>
      <c r="HV111">
        <v>26.05</v>
      </c>
      <c r="JK111">
        <v>59.21</v>
      </c>
      <c r="JL111">
        <v>59.39</v>
      </c>
      <c r="JN111">
        <v>59.66</v>
      </c>
      <c r="PT111">
        <v>123.01</v>
      </c>
      <c r="PY111">
        <v>123.48</v>
      </c>
      <c r="PZ111">
        <v>123.53</v>
      </c>
      <c r="QA111">
        <v>123.64</v>
      </c>
      <c r="QC111">
        <v>123.97</v>
      </c>
      <c r="QF111">
        <v>124.88</v>
      </c>
      <c r="QH111">
        <v>125.92</v>
      </c>
      <c r="QM111">
        <v>128.13</v>
      </c>
      <c r="QP111">
        <v>129.16</v>
      </c>
      <c r="QQ111">
        <v>129.83000000000001</v>
      </c>
      <c r="QT111">
        <v>131.16999999999999</v>
      </c>
      <c r="QV111">
        <v>132.35</v>
      </c>
      <c r="QX111">
        <v>133.6</v>
      </c>
      <c r="RB111">
        <v>134.85</v>
      </c>
      <c r="RC111">
        <v>135.35</v>
      </c>
      <c r="RE111">
        <v>135.83000000000001</v>
      </c>
      <c r="RH111">
        <v>136.18</v>
      </c>
      <c r="RJ111">
        <v>136.61000000000001</v>
      </c>
      <c r="RM111">
        <v>138.04</v>
      </c>
      <c r="RN111">
        <v>138.28</v>
      </c>
      <c r="RO111">
        <v>138.69</v>
      </c>
      <c r="RP111">
        <v>139.36000000000001</v>
      </c>
      <c r="RR111">
        <v>141.06</v>
      </c>
      <c r="RT111">
        <v>141.74</v>
      </c>
      <c r="RW111">
        <v>141.88999999999999</v>
      </c>
      <c r="SD111">
        <v>143.13</v>
      </c>
      <c r="SE111">
        <v>143.57</v>
      </c>
      <c r="SL111">
        <v>144.9</v>
      </c>
      <c r="SM111">
        <v>145.06</v>
      </c>
      <c r="SR111">
        <v>145.62</v>
      </c>
      <c r="SU111">
        <v>145.93</v>
      </c>
      <c r="TC111">
        <v>146.41</v>
      </c>
      <c r="TG111">
        <v>146.75</v>
      </c>
      <c r="TI111">
        <v>147.02000000000001</v>
      </c>
      <c r="TK111">
        <v>147.16</v>
      </c>
      <c r="TM111">
        <v>147.19999999999999</v>
      </c>
      <c r="TQ111">
        <v>147.46</v>
      </c>
      <c r="TW111">
        <v>147.63</v>
      </c>
      <c r="VZ111">
        <v>149.43</v>
      </c>
      <c r="WD111">
        <v>149.56</v>
      </c>
      <c r="WG111">
        <v>149.63999999999999</v>
      </c>
    </row>
    <row r="112" spans="1:812">
      <c r="A112" s="1" t="s">
        <v>160</v>
      </c>
      <c r="B112" t="s">
        <v>272</v>
      </c>
      <c r="AP112">
        <v>0.89</v>
      </c>
      <c r="AQ112">
        <v>0.94</v>
      </c>
      <c r="AR112">
        <v>0.98</v>
      </c>
      <c r="AS112">
        <v>0.99</v>
      </c>
      <c r="AT112">
        <v>1</v>
      </c>
      <c r="AW112">
        <v>1.05</v>
      </c>
      <c r="AX112">
        <v>1.0900000000000001</v>
      </c>
      <c r="AY112">
        <v>1.1299999999999999</v>
      </c>
      <c r="AZ112">
        <v>1.18</v>
      </c>
      <c r="BA112">
        <v>1.23</v>
      </c>
      <c r="BB112">
        <v>1.24</v>
      </c>
      <c r="BD112">
        <v>1.32</v>
      </c>
      <c r="BE112">
        <v>1.42</v>
      </c>
      <c r="BF112">
        <v>1.51</v>
      </c>
      <c r="BG112">
        <v>1.59</v>
      </c>
      <c r="BH112">
        <v>1.67</v>
      </c>
      <c r="BI112">
        <v>1.7</v>
      </c>
      <c r="BJ112">
        <v>1.71</v>
      </c>
      <c r="BK112">
        <v>1.73</v>
      </c>
      <c r="BL112">
        <v>1.74</v>
      </c>
      <c r="BM112">
        <v>1.78</v>
      </c>
      <c r="BN112">
        <v>1.87</v>
      </c>
      <c r="BO112">
        <v>1.96</v>
      </c>
      <c r="BP112">
        <v>1.98</v>
      </c>
      <c r="BQ112">
        <v>1.98</v>
      </c>
      <c r="BR112">
        <v>2.0299999999999998</v>
      </c>
      <c r="BS112">
        <v>2.1</v>
      </c>
      <c r="BT112">
        <v>2.21</v>
      </c>
      <c r="BU112">
        <v>2.29</v>
      </c>
      <c r="BV112">
        <v>2.36</v>
      </c>
      <c r="BW112">
        <v>2.4</v>
      </c>
      <c r="BY112">
        <v>2.54</v>
      </c>
      <c r="BZ112">
        <v>2.67</v>
      </c>
      <c r="CA112">
        <v>2.9</v>
      </c>
      <c r="CB112">
        <v>3.12</v>
      </c>
      <c r="CC112">
        <v>3.3</v>
      </c>
      <c r="CD112">
        <v>3.33</v>
      </c>
      <c r="CE112">
        <v>3.33</v>
      </c>
      <c r="CF112">
        <v>3.43</v>
      </c>
      <c r="CG112">
        <v>3.54</v>
      </c>
      <c r="CH112">
        <v>3.76</v>
      </c>
      <c r="CI112">
        <v>4.08</v>
      </c>
      <c r="CJ112">
        <v>4.33</v>
      </c>
      <c r="CK112">
        <v>4.37</v>
      </c>
      <c r="CL112">
        <v>4.38</v>
      </c>
      <c r="CM112">
        <v>4.47</v>
      </c>
      <c r="CN112">
        <v>4.59</v>
      </c>
      <c r="CO112">
        <v>4.72</v>
      </c>
      <c r="CP112">
        <v>4.8600000000000003</v>
      </c>
      <c r="CQ112">
        <v>5.12</v>
      </c>
      <c r="CR112">
        <v>5.17</v>
      </c>
      <c r="CT112">
        <v>5.37</v>
      </c>
      <c r="CU112">
        <v>5.38</v>
      </c>
      <c r="CV112">
        <v>5.39</v>
      </c>
      <c r="CW112">
        <v>5.4</v>
      </c>
      <c r="CX112">
        <v>5.44</v>
      </c>
      <c r="DA112">
        <v>5.6</v>
      </c>
      <c r="DB112">
        <v>5.89</v>
      </c>
      <c r="DC112">
        <v>6.21</v>
      </c>
      <c r="DD112">
        <v>6.49</v>
      </c>
      <c r="DE112">
        <v>6.7</v>
      </c>
      <c r="DF112">
        <v>6.73</v>
      </c>
      <c r="DH112">
        <v>6.85</v>
      </c>
      <c r="DI112">
        <v>7.11</v>
      </c>
      <c r="DJ112">
        <v>7.41</v>
      </c>
      <c r="DK112">
        <v>7.67</v>
      </c>
      <c r="DL112">
        <v>7.7</v>
      </c>
      <c r="DM112">
        <v>7.88</v>
      </c>
      <c r="DN112">
        <v>7.97</v>
      </c>
      <c r="DO112">
        <v>8.1199999999999992</v>
      </c>
      <c r="DP112">
        <v>8.4</v>
      </c>
      <c r="DQ112">
        <v>8.89</v>
      </c>
      <c r="DR112">
        <v>9.27</v>
      </c>
      <c r="DS112">
        <v>9.5299999999999994</v>
      </c>
      <c r="DT112">
        <v>9.61</v>
      </c>
      <c r="DU112">
        <v>9.6199999999999992</v>
      </c>
      <c r="DV112">
        <v>9.75</v>
      </c>
      <c r="DW112">
        <v>9.94</v>
      </c>
      <c r="DX112">
        <v>10.28</v>
      </c>
      <c r="DY112">
        <v>10.6</v>
      </c>
      <c r="DZ112">
        <v>11.08</v>
      </c>
      <c r="EA112">
        <v>11.4</v>
      </c>
      <c r="EB112">
        <v>11.45</v>
      </c>
      <c r="EC112">
        <v>11.66</v>
      </c>
      <c r="ED112">
        <v>12.05</v>
      </c>
      <c r="EE112">
        <v>12.59</v>
      </c>
      <c r="EF112">
        <v>13.11</v>
      </c>
      <c r="EG112">
        <v>13.68</v>
      </c>
      <c r="EH112">
        <v>14.01</v>
      </c>
      <c r="EI112">
        <v>14.08</v>
      </c>
      <c r="EJ112">
        <v>14.32</v>
      </c>
      <c r="EK112">
        <v>14.71</v>
      </c>
      <c r="EL112">
        <v>15.49</v>
      </c>
      <c r="EM112">
        <v>16.25</v>
      </c>
      <c r="EN112">
        <v>16.86</v>
      </c>
      <c r="EO112">
        <v>19.190000000000001</v>
      </c>
      <c r="EP112">
        <v>19.28</v>
      </c>
      <c r="EQ112">
        <v>19.43</v>
      </c>
      <c r="ER112">
        <v>19.899999999999999</v>
      </c>
      <c r="ES112">
        <v>20.79</v>
      </c>
      <c r="ET112">
        <v>21.94</v>
      </c>
      <c r="EU112">
        <v>23</v>
      </c>
      <c r="EV112">
        <v>23.65</v>
      </c>
      <c r="EW112">
        <v>23.74</v>
      </c>
      <c r="EX112">
        <v>24.25</v>
      </c>
      <c r="EY112">
        <v>25.2</v>
      </c>
      <c r="EZ112">
        <v>26.41</v>
      </c>
      <c r="FA112">
        <v>27.6</v>
      </c>
      <c r="FB112">
        <v>28.77</v>
      </c>
      <c r="FC112">
        <v>29.47</v>
      </c>
      <c r="FD112">
        <v>29.74</v>
      </c>
      <c r="FE112">
        <v>30.37</v>
      </c>
      <c r="FF112">
        <v>31.29</v>
      </c>
      <c r="FG112">
        <v>32.5</v>
      </c>
      <c r="FH112">
        <v>33.630000000000003</v>
      </c>
      <c r="FI112">
        <v>34.72</v>
      </c>
      <c r="FJ112">
        <v>35.4</v>
      </c>
      <c r="FK112">
        <v>35.54</v>
      </c>
      <c r="FL112">
        <v>36.17</v>
      </c>
      <c r="FM112">
        <v>37.25</v>
      </c>
      <c r="FN112">
        <v>38.4</v>
      </c>
      <c r="FO112">
        <v>39.549999999999997</v>
      </c>
      <c r="FP112">
        <v>40.85</v>
      </c>
      <c r="FQ112">
        <v>41.47</v>
      </c>
      <c r="FR112">
        <v>41.69</v>
      </c>
      <c r="FS112">
        <v>42.37</v>
      </c>
      <c r="FT112">
        <v>43.49</v>
      </c>
      <c r="FU112">
        <v>44.65</v>
      </c>
      <c r="FV112">
        <v>45.8</v>
      </c>
      <c r="FW112">
        <v>46.85</v>
      </c>
      <c r="FX112">
        <v>47.45</v>
      </c>
      <c r="FY112">
        <v>47.72</v>
      </c>
      <c r="FZ112">
        <v>48.51</v>
      </c>
      <c r="GA112">
        <v>49.46</v>
      </c>
      <c r="GB112">
        <v>50.43</v>
      </c>
      <c r="GC112">
        <v>51.33</v>
      </c>
      <c r="GD112">
        <v>52.24</v>
      </c>
      <c r="GE112">
        <v>52.68</v>
      </c>
      <c r="GF112">
        <v>52.76</v>
      </c>
      <c r="GG112">
        <v>53.3</v>
      </c>
      <c r="GH112">
        <v>53.99</v>
      </c>
      <c r="GI112">
        <v>54.81</v>
      </c>
      <c r="GJ112">
        <v>55.51</v>
      </c>
      <c r="GK112">
        <v>56.41</v>
      </c>
      <c r="GL112">
        <v>56.85</v>
      </c>
      <c r="GM112">
        <v>57.03</v>
      </c>
      <c r="GN112">
        <v>57.68</v>
      </c>
      <c r="GO112">
        <v>58.21</v>
      </c>
      <c r="GP112">
        <v>58.23</v>
      </c>
      <c r="GQ112">
        <v>58.23</v>
      </c>
      <c r="GR112">
        <v>58.39</v>
      </c>
      <c r="GS112">
        <v>58.56</v>
      </c>
      <c r="GT112">
        <v>58.68</v>
      </c>
      <c r="GU112">
        <v>59.49</v>
      </c>
      <c r="GV112">
        <v>60.23</v>
      </c>
      <c r="GW112">
        <v>61</v>
      </c>
      <c r="GX112">
        <v>62.02</v>
      </c>
      <c r="GY112">
        <v>62.68</v>
      </c>
      <c r="GZ112">
        <v>63.13</v>
      </c>
      <c r="HA112">
        <v>63.25</v>
      </c>
      <c r="HB112">
        <v>63.66</v>
      </c>
      <c r="HC112">
        <v>64.13</v>
      </c>
      <c r="HD112">
        <v>64.67</v>
      </c>
      <c r="HE112">
        <v>65.12</v>
      </c>
      <c r="HF112">
        <v>65.72</v>
      </c>
      <c r="HG112">
        <v>66.150000000000006</v>
      </c>
      <c r="HH112">
        <v>66.25</v>
      </c>
      <c r="HI112">
        <v>66.599999999999994</v>
      </c>
      <c r="HJ112">
        <v>66.95</v>
      </c>
      <c r="HK112">
        <v>67.260000000000005</v>
      </c>
      <c r="HL112">
        <v>67.510000000000005</v>
      </c>
      <c r="HM112">
        <v>67.81</v>
      </c>
      <c r="HN112">
        <v>68</v>
      </c>
      <c r="HO112">
        <v>68.069999999999993</v>
      </c>
      <c r="HP112">
        <v>68.34</v>
      </c>
      <c r="HQ112">
        <v>68.69</v>
      </c>
      <c r="HR112">
        <v>69.08</v>
      </c>
      <c r="HS112">
        <v>69.430000000000007</v>
      </c>
      <c r="HT112">
        <v>69.760000000000005</v>
      </c>
      <c r="HU112">
        <v>70</v>
      </c>
      <c r="HV112">
        <v>69.98</v>
      </c>
      <c r="HW112">
        <v>70.28</v>
      </c>
      <c r="HX112">
        <v>70.61</v>
      </c>
      <c r="HY112">
        <v>70.98</v>
      </c>
      <c r="HZ112">
        <v>71.27</v>
      </c>
      <c r="IA112">
        <v>71.63</v>
      </c>
      <c r="IB112">
        <v>71.83</v>
      </c>
      <c r="IC112">
        <v>71.95</v>
      </c>
      <c r="ID112">
        <v>72.209999999999994</v>
      </c>
      <c r="IE112">
        <v>72.540000000000006</v>
      </c>
      <c r="IF112">
        <v>72.88</v>
      </c>
      <c r="IG112">
        <v>73.150000000000006</v>
      </c>
      <c r="IH112">
        <v>73.5</v>
      </c>
      <c r="II112">
        <v>73.72</v>
      </c>
      <c r="IJ112">
        <v>73.77</v>
      </c>
      <c r="IK112">
        <v>74.02</v>
      </c>
      <c r="IL112">
        <v>74.34</v>
      </c>
      <c r="IM112">
        <v>74.739999999999995</v>
      </c>
      <c r="IN112">
        <v>75.02</v>
      </c>
      <c r="IO112">
        <v>75.36</v>
      </c>
      <c r="IP112">
        <v>75.56</v>
      </c>
      <c r="IQ112">
        <v>75.64</v>
      </c>
      <c r="IR112">
        <v>75.88</v>
      </c>
      <c r="IS112">
        <v>76.2</v>
      </c>
      <c r="IT112">
        <v>76.58</v>
      </c>
      <c r="IU112">
        <v>76.86</v>
      </c>
      <c r="IV112">
        <v>78.099999999999994</v>
      </c>
      <c r="IW112">
        <v>78.3</v>
      </c>
      <c r="IX112">
        <v>78.37</v>
      </c>
      <c r="IY112">
        <v>78.650000000000006</v>
      </c>
      <c r="IZ112">
        <v>78.97</v>
      </c>
      <c r="JA112">
        <v>79.33</v>
      </c>
      <c r="JB112">
        <v>79.61</v>
      </c>
      <c r="JC112">
        <v>79.959999999999994</v>
      </c>
      <c r="JD112">
        <v>80.09</v>
      </c>
      <c r="JE112">
        <v>80.239999999999995</v>
      </c>
      <c r="JF112">
        <v>80.52</v>
      </c>
      <c r="JG112">
        <v>80.86</v>
      </c>
      <c r="JH112">
        <v>81.099999999999994</v>
      </c>
      <c r="JI112">
        <v>81.39</v>
      </c>
      <c r="JK112">
        <v>81.92</v>
      </c>
      <c r="JL112">
        <v>81.96</v>
      </c>
      <c r="JM112">
        <v>82.12</v>
      </c>
      <c r="JN112">
        <v>82.36</v>
      </c>
      <c r="JO112">
        <v>82.66</v>
      </c>
      <c r="JP112">
        <v>82.85</v>
      </c>
      <c r="JQ112">
        <v>83.19</v>
      </c>
      <c r="JS112">
        <v>83.44</v>
      </c>
      <c r="JT112">
        <v>83.61</v>
      </c>
      <c r="JU112">
        <v>83.84</v>
      </c>
      <c r="JV112">
        <v>84.1</v>
      </c>
      <c r="JW112">
        <v>84.34</v>
      </c>
      <c r="JX112">
        <v>84.64</v>
      </c>
      <c r="JZ112">
        <v>84.8</v>
      </c>
      <c r="KA112">
        <v>85.01</v>
      </c>
      <c r="KB112">
        <v>85.24</v>
      </c>
      <c r="KC112">
        <v>85.61</v>
      </c>
      <c r="KD112">
        <v>85.96</v>
      </c>
      <c r="KE112">
        <v>86.35</v>
      </c>
      <c r="KF112">
        <v>86.55</v>
      </c>
      <c r="KG112">
        <v>86.59</v>
      </c>
      <c r="KH112">
        <v>86.88</v>
      </c>
      <c r="KI112">
        <v>87.24</v>
      </c>
      <c r="KJ112">
        <v>87.6</v>
      </c>
      <c r="KK112">
        <v>88.01</v>
      </c>
      <c r="KL112">
        <v>88.43</v>
      </c>
      <c r="KN112">
        <v>88.77</v>
      </c>
      <c r="KO112">
        <v>89.1</v>
      </c>
      <c r="KP112">
        <v>89.38</v>
      </c>
      <c r="KQ112">
        <v>89.71</v>
      </c>
      <c r="KR112">
        <v>89.98</v>
      </c>
      <c r="KS112">
        <v>90.4</v>
      </c>
      <c r="KU112">
        <v>90.85</v>
      </c>
      <c r="KV112">
        <v>91.27</v>
      </c>
      <c r="KW112">
        <v>91.87</v>
      </c>
      <c r="KX112">
        <v>92.58</v>
      </c>
      <c r="KZ112">
        <v>94.15</v>
      </c>
      <c r="LA112">
        <v>94.74</v>
      </c>
      <c r="LB112">
        <v>95.14</v>
      </c>
      <c r="LC112">
        <v>95.87</v>
      </c>
      <c r="LD112">
        <v>96.65</v>
      </c>
      <c r="LG112">
        <v>99.1</v>
      </c>
      <c r="LI112">
        <v>99.8</v>
      </c>
      <c r="LJ112">
        <v>100.4</v>
      </c>
      <c r="LK112">
        <v>101.14</v>
      </c>
      <c r="LL112">
        <v>101.9</v>
      </c>
      <c r="LM112">
        <v>102.62</v>
      </c>
      <c r="LN112">
        <v>103.54</v>
      </c>
      <c r="LO112">
        <v>103.84</v>
      </c>
      <c r="LP112">
        <v>103.93</v>
      </c>
      <c r="LQ112">
        <v>104.54</v>
      </c>
      <c r="LR112">
        <v>105.31</v>
      </c>
      <c r="LS112">
        <v>106.08</v>
      </c>
      <c r="LT112">
        <v>106.79</v>
      </c>
      <c r="LU112">
        <v>107.54</v>
      </c>
      <c r="LW112">
        <v>108.11</v>
      </c>
      <c r="LX112">
        <v>108.77</v>
      </c>
      <c r="LY112">
        <v>109.55</v>
      </c>
      <c r="LZ112">
        <v>110.27</v>
      </c>
      <c r="MB112">
        <v>111.55</v>
      </c>
      <c r="MD112">
        <v>112.13</v>
      </c>
      <c r="ME112">
        <v>112.59</v>
      </c>
      <c r="MF112">
        <v>113.07</v>
      </c>
      <c r="MG112">
        <v>113.6</v>
      </c>
      <c r="MI112">
        <v>113.95</v>
      </c>
      <c r="MK112">
        <v>114.32</v>
      </c>
      <c r="ML112">
        <v>114.81</v>
      </c>
      <c r="MM112">
        <v>115.29</v>
      </c>
      <c r="MN112">
        <v>115.75</v>
      </c>
      <c r="MO112">
        <v>116.18</v>
      </c>
      <c r="MP112">
        <v>116.65</v>
      </c>
      <c r="MR112">
        <v>116.98</v>
      </c>
      <c r="MS112">
        <v>117.35</v>
      </c>
      <c r="MT112">
        <v>117.71</v>
      </c>
      <c r="MU112">
        <v>118.07</v>
      </c>
      <c r="MV112">
        <v>118.39</v>
      </c>
      <c r="MW112">
        <v>118.71</v>
      </c>
      <c r="MY112">
        <v>118.92</v>
      </c>
      <c r="MZ112">
        <v>119.19</v>
      </c>
      <c r="NA112">
        <v>119.48</v>
      </c>
      <c r="NB112">
        <v>119.74</v>
      </c>
      <c r="NC112">
        <v>119.97</v>
      </c>
      <c r="ND112">
        <v>120.2</v>
      </c>
      <c r="NF112">
        <v>120.37</v>
      </c>
      <c r="NG112">
        <v>120.57</v>
      </c>
      <c r="NH112">
        <v>120.84</v>
      </c>
      <c r="NI112">
        <v>121.02</v>
      </c>
      <c r="NJ112">
        <v>121.19</v>
      </c>
      <c r="NK112">
        <v>131.22999999999999</v>
      </c>
      <c r="NM112">
        <v>131.66</v>
      </c>
      <c r="NN112">
        <v>132.22</v>
      </c>
      <c r="NO112">
        <v>132.9</v>
      </c>
      <c r="NP112">
        <v>133.63</v>
      </c>
      <c r="NQ112">
        <v>134.13999999999999</v>
      </c>
      <c r="NT112">
        <v>134.34</v>
      </c>
      <c r="NU112">
        <v>134.87</v>
      </c>
      <c r="NV112">
        <v>135.53</v>
      </c>
      <c r="NW112">
        <v>136.18</v>
      </c>
      <c r="NX112">
        <v>136.58000000000001</v>
      </c>
      <c r="OA112">
        <v>136.94</v>
      </c>
      <c r="OB112">
        <v>137.03</v>
      </c>
      <c r="OH112">
        <v>140.43</v>
      </c>
      <c r="OI112">
        <v>141.01</v>
      </c>
      <c r="OJ112">
        <v>141.68</v>
      </c>
      <c r="OK112">
        <v>142.37</v>
      </c>
      <c r="OL112">
        <v>142.96</v>
      </c>
      <c r="OM112">
        <v>143.6</v>
      </c>
      <c r="OO112">
        <v>144.04</v>
      </c>
      <c r="OP112">
        <v>144.47</v>
      </c>
      <c r="OQ112">
        <v>144.99</v>
      </c>
      <c r="OS112">
        <v>146.01</v>
      </c>
      <c r="OV112">
        <v>146.86000000000001</v>
      </c>
      <c r="OW112">
        <v>147.18</v>
      </c>
      <c r="OX112">
        <v>147.59</v>
      </c>
      <c r="OY112">
        <v>147.99</v>
      </c>
      <c r="OZ112">
        <v>148.33000000000001</v>
      </c>
      <c r="PA112">
        <v>148.72999999999999</v>
      </c>
      <c r="PD112">
        <v>149.22999999999999</v>
      </c>
      <c r="PE112">
        <v>149.47999999999999</v>
      </c>
      <c r="PF112">
        <v>149.72999999999999</v>
      </c>
      <c r="PG112">
        <v>149.97</v>
      </c>
      <c r="PH112">
        <v>150.25</v>
      </c>
      <c r="PJ112">
        <v>150.4</v>
      </c>
      <c r="PL112">
        <v>150.75</v>
      </c>
      <c r="PN112">
        <v>151.13</v>
      </c>
      <c r="PS112">
        <v>151.77000000000001</v>
      </c>
      <c r="PT112">
        <v>151.9</v>
      </c>
      <c r="PU112">
        <v>152.01</v>
      </c>
      <c r="PV112">
        <v>152.13</v>
      </c>
      <c r="PW112">
        <v>152.18</v>
      </c>
      <c r="PX112">
        <v>152.19</v>
      </c>
      <c r="PY112">
        <v>152.28</v>
      </c>
      <c r="PZ112">
        <v>152.38999999999999</v>
      </c>
      <c r="QA112">
        <v>152.47</v>
      </c>
      <c r="QB112">
        <v>152.49</v>
      </c>
      <c r="QD112">
        <v>152.74</v>
      </c>
      <c r="QE112">
        <v>152.75</v>
      </c>
      <c r="QF112">
        <v>152.82</v>
      </c>
      <c r="QH112">
        <v>152.94999999999999</v>
      </c>
      <c r="QJ112">
        <v>153.1</v>
      </c>
      <c r="QM112">
        <v>153.19</v>
      </c>
      <c r="QO112">
        <v>153.29</v>
      </c>
      <c r="QQ112">
        <v>153.41999999999999</v>
      </c>
      <c r="QS112">
        <v>153.46</v>
      </c>
      <c r="QT112">
        <v>153.47999999999999</v>
      </c>
      <c r="QU112">
        <v>153.54</v>
      </c>
      <c r="QV112">
        <v>153.58000000000001</v>
      </c>
      <c r="QX112">
        <v>153.69</v>
      </c>
      <c r="RA112">
        <v>153.75</v>
      </c>
      <c r="RC112">
        <v>153.84</v>
      </c>
      <c r="RE112">
        <v>153.91999999999999</v>
      </c>
      <c r="RH112">
        <v>153.96</v>
      </c>
      <c r="RM112">
        <v>154.11000000000001</v>
      </c>
      <c r="RO112">
        <v>154.15</v>
      </c>
      <c r="RR112">
        <v>154.22999999999999</v>
      </c>
      <c r="RT112">
        <v>154.28</v>
      </c>
      <c r="RW112">
        <v>154.32</v>
      </c>
      <c r="RY112">
        <v>154.36000000000001</v>
      </c>
      <c r="SA112">
        <v>154.41</v>
      </c>
      <c r="SE112">
        <v>154.46</v>
      </c>
      <c r="SF112">
        <v>154.47999999999999</v>
      </c>
      <c r="SI112">
        <v>154.53</v>
      </c>
      <c r="SJ112">
        <v>154.53</v>
      </c>
      <c r="SK112">
        <v>154.54</v>
      </c>
      <c r="SM112">
        <v>154.56</v>
      </c>
      <c r="SN112">
        <v>154.59</v>
      </c>
      <c r="SO112">
        <v>154.6</v>
      </c>
      <c r="SR112">
        <v>154.62</v>
      </c>
      <c r="SV112">
        <v>154.69</v>
      </c>
      <c r="SY112">
        <v>154.69</v>
      </c>
      <c r="SZ112">
        <v>154.72</v>
      </c>
      <c r="TA112">
        <v>154.72999999999999</v>
      </c>
      <c r="TC112">
        <v>154.76</v>
      </c>
      <c r="TF112">
        <v>154.77000000000001</v>
      </c>
      <c r="TG112">
        <v>154.78</v>
      </c>
      <c r="TH112">
        <v>154.79</v>
      </c>
      <c r="TM112">
        <v>154.83000000000001</v>
      </c>
      <c r="UG112">
        <v>154.97</v>
      </c>
      <c r="UH112">
        <v>154.97999999999999</v>
      </c>
      <c r="UI112">
        <v>154.97999999999999</v>
      </c>
      <c r="UT112">
        <v>155.05000000000001</v>
      </c>
      <c r="UU112">
        <v>155.05000000000001</v>
      </c>
      <c r="UV112">
        <v>155.05000000000001</v>
      </c>
      <c r="VB112">
        <v>154.52000000000001</v>
      </c>
      <c r="VC112">
        <v>154.53</v>
      </c>
    </row>
    <row r="113" spans="1:812">
      <c r="A113" s="1" t="s">
        <v>124</v>
      </c>
      <c r="B113" t="s">
        <v>341</v>
      </c>
      <c r="BP113">
        <v>0</v>
      </c>
      <c r="BQ113">
        <v>0</v>
      </c>
      <c r="BR113">
        <v>0.02</v>
      </c>
      <c r="BS113">
        <v>0.05</v>
      </c>
      <c r="BT113">
        <v>0.09</v>
      </c>
      <c r="BU113">
        <v>0.14000000000000001</v>
      </c>
      <c r="BV113">
        <v>0.2</v>
      </c>
      <c r="BW113">
        <v>0.2</v>
      </c>
      <c r="BX113">
        <v>0.2</v>
      </c>
      <c r="BY113">
        <v>0.26</v>
      </c>
      <c r="BZ113">
        <v>0.32</v>
      </c>
      <c r="CA113">
        <v>0.37</v>
      </c>
      <c r="CB113">
        <v>0.44</v>
      </c>
      <c r="CC113">
        <v>0.51</v>
      </c>
      <c r="CD113">
        <v>0.51</v>
      </c>
      <c r="CE113">
        <v>0.59</v>
      </c>
      <c r="CF113">
        <v>0.67</v>
      </c>
      <c r="CG113">
        <v>0.7</v>
      </c>
      <c r="CH113">
        <v>0.8</v>
      </c>
      <c r="CI113">
        <v>0.84</v>
      </c>
      <c r="CJ113">
        <v>0.89</v>
      </c>
      <c r="CK113">
        <v>0.89</v>
      </c>
      <c r="CL113">
        <v>0.9</v>
      </c>
      <c r="CM113">
        <v>0.94</v>
      </c>
      <c r="CN113">
        <v>0.95</v>
      </c>
      <c r="CO113">
        <v>1.28</v>
      </c>
      <c r="CP113">
        <v>1.35</v>
      </c>
      <c r="CQ113">
        <v>1.4</v>
      </c>
      <c r="CT113">
        <v>1.53</v>
      </c>
      <c r="CU113">
        <v>1.69</v>
      </c>
      <c r="CV113">
        <v>1.77</v>
      </c>
      <c r="CW113">
        <v>1.9</v>
      </c>
      <c r="CX113">
        <v>1.98</v>
      </c>
      <c r="CY113">
        <v>1.98</v>
      </c>
      <c r="CZ113">
        <v>2.0299999999999998</v>
      </c>
      <c r="DA113">
        <v>2.17</v>
      </c>
      <c r="DB113">
        <v>2.3199999999999998</v>
      </c>
      <c r="DC113">
        <v>2.4300000000000002</v>
      </c>
      <c r="DD113">
        <v>2.5499999999999998</v>
      </c>
      <c r="DE113">
        <v>2.64</v>
      </c>
      <c r="DF113">
        <v>2.65</v>
      </c>
      <c r="DG113">
        <v>2.74</v>
      </c>
      <c r="DH113">
        <v>2.84</v>
      </c>
      <c r="DI113">
        <v>3.04</v>
      </c>
      <c r="DJ113">
        <v>3.17</v>
      </c>
      <c r="DK113">
        <v>3.26</v>
      </c>
      <c r="DL113">
        <v>3.31</v>
      </c>
      <c r="DM113">
        <v>3.31</v>
      </c>
      <c r="DN113">
        <v>3.34</v>
      </c>
      <c r="DO113">
        <v>3.45</v>
      </c>
      <c r="DP113">
        <v>3.59</v>
      </c>
      <c r="DQ113">
        <v>3.8</v>
      </c>
      <c r="DR113">
        <v>3.93</v>
      </c>
      <c r="DS113">
        <v>3.99</v>
      </c>
      <c r="DT113">
        <v>4.01</v>
      </c>
      <c r="DV113">
        <v>4.1900000000000004</v>
      </c>
      <c r="DW113">
        <v>4.34</v>
      </c>
      <c r="DX113">
        <v>4.34</v>
      </c>
      <c r="DY113">
        <v>4.7</v>
      </c>
      <c r="DZ113">
        <v>4.7300000000000004</v>
      </c>
      <c r="EA113">
        <v>4.7300000000000004</v>
      </c>
      <c r="EB113">
        <v>4.83</v>
      </c>
      <c r="EC113">
        <v>5.03</v>
      </c>
      <c r="ED113">
        <v>5.15</v>
      </c>
      <c r="EH113">
        <v>5.99</v>
      </c>
      <c r="EI113">
        <v>6.09</v>
      </c>
      <c r="EJ113">
        <v>6.18</v>
      </c>
      <c r="EK113">
        <v>6.42</v>
      </c>
      <c r="EL113">
        <v>6.67</v>
      </c>
      <c r="EM113">
        <v>6.76</v>
      </c>
      <c r="EN113">
        <v>6.76</v>
      </c>
      <c r="EO113">
        <v>6.77</v>
      </c>
      <c r="EP113">
        <v>6.83</v>
      </c>
      <c r="EQ113">
        <v>6.94</v>
      </c>
      <c r="ER113">
        <v>7.15</v>
      </c>
      <c r="ES113">
        <v>7.34</v>
      </c>
      <c r="ET113">
        <v>7.47</v>
      </c>
      <c r="FB113">
        <v>8.51</v>
      </c>
      <c r="FC113">
        <v>8.52</v>
      </c>
      <c r="FD113">
        <v>8.6</v>
      </c>
      <c r="FE113">
        <v>8.89</v>
      </c>
      <c r="FF113">
        <v>9.06</v>
      </c>
      <c r="FG113">
        <v>9.25</v>
      </c>
      <c r="FH113">
        <v>9.5500000000000007</v>
      </c>
      <c r="FI113">
        <v>9.69</v>
      </c>
      <c r="FJ113">
        <v>9.69</v>
      </c>
      <c r="FK113">
        <v>9.74</v>
      </c>
      <c r="FL113">
        <v>9.94</v>
      </c>
      <c r="FM113">
        <v>9.99</v>
      </c>
      <c r="FN113">
        <v>10.48</v>
      </c>
      <c r="FO113">
        <v>10.63</v>
      </c>
      <c r="FP113">
        <v>10.8</v>
      </c>
      <c r="FQ113">
        <v>10.88</v>
      </c>
      <c r="FR113">
        <v>11.02</v>
      </c>
      <c r="FS113">
        <v>11.35</v>
      </c>
      <c r="FT113">
        <v>11.72</v>
      </c>
      <c r="FU113">
        <v>12.01</v>
      </c>
      <c r="FV113">
        <v>12.42</v>
      </c>
      <c r="FW113">
        <v>12.45</v>
      </c>
      <c r="FX113">
        <v>12.48</v>
      </c>
      <c r="FY113">
        <v>12.65</v>
      </c>
      <c r="FZ113">
        <v>13</v>
      </c>
      <c r="GA113">
        <v>13.29</v>
      </c>
      <c r="GB113">
        <v>13.6</v>
      </c>
      <c r="GC113">
        <v>13.9</v>
      </c>
      <c r="GD113">
        <v>14.11</v>
      </c>
      <c r="GE113">
        <v>14.44</v>
      </c>
      <c r="GF113">
        <v>14.81</v>
      </c>
      <c r="GG113">
        <v>15.11</v>
      </c>
      <c r="GH113">
        <v>15.51</v>
      </c>
      <c r="GI113">
        <v>15.55</v>
      </c>
      <c r="GJ113">
        <v>16.29</v>
      </c>
      <c r="GK113">
        <v>16.510000000000002</v>
      </c>
      <c r="GL113">
        <v>16.54</v>
      </c>
      <c r="GM113">
        <v>16.57</v>
      </c>
      <c r="GP113">
        <v>17.22</v>
      </c>
      <c r="GQ113">
        <v>17.52</v>
      </c>
      <c r="GR113">
        <v>18.22</v>
      </c>
      <c r="GS113">
        <v>18.27</v>
      </c>
      <c r="GT113">
        <v>18.37</v>
      </c>
      <c r="GU113">
        <v>18.829999999999998</v>
      </c>
      <c r="GV113">
        <v>19.23</v>
      </c>
      <c r="GW113">
        <v>19.77</v>
      </c>
      <c r="GX113">
        <v>19.91</v>
      </c>
      <c r="GY113">
        <v>20.170000000000002</v>
      </c>
      <c r="GZ113">
        <v>20.190000000000001</v>
      </c>
      <c r="HA113">
        <v>20.22</v>
      </c>
      <c r="HB113">
        <v>20.38</v>
      </c>
      <c r="HC113">
        <v>20.67</v>
      </c>
      <c r="HD113">
        <v>21.68</v>
      </c>
      <c r="HE113">
        <v>22.24</v>
      </c>
      <c r="HF113">
        <v>22.48</v>
      </c>
      <c r="HG113">
        <v>22.51</v>
      </c>
      <c r="HH113">
        <v>22.59</v>
      </c>
      <c r="HI113">
        <v>22.94</v>
      </c>
      <c r="HJ113">
        <v>23.95</v>
      </c>
      <c r="HK113">
        <v>24.42</v>
      </c>
      <c r="HL113">
        <v>24.85</v>
      </c>
      <c r="HM113">
        <v>24.88</v>
      </c>
      <c r="HN113">
        <v>24.91</v>
      </c>
      <c r="HO113">
        <v>24.92</v>
      </c>
      <c r="HP113">
        <v>25.29</v>
      </c>
      <c r="HQ113">
        <v>25.32</v>
      </c>
      <c r="HR113">
        <v>25.6</v>
      </c>
      <c r="HS113">
        <v>26.1</v>
      </c>
      <c r="HT113">
        <v>26.11</v>
      </c>
      <c r="HU113">
        <v>26.17</v>
      </c>
      <c r="HV113">
        <v>26.48</v>
      </c>
      <c r="HW113">
        <v>26.93</v>
      </c>
      <c r="HX113">
        <v>27.44</v>
      </c>
      <c r="HY113">
        <v>27.85</v>
      </c>
      <c r="HZ113">
        <v>28.24</v>
      </c>
      <c r="IA113">
        <v>28.5</v>
      </c>
      <c r="IB113">
        <v>28.52</v>
      </c>
      <c r="IC113">
        <v>28.56</v>
      </c>
      <c r="ID113">
        <v>29.04</v>
      </c>
      <c r="IE113">
        <v>29.55</v>
      </c>
      <c r="IF113">
        <v>29.69</v>
      </c>
      <c r="IG113">
        <v>30.08</v>
      </c>
      <c r="IH113">
        <v>30.44</v>
      </c>
      <c r="II113">
        <v>30.51</v>
      </c>
      <c r="IJ113">
        <v>30.55</v>
      </c>
      <c r="IK113">
        <v>30.8</v>
      </c>
      <c r="IL113">
        <v>31.36</v>
      </c>
      <c r="IM113">
        <v>31.73</v>
      </c>
      <c r="IN113">
        <v>31.9</v>
      </c>
      <c r="IO113">
        <v>32.1</v>
      </c>
      <c r="IP113">
        <v>32.119999999999997</v>
      </c>
      <c r="IQ113">
        <v>32.29</v>
      </c>
      <c r="IR113">
        <v>32.549999999999997</v>
      </c>
      <c r="IS113">
        <v>32.869999999999997</v>
      </c>
      <c r="IT113">
        <v>33.08</v>
      </c>
      <c r="IU113">
        <v>33.33</v>
      </c>
      <c r="IV113">
        <v>33.78</v>
      </c>
      <c r="IY113">
        <v>34.26</v>
      </c>
      <c r="IZ113">
        <v>34.68</v>
      </c>
      <c r="JA113">
        <v>34.89</v>
      </c>
      <c r="JB113">
        <v>35.25</v>
      </c>
      <c r="JC113">
        <v>35.450000000000003</v>
      </c>
      <c r="JD113">
        <v>35.47</v>
      </c>
      <c r="JE113">
        <v>35.79</v>
      </c>
      <c r="JF113">
        <v>35.979999999999997</v>
      </c>
      <c r="JG113">
        <v>36.31</v>
      </c>
      <c r="JH113">
        <v>36.4</v>
      </c>
      <c r="JI113">
        <v>36.85</v>
      </c>
      <c r="JJ113">
        <v>36.89</v>
      </c>
      <c r="JK113">
        <v>36.93</v>
      </c>
      <c r="JL113">
        <v>37.01</v>
      </c>
      <c r="JM113">
        <v>37.46</v>
      </c>
      <c r="JN113">
        <v>37.590000000000003</v>
      </c>
      <c r="JO113">
        <v>37.979999999999997</v>
      </c>
      <c r="JP113">
        <v>38.18</v>
      </c>
      <c r="JQ113">
        <v>38.39</v>
      </c>
      <c r="JR113">
        <v>38.42</v>
      </c>
      <c r="JS113">
        <v>38.74</v>
      </c>
      <c r="JT113">
        <v>38.840000000000003</v>
      </c>
      <c r="JU113">
        <v>38.96</v>
      </c>
      <c r="JV113">
        <v>39.65</v>
      </c>
      <c r="JW113">
        <v>39.74</v>
      </c>
      <c r="JX113">
        <v>39.950000000000003</v>
      </c>
      <c r="JY113">
        <v>39.97</v>
      </c>
      <c r="JZ113">
        <v>40.14</v>
      </c>
      <c r="KA113">
        <v>40.47</v>
      </c>
      <c r="KB113">
        <v>40.92</v>
      </c>
      <c r="KC113">
        <v>41.05</v>
      </c>
      <c r="KD113">
        <v>41.46</v>
      </c>
      <c r="KE113">
        <v>41.5</v>
      </c>
      <c r="KF113">
        <v>41.51</v>
      </c>
      <c r="KG113">
        <v>41.61</v>
      </c>
      <c r="KH113">
        <v>41.86</v>
      </c>
      <c r="KI113">
        <v>42.43</v>
      </c>
      <c r="KJ113">
        <v>42.75</v>
      </c>
      <c r="KK113">
        <v>43.05</v>
      </c>
      <c r="KL113">
        <v>43.2</v>
      </c>
      <c r="KM113">
        <v>43.21</v>
      </c>
      <c r="KN113">
        <v>43.35</v>
      </c>
      <c r="KO113">
        <v>43.64</v>
      </c>
      <c r="KP113">
        <v>43.79</v>
      </c>
      <c r="KQ113">
        <v>43.86</v>
      </c>
      <c r="KR113">
        <v>44.39</v>
      </c>
      <c r="KS113">
        <v>44.6</v>
      </c>
      <c r="KT113">
        <v>44.62</v>
      </c>
      <c r="KV113">
        <v>44.74</v>
      </c>
      <c r="KW113">
        <v>44.84</v>
      </c>
      <c r="KX113">
        <v>45.53</v>
      </c>
      <c r="KY113">
        <v>45.74</v>
      </c>
      <c r="KZ113">
        <v>45.91</v>
      </c>
      <c r="LA113">
        <v>45.92</v>
      </c>
      <c r="LB113">
        <v>45.93</v>
      </c>
      <c r="LC113">
        <v>45.97</v>
      </c>
      <c r="LD113">
        <v>46.46</v>
      </c>
      <c r="LE113">
        <v>46.71</v>
      </c>
      <c r="LF113">
        <v>46.96</v>
      </c>
      <c r="LG113">
        <v>47.11</v>
      </c>
      <c r="LH113">
        <v>47.12</v>
      </c>
      <c r="LI113">
        <v>47.12</v>
      </c>
      <c r="LK113">
        <v>47.96</v>
      </c>
      <c r="LM113">
        <v>48.65</v>
      </c>
      <c r="LQ113">
        <v>48.95</v>
      </c>
      <c r="LR113">
        <v>49.19</v>
      </c>
      <c r="LS113">
        <v>49.39</v>
      </c>
      <c r="LT113">
        <v>49.52</v>
      </c>
      <c r="LU113">
        <v>49.76</v>
      </c>
      <c r="LV113">
        <v>49.77</v>
      </c>
      <c r="LW113">
        <v>49.8</v>
      </c>
      <c r="LX113">
        <v>50.06</v>
      </c>
      <c r="LY113">
        <v>50.24</v>
      </c>
      <c r="LZ113">
        <v>50.39</v>
      </c>
      <c r="MA113">
        <v>50.59</v>
      </c>
      <c r="MB113">
        <v>50.79</v>
      </c>
      <c r="MC113">
        <v>50.8</v>
      </c>
      <c r="MD113">
        <v>50.87</v>
      </c>
      <c r="ME113">
        <v>51.06</v>
      </c>
      <c r="MF113">
        <v>51.23</v>
      </c>
      <c r="MG113">
        <v>51.43</v>
      </c>
      <c r="MH113">
        <v>51.56</v>
      </c>
      <c r="MI113">
        <v>51.78</v>
      </c>
      <c r="MJ113">
        <v>51.8</v>
      </c>
      <c r="MK113">
        <v>51.82</v>
      </c>
      <c r="ML113">
        <v>51.96</v>
      </c>
      <c r="MM113">
        <v>52.22</v>
      </c>
      <c r="MN113">
        <v>52.29</v>
      </c>
      <c r="MO113">
        <v>52.43</v>
      </c>
      <c r="MP113">
        <v>52.69</v>
      </c>
      <c r="MQ113">
        <v>52.73</v>
      </c>
      <c r="MR113">
        <v>52.75</v>
      </c>
      <c r="MS113">
        <v>52.99</v>
      </c>
      <c r="MT113">
        <v>53.2</v>
      </c>
      <c r="MU113">
        <v>53.31</v>
      </c>
      <c r="MW113">
        <v>53.95</v>
      </c>
      <c r="MX113">
        <v>53.97</v>
      </c>
      <c r="MY113">
        <v>54.07</v>
      </c>
      <c r="MZ113">
        <v>54.34</v>
      </c>
      <c r="NA113">
        <v>54.56</v>
      </c>
      <c r="NB113">
        <v>54.85</v>
      </c>
      <c r="NC113">
        <v>55.01</v>
      </c>
      <c r="ND113">
        <v>55.57</v>
      </c>
      <c r="NE113">
        <v>56.03</v>
      </c>
      <c r="NF113">
        <v>56.25</v>
      </c>
      <c r="NG113">
        <v>56.51</v>
      </c>
      <c r="NH113">
        <v>56.71</v>
      </c>
      <c r="NI113">
        <v>56.99</v>
      </c>
      <c r="NJ113">
        <v>57.29</v>
      </c>
      <c r="NK113">
        <v>57.59</v>
      </c>
      <c r="NL113">
        <v>57.69</v>
      </c>
      <c r="NN113">
        <v>58.12</v>
      </c>
      <c r="NO113">
        <v>58.34</v>
      </c>
      <c r="NP113">
        <v>62.54</v>
      </c>
      <c r="NQ113">
        <v>62.9</v>
      </c>
      <c r="NR113">
        <v>63.02</v>
      </c>
      <c r="NS113">
        <v>63.04</v>
      </c>
      <c r="NT113">
        <v>63.09</v>
      </c>
      <c r="NU113">
        <v>63.51</v>
      </c>
      <c r="NV113">
        <v>64.08</v>
      </c>
      <c r="NW113">
        <v>64.28</v>
      </c>
      <c r="NX113">
        <v>64.650000000000006</v>
      </c>
      <c r="NY113">
        <v>64.7</v>
      </c>
      <c r="NZ113">
        <v>64.709999999999994</v>
      </c>
      <c r="OA113">
        <v>64.81</v>
      </c>
      <c r="OB113">
        <v>65.16</v>
      </c>
      <c r="OC113">
        <v>65.52</v>
      </c>
      <c r="OD113">
        <v>65.849999999999994</v>
      </c>
      <c r="OE113">
        <v>65.849999999999994</v>
      </c>
      <c r="OF113">
        <v>66.5</v>
      </c>
      <c r="OG113">
        <v>67.069999999999993</v>
      </c>
      <c r="OH113">
        <v>67.52</v>
      </c>
      <c r="OI113">
        <v>67.95</v>
      </c>
      <c r="OJ113">
        <v>68.34</v>
      </c>
      <c r="OK113">
        <v>68.62</v>
      </c>
      <c r="OL113">
        <v>68.959999999999994</v>
      </c>
      <c r="OM113">
        <v>69.23</v>
      </c>
      <c r="ON113">
        <v>69.25</v>
      </c>
      <c r="OO113">
        <v>69.5</v>
      </c>
      <c r="OP113">
        <v>69.790000000000006</v>
      </c>
      <c r="OQ113">
        <v>70.09</v>
      </c>
      <c r="OR113">
        <v>70.010000000000005</v>
      </c>
      <c r="OS113">
        <v>70.42</v>
      </c>
      <c r="OT113">
        <v>70.63</v>
      </c>
      <c r="OU113">
        <v>70.66</v>
      </c>
      <c r="OV113">
        <v>70.69</v>
      </c>
      <c r="OW113">
        <v>71.03</v>
      </c>
      <c r="OX113">
        <v>71.3</v>
      </c>
      <c r="OY113">
        <v>71.47</v>
      </c>
      <c r="OZ113">
        <v>71.680000000000007</v>
      </c>
      <c r="PA113">
        <v>71.84</v>
      </c>
      <c r="PB113">
        <v>71.900000000000006</v>
      </c>
      <c r="PC113">
        <v>72.12</v>
      </c>
      <c r="PD113">
        <v>72.42</v>
      </c>
      <c r="PE113">
        <v>72.64</v>
      </c>
      <c r="PF113">
        <v>72.8</v>
      </c>
      <c r="PG113">
        <v>73.09</v>
      </c>
      <c r="PH113">
        <v>73.180000000000007</v>
      </c>
      <c r="PI113">
        <v>73.23</v>
      </c>
      <c r="PJ113">
        <v>73.23</v>
      </c>
      <c r="PK113">
        <v>73.55</v>
      </c>
      <c r="PL113">
        <v>73.77</v>
      </c>
      <c r="PM113">
        <v>73.89</v>
      </c>
      <c r="PN113">
        <v>74.12</v>
      </c>
      <c r="PO113">
        <v>74.31</v>
      </c>
      <c r="PP113">
        <v>74.349999999999994</v>
      </c>
      <c r="PQ113">
        <v>74.38</v>
      </c>
      <c r="PR113">
        <v>74.569999999999993</v>
      </c>
      <c r="PS113">
        <v>74.75</v>
      </c>
      <c r="PT113">
        <v>75.010000000000005</v>
      </c>
      <c r="PU113">
        <v>75.239999999999995</v>
      </c>
      <c r="PV113">
        <v>75.39</v>
      </c>
      <c r="PW113">
        <v>75.41</v>
      </c>
      <c r="PX113">
        <v>75.5</v>
      </c>
      <c r="PY113">
        <v>75.67</v>
      </c>
      <c r="PZ113">
        <v>75.790000000000006</v>
      </c>
      <c r="QA113">
        <v>75.930000000000007</v>
      </c>
      <c r="QB113">
        <v>76.06</v>
      </c>
      <c r="QC113">
        <v>76.2</v>
      </c>
      <c r="QD113">
        <v>76.22</v>
      </c>
      <c r="QE113">
        <v>76.31</v>
      </c>
      <c r="QF113">
        <v>76.47</v>
      </c>
      <c r="QG113">
        <v>76.59</v>
      </c>
      <c r="QH113">
        <v>76.680000000000007</v>
      </c>
      <c r="QI113">
        <v>76.760000000000005</v>
      </c>
      <c r="QJ113">
        <v>76.81</v>
      </c>
      <c r="QK113">
        <v>76.81</v>
      </c>
      <c r="QL113">
        <v>76.86</v>
      </c>
      <c r="QM113">
        <v>76.959999999999994</v>
      </c>
      <c r="QN113">
        <v>77.03</v>
      </c>
      <c r="QO113">
        <v>77.099999999999994</v>
      </c>
      <c r="QP113">
        <v>77.209999999999994</v>
      </c>
      <c r="QQ113">
        <v>77.22</v>
      </c>
      <c r="QR113">
        <v>77.22</v>
      </c>
      <c r="QS113">
        <v>77.23</v>
      </c>
      <c r="QT113">
        <v>77.27</v>
      </c>
      <c r="QW113">
        <v>77.52</v>
      </c>
      <c r="QX113">
        <v>77.56</v>
      </c>
      <c r="QY113">
        <v>77.569999999999993</v>
      </c>
      <c r="QZ113">
        <v>77.599999999999994</v>
      </c>
      <c r="RA113">
        <v>77.650000000000006</v>
      </c>
      <c r="RB113">
        <v>77.7</v>
      </c>
      <c r="RC113">
        <v>77.73</v>
      </c>
      <c r="RD113">
        <v>77.77</v>
      </c>
      <c r="RE113">
        <v>77.790000000000006</v>
      </c>
      <c r="RF113">
        <v>77.8</v>
      </c>
      <c r="RG113">
        <v>77.84</v>
      </c>
      <c r="RH113">
        <v>77.86</v>
      </c>
      <c r="RI113">
        <v>77.94</v>
      </c>
      <c r="RJ113">
        <v>77.989999999999995</v>
      </c>
      <c r="RK113">
        <v>78.03</v>
      </c>
      <c r="RL113">
        <v>78.09</v>
      </c>
      <c r="RM113">
        <v>78.099999999999994</v>
      </c>
      <c r="RN113">
        <v>78.13</v>
      </c>
      <c r="RO113">
        <v>78.16</v>
      </c>
      <c r="RP113">
        <v>78.180000000000007</v>
      </c>
      <c r="RQ113">
        <v>78.22</v>
      </c>
      <c r="RR113">
        <v>78.25</v>
      </c>
      <c r="RS113">
        <v>78.27</v>
      </c>
      <c r="RT113">
        <v>78.3</v>
      </c>
      <c r="RU113">
        <v>78.319999999999993</v>
      </c>
      <c r="RV113">
        <v>78.33</v>
      </c>
      <c r="RW113">
        <v>78.36</v>
      </c>
      <c r="RX113">
        <v>78.37</v>
      </c>
      <c r="RY113">
        <v>78.400000000000006</v>
      </c>
      <c r="RZ113">
        <v>78.430000000000007</v>
      </c>
      <c r="SA113">
        <v>78.44</v>
      </c>
      <c r="SB113">
        <v>78.44</v>
      </c>
      <c r="SC113">
        <v>78.45</v>
      </c>
      <c r="UB113">
        <v>83.57</v>
      </c>
      <c r="UG113">
        <v>83.67</v>
      </c>
      <c r="AAZ113">
        <v>105.89</v>
      </c>
      <c r="ABJ113">
        <v>105.92</v>
      </c>
    </row>
    <row r="114" spans="1:812">
      <c r="A114" s="1" t="s">
        <v>177</v>
      </c>
      <c r="B114" t="s">
        <v>342</v>
      </c>
      <c r="CN114">
        <v>0</v>
      </c>
      <c r="EA114">
        <v>0.75</v>
      </c>
      <c r="FF114">
        <v>1.71</v>
      </c>
      <c r="FI114">
        <v>1.72</v>
      </c>
      <c r="HB114">
        <v>2.63</v>
      </c>
      <c r="HW114">
        <v>3.41</v>
      </c>
      <c r="JA114">
        <v>4.8099999999999996</v>
      </c>
      <c r="KA114">
        <v>15.42</v>
      </c>
      <c r="KU114">
        <v>17.75</v>
      </c>
      <c r="NB114">
        <v>29.45</v>
      </c>
      <c r="NJ114">
        <v>31.87</v>
      </c>
    </row>
    <row r="115" spans="1:812">
      <c r="A115" s="1" t="s">
        <v>162</v>
      </c>
      <c r="B115" t="s">
        <v>162</v>
      </c>
      <c r="EZ115">
        <v>0.72</v>
      </c>
      <c r="FI115">
        <v>1.04</v>
      </c>
      <c r="FL115">
        <v>1.06</v>
      </c>
      <c r="FN115">
        <v>1.1000000000000001</v>
      </c>
      <c r="FS115">
        <v>1.1100000000000001</v>
      </c>
      <c r="GA115">
        <v>1.26</v>
      </c>
      <c r="GC115">
        <v>1.27</v>
      </c>
      <c r="GG115">
        <v>1.3</v>
      </c>
      <c r="GH115">
        <v>1.33</v>
      </c>
      <c r="GM115">
        <v>1.36</v>
      </c>
      <c r="GQ115">
        <v>1.52</v>
      </c>
      <c r="GU115">
        <v>1.63</v>
      </c>
      <c r="HB115">
        <v>1.82</v>
      </c>
      <c r="HI115">
        <v>1.89</v>
      </c>
      <c r="IV115">
        <v>2.12</v>
      </c>
      <c r="IY115">
        <v>2.19</v>
      </c>
      <c r="LF115">
        <v>6.75</v>
      </c>
      <c r="LN115">
        <v>7.9</v>
      </c>
      <c r="MH115">
        <v>11.38</v>
      </c>
    </row>
    <row r="116" spans="1:812">
      <c r="A116" s="1" t="s">
        <v>131</v>
      </c>
      <c r="B116" t="s">
        <v>343</v>
      </c>
      <c r="EA116">
        <v>0.01</v>
      </c>
      <c r="EX116">
        <v>1.55</v>
      </c>
      <c r="FT116">
        <v>3.55</v>
      </c>
      <c r="GB116">
        <v>4.63</v>
      </c>
      <c r="GE116">
        <v>4.8099999999999996</v>
      </c>
      <c r="GI116">
        <v>5.1100000000000003</v>
      </c>
      <c r="GP116">
        <v>5.39</v>
      </c>
      <c r="GV116">
        <v>5.52</v>
      </c>
      <c r="HE116">
        <v>5.73</v>
      </c>
      <c r="HH116">
        <v>6.19</v>
      </c>
      <c r="HO116">
        <v>6.99</v>
      </c>
      <c r="HV116">
        <v>7.73</v>
      </c>
      <c r="HY116">
        <v>7.96</v>
      </c>
      <c r="IF116">
        <v>10.37</v>
      </c>
      <c r="IG116">
        <v>10.73</v>
      </c>
      <c r="IK116">
        <v>11.12</v>
      </c>
      <c r="IT116">
        <v>12.95</v>
      </c>
      <c r="JA116">
        <v>14.7</v>
      </c>
      <c r="JH116">
        <v>16.25</v>
      </c>
      <c r="JP116">
        <v>18.309999999999999</v>
      </c>
      <c r="JV116">
        <v>19.850000000000001</v>
      </c>
      <c r="JZ116">
        <v>21.04</v>
      </c>
      <c r="KC116">
        <v>21.58</v>
      </c>
      <c r="KI116">
        <v>22.79</v>
      </c>
      <c r="KR116">
        <v>23.94</v>
      </c>
      <c r="KY116">
        <v>24.99</v>
      </c>
      <c r="LF116">
        <v>26</v>
      </c>
      <c r="LM116">
        <v>27.32</v>
      </c>
      <c r="LT116">
        <v>29.04</v>
      </c>
      <c r="LZ116">
        <v>30.13</v>
      </c>
      <c r="MH116">
        <v>31.31</v>
      </c>
      <c r="MN116">
        <v>32.69</v>
      </c>
      <c r="MV116">
        <v>34.159999999999997</v>
      </c>
      <c r="NC116">
        <v>35.72</v>
      </c>
      <c r="NI116">
        <v>36.71</v>
      </c>
      <c r="NQ116">
        <v>37.630000000000003</v>
      </c>
      <c r="NX116">
        <v>38.51</v>
      </c>
      <c r="OE116">
        <v>39.549999999999997</v>
      </c>
      <c r="OK116">
        <v>41.16</v>
      </c>
      <c r="PZ116">
        <v>47.19</v>
      </c>
      <c r="QB116">
        <v>47.44</v>
      </c>
      <c r="QD116">
        <v>47.55</v>
      </c>
      <c r="QF116">
        <v>47.78</v>
      </c>
      <c r="QH116">
        <v>47.96</v>
      </c>
      <c r="QK116">
        <v>48.11</v>
      </c>
      <c r="QN116">
        <v>48.29</v>
      </c>
      <c r="QO116">
        <v>48.32</v>
      </c>
      <c r="QP116">
        <v>48.37</v>
      </c>
      <c r="QS116">
        <v>48.5</v>
      </c>
      <c r="QU116">
        <v>48.68</v>
      </c>
      <c r="QV116">
        <v>48.72</v>
      </c>
      <c r="QY116">
        <v>48.82</v>
      </c>
      <c r="ACI116">
        <v>54.89</v>
      </c>
    </row>
    <row r="117" spans="1:812">
      <c r="A117" s="1" t="s">
        <v>206</v>
      </c>
      <c r="B117" t="s">
        <v>206</v>
      </c>
      <c r="BF117">
        <v>2.1800000000000002</v>
      </c>
      <c r="BM117">
        <v>2.67</v>
      </c>
      <c r="BQ117">
        <v>3.05</v>
      </c>
      <c r="BT117">
        <v>3.94</v>
      </c>
      <c r="BX117">
        <v>4.75</v>
      </c>
      <c r="CA117">
        <v>5.82</v>
      </c>
      <c r="CE117">
        <v>6.81</v>
      </c>
      <c r="CF117">
        <v>6.82</v>
      </c>
      <c r="CG117">
        <v>6.82</v>
      </c>
      <c r="CH117">
        <v>7.14</v>
      </c>
      <c r="CI117">
        <v>7.65</v>
      </c>
      <c r="CJ117">
        <v>8.1999999999999993</v>
      </c>
      <c r="CK117">
        <v>8.1999999999999993</v>
      </c>
      <c r="CL117">
        <v>8.1999999999999993</v>
      </c>
      <c r="CM117">
        <v>8.1999999999999993</v>
      </c>
      <c r="CN117">
        <v>8.76</v>
      </c>
      <c r="CO117">
        <v>9.2799999999999994</v>
      </c>
      <c r="CP117">
        <v>9.91</v>
      </c>
      <c r="CQ117">
        <v>9.91</v>
      </c>
      <c r="CR117">
        <v>9.91</v>
      </c>
      <c r="CS117">
        <v>9.91</v>
      </c>
      <c r="CT117">
        <v>9.94</v>
      </c>
      <c r="CU117">
        <v>10.5</v>
      </c>
      <c r="CV117">
        <v>11.11</v>
      </c>
      <c r="CW117">
        <v>11.45</v>
      </c>
      <c r="CX117">
        <v>11.45</v>
      </c>
      <c r="CY117">
        <v>11.45</v>
      </c>
      <c r="CZ117">
        <v>11.45</v>
      </c>
      <c r="DA117">
        <v>11.98</v>
      </c>
      <c r="DB117">
        <v>12.51</v>
      </c>
      <c r="DC117">
        <v>13.14</v>
      </c>
      <c r="DD117">
        <v>13.77</v>
      </c>
      <c r="DE117">
        <v>14.4</v>
      </c>
      <c r="DF117">
        <v>14.4</v>
      </c>
      <c r="DG117">
        <v>14.4</v>
      </c>
      <c r="DH117">
        <v>15.02</v>
      </c>
      <c r="DI117">
        <v>15.68</v>
      </c>
      <c r="DJ117">
        <v>16</v>
      </c>
      <c r="DK117">
        <v>16.510000000000002</v>
      </c>
      <c r="DL117">
        <v>17.05</v>
      </c>
      <c r="DM117">
        <v>17.05</v>
      </c>
      <c r="DN117">
        <v>17.05</v>
      </c>
      <c r="DO117">
        <v>17.05</v>
      </c>
      <c r="DP117">
        <v>17.600000000000001</v>
      </c>
      <c r="DQ117">
        <v>18.13</v>
      </c>
      <c r="DR117">
        <v>18.760000000000002</v>
      </c>
      <c r="DS117">
        <v>19.440000000000001</v>
      </c>
      <c r="DT117">
        <v>19.440000000000001</v>
      </c>
      <c r="DU117">
        <v>19.440000000000001</v>
      </c>
      <c r="DV117">
        <v>20.170000000000002</v>
      </c>
      <c r="DW117">
        <v>20.89</v>
      </c>
      <c r="DX117">
        <v>21.7</v>
      </c>
      <c r="DY117">
        <v>22.48</v>
      </c>
      <c r="DZ117">
        <v>23.23</v>
      </c>
      <c r="EA117">
        <v>23.23</v>
      </c>
      <c r="EB117">
        <v>23.23</v>
      </c>
      <c r="EC117">
        <v>24.7</v>
      </c>
      <c r="ED117">
        <v>26.11</v>
      </c>
      <c r="EE117">
        <v>27.42</v>
      </c>
      <c r="EF117">
        <v>28.74</v>
      </c>
      <c r="EG117">
        <v>30.04</v>
      </c>
      <c r="EH117">
        <v>30.04</v>
      </c>
      <c r="EI117">
        <v>30.04</v>
      </c>
      <c r="EJ117">
        <v>30.67</v>
      </c>
      <c r="EK117">
        <v>31.32</v>
      </c>
      <c r="EL117">
        <v>32.04</v>
      </c>
      <c r="EM117">
        <v>32.75</v>
      </c>
      <c r="EN117">
        <v>34.08</v>
      </c>
      <c r="EO117">
        <v>34.08</v>
      </c>
      <c r="EP117">
        <v>34.08</v>
      </c>
      <c r="EQ117">
        <v>34.81</v>
      </c>
      <c r="ER117">
        <v>35.53</v>
      </c>
      <c r="ES117">
        <v>36.26</v>
      </c>
      <c r="ET117">
        <v>37</v>
      </c>
      <c r="EU117">
        <v>37.68</v>
      </c>
      <c r="EV117">
        <v>37.68</v>
      </c>
      <c r="EW117">
        <v>37.68</v>
      </c>
      <c r="EX117">
        <v>39.15</v>
      </c>
      <c r="EY117">
        <v>40.56</v>
      </c>
      <c r="EZ117">
        <v>41.34</v>
      </c>
      <c r="FA117">
        <v>42.09</v>
      </c>
      <c r="FB117">
        <v>42.83</v>
      </c>
      <c r="FC117">
        <v>42.83</v>
      </c>
      <c r="FD117">
        <v>42.83</v>
      </c>
      <c r="FE117">
        <v>44.29</v>
      </c>
      <c r="FF117">
        <v>45.72</v>
      </c>
      <c r="FG117">
        <v>47.14</v>
      </c>
      <c r="FH117">
        <v>48.56</v>
      </c>
      <c r="FI117">
        <v>50.02</v>
      </c>
      <c r="FJ117">
        <v>50.02</v>
      </c>
      <c r="FK117">
        <v>50.02</v>
      </c>
      <c r="FL117">
        <v>50.02</v>
      </c>
      <c r="FM117">
        <v>51.49</v>
      </c>
      <c r="FN117">
        <v>52.92</v>
      </c>
      <c r="FO117">
        <v>54.41</v>
      </c>
      <c r="FP117">
        <v>55.8</v>
      </c>
      <c r="FQ117">
        <v>55.8</v>
      </c>
      <c r="FR117">
        <v>55.8</v>
      </c>
      <c r="FS117">
        <v>57.26</v>
      </c>
      <c r="FT117">
        <v>58.7</v>
      </c>
      <c r="FU117">
        <v>60.16</v>
      </c>
      <c r="FV117">
        <v>61.6</v>
      </c>
      <c r="FW117">
        <v>63.07</v>
      </c>
      <c r="FX117">
        <v>63.07</v>
      </c>
      <c r="FY117">
        <v>63.07</v>
      </c>
      <c r="FZ117">
        <v>64.59</v>
      </c>
      <c r="GA117">
        <v>66.11</v>
      </c>
      <c r="GB117">
        <v>67.599999999999994</v>
      </c>
      <c r="GC117">
        <v>69.09</v>
      </c>
      <c r="GD117">
        <v>70.61</v>
      </c>
      <c r="GE117">
        <v>70.61</v>
      </c>
      <c r="GF117">
        <v>70.61</v>
      </c>
      <c r="GG117">
        <v>72.08</v>
      </c>
      <c r="GH117">
        <v>73.540000000000006</v>
      </c>
      <c r="GI117">
        <v>75.010000000000005</v>
      </c>
      <c r="GJ117">
        <v>76.45</v>
      </c>
      <c r="GK117">
        <v>77.97</v>
      </c>
      <c r="GL117">
        <v>77.97</v>
      </c>
      <c r="GM117">
        <v>77.97</v>
      </c>
      <c r="GN117">
        <v>77.97</v>
      </c>
      <c r="GO117">
        <v>79.349999999999994</v>
      </c>
      <c r="GP117">
        <v>80.12</v>
      </c>
      <c r="GQ117">
        <v>81.48</v>
      </c>
      <c r="GR117">
        <v>82.21</v>
      </c>
      <c r="GS117">
        <v>82.21</v>
      </c>
      <c r="GT117">
        <v>82.21</v>
      </c>
      <c r="GU117">
        <v>82.97</v>
      </c>
      <c r="GV117">
        <v>83.75</v>
      </c>
      <c r="GW117">
        <v>85.17</v>
      </c>
      <c r="GX117">
        <v>86.6</v>
      </c>
      <c r="GY117">
        <v>88.17</v>
      </c>
      <c r="GZ117">
        <v>88.17</v>
      </c>
      <c r="HA117">
        <v>88.17</v>
      </c>
      <c r="HB117">
        <v>88.95</v>
      </c>
      <c r="HC117">
        <v>90.36</v>
      </c>
      <c r="HD117">
        <v>91.9</v>
      </c>
      <c r="HE117">
        <v>93.45</v>
      </c>
      <c r="HF117">
        <v>95.03</v>
      </c>
      <c r="HG117">
        <v>95.03</v>
      </c>
      <c r="HH117">
        <v>95.03</v>
      </c>
      <c r="HI117">
        <v>96.56</v>
      </c>
      <c r="HJ117">
        <v>98.1</v>
      </c>
      <c r="HK117">
        <v>98.87</v>
      </c>
      <c r="HL117">
        <v>100.31</v>
      </c>
      <c r="HM117">
        <v>101.14</v>
      </c>
      <c r="HN117">
        <v>101.14</v>
      </c>
      <c r="HO117">
        <v>101.14</v>
      </c>
      <c r="HP117">
        <v>101.14</v>
      </c>
      <c r="HQ117">
        <v>101.14</v>
      </c>
      <c r="HR117">
        <v>101.14</v>
      </c>
      <c r="HS117">
        <v>101.78</v>
      </c>
      <c r="HT117">
        <v>102.8</v>
      </c>
      <c r="HU117">
        <v>102.8</v>
      </c>
      <c r="HV117">
        <v>102.8</v>
      </c>
      <c r="HW117">
        <v>102.8</v>
      </c>
      <c r="HX117">
        <v>102.8</v>
      </c>
      <c r="HY117">
        <v>102.8</v>
      </c>
      <c r="HZ117">
        <v>102.8</v>
      </c>
      <c r="IA117">
        <v>102.8</v>
      </c>
      <c r="IB117">
        <v>102.8</v>
      </c>
      <c r="IC117">
        <v>102.8</v>
      </c>
      <c r="ID117">
        <v>102.8</v>
      </c>
      <c r="IE117">
        <v>102.8</v>
      </c>
      <c r="IF117">
        <v>102.8</v>
      </c>
      <c r="IG117">
        <v>102.8</v>
      </c>
      <c r="IH117">
        <v>102.8</v>
      </c>
      <c r="II117">
        <v>102.8</v>
      </c>
      <c r="IJ117">
        <v>102.8</v>
      </c>
      <c r="IK117">
        <v>104.35</v>
      </c>
      <c r="IL117">
        <v>105.09</v>
      </c>
      <c r="IM117">
        <v>105.91</v>
      </c>
      <c r="IN117">
        <v>106.5</v>
      </c>
      <c r="IO117">
        <v>107.31</v>
      </c>
      <c r="IP117">
        <v>107.31</v>
      </c>
      <c r="IQ117">
        <v>107.31</v>
      </c>
      <c r="IR117">
        <v>108.07</v>
      </c>
      <c r="IS117">
        <v>108.81</v>
      </c>
      <c r="IT117">
        <v>109.45</v>
      </c>
      <c r="IU117">
        <v>109.45</v>
      </c>
      <c r="IV117">
        <v>109.12</v>
      </c>
      <c r="IW117">
        <v>110.18</v>
      </c>
      <c r="IX117">
        <v>110.18</v>
      </c>
      <c r="IY117">
        <v>110.56</v>
      </c>
      <c r="IZ117">
        <v>111.29</v>
      </c>
      <c r="JA117">
        <v>111.64</v>
      </c>
      <c r="JB117">
        <v>112</v>
      </c>
      <c r="JE117">
        <v>112.77</v>
      </c>
      <c r="JF117">
        <v>112.77</v>
      </c>
      <c r="JG117">
        <v>112.77</v>
      </c>
      <c r="JI117">
        <v>112.77</v>
      </c>
      <c r="JM117">
        <v>112.77</v>
      </c>
      <c r="JN117">
        <v>113.18</v>
      </c>
      <c r="JS117">
        <v>113.99</v>
      </c>
      <c r="JT117">
        <v>115.59</v>
      </c>
      <c r="JU117">
        <v>116.44</v>
      </c>
      <c r="JV117">
        <v>117.06</v>
      </c>
      <c r="JW117">
        <v>117.08</v>
      </c>
      <c r="JZ117">
        <v>118.57</v>
      </c>
      <c r="KA117">
        <v>119.51</v>
      </c>
      <c r="KB117">
        <v>120.48</v>
      </c>
      <c r="KC117">
        <v>120.86</v>
      </c>
      <c r="KD117">
        <v>121.24</v>
      </c>
      <c r="KE117">
        <v>122.12</v>
      </c>
      <c r="KF117">
        <v>122.12</v>
      </c>
      <c r="KG117">
        <v>122.12</v>
      </c>
      <c r="KI117">
        <v>122.43</v>
      </c>
      <c r="LF117">
        <v>126.12</v>
      </c>
      <c r="MK117">
        <v>130.26</v>
      </c>
      <c r="ML117">
        <v>130.75</v>
      </c>
      <c r="MM117">
        <v>131.15</v>
      </c>
      <c r="MU117">
        <v>134.81</v>
      </c>
      <c r="NG117">
        <v>147.78</v>
      </c>
      <c r="NH117">
        <v>150.33000000000001</v>
      </c>
      <c r="OE117">
        <v>168.89</v>
      </c>
      <c r="PZ117">
        <v>183.58</v>
      </c>
      <c r="QB117">
        <v>183.58</v>
      </c>
      <c r="QF117">
        <v>183.58</v>
      </c>
      <c r="QH117">
        <v>183.58</v>
      </c>
      <c r="QO117">
        <v>183.59</v>
      </c>
      <c r="QP117">
        <v>183.59</v>
      </c>
      <c r="QS117">
        <v>183.87</v>
      </c>
      <c r="QU117">
        <v>183.87</v>
      </c>
      <c r="QV117">
        <v>183.87</v>
      </c>
      <c r="RR117">
        <v>184.12</v>
      </c>
      <c r="UH117">
        <v>184.9</v>
      </c>
      <c r="ZC117">
        <v>186.1</v>
      </c>
      <c r="ZJ117">
        <v>185.26</v>
      </c>
      <c r="AAA117">
        <v>187</v>
      </c>
      <c r="AAB117">
        <v>187</v>
      </c>
      <c r="AAZ117">
        <v>187.83</v>
      </c>
      <c r="ABG117">
        <v>188.42</v>
      </c>
      <c r="ABK117">
        <v>188.42</v>
      </c>
      <c r="ACS117">
        <v>188.73</v>
      </c>
      <c r="ADG117">
        <v>188.76</v>
      </c>
    </row>
    <row r="118" spans="1:812">
      <c r="A118" s="1" t="s">
        <v>147</v>
      </c>
      <c r="B118" t="s">
        <v>273</v>
      </c>
      <c r="T118">
        <v>0.09</v>
      </c>
      <c r="U118">
        <v>0.19</v>
      </c>
      <c r="V118">
        <v>0.3</v>
      </c>
      <c r="W118">
        <v>0.36</v>
      </c>
      <c r="X118">
        <v>0.36</v>
      </c>
      <c r="AB118">
        <v>0.36</v>
      </c>
      <c r="AC118">
        <v>0.38</v>
      </c>
      <c r="AD118">
        <v>0.51</v>
      </c>
      <c r="AE118">
        <v>0.66</v>
      </c>
      <c r="AF118">
        <v>0.85</v>
      </c>
      <c r="AG118">
        <v>0.86</v>
      </c>
      <c r="AH118">
        <v>0.86</v>
      </c>
      <c r="AI118">
        <v>0.94</v>
      </c>
      <c r="AJ118">
        <v>1.02</v>
      </c>
      <c r="AK118">
        <v>1.25</v>
      </c>
      <c r="AL118">
        <v>1.57</v>
      </c>
      <c r="AM118">
        <v>1.83</v>
      </c>
      <c r="AN118">
        <v>1.88</v>
      </c>
      <c r="AO118">
        <v>1.92</v>
      </c>
      <c r="AP118">
        <v>2.08</v>
      </c>
      <c r="AQ118">
        <v>2.31</v>
      </c>
      <c r="AR118">
        <v>2.44</v>
      </c>
      <c r="AS118">
        <v>2.5</v>
      </c>
      <c r="AT118">
        <v>2.5099999999999998</v>
      </c>
      <c r="AU118">
        <v>2.5099999999999998</v>
      </c>
      <c r="AW118">
        <v>2.52</v>
      </c>
      <c r="AX118">
        <v>2.63</v>
      </c>
      <c r="AY118">
        <v>2.88</v>
      </c>
      <c r="AZ118">
        <v>3.14</v>
      </c>
      <c r="BA118">
        <v>3.44</v>
      </c>
      <c r="BB118">
        <v>3.46</v>
      </c>
      <c r="BC118">
        <v>3.46</v>
      </c>
      <c r="BD118">
        <v>3.57</v>
      </c>
      <c r="BE118">
        <v>3.71</v>
      </c>
      <c r="BF118">
        <v>3.96</v>
      </c>
      <c r="BG118">
        <v>4.32</v>
      </c>
      <c r="BH118">
        <v>4.59</v>
      </c>
      <c r="BI118">
        <v>4.6100000000000003</v>
      </c>
      <c r="BJ118">
        <v>4.62</v>
      </c>
      <c r="BK118">
        <v>4.71</v>
      </c>
      <c r="BL118">
        <v>4.82</v>
      </c>
      <c r="BM118">
        <v>5.04</v>
      </c>
      <c r="BN118">
        <v>5.38</v>
      </c>
      <c r="BO118">
        <v>5.64</v>
      </c>
      <c r="BP118">
        <v>5.66</v>
      </c>
      <c r="BR118">
        <v>5.83</v>
      </c>
      <c r="BS118">
        <v>5.85</v>
      </c>
      <c r="BT118">
        <v>6.15</v>
      </c>
      <c r="BU118">
        <v>6.57</v>
      </c>
      <c r="BV118">
        <v>6.95</v>
      </c>
      <c r="BW118">
        <v>6.99</v>
      </c>
      <c r="BY118">
        <v>7.19</v>
      </c>
      <c r="BZ118">
        <v>7.51</v>
      </c>
      <c r="CA118">
        <v>7.94</v>
      </c>
      <c r="CB118">
        <v>8.3699999999999992</v>
      </c>
      <c r="CC118">
        <v>8.74</v>
      </c>
      <c r="CD118">
        <v>8.76</v>
      </c>
      <c r="CE118">
        <v>8.7799999999999994</v>
      </c>
      <c r="CF118">
        <v>9.0500000000000007</v>
      </c>
      <c r="CG118">
        <v>9.4</v>
      </c>
      <c r="CH118">
        <v>9.83</v>
      </c>
      <c r="CI118">
        <v>10.4</v>
      </c>
      <c r="CJ118">
        <v>10.91</v>
      </c>
      <c r="CK118">
        <v>10.93</v>
      </c>
      <c r="CL118">
        <v>10.93</v>
      </c>
      <c r="CM118">
        <v>11.26</v>
      </c>
      <c r="CN118">
        <v>11.7</v>
      </c>
      <c r="CO118">
        <v>12.27</v>
      </c>
      <c r="CP118">
        <v>12.31</v>
      </c>
      <c r="CQ118">
        <v>12.97</v>
      </c>
      <c r="CR118">
        <v>13.03</v>
      </c>
      <c r="CS118">
        <v>13.03</v>
      </c>
      <c r="CT118">
        <v>13.33</v>
      </c>
      <c r="CU118">
        <v>13.7</v>
      </c>
      <c r="CV118">
        <v>14.09</v>
      </c>
      <c r="CW118">
        <v>14.39</v>
      </c>
      <c r="CX118">
        <v>14.73</v>
      </c>
      <c r="CY118">
        <v>14.76</v>
      </c>
      <c r="CZ118">
        <v>14.76</v>
      </c>
      <c r="DA118">
        <v>15.06</v>
      </c>
      <c r="DB118">
        <v>15.53</v>
      </c>
      <c r="DC118">
        <v>16.18</v>
      </c>
      <c r="DD118">
        <v>16.8</v>
      </c>
      <c r="DE118">
        <v>17.41</v>
      </c>
      <c r="DF118">
        <v>17.52</v>
      </c>
      <c r="DG118">
        <v>17.53</v>
      </c>
      <c r="DH118">
        <v>17.82</v>
      </c>
      <c r="DI118">
        <v>18.29</v>
      </c>
      <c r="DJ118">
        <v>19.05</v>
      </c>
      <c r="DK118">
        <v>19.78</v>
      </c>
      <c r="DL118">
        <v>20.51</v>
      </c>
      <c r="DM118">
        <v>20.83</v>
      </c>
      <c r="DN118">
        <v>20.92</v>
      </c>
      <c r="DO118">
        <v>21.05</v>
      </c>
      <c r="DP118">
        <v>21.59</v>
      </c>
      <c r="DQ118">
        <v>22.06</v>
      </c>
      <c r="DR118">
        <v>23.05</v>
      </c>
      <c r="DS118">
        <v>24.28</v>
      </c>
      <c r="DT118">
        <v>24.85</v>
      </c>
      <c r="DU118">
        <v>24.92</v>
      </c>
      <c r="DV118">
        <v>25.24</v>
      </c>
      <c r="DW118">
        <v>25.93</v>
      </c>
      <c r="DX118">
        <v>26.91</v>
      </c>
      <c r="DY118">
        <v>27.76</v>
      </c>
      <c r="DZ118">
        <v>28.51</v>
      </c>
      <c r="EA118">
        <v>28.6</v>
      </c>
      <c r="EB118">
        <v>28.6</v>
      </c>
      <c r="EC118">
        <v>28.82</v>
      </c>
      <c r="ED118">
        <v>29.38</v>
      </c>
      <c r="EE118">
        <v>30.36</v>
      </c>
      <c r="EF118">
        <v>31.31</v>
      </c>
      <c r="EG118">
        <v>32.22</v>
      </c>
      <c r="EH118">
        <v>32.39</v>
      </c>
      <c r="EI118">
        <v>32.4</v>
      </c>
      <c r="EJ118">
        <v>32.619999999999997</v>
      </c>
      <c r="EK118">
        <v>33.1</v>
      </c>
      <c r="EL118">
        <v>33.67</v>
      </c>
      <c r="EM118">
        <v>34.869999999999997</v>
      </c>
      <c r="EN118">
        <v>36.25</v>
      </c>
      <c r="EO118">
        <v>36.869999999999997</v>
      </c>
      <c r="EP118">
        <v>36.89</v>
      </c>
      <c r="EQ118">
        <v>37.39</v>
      </c>
      <c r="ER118">
        <v>38.43</v>
      </c>
      <c r="ES118">
        <v>39.700000000000003</v>
      </c>
      <c r="ET118">
        <v>41.01</v>
      </c>
      <c r="EU118">
        <v>42.25</v>
      </c>
      <c r="EV118">
        <v>42.84</v>
      </c>
      <c r="EW118">
        <v>43.1</v>
      </c>
      <c r="EX118">
        <v>43.86</v>
      </c>
      <c r="EY118">
        <v>44.83</v>
      </c>
      <c r="EZ118">
        <v>45.99</v>
      </c>
      <c r="FA118">
        <v>47.1</v>
      </c>
      <c r="FB118">
        <v>48.26</v>
      </c>
      <c r="FC118">
        <v>48.49</v>
      </c>
      <c r="FD118">
        <v>48.51</v>
      </c>
      <c r="FE118">
        <v>49.09</v>
      </c>
      <c r="FF118">
        <v>49.99</v>
      </c>
      <c r="FG118">
        <v>51.21</v>
      </c>
      <c r="FH118">
        <v>52.41</v>
      </c>
      <c r="FI118">
        <v>53.37</v>
      </c>
      <c r="FJ118">
        <v>53.7</v>
      </c>
      <c r="FK118">
        <v>53.77</v>
      </c>
      <c r="FL118">
        <v>54.3</v>
      </c>
      <c r="FM118">
        <v>55.25</v>
      </c>
      <c r="FN118">
        <v>56.33</v>
      </c>
      <c r="FO118">
        <v>57.44</v>
      </c>
      <c r="FP118">
        <v>58.64</v>
      </c>
      <c r="FQ118">
        <v>59.06</v>
      </c>
      <c r="FR118">
        <v>59.08</v>
      </c>
      <c r="FS118">
        <v>59.76</v>
      </c>
      <c r="FT118">
        <v>60.97</v>
      </c>
      <c r="FU118">
        <v>62.46</v>
      </c>
      <c r="FV118">
        <v>63.85</v>
      </c>
      <c r="FW118">
        <v>65.41</v>
      </c>
      <c r="FX118">
        <v>66.09</v>
      </c>
      <c r="FY118">
        <v>66.290000000000006</v>
      </c>
      <c r="FZ118">
        <v>67.14</v>
      </c>
      <c r="GA118">
        <v>68.17</v>
      </c>
      <c r="GB118">
        <v>69.260000000000005</v>
      </c>
      <c r="GC118">
        <v>70.239999999999995</v>
      </c>
      <c r="GD118">
        <v>71.150000000000006</v>
      </c>
      <c r="GE118">
        <v>71.41</v>
      </c>
      <c r="GF118">
        <v>71.67</v>
      </c>
      <c r="GG118">
        <v>72.42</v>
      </c>
      <c r="GH118">
        <v>73.38</v>
      </c>
      <c r="GI118">
        <v>74.48</v>
      </c>
      <c r="GJ118">
        <v>75.59</v>
      </c>
      <c r="GK118">
        <v>76.55</v>
      </c>
      <c r="GL118">
        <v>76.81</v>
      </c>
      <c r="GM118">
        <v>76.849999999999994</v>
      </c>
      <c r="GN118">
        <v>77.48</v>
      </c>
      <c r="GO118">
        <v>78.430000000000007</v>
      </c>
      <c r="GP118">
        <v>79.44</v>
      </c>
      <c r="GQ118">
        <v>79.819999999999993</v>
      </c>
      <c r="GR118">
        <v>80.900000000000006</v>
      </c>
      <c r="GS118">
        <v>81.209999999999994</v>
      </c>
      <c r="GT118">
        <v>81.44</v>
      </c>
      <c r="GU118">
        <v>82.18</v>
      </c>
      <c r="GV118">
        <v>83.15</v>
      </c>
      <c r="GW118">
        <v>84.07</v>
      </c>
      <c r="GX118">
        <v>84.79</v>
      </c>
      <c r="GY118">
        <v>85.56</v>
      </c>
      <c r="GZ118">
        <v>85.78</v>
      </c>
      <c r="HA118">
        <v>85.81</v>
      </c>
      <c r="HB118">
        <v>86.32</v>
      </c>
      <c r="HC118">
        <v>86.5</v>
      </c>
      <c r="HD118">
        <v>87.16</v>
      </c>
      <c r="HE118">
        <v>87.85</v>
      </c>
      <c r="HF118">
        <v>88.44</v>
      </c>
      <c r="HG118">
        <v>88.64</v>
      </c>
      <c r="HH118">
        <v>88.66</v>
      </c>
      <c r="HI118">
        <v>89.11</v>
      </c>
      <c r="HJ118">
        <v>89.53</v>
      </c>
      <c r="HK118">
        <v>89.9</v>
      </c>
      <c r="HL118">
        <v>90.4</v>
      </c>
      <c r="HM118">
        <v>90.94</v>
      </c>
      <c r="HN118">
        <v>91.08</v>
      </c>
      <c r="HO118">
        <v>91.14</v>
      </c>
      <c r="HP118">
        <v>91.57</v>
      </c>
      <c r="HQ118">
        <v>92.06</v>
      </c>
      <c r="HR118">
        <v>92.56</v>
      </c>
      <c r="HS118">
        <v>93.24</v>
      </c>
      <c r="HT118">
        <v>93.89</v>
      </c>
      <c r="HU118">
        <v>94.05</v>
      </c>
      <c r="HV118">
        <v>94.13</v>
      </c>
      <c r="HW118">
        <v>94.77</v>
      </c>
      <c r="HX118">
        <v>95.36</v>
      </c>
      <c r="HY118">
        <v>95.99</v>
      </c>
      <c r="HZ118">
        <v>96.78</v>
      </c>
      <c r="IA118">
        <v>97.4</v>
      </c>
      <c r="IB118">
        <v>97.66</v>
      </c>
      <c r="IC118">
        <v>97.8</v>
      </c>
      <c r="ID118">
        <v>98.43</v>
      </c>
      <c r="IE118">
        <v>98.93</v>
      </c>
      <c r="IF118">
        <v>99.64</v>
      </c>
      <c r="IG118">
        <v>100.95</v>
      </c>
      <c r="IH118">
        <v>102.11</v>
      </c>
      <c r="II118">
        <v>102.5</v>
      </c>
      <c r="IJ118">
        <v>102.58</v>
      </c>
      <c r="IK118">
        <v>103.46</v>
      </c>
      <c r="IL118">
        <v>104.25</v>
      </c>
      <c r="IM118">
        <v>105.08</v>
      </c>
      <c r="IN118">
        <v>106.13</v>
      </c>
      <c r="IO118">
        <v>107.02</v>
      </c>
      <c r="IP118">
        <v>107.21</v>
      </c>
      <c r="IQ118">
        <v>107.26</v>
      </c>
      <c r="IR118">
        <v>108.16</v>
      </c>
      <c r="IS118">
        <v>108.88</v>
      </c>
      <c r="IT118">
        <v>109.88</v>
      </c>
      <c r="IU118">
        <v>110.88</v>
      </c>
      <c r="IV118">
        <v>113.04</v>
      </c>
      <c r="IW118">
        <v>113.19</v>
      </c>
      <c r="IX118">
        <v>113.22</v>
      </c>
      <c r="IY118">
        <v>113.92</v>
      </c>
      <c r="IZ118">
        <v>114.49</v>
      </c>
      <c r="JA118">
        <v>115.16</v>
      </c>
      <c r="JB118">
        <v>115.91</v>
      </c>
      <c r="JC118">
        <v>116.61</v>
      </c>
      <c r="JD118">
        <v>116.72</v>
      </c>
      <c r="JE118">
        <v>116.76</v>
      </c>
      <c r="JF118">
        <v>117.32</v>
      </c>
      <c r="JG118">
        <v>117.78</v>
      </c>
      <c r="JH118">
        <v>118.19</v>
      </c>
      <c r="JI118">
        <v>118.75</v>
      </c>
      <c r="JJ118">
        <v>119.24</v>
      </c>
      <c r="JK118">
        <v>119.34</v>
      </c>
      <c r="JL118">
        <v>119.35</v>
      </c>
      <c r="JM118">
        <v>119.75</v>
      </c>
      <c r="JN118">
        <v>120.13</v>
      </c>
      <c r="JO118">
        <v>120.52</v>
      </c>
      <c r="JP118">
        <v>120.97</v>
      </c>
      <c r="JQ118">
        <v>121.39</v>
      </c>
      <c r="JR118">
        <v>121.48</v>
      </c>
      <c r="JS118">
        <v>121.47</v>
      </c>
      <c r="JT118">
        <v>121.85</v>
      </c>
      <c r="JU118">
        <v>122.2</v>
      </c>
      <c r="JV118">
        <v>122.52</v>
      </c>
      <c r="JW118">
        <v>122.88</v>
      </c>
      <c r="JX118">
        <v>123.29</v>
      </c>
      <c r="JY118">
        <v>123.35</v>
      </c>
      <c r="JZ118">
        <v>123.84</v>
      </c>
      <c r="KA118">
        <v>124.15</v>
      </c>
      <c r="KH118">
        <v>118.96</v>
      </c>
      <c r="KI118">
        <v>119.24</v>
      </c>
      <c r="KJ118">
        <v>119.51</v>
      </c>
      <c r="KK118">
        <v>119.84</v>
      </c>
      <c r="KL118">
        <v>120.17</v>
      </c>
      <c r="KM118">
        <v>120.22</v>
      </c>
      <c r="KN118">
        <v>120.24</v>
      </c>
      <c r="KO118">
        <v>120.51</v>
      </c>
      <c r="KP118">
        <v>120.75</v>
      </c>
      <c r="KQ118">
        <v>120.99</v>
      </c>
      <c r="KR118">
        <v>121.32</v>
      </c>
      <c r="KS118">
        <v>121.64</v>
      </c>
      <c r="KT118">
        <v>121.68</v>
      </c>
      <c r="KU118">
        <v>121.7</v>
      </c>
      <c r="KV118">
        <v>121.93</v>
      </c>
      <c r="KW118">
        <v>122.14</v>
      </c>
      <c r="KX118">
        <v>122.37</v>
      </c>
      <c r="KZ118">
        <v>122.95</v>
      </c>
      <c r="LA118">
        <v>123</v>
      </c>
      <c r="LB118">
        <v>123.02</v>
      </c>
      <c r="LC118">
        <v>123.26</v>
      </c>
      <c r="LD118">
        <v>123.48</v>
      </c>
      <c r="LE118">
        <v>123.74</v>
      </c>
      <c r="LF118">
        <v>124.08</v>
      </c>
      <c r="LH118">
        <v>124.5</v>
      </c>
      <c r="LI118">
        <v>124.53</v>
      </c>
      <c r="LJ118">
        <v>124.83</v>
      </c>
      <c r="LK118">
        <v>125.11</v>
      </c>
      <c r="LL118">
        <v>125.41</v>
      </c>
      <c r="LM118">
        <v>125.75</v>
      </c>
      <c r="LP118">
        <v>126.19</v>
      </c>
      <c r="LR118">
        <v>126.2</v>
      </c>
      <c r="LS118">
        <v>126.61</v>
      </c>
      <c r="LU118">
        <v>127.54</v>
      </c>
      <c r="LV118">
        <v>127.61</v>
      </c>
      <c r="LW118">
        <v>127.65</v>
      </c>
      <c r="LX118">
        <v>127.99</v>
      </c>
      <c r="LY118">
        <v>128.41</v>
      </c>
      <c r="MA118">
        <v>129.35</v>
      </c>
      <c r="MB118">
        <v>129.9</v>
      </c>
      <c r="MC118">
        <v>129.97</v>
      </c>
      <c r="MD118">
        <v>130.01</v>
      </c>
      <c r="ME118">
        <v>130.38</v>
      </c>
      <c r="MF118">
        <v>130.80000000000001</v>
      </c>
      <c r="MG118">
        <v>131.33000000000001</v>
      </c>
      <c r="MI118">
        <v>132.80000000000001</v>
      </c>
      <c r="MJ118">
        <v>132.91999999999999</v>
      </c>
      <c r="MK118">
        <v>132.97</v>
      </c>
      <c r="ML118">
        <v>133.5</v>
      </c>
      <c r="MM118">
        <v>134.07</v>
      </c>
      <c r="MN118">
        <v>134.75</v>
      </c>
      <c r="MO118">
        <v>135.5</v>
      </c>
      <c r="MP118">
        <v>136.26</v>
      </c>
      <c r="MQ118">
        <v>136.44</v>
      </c>
      <c r="MS118">
        <v>137.07</v>
      </c>
      <c r="MT118">
        <v>137.63999999999999</v>
      </c>
      <c r="MU118">
        <v>138.33000000000001</v>
      </c>
      <c r="MV118">
        <v>139.12</v>
      </c>
      <c r="MW118">
        <v>139.93</v>
      </c>
      <c r="MX118">
        <v>140.11000000000001</v>
      </c>
      <c r="MY118">
        <v>140.19</v>
      </c>
      <c r="MZ118">
        <v>140.78</v>
      </c>
      <c r="NA118">
        <v>141.43</v>
      </c>
      <c r="NB118">
        <v>142.13999999999999</v>
      </c>
      <c r="ND118">
        <v>143.72999999999999</v>
      </c>
      <c r="NE118">
        <v>143.9</v>
      </c>
      <c r="NF118">
        <v>143.97999999999999</v>
      </c>
      <c r="NG118">
        <v>144.57</v>
      </c>
      <c r="NH118">
        <v>145.19</v>
      </c>
      <c r="NI118">
        <v>145.84</v>
      </c>
      <c r="NJ118">
        <v>146.56</v>
      </c>
      <c r="NK118">
        <v>147.37</v>
      </c>
      <c r="NL118">
        <v>147.55000000000001</v>
      </c>
      <c r="NM118">
        <v>147.65</v>
      </c>
      <c r="NN118">
        <v>148.26</v>
      </c>
      <c r="NO118">
        <v>148.87</v>
      </c>
      <c r="NR118">
        <v>150.15</v>
      </c>
      <c r="NV118">
        <v>151.82</v>
      </c>
      <c r="NX118">
        <v>153.30000000000001</v>
      </c>
      <c r="NY118">
        <v>153.56</v>
      </c>
      <c r="NZ118">
        <v>153.57</v>
      </c>
      <c r="OA118">
        <v>153.57</v>
      </c>
      <c r="OB118">
        <v>154.22</v>
      </c>
      <c r="OC118">
        <v>154.94999999999999</v>
      </c>
      <c r="OD118">
        <v>155.77000000000001</v>
      </c>
      <c r="OE118">
        <v>156.61000000000001</v>
      </c>
      <c r="OG118">
        <v>157.65</v>
      </c>
      <c r="OH118">
        <v>157.75</v>
      </c>
      <c r="OI118">
        <v>158.36000000000001</v>
      </c>
      <c r="OJ118">
        <v>158.91</v>
      </c>
      <c r="OK118">
        <v>159.46</v>
      </c>
      <c r="OL118">
        <v>159.99</v>
      </c>
      <c r="OM118">
        <v>160.54</v>
      </c>
      <c r="ON118">
        <v>160.66999999999999</v>
      </c>
      <c r="OO118">
        <v>160.69999999999999</v>
      </c>
      <c r="OP118">
        <v>161.05000000000001</v>
      </c>
      <c r="OQ118">
        <v>161.41</v>
      </c>
      <c r="OR118">
        <v>161.76</v>
      </c>
      <c r="OT118">
        <v>162.51</v>
      </c>
      <c r="OU118">
        <v>162.56</v>
      </c>
      <c r="PC118">
        <v>163.97</v>
      </c>
      <c r="PD118">
        <v>164.1</v>
      </c>
      <c r="PE118">
        <v>164.23</v>
      </c>
      <c r="PF118">
        <v>164.36</v>
      </c>
      <c r="PG118">
        <v>164.48</v>
      </c>
      <c r="PH118">
        <v>164.62</v>
      </c>
      <c r="PI118">
        <v>164.64</v>
      </c>
      <c r="PK118">
        <v>164.71</v>
      </c>
      <c r="PL118">
        <v>164.77</v>
      </c>
      <c r="PM118">
        <v>164.84</v>
      </c>
      <c r="PN118">
        <v>164.9</v>
      </c>
      <c r="PP118">
        <v>165</v>
      </c>
      <c r="PQ118">
        <v>165</v>
      </c>
      <c r="PR118">
        <v>165.04</v>
      </c>
      <c r="PT118">
        <v>165.1</v>
      </c>
      <c r="PU118">
        <v>165.16</v>
      </c>
      <c r="PV118">
        <v>165.23</v>
      </c>
      <c r="PW118">
        <v>165.23</v>
      </c>
      <c r="PX118">
        <v>165.23</v>
      </c>
      <c r="PY118">
        <v>165.27</v>
      </c>
      <c r="PZ118">
        <v>165.31</v>
      </c>
      <c r="QB118">
        <v>165.38</v>
      </c>
      <c r="QC118">
        <v>165.43</v>
      </c>
      <c r="QD118">
        <v>165.43</v>
      </c>
      <c r="QE118">
        <v>165.44</v>
      </c>
      <c r="QF118">
        <v>165.47</v>
      </c>
      <c r="QG118">
        <v>165.49</v>
      </c>
      <c r="QH118">
        <v>165.51</v>
      </c>
      <c r="QI118">
        <v>165.54</v>
      </c>
      <c r="QJ118">
        <v>165.58</v>
      </c>
      <c r="QK118">
        <v>165.58</v>
      </c>
      <c r="QL118">
        <v>165.59</v>
      </c>
      <c r="QM118">
        <v>165.61</v>
      </c>
      <c r="QN118">
        <v>165.64</v>
      </c>
      <c r="QO118">
        <v>165.66</v>
      </c>
      <c r="QP118">
        <v>165.7</v>
      </c>
      <c r="QQ118">
        <v>165.7</v>
      </c>
      <c r="QR118">
        <v>165.7</v>
      </c>
      <c r="QS118">
        <v>165.71</v>
      </c>
      <c r="QT118">
        <v>165.73</v>
      </c>
      <c r="QU118">
        <v>165.76</v>
      </c>
      <c r="QV118">
        <v>165.79</v>
      </c>
      <c r="QW118">
        <v>165.81</v>
      </c>
      <c r="QX118">
        <v>165.85</v>
      </c>
      <c r="QY118">
        <v>165.85</v>
      </c>
      <c r="QZ118">
        <v>165.85</v>
      </c>
      <c r="RA118">
        <v>165.87</v>
      </c>
      <c r="RB118">
        <v>165.89</v>
      </c>
      <c r="RD118">
        <v>165.94</v>
      </c>
      <c r="RE118">
        <v>165.97</v>
      </c>
      <c r="RF118">
        <v>165.97</v>
      </c>
      <c r="RG118">
        <v>165.98</v>
      </c>
      <c r="RI118">
        <v>166.02</v>
      </c>
      <c r="RJ118">
        <v>166.05</v>
      </c>
      <c r="RK118">
        <v>166.08</v>
      </c>
      <c r="RL118">
        <v>166.11</v>
      </c>
      <c r="RM118">
        <v>166.13</v>
      </c>
      <c r="RN118">
        <v>166.15</v>
      </c>
      <c r="RO118">
        <v>166.17</v>
      </c>
      <c r="RP118">
        <v>166.2</v>
      </c>
      <c r="RQ118">
        <v>166.23</v>
      </c>
      <c r="RR118">
        <v>166.24</v>
      </c>
      <c r="RS118">
        <v>166.26</v>
      </c>
      <c r="RT118">
        <v>166.28</v>
      </c>
      <c r="RV118">
        <v>166.33</v>
      </c>
      <c r="RW118">
        <v>166.33</v>
      </c>
      <c r="RX118">
        <v>166.35</v>
      </c>
      <c r="RY118">
        <v>166.37</v>
      </c>
      <c r="RZ118">
        <v>166.39</v>
      </c>
      <c r="SA118">
        <v>166.41</v>
      </c>
      <c r="SB118">
        <v>166.42</v>
      </c>
      <c r="SC118">
        <v>166.42</v>
      </c>
      <c r="SD118">
        <v>166.43</v>
      </c>
      <c r="SE118">
        <v>166.45</v>
      </c>
      <c r="SF118">
        <v>166.46</v>
      </c>
      <c r="SG118">
        <v>166.48</v>
      </c>
      <c r="SH118">
        <v>166.5</v>
      </c>
      <c r="SI118">
        <v>166.5</v>
      </c>
      <c r="SJ118">
        <v>166.51</v>
      </c>
      <c r="SK118">
        <v>166.52</v>
      </c>
      <c r="SL118">
        <v>166.53</v>
      </c>
      <c r="SM118">
        <v>166.54</v>
      </c>
      <c r="SN118">
        <v>166.56</v>
      </c>
      <c r="SO118">
        <v>166.57</v>
      </c>
      <c r="SP118">
        <v>166.57</v>
      </c>
      <c r="SQ118">
        <v>166.57</v>
      </c>
      <c r="SR118">
        <v>166.58</v>
      </c>
      <c r="SS118">
        <v>166.59</v>
      </c>
      <c r="ST118">
        <v>166.6</v>
      </c>
      <c r="SU118">
        <v>166.61</v>
      </c>
      <c r="SV118">
        <v>166.62</v>
      </c>
      <c r="SW118">
        <v>166.63</v>
      </c>
      <c r="SY118">
        <v>166.63</v>
      </c>
      <c r="SZ118">
        <v>166.65</v>
      </c>
      <c r="TA118">
        <v>166.66</v>
      </c>
      <c r="TB118">
        <v>166.67</v>
      </c>
      <c r="TC118">
        <v>166.68</v>
      </c>
      <c r="TD118">
        <v>166.68</v>
      </c>
      <c r="TE118">
        <v>166.68</v>
      </c>
      <c r="TF118">
        <v>166.69</v>
      </c>
      <c r="TG118">
        <v>166.7</v>
      </c>
      <c r="TH118">
        <v>166.7</v>
      </c>
      <c r="TI118">
        <v>166.71</v>
      </c>
      <c r="TJ118">
        <v>166.72</v>
      </c>
      <c r="TK118">
        <v>166.73</v>
      </c>
      <c r="TL118">
        <v>166.73</v>
      </c>
      <c r="TM118">
        <v>166.74</v>
      </c>
      <c r="TN118">
        <v>166.74</v>
      </c>
      <c r="TO118">
        <v>166.75</v>
      </c>
      <c r="TP118">
        <v>166.76</v>
      </c>
      <c r="TQ118">
        <v>166.77</v>
      </c>
      <c r="TR118">
        <v>166.77</v>
      </c>
      <c r="TS118">
        <v>166.77</v>
      </c>
      <c r="TT118">
        <v>166.78</v>
      </c>
      <c r="TU118">
        <v>166.78</v>
      </c>
      <c r="TV118">
        <v>166.79</v>
      </c>
      <c r="TW118">
        <v>166.8</v>
      </c>
      <c r="TX118">
        <v>166.8</v>
      </c>
      <c r="TY118">
        <v>166.8</v>
      </c>
      <c r="TZ118">
        <v>166.8</v>
      </c>
      <c r="UA118">
        <v>166.81</v>
      </c>
      <c r="UB118">
        <v>166.81</v>
      </c>
      <c r="UC118">
        <v>166.82</v>
      </c>
      <c r="UD118">
        <v>166.82</v>
      </c>
      <c r="UE118">
        <v>166.83</v>
      </c>
      <c r="UF118">
        <v>166.83</v>
      </c>
      <c r="UG118">
        <v>166.85</v>
      </c>
      <c r="UH118">
        <v>166.85</v>
      </c>
      <c r="UI118">
        <v>166.86</v>
      </c>
      <c r="UJ118">
        <v>166.86</v>
      </c>
      <c r="UK118">
        <v>166.87</v>
      </c>
      <c r="UM118">
        <v>166.87</v>
      </c>
      <c r="UN118">
        <v>166.87</v>
      </c>
      <c r="UO118">
        <v>166.87</v>
      </c>
      <c r="UP118">
        <v>166.87</v>
      </c>
      <c r="UQ118">
        <v>166.88</v>
      </c>
      <c r="UR118">
        <v>166.88</v>
      </c>
      <c r="US118">
        <v>166.89</v>
      </c>
      <c r="UU118">
        <v>166.89</v>
      </c>
      <c r="UV118">
        <v>166.89</v>
      </c>
      <c r="UW118">
        <v>166.9</v>
      </c>
      <c r="UY118">
        <v>166.91</v>
      </c>
      <c r="UZ118">
        <v>166.91</v>
      </c>
      <c r="VC118">
        <v>161.12</v>
      </c>
      <c r="VD118">
        <v>161.13</v>
      </c>
      <c r="VF118">
        <v>161.15</v>
      </c>
      <c r="VG118">
        <v>161.16</v>
      </c>
      <c r="VJ118">
        <v>161.16</v>
      </c>
      <c r="VK118">
        <v>161.16999999999999</v>
      </c>
      <c r="VL118">
        <v>161.18</v>
      </c>
      <c r="VM118">
        <v>161.19</v>
      </c>
      <c r="VN118">
        <v>161.19</v>
      </c>
      <c r="VO118">
        <v>161.19</v>
      </c>
      <c r="VQ118">
        <v>161.19999999999999</v>
      </c>
      <c r="VR118">
        <v>161.21</v>
      </c>
      <c r="VS118">
        <v>161.21</v>
      </c>
      <c r="VU118">
        <v>161.22999999999999</v>
      </c>
      <c r="VW118">
        <v>161.24</v>
      </c>
      <c r="VZ118">
        <v>161.26</v>
      </c>
      <c r="WA118">
        <v>161.28</v>
      </c>
      <c r="WD118">
        <v>161.28</v>
      </c>
      <c r="WE118">
        <v>161.29</v>
      </c>
      <c r="WF118">
        <v>161.30000000000001</v>
      </c>
      <c r="WG118">
        <v>161.30000000000001</v>
      </c>
      <c r="WI118">
        <v>161.32</v>
      </c>
      <c r="WJ118">
        <v>161.32</v>
      </c>
      <c r="WK118">
        <v>161.32</v>
      </c>
      <c r="WL118">
        <v>161.32</v>
      </c>
      <c r="WM118">
        <v>161.33000000000001</v>
      </c>
      <c r="WN118">
        <v>161.34</v>
      </c>
      <c r="WO118">
        <v>161.35</v>
      </c>
      <c r="WP118">
        <v>161.35</v>
      </c>
      <c r="WQ118">
        <v>161.35</v>
      </c>
      <c r="WR118">
        <v>161.36000000000001</v>
      </c>
      <c r="WT118">
        <v>161.37</v>
      </c>
      <c r="WU118">
        <v>161.38</v>
      </c>
      <c r="WV118">
        <v>161.38999999999999</v>
      </c>
      <c r="WY118">
        <v>161.38999999999999</v>
      </c>
      <c r="WZ118">
        <v>161.4</v>
      </c>
      <c r="XA118">
        <v>161.4</v>
      </c>
      <c r="XB118">
        <v>161.41</v>
      </c>
      <c r="XC118">
        <v>161.41999999999999</v>
      </c>
      <c r="XE118">
        <v>161.41999999999999</v>
      </c>
      <c r="XF118">
        <v>161.41999999999999</v>
      </c>
      <c r="XG118">
        <v>161.43</v>
      </c>
      <c r="XH118">
        <v>161.43</v>
      </c>
      <c r="XI118">
        <v>161.44</v>
      </c>
      <c r="XJ118">
        <v>161.44999999999999</v>
      </c>
      <c r="XL118">
        <v>161.44999999999999</v>
      </c>
      <c r="XM118">
        <v>161.46</v>
      </c>
      <c r="XN118">
        <v>161.47</v>
      </c>
      <c r="XO118">
        <v>161.47</v>
      </c>
      <c r="XQ118">
        <v>161.47999999999999</v>
      </c>
      <c r="XR118">
        <v>161.47999999999999</v>
      </c>
      <c r="XS118">
        <v>161.47999999999999</v>
      </c>
      <c r="XT118">
        <v>161.49</v>
      </c>
      <c r="XU118">
        <v>161.49</v>
      </c>
      <c r="XV118">
        <v>161.5</v>
      </c>
      <c r="XW118">
        <v>161.51</v>
      </c>
      <c r="XX118">
        <v>161.52000000000001</v>
      </c>
      <c r="XY118">
        <v>161.52000000000001</v>
      </c>
      <c r="YB118">
        <v>161.54</v>
      </c>
      <c r="YC118">
        <v>161.55000000000001</v>
      </c>
      <c r="YD118">
        <v>161.56</v>
      </c>
      <c r="YE118">
        <v>161.57</v>
      </c>
      <c r="YF118">
        <v>161.57</v>
      </c>
      <c r="YG118">
        <v>161.57</v>
      </c>
      <c r="YI118">
        <v>161.6</v>
      </c>
      <c r="YJ118">
        <v>161.61000000000001</v>
      </c>
      <c r="YK118">
        <v>161.63</v>
      </c>
      <c r="YL118">
        <v>161.66</v>
      </c>
      <c r="YM118">
        <v>161.66</v>
      </c>
      <c r="YN118">
        <v>161.66</v>
      </c>
      <c r="YO118">
        <v>161.69999999999999</v>
      </c>
      <c r="YP118">
        <v>161.69999999999999</v>
      </c>
      <c r="YQ118">
        <v>161.72999999999999</v>
      </c>
      <c r="YR118">
        <v>161.76</v>
      </c>
      <c r="YS118">
        <v>161.79</v>
      </c>
      <c r="YT118">
        <v>161.79</v>
      </c>
      <c r="YV118">
        <v>161.81</v>
      </c>
      <c r="YW118">
        <v>161.84</v>
      </c>
      <c r="YX118">
        <v>161.87</v>
      </c>
      <c r="YY118">
        <v>161.9</v>
      </c>
      <c r="YZ118">
        <v>161.94</v>
      </c>
      <c r="ZA118">
        <v>161.94</v>
      </c>
      <c r="ZC118">
        <v>161.96</v>
      </c>
      <c r="ZD118">
        <v>161.99</v>
      </c>
      <c r="ZE118">
        <v>164.18</v>
      </c>
      <c r="ZF118">
        <v>164.21</v>
      </c>
      <c r="ZG118">
        <v>164.26</v>
      </c>
      <c r="ZJ118">
        <v>164.28</v>
      </c>
      <c r="ZM118">
        <v>164.3</v>
      </c>
      <c r="ZN118">
        <v>164.34</v>
      </c>
      <c r="ZO118">
        <v>164.34</v>
      </c>
      <c r="ZS118">
        <v>164.42</v>
      </c>
      <c r="ZU118">
        <v>164.5</v>
      </c>
      <c r="ZX118">
        <v>164.53</v>
      </c>
      <c r="ZY118">
        <v>164.55</v>
      </c>
      <c r="AAA118">
        <v>164.62</v>
      </c>
      <c r="AAB118">
        <v>164.65</v>
      </c>
      <c r="AAD118">
        <v>164.65</v>
      </c>
      <c r="AAE118">
        <v>164.67</v>
      </c>
      <c r="AAG118">
        <v>164.72</v>
      </c>
      <c r="AAH118">
        <v>164.75</v>
      </c>
      <c r="AAI118">
        <v>164.78</v>
      </c>
      <c r="AAL118">
        <v>164.79</v>
      </c>
      <c r="AAN118">
        <v>164.84</v>
      </c>
      <c r="AAO118">
        <v>164.87</v>
      </c>
      <c r="AAP118">
        <v>164.89</v>
      </c>
      <c r="AAQ118">
        <v>164.89</v>
      </c>
      <c r="AAS118">
        <v>164.9</v>
      </c>
      <c r="AAT118">
        <v>164.92</v>
      </c>
      <c r="AAU118">
        <v>164.93</v>
      </c>
      <c r="AAV118">
        <v>164.95</v>
      </c>
      <c r="AAW118">
        <v>164.97</v>
      </c>
      <c r="AAZ118">
        <v>164.98</v>
      </c>
      <c r="ABA118">
        <v>164.99</v>
      </c>
      <c r="ABB118">
        <v>165</v>
      </c>
      <c r="ABC118">
        <v>165.01</v>
      </c>
      <c r="ABD118">
        <v>165.03</v>
      </c>
      <c r="ABE118">
        <v>165.03</v>
      </c>
      <c r="ABG118">
        <v>165.04</v>
      </c>
      <c r="ABH118">
        <v>165.05</v>
      </c>
      <c r="ABI118">
        <v>165.05</v>
      </c>
      <c r="ABJ118">
        <v>165.06</v>
      </c>
      <c r="ABK118">
        <v>165.06</v>
      </c>
      <c r="ABO118">
        <v>165.07</v>
      </c>
      <c r="ABP118">
        <v>165.07</v>
      </c>
      <c r="ABQ118">
        <v>165.08</v>
      </c>
      <c r="ABR118">
        <v>165.08</v>
      </c>
      <c r="ABU118">
        <v>165.09</v>
      </c>
      <c r="ABV118">
        <v>165.09</v>
      </c>
      <c r="ABW118">
        <v>165.1</v>
      </c>
      <c r="ABX118">
        <v>165.11</v>
      </c>
      <c r="ABY118">
        <v>165.11</v>
      </c>
      <c r="ACC118">
        <v>165.13</v>
      </c>
      <c r="ACD118">
        <v>165.14</v>
      </c>
      <c r="ACE118">
        <v>165.14</v>
      </c>
      <c r="ACF118">
        <v>165.15</v>
      </c>
      <c r="ACI118">
        <v>165.16</v>
      </c>
      <c r="ACJ118">
        <v>165.16</v>
      </c>
      <c r="ACK118">
        <v>165.17</v>
      </c>
      <c r="ACL118">
        <v>165.17</v>
      </c>
      <c r="ACM118">
        <v>165.18</v>
      </c>
      <c r="ACP118">
        <v>165.18</v>
      </c>
      <c r="ACQ118">
        <v>165.19</v>
      </c>
      <c r="ACR118">
        <v>165.19</v>
      </c>
      <c r="ACS118">
        <v>165.2</v>
      </c>
      <c r="ACT118">
        <v>165.2</v>
      </c>
      <c r="ACW118">
        <v>165.2</v>
      </c>
      <c r="ACX118">
        <v>165.21</v>
      </c>
      <c r="ACY118">
        <v>165.21</v>
      </c>
      <c r="ACZ118">
        <v>165.21</v>
      </c>
      <c r="ADA118">
        <v>165.21</v>
      </c>
      <c r="ADD118">
        <v>165.22</v>
      </c>
      <c r="ADE118">
        <v>165.22</v>
      </c>
      <c r="ADF118">
        <v>165.22</v>
      </c>
      <c r="ADG118">
        <v>165.22</v>
      </c>
      <c r="ADH118">
        <v>165.23</v>
      </c>
      <c r="ADK118">
        <v>165.23</v>
      </c>
      <c r="ADL118">
        <v>165.23</v>
      </c>
      <c r="ADM118">
        <v>165.23</v>
      </c>
      <c r="ADO118">
        <v>165.24</v>
      </c>
      <c r="ADR118">
        <v>165.24</v>
      </c>
      <c r="ADS118">
        <v>165.24</v>
      </c>
      <c r="ADT118">
        <v>165.24</v>
      </c>
      <c r="ADU118">
        <v>165.24</v>
      </c>
      <c r="ADV118">
        <v>165.25</v>
      </c>
      <c r="ADZ118">
        <v>165.25</v>
      </c>
    </row>
    <row r="119" spans="1:812">
      <c r="A119" s="1" t="s">
        <v>117</v>
      </c>
      <c r="B119" t="s">
        <v>274</v>
      </c>
      <c r="W119">
        <v>0.19</v>
      </c>
      <c r="AI119">
        <v>0.31</v>
      </c>
      <c r="AJ119">
        <v>0.38</v>
      </c>
      <c r="AK119">
        <v>0.46</v>
      </c>
      <c r="AL119">
        <v>0.52</v>
      </c>
      <c r="AO119">
        <v>0.6</v>
      </c>
      <c r="AP119">
        <v>0.73</v>
      </c>
      <c r="AQ119">
        <v>0.85</v>
      </c>
      <c r="AR119">
        <v>0.99</v>
      </c>
      <c r="AS119">
        <v>1.1000000000000001</v>
      </c>
      <c r="AW119">
        <v>1.37</v>
      </c>
      <c r="AX119">
        <v>1.52</v>
      </c>
      <c r="AY119">
        <v>1.67</v>
      </c>
      <c r="AZ119">
        <v>1.82</v>
      </c>
      <c r="BC119">
        <v>1.99</v>
      </c>
      <c r="BD119">
        <v>2.12</v>
      </c>
      <c r="BE119">
        <v>2.2799999999999998</v>
      </c>
      <c r="BF119">
        <v>2.46</v>
      </c>
      <c r="BG119">
        <v>2.62</v>
      </c>
      <c r="BJ119">
        <v>2.82</v>
      </c>
      <c r="BK119">
        <v>2.9</v>
      </c>
      <c r="BL119">
        <v>2.98</v>
      </c>
      <c r="BM119">
        <v>3.18</v>
      </c>
      <c r="BN119">
        <v>3.42</v>
      </c>
      <c r="BQ119">
        <v>3.66</v>
      </c>
      <c r="BR119">
        <v>3.84</v>
      </c>
      <c r="BS119">
        <v>4.1399999999999997</v>
      </c>
      <c r="BT119">
        <v>4.33</v>
      </c>
      <c r="BU119">
        <v>4.62</v>
      </c>
      <c r="BX119">
        <v>4.95</v>
      </c>
      <c r="BY119">
        <v>5.0999999999999996</v>
      </c>
      <c r="BZ119">
        <v>5.33</v>
      </c>
      <c r="CA119">
        <v>5.55</v>
      </c>
      <c r="CB119">
        <v>5.76</v>
      </c>
      <c r="CE119">
        <v>6.04</v>
      </c>
      <c r="CF119">
        <v>6.25</v>
      </c>
      <c r="CG119">
        <v>6.46</v>
      </c>
      <c r="CH119">
        <v>6.73</v>
      </c>
      <c r="CI119">
        <v>7.06</v>
      </c>
      <c r="CL119">
        <v>7.46</v>
      </c>
      <c r="CM119">
        <v>7.59</v>
      </c>
      <c r="CN119">
        <v>7.82</v>
      </c>
      <c r="CO119">
        <v>8.2200000000000006</v>
      </c>
      <c r="CP119">
        <v>8.76</v>
      </c>
      <c r="CS119">
        <v>9.43</v>
      </c>
      <c r="CT119">
        <v>9.68</v>
      </c>
      <c r="CU119">
        <v>10.23</v>
      </c>
      <c r="CV119">
        <v>10.73</v>
      </c>
      <c r="CW119">
        <v>11.24</v>
      </c>
      <c r="CZ119">
        <v>11.86</v>
      </c>
      <c r="DA119">
        <v>12.07</v>
      </c>
      <c r="DB119">
        <v>12.46</v>
      </c>
      <c r="DC119">
        <v>12.83</v>
      </c>
      <c r="DD119">
        <v>13.2</v>
      </c>
      <c r="DG119">
        <v>14.33</v>
      </c>
      <c r="DI119">
        <v>14.79</v>
      </c>
      <c r="DJ119">
        <v>15.28</v>
      </c>
      <c r="DK119">
        <v>15.87</v>
      </c>
      <c r="DO119">
        <v>17.399999999999999</v>
      </c>
      <c r="DP119">
        <v>18.010000000000002</v>
      </c>
      <c r="DQ119">
        <v>18.71</v>
      </c>
      <c r="DR119">
        <v>19.48</v>
      </c>
      <c r="DU119">
        <v>20.81</v>
      </c>
      <c r="DV119">
        <v>21.58</v>
      </c>
      <c r="DW119">
        <v>22.58</v>
      </c>
      <c r="DX119">
        <v>23.57</v>
      </c>
      <c r="DY119">
        <v>24.51</v>
      </c>
      <c r="EB119">
        <v>26.21</v>
      </c>
      <c r="EC119">
        <v>26.44</v>
      </c>
      <c r="ED119">
        <v>26.63</v>
      </c>
      <c r="EE119">
        <v>27.16</v>
      </c>
      <c r="EF119">
        <v>27.66</v>
      </c>
      <c r="EI119">
        <v>28.56</v>
      </c>
      <c r="EJ119">
        <v>28.83</v>
      </c>
      <c r="EK119">
        <v>29.06</v>
      </c>
      <c r="EL119">
        <v>29.79</v>
      </c>
      <c r="EM119">
        <v>30.58</v>
      </c>
      <c r="EP119">
        <v>32.04</v>
      </c>
      <c r="EQ119">
        <v>33.020000000000003</v>
      </c>
      <c r="ER119">
        <v>34.06</v>
      </c>
      <c r="ES119">
        <v>35.19</v>
      </c>
      <c r="ET119">
        <v>36.31</v>
      </c>
      <c r="EW119">
        <v>38.54</v>
      </c>
      <c r="EX119">
        <v>39.700000000000003</v>
      </c>
      <c r="EY119">
        <v>40.840000000000003</v>
      </c>
      <c r="FA119">
        <v>43.11</v>
      </c>
      <c r="FD119">
        <v>45.52</v>
      </c>
      <c r="FE119">
        <v>46.57</v>
      </c>
      <c r="FF119">
        <v>47.5</v>
      </c>
      <c r="FG119">
        <v>48.57</v>
      </c>
      <c r="FH119">
        <v>49.46</v>
      </c>
      <c r="FM119">
        <v>51.9</v>
      </c>
      <c r="FO119">
        <v>52.62</v>
      </c>
      <c r="FP119">
        <v>53.48</v>
      </c>
      <c r="FQ119">
        <v>54.34</v>
      </c>
      <c r="FS119">
        <v>55.21</v>
      </c>
      <c r="FT119">
        <v>56.08</v>
      </c>
      <c r="FU119">
        <v>56.92</v>
      </c>
      <c r="FV119">
        <v>59.66</v>
      </c>
      <c r="FZ119">
        <v>62.22</v>
      </c>
      <c r="GA119">
        <v>63.59</v>
      </c>
      <c r="GB119">
        <v>64.95</v>
      </c>
      <c r="GD119">
        <v>67.58</v>
      </c>
      <c r="GG119">
        <v>70.23</v>
      </c>
      <c r="GH119">
        <v>71.34</v>
      </c>
      <c r="GI119">
        <v>72.3</v>
      </c>
      <c r="GJ119">
        <v>73.569999999999993</v>
      </c>
      <c r="GK119">
        <v>74.819999999999993</v>
      </c>
      <c r="GN119">
        <v>78.55</v>
      </c>
      <c r="GQ119">
        <v>80.83</v>
      </c>
      <c r="GR119">
        <v>81.89</v>
      </c>
      <c r="GU119">
        <v>84.28</v>
      </c>
      <c r="GV119">
        <v>85.45</v>
      </c>
      <c r="GW119">
        <v>88.14</v>
      </c>
      <c r="GY119">
        <v>89.56</v>
      </c>
      <c r="HB119">
        <v>92.29</v>
      </c>
      <c r="HC119">
        <v>93.54</v>
      </c>
      <c r="HD119">
        <v>94.74</v>
      </c>
      <c r="HE119">
        <v>95.73</v>
      </c>
      <c r="HF119">
        <v>96.52</v>
      </c>
      <c r="HI119">
        <v>98.23</v>
      </c>
      <c r="HJ119">
        <v>99.22</v>
      </c>
      <c r="HK119">
        <v>100.05</v>
      </c>
      <c r="HL119">
        <v>102.34</v>
      </c>
      <c r="HP119">
        <v>105.41</v>
      </c>
      <c r="HR119">
        <v>106.28</v>
      </c>
      <c r="HS119">
        <v>107.7</v>
      </c>
      <c r="HW119">
        <v>109.44</v>
      </c>
      <c r="HZ119">
        <v>111.56</v>
      </c>
      <c r="IA119">
        <v>112.16</v>
      </c>
      <c r="ID119">
        <v>113.5</v>
      </c>
      <c r="IE119">
        <v>114.61</v>
      </c>
      <c r="IG119">
        <v>115.51</v>
      </c>
      <c r="IH119">
        <v>116.02</v>
      </c>
      <c r="IK119">
        <v>117.07</v>
      </c>
      <c r="IL119">
        <v>117.52</v>
      </c>
      <c r="IM119">
        <v>117.9</v>
      </c>
      <c r="IN119">
        <v>118.25</v>
      </c>
      <c r="IO119">
        <v>118.53</v>
      </c>
      <c r="IR119">
        <v>119.14</v>
      </c>
      <c r="IS119">
        <v>119.38</v>
      </c>
      <c r="IT119">
        <v>119.62</v>
      </c>
      <c r="IU119">
        <v>119.81</v>
      </c>
      <c r="IV119">
        <v>118.34</v>
      </c>
      <c r="IY119">
        <v>118.76</v>
      </c>
      <c r="IZ119">
        <v>118.92</v>
      </c>
      <c r="JA119">
        <v>119.13</v>
      </c>
      <c r="JB119">
        <v>119.31</v>
      </c>
      <c r="JC119">
        <v>119.47</v>
      </c>
      <c r="JE119">
        <v>119.86</v>
      </c>
      <c r="JG119">
        <v>120.25</v>
      </c>
      <c r="JJ119">
        <v>120.57</v>
      </c>
      <c r="JM119">
        <v>121.06</v>
      </c>
      <c r="JO119">
        <v>121.24</v>
      </c>
      <c r="JP119">
        <v>121.37</v>
      </c>
      <c r="JQ119">
        <v>121.53</v>
      </c>
      <c r="JS119">
        <v>122.81</v>
      </c>
      <c r="SC119">
        <v>202.48</v>
      </c>
      <c r="SI119">
        <v>202.8</v>
      </c>
      <c r="SJ119">
        <v>202.8</v>
      </c>
      <c r="TC119">
        <v>204.01</v>
      </c>
      <c r="TD119">
        <v>204.03</v>
      </c>
      <c r="UT119">
        <v>205.54</v>
      </c>
      <c r="AAA119">
        <v>210.67</v>
      </c>
      <c r="AAB119">
        <v>210.72</v>
      </c>
      <c r="AAC119">
        <v>210.74</v>
      </c>
      <c r="ABU119">
        <v>211.74</v>
      </c>
      <c r="ABV119">
        <v>211.76</v>
      </c>
      <c r="ABW119">
        <v>211.78</v>
      </c>
      <c r="ABX119">
        <v>211.81</v>
      </c>
      <c r="ABY119">
        <v>211.83</v>
      </c>
      <c r="ABZ119">
        <v>211.84</v>
      </c>
      <c r="ACP119">
        <v>212.02</v>
      </c>
      <c r="ACQ119">
        <v>212.03</v>
      </c>
      <c r="ACR119">
        <v>212.04</v>
      </c>
      <c r="ACS119">
        <v>212.05</v>
      </c>
      <c r="ACT119">
        <v>212.06</v>
      </c>
      <c r="ACU119">
        <v>212.07</v>
      </c>
      <c r="ADD119">
        <v>212.11</v>
      </c>
      <c r="ADE119">
        <v>212.12</v>
      </c>
      <c r="ADF119">
        <v>212.13</v>
      </c>
      <c r="ADG119">
        <v>212.14</v>
      </c>
      <c r="ADH119">
        <v>212.16</v>
      </c>
      <c r="ADR119">
        <v>212.18</v>
      </c>
      <c r="ADS119">
        <v>212.18</v>
      </c>
      <c r="ADT119">
        <v>212.18</v>
      </c>
      <c r="ADU119">
        <v>212.19</v>
      </c>
      <c r="ADV119">
        <v>212.2</v>
      </c>
      <c r="ADW119">
        <v>212.2</v>
      </c>
    </row>
    <row r="120" spans="1:812">
      <c r="A120" s="1" t="s">
        <v>208</v>
      </c>
      <c r="B120" t="s">
        <v>208</v>
      </c>
      <c r="BK120">
        <v>0</v>
      </c>
      <c r="BL120">
        <v>0.09</v>
      </c>
      <c r="BT120">
        <v>0.31</v>
      </c>
      <c r="BY120">
        <v>0.56999999999999995</v>
      </c>
      <c r="CA120">
        <v>1.43</v>
      </c>
      <c r="CB120">
        <v>1.65</v>
      </c>
      <c r="CC120">
        <v>1.85</v>
      </c>
      <c r="CE120">
        <v>2.2200000000000002</v>
      </c>
      <c r="CF120">
        <v>2.3199999999999998</v>
      </c>
      <c r="CG120">
        <v>2.4700000000000002</v>
      </c>
      <c r="CH120">
        <v>2.63</v>
      </c>
      <c r="CI120">
        <v>2.79</v>
      </c>
      <c r="CJ120">
        <v>2.93</v>
      </c>
      <c r="CK120">
        <v>3.11</v>
      </c>
      <c r="CL120">
        <v>3.24</v>
      </c>
      <c r="CM120">
        <v>3.36</v>
      </c>
      <c r="CN120">
        <v>3.52</v>
      </c>
      <c r="CO120">
        <v>3.7</v>
      </c>
      <c r="CP120">
        <v>3.91</v>
      </c>
      <c r="CQ120">
        <v>4.07</v>
      </c>
      <c r="CR120">
        <v>4.26</v>
      </c>
      <c r="CS120">
        <v>4.43</v>
      </c>
      <c r="CT120">
        <v>4.59</v>
      </c>
      <c r="CU120">
        <v>4.76</v>
      </c>
      <c r="CV120">
        <v>4.91</v>
      </c>
      <c r="CW120">
        <v>5.0599999999999996</v>
      </c>
      <c r="CX120">
        <v>5.22</v>
      </c>
      <c r="CY120">
        <v>5.43</v>
      </c>
      <c r="CZ120">
        <v>5.61</v>
      </c>
      <c r="DA120">
        <v>5.81</v>
      </c>
      <c r="DB120">
        <v>6.05</v>
      </c>
      <c r="DC120">
        <v>6.27</v>
      </c>
      <c r="DD120">
        <v>6.46</v>
      </c>
      <c r="DE120">
        <v>6.65</v>
      </c>
      <c r="DF120">
        <v>6.92</v>
      </c>
      <c r="DG120">
        <v>7.13</v>
      </c>
      <c r="DH120">
        <v>7.31</v>
      </c>
      <c r="DI120">
        <v>7.59</v>
      </c>
      <c r="DJ120">
        <v>7.86</v>
      </c>
      <c r="DK120">
        <v>8.1300000000000008</v>
      </c>
      <c r="DL120">
        <v>8.26</v>
      </c>
      <c r="DM120">
        <v>8.42</v>
      </c>
      <c r="DN120">
        <v>8.6199999999999992</v>
      </c>
      <c r="DO120">
        <v>8.7100000000000009</v>
      </c>
      <c r="DP120">
        <v>8.82</v>
      </c>
      <c r="DQ120">
        <v>9.0399999999999991</v>
      </c>
      <c r="DR120">
        <v>9.36</v>
      </c>
      <c r="DS120">
        <v>9.69</v>
      </c>
      <c r="DT120">
        <v>10.09</v>
      </c>
      <c r="DU120">
        <v>10.38</v>
      </c>
      <c r="DV120">
        <v>10.65</v>
      </c>
      <c r="DW120">
        <v>10.96</v>
      </c>
      <c r="DX120">
        <v>11.26</v>
      </c>
      <c r="DY120">
        <v>11.56</v>
      </c>
      <c r="DZ120">
        <v>11.89</v>
      </c>
      <c r="EA120">
        <v>12.31</v>
      </c>
      <c r="EB120">
        <v>12.61</v>
      </c>
      <c r="EC120">
        <v>12.82</v>
      </c>
      <c r="ED120">
        <v>13.09</v>
      </c>
      <c r="EE120">
        <v>13.34</v>
      </c>
      <c r="EF120">
        <v>13.6</v>
      </c>
      <c r="EG120">
        <v>13.87</v>
      </c>
      <c r="EH120">
        <v>14.13</v>
      </c>
      <c r="EI120">
        <v>14.43</v>
      </c>
      <c r="EJ120">
        <v>14.73</v>
      </c>
      <c r="EK120">
        <v>15.1</v>
      </c>
      <c r="EL120">
        <v>15.47</v>
      </c>
      <c r="EM120">
        <v>15.78</v>
      </c>
      <c r="EN120">
        <v>16.04</v>
      </c>
      <c r="EO120">
        <v>16.350000000000001</v>
      </c>
      <c r="EP120">
        <v>16.59</v>
      </c>
      <c r="EQ120">
        <v>16.66</v>
      </c>
      <c r="ER120">
        <v>16.829999999999998</v>
      </c>
      <c r="ES120">
        <v>17.09</v>
      </c>
      <c r="ET120">
        <v>17.36</v>
      </c>
      <c r="EU120">
        <v>17.64</v>
      </c>
      <c r="EV120">
        <v>18</v>
      </c>
      <c r="EW120">
        <v>18.28</v>
      </c>
      <c r="EX120">
        <v>18.53</v>
      </c>
      <c r="EY120">
        <v>18.829999999999998</v>
      </c>
      <c r="EZ120">
        <v>19.13</v>
      </c>
      <c r="FA120">
        <v>19.43</v>
      </c>
      <c r="FB120">
        <v>19.73</v>
      </c>
      <c r="FC120">
        <v>20.14</v>
      </c>
      <c r="FD120">
        <v>20.47</v>
      </c>
      <c r="FE120">
        <v>20.73</v>
      </c>
      <c r="FF120">
        <v>21.08</v>
      </c>
      <c r="FG120">
        <v>21.32</v>
      </c>
      <c r="FH120">
        <v>21.58</v>
      </c>
      <c r="FI120">
        <v>22.01</v>
      </c>
      <c r="FJ120">
        <v>22.51</v>
      </c>
      <c r="FK120">
        <v>22.91</v>
      </c>
      <c r="FL120">
        <v>23.31</v>
      </c>
      <c r="FM120">
        <v>23.83</v>
      </c>
      <c r="FN120">
        <v>24.22</v>
      </c>
      <c r="FO120">
        <v>24.56</v>
      </c>
      <c r="FP120">
        <v>25.06</v>
      </c>
      <c r="FQ120">
        <v>25.7</v>
      </c>
      <c r="FS120">
        <v>26.7</v>
      </c>
      <c r="FT120">
        <v>27.4</v>
      </c>
      <c r="FU120">
        <v>28.18</v>
      </c>
      <c r="FV120">
        <v>28.9</v>
      </c>
      <c r="FW120">
        <v>29.67</v>
      </c>
      <c r="FX120">
        <v>30.61</v>
      </c>
      <c r="FY120">
        <v>31.39</v>
      </c>
      <c r="FZ120">
        <v>32.19</v>
      </c>
      <c r="GA120">
        <v>33.229999999999997</v>
      </c>
      <c r="GB120">
        <v>34.36</v>
      </c>
      <c r="GC120">
        <v>35.47</v>
      </c>
      <c r="GD120">
        <v>36.53</v>
      </c>
      <c r="GE120">
        <v>37.729999999999997</v>
      </c>
      <c r="GF120">
        <v>38.64</v>
      </c>
      <c r="GG120">
        <v>39.36</v>
      </c>
      <c r="GH120">
        <v>40.229999999999997</v>
      </c>
      <c r="GI120">
        <v>41.23</v>
      </c>
      <c r="GJ120">
        <v>42.16</v>
      </c>
      <c r="GK120">
        <v>43.11</v>
      </c>
      <c r="GL120">
        <v>44.16</v>
      </c>
      <c r="GM120">
        <v>44.97</v>
      </c>
      <c r="GN120">
        <v>45.71</v>
      </c>
      <c r="GO120">
        <v>46.57</v>
      </c>
      <c r="GP120">
        <v>47.36</v>
      </c>
      <c r="GQ120">
        <v>48.04</v>
      </c>
      <c r="GR120">
        <v>48.73</v>
      </c>
      <c r="GS120">
        <v>49.51</v>
      </c>
      <c r="GT120">
        <v>50.12</v>
      </c>
      <c r="GU120">
        <v>50.74</v>
      </c>
      <c r="GV120">
        <v>51.61</v>
      </c>
      <c r="GW120">
        <v>52.46</v>
      </c>
      <c r="GX120">
        <v>53.5</v>
      </c>
      <c r="GY120">
        <v>54.6</v>
      </c>
      <c r="GZ120">
        <v>55.75</v>
      </c>
      <c r="HA120">
        <v>56.67</v>
      </c>
      <c r="HB120">
        <v>57.58</v>
      </c>
      <c r="HC120">
        <v>58.69</v>
      </c>
      <c r="HD120">
        <v>59.74</v>
      </c>
      <c r="HE120">
        <v>60.82</v>
      </c>
      <c r="HF120">
        <v>61.84</v>
      </c>
      <c r="HG120">
        <v>62.8</v>
      </c>
      <c r="HH120">
        <v>63.47</v>
      </c>
      <c r="HI120">
        <v>64.3</v>
      </c>
      <c r="HJ120">
        <v>65.28</v>
      </c>
      <c r="HK120">
        <v>66.099999999999994</v>
      </c>
      <c r="HL120">
        <v>66.95</v>
      </c>
      <c r="HM120">
        <v>67.849999999999994</v>
      </c>
      <c r="HN120">
        <v>68.83</v>
      </c>
      <c r="HO120">
        <v>69.569999999999993</v>
      </c>
      <c r="HP120">
        <v>70.3</v>
      </c>
      <c r="HQ120">
        <v>71.14</v>
      </c>
      <c r="HR120">
        <v>71.81</v>
      </c>
      <c r="HS120">
        <v>72.5</v>
      </c>
      <c r="HT120">
        <v>73.16</v>
      </c>
      <c r="HU120">
        <v>73.989999999999995</v>
      </c>
      <c r="HV120">
        <v>74.56</v>
      </c>
      <c r="HW120">
        <v>75.27</v>
      </c>
      <c r="HX120">
        <v>75.92</v>
      </c>
      <c r="HY120">
        <v>76.55</v>
      </c>
      <c r="HZ120">
        <v>77.16</v>
      </c>
      <c r="IA120">
        <v>77.819999999999993</v>
      </c>
      <c r="IB120">
        <v>78.5</v>
      </c>
      <c r="IC120">
        <v>79.040000000000006</v>
      </c>
      <c r="ID120">
        <v>79.52</v>
      </c>
      <c r="IE120">
        <v>80.010000000000005</v>
      </c>
      <c r="IF120">
        <v>80.45</v>
      </c>
      <c r="IG120">
        <v>80.55</v>
      </c>
      <c r="IJ120">
        <v>81.069999999999993</v>
      </c>
      <c r="IK120">
        <v>81.819999999999993</v>
      </c>
      <c r="IM120">
        <v>83.17</v>
      </c>
      <c r="IN120">
        <v>83.67</v>
      </c>
      <c r="IO120">
        <v>84.39</v>
      </c>
      <c r="IR120">
        <v>86.4</v>
      </c>
      <c r="IT120">
        <v>87.61</v>
      </c>
      <c r="IY120">
        <v>88.49</v>
      </c>
      <c r="JF120">
        <v>90.88</v>
      </c>
      <c r="JI120">
        <v>91.61</v>
      </c>
      <c r="JM120">
        <v>92.31</v>
      </c>
      <c r="JT120">
        <v>94.38</v>
      </c>
      <c r="JW120">
        <v>96.15</v>
      </c>
      <c r="KA120">
        <v>98.66</v>
      </c>
      <c r="KJ120">
        <v>101.38</v>
      </c>
      <c r="KK120">
        <v>102.12</v>
      </c>
      <c r="KL120">
        <v>102.83</v>
      </c>
      <c r="KN120">
        <v>103.98</v>
      </c>
      <c r="LA120">
        <v>112.39</v>
      </c>
      <c r="LC120">
        <v>114.14</v>
      </c>
      <c r="LJ120">
        <v>120.02</v>
      </c>
      <c r="LT120">
        <v>124.78</v>
      </c>
      <c r="ML120">
        <v>135.72</v>
      </c>
      <c r="MM120">
        <v>136.24</v>
      </c>
      <c r="MN120">
        <v>136.69</v>
      </c>
      <c r="MP120">
        <v>137.68</v>
      </c>
      <c r="MR120">
        <v>138.62</v>
      </c>
      <c r="MT120">
        <v>139.58000000000001</v>
      </c>
      <c r="MV120">
        <v>140.34</v>
      </c>
      <c r="MW120">
        <v>140.72</v>
      </c>
      <c r="MX120">
        <v>141.1</v>
      </c>
      <c r="MY120">
        <v>141.38</v>
      </c>
      <c r="NA120">
        <v>142.01</v>
      </c>
      <c r="NC120">
        <v>142.56</v>
      </c>
      <c r="NE120">
        <v>143.11000000000001</v>
      </c>
      <c r="NG120">
        <v>143.68</v>
      </c>
      <c r="NI120">
        <v>144.29</v>
      </c>
      <c r="NJ120">
        <v>144.63999999999999</v>
      </c>
      <c r="NK120">
        <v>144.94</v>
      </c>
      <c r="NL120">
        <v>145.22999999999999</v>
      </c>
      <c r="NN120">
        <v>145.62</v>
      </c>
      <c r="NP120">
        <v>145.87</v>
      </c>
      <c r="NQ120">
        <v>146.28</v>
      </c>
      <c r="NS120">
        <v>146.6</v>
      </c>
      <c r="NU120">
        <v>146.93</v>
      </c>
      <c r="NW120">
        <v>147.46</v>
      </c>
      <c r="NX120">
        <v>147.72</v>
      </c>
      <c r="NZ120">
        <v>148.08000000000001</v>
      </c>
      <c r="OA120">
        <v>148.22</v>
      </c>
      <c r="OB120">
        <v>148.43</v>
      </c>
      <c r="OC120">
        <v>148.69999999999999</v>
      </c>
      <c r="OD120">
        <v>148.97999999999999</v>
      </c>
      <c r="OE120">
        <v>149.24</v>
      </c>
      <c r="OF120">
        <v>149.59</v>
      </c>
      <c r="OH120">
        <v>150.29</v>
      </c>
      <c r="OI120">
        <v>150.69</v>
      </c>
      <c r="OJ120">
        <v>151.05000000000001</v>
      </c>
      <c r="OK120">
        <v>151.41999999999999</v>
      </c>
      <c r="OL120">
        <v>151.81</v>
      </c>
      <c r="OM120">
        <v>152.24</v>
      </c>
      <c r="ON120">
        <v>152.69999999999999</v>
      </c>
      <c r="OO120">
        <v>153.09</v>
      </c>
      <c r="OP120">
        <v>153.47999999999999</v>
      </c>
      <c r="OQ120">
        <v>153.83000000000001</v>
      </c>
      <c r="OR120">
        <v>154.16</v>
      </c>
      <c r="OS120">
        <v>154.53</v>
      </c>
      <c r="OT120">
        <v>154.97999999999999</v>
      </c>
      <c r="OU120">
        <v>155.44999999999999</v>
      </c>
      <c r="OV120">
        <v>155.84</v>
      </c>
      <c r="OW120">
        <v>156.24</v>
      </c>
      <c r="OX120">
        <v>156.61000000000001</v>
      </c>
      <c r="OY120">
        <v>156.94</v>
      </c>
      <c r="OZ120">
        <v>157.25</v>
      </c>
      <c r="PA120">
        <v>157.57</v>
      </c>
      <c r="PB120">
        <v>157.85</v>
      </c>
      <c r="PD120">
        <v>158.19</v>
      </c>
      <c r="PE120">
        <v>158.22</v>
      </c>
      <c r="PF120">
        <v>158.26</v>
      </c>
      <c r="PG120">
        <v>158.30000000000001</v>
      </c>
      <c r="PH120">
        <v>158.43</v>
      </c>
      <c r="PJ120">
        <v>158.77000000000001</v>
      </c>
      <c r="PL120">
        <v>159.31</v>
      </c>
      <c r="PM120">
        <v>159.6</v>
      </c>
      <c r="PN120">
        <v>159.93</v>
      </c>
      <c r="PO120">
        <v>160.32</v>
      </c>
      <c r="PQ120">
        <v>161.07</v>
      </c>
      <c r="PR120">
        <v>161.4</v>
      </c>
      <c r="PS120">
        <v>161.72999999999999</v>
      </c>
      <c r="PT120">
        <v>162.16</v>
      </c>
      <c r="PU120">
        <v>162.63999999999999</v>
      </c>
      <c r="PV120">
        <v>163.15</v>
      </c>
      <c r="PW120">
        <v>163.69</v>
      </c>
      <c r="PX120">
        <v>164.08</v>
      </c>
      <c r="PY120">
        <v>164.51</v>
      </c>
      <c r="PZ120">
        <v>164.97</v>
      </c>
      <c r="QA120">
        <v>165.4</v>
      </c>
      <c r="QB120">
        <v>165.87</v>
      </c>
      <c r="QC120">
        <v>166.47</v>
      </c>
      <c r="QF120">
        <v>168.7</v>
      </c>
      <c r="QG120">
        <v>169.4</v>
      </c>
      <c r="QH120">
        <v>169.91</v>
      </c>
      <c r="QI120">
        <v>170.68</v>
      </c>
      <c r="QJ120">
        <v>171.5</v>
      </c>
      <c r="QM120">
        <v>174.1</v>
      </c>
      <c r="QN120">
        <v>174.79</v>
      </c>
      <c r="QO120">
        <v>175.37</v>
      </c>
      <c r="QP120">
        <v>175.98</v>
      </c>
      <c r="QQ120">
        <v>176.76</v>
      </c>
      <c r="QR120">
        <v>177.74</v>
      </c>
      <c r="QS120">
        <v>178.34</v>
      </c>
      <c r="QT120">
        <v>178.96</v>
      </c>
      <c r="QU120">
        <v>179.53</v>
      </c>
      <c r="QV120">
        <v>180.18</v>
      </c>
      <c r="QW120">
        <v>180.79</v>
      </c>
      <c r="QX120">
        <v>181.6</v>
      </c>
      <c r="QZ120">
        <v>183.27</v>
      </c>
      <c r="RA120">
        <v>183.91</v>
      </c>
      <c r="RB120">
        <v>184.49</v>
      </c>
      <c r="RC120">
        <v>184.96</v>
      </c>
      <c r="RD120">
        <v>185.4</v>
      </c>
      <c r="RE120">
        <v>186.13</v>
      </c>
      <c r="RG120">
        <v>187.57</v>
      </c>
      <c r="RH120">
        <v>188.07</v>
      </c>
      <c r="RJ120">
        <v>188.96</v>
      </c>
      <c r="RK120">
        <v>189.39</v>
      </c>
      <c r="RM120">
        <v>191.9</v>
      </c>
      <c r="RN120">
        <v>192.3</v>
      </c>
      <c r="RO120">
        <v>192.69</v>
      </c>
      <c r="RP120">
        <v>193.1</v>
      </c>
      <c r="RR120">
        <v>195.33</v>
      </c>
      <c r="RS120">
        <v>195.73</v>
      </c>
      <c r="RU120">
        <v>196.97</v>
      </c>
      <c r="RX120">
        <v>199.46</v>
      </c>
      <c r="RY120">
        <v>199.85</v>
      </c>
      <c r="RZ120">
        <v>200.25</v>
      </c>
      <c r="SB120">
        <v>201.51</v>
      </c>
      <c r="SC120">
        <v>201.94</v>
      </c>
      <c r="SD120">
        <v>202.39</v>
      </c>
      <c r="SE120">
        <v>202.75</v>
      </c>
      <c r="SF120">
        <v>203.06</v>
      </c>
      <c r="SH120">
        <v>204.01</v>
      </c>
      <c r="SI120">
        <v>204.74</v>
      </c>
      <c r="SJ120">
        <v>205.06</v>
      </c>
      <c r="SK120">
        <v>205.35</v>
      </c>
      <c r="SL120">
        <v>205.74</v>
      </c>
      <c r="SM120">
        <v>206.04</v>
      </c>
      <c r="SN120">
        <v>206.37</v>
      </c>
      <c r="SO120">
        <v>206.77</v>
      </c>
      <c r="SP120">
        <v>207.24</v>
      </c>
      <c r="SQ120">
        <v>207.52</v>
      </c>
      <c r="SR120">
        <v>207.86</v>
      </c>
      <c r="SS120">
        <v>208.19</v>
      </c>
      <c r="ST120">
        <v>208.47</v>
      </c>
      <c r="SU120">
        <v>208.74</v>
      </c>
      <c r="SV120">
        <v>209.1</v>
      </c>
      <c r="SW120">
        <v>209.53</v>
      </c>
      <c r="SX120">
        <v>209.83</v>
      </c>
      <c r="SZ120">
        <v>210.46</v>
      </c>
      <c r="TA120">
        <v>210.75</v>
      </c>
      <c r="TB120">
        <v>211.05</v>
      </c>
      <c r="TC120">
        <v>211.45</v>
      </c>
      <c r="TF120">
        <v>212.39</v>
      </c>
      <c r="TG120">
        <v>212.63</v>
      </c>
      <c r="TH120">
        <v>212.88</v>
      </c>
      <c r="TI120">
        <v>213.11</v>
      </c>
      <c r="TJ120">
        <v>213.4</v>
      </c>
      <c r="TK120">
        <v>213.7</v>
      </c>
      <c r="TL120">
        <v>213.9</v>
      </c>
      <c r="TM120">
        <v>214.24</v>
      </c>
      <c r="TN120">
        <v>214.47</v>
      </c>
      <c r="TO120">
        <v>214.73</v>
      </c>
      <c r="TP120">
        <v>215.01</v>
      </c>
      <c r="TQ120">
        <v>215.26</v>
      </c>
      <c r="TR120">
        <v>215.46</v>
      </c>
      <c r="TS120">
        <v>215.62</v>
      </c>
      <c r="TT120">
        <v>215.82</v>
      </c>
      <c r="TU120">
        <v>216</v>
      </c>
      <c r="TV120">
        <v>216.15</v>
      </c>
      <c r="TW120">
        <v>216.3</v>
      </c>
      <c r="TX120">
        <v>216.53</v>
      </c>
      <c r="TY120">
        <v>216.76</v>
      </c>
      <c r="TZ120">
        <v>216.91</v>
      </c>
      <c r="UA120">
        <v>217.08</v>
      </c>
      <c r="UB120">
        <v>217.23</v>
      </c>
      <c r="UC120">
        <v>217.37</v>
      </c>
      <c r="UD120">
        <v>217.52</v>
      </c>
      <c r="UE120">
        <v>217.73</v>
      </c>
      <c r="UF120">
        <v>217.9</v>
      </c>
      <c r="UG120">
        <v>217.97</v>
      </c>
      <c r="UI120">
        <v>218.05</v>
      </c>
      <c r="UJ120">
        <v>218.13</v>
      </c>
      <c r="UK120">
        <v>218.19</v>
      </c>
      <c r="UM120">
        <v>218.35</v>
      </c>
      <c r="UN120">
        <v>218.42</v>
      </c>
      <c r="UO120">
        <v>218.48</v>
      </c>
      <c r="UP120">
        <v>218.56</v>
      </c>
      <c r="UQ120">
        <v>218.64</v>
      </c>
      <c r="UR120">
        <v>218.73</v>
      </c>
      <c r="US120">
        <v>218.78</v>
      </c>
      <c r="UT120">
        <v>218.79</v>
      </c>
      <c r="UU120">
        <v>218.82</v>
      </c>
      <c r="UV120">
        <v>218.88</v>
      </c>
      <c r="UW120">
        <v>218.91</v>
      </c>
      <c r="UX120">
        <v>218.94</v>
      </c>
      <c r="UY120">
        <v>218.97</v>
      </c>
      <c r="VA120">
        <v>219.09</v>
      </c>
      <c r="VB120">
        <v>210.14</v>
      </c>
      <c r="VD120">
        <v>210.19</v>
      </c>
      <c r="VE120">
        <v>210.21</v>
      </c>
      <c r="VF120">
        <v>210.22</v>
      </c>
      <c r="VG120">
        <v>210.25</v>
      </c>
      <c r="VH120">
        <v>210.27</v>
      </c>
      <c r="VI120">
        <v>210.29</v>
      </c>
      <c r="VJ120">
        <v>210.31</v>
      </c>
      <c r="VK120">
        <v>210.33</v>
      </c>
      <c r="VL120">
        <v>210.35</v>
      </c>
      <c r="VM120">
        <v>210.38</v>
      </c>
      <c r="VN120">
        <v>210.41</v>
      </c>
      <c r="VO120">
        <v>210.47</v>
      </c>
      <c r="VP120">
        <v>210.52</v>
      </c>
      <c r="VQ120">
        <v>210.59</v>
      </c>
      <c r="VR120">
        <v>210.67</v>
      </c>
      <c r="VS120">
        <v>210.74</v>
      </c>
      <c r="VT120">
        <v>210.84</v>
      </c>
      <c r="VX120">
        <v>211.39</v>
      </c>
      <c r="VY120">
        <v>211.61</v>
      </c>
      <c r="VZ120">
        <v>211.81</v>
      </c>
      <c r="WA120">
        <v>212.1</v>
      </c>
      <c r="WI120">
        <v>213.66</v>
      </c>
      <c r="WJ120">
        <v>213.66</v>
      </c>
      <c r="WK120">
        <v>213.66</v>
      </c>
      <c r="WL120">
        <v>213.66</v>
      </c>
      <c r="WM120">
        <v>214.56</v>
      </c>
      <c r="WN120">
        <v>214.8</v>
      </c>
      <c r="WO120">
        <v>215.04</v>
      </c>
      <c r="WP120">
        <v>215.22</v>
      </c>
      <c r="WR120">
        <v>215.58</v>
      </c>
      <c r="WS120">
        <v>215.82</v>
      </c>
      <c r="WT120">
        <v>216.02</v>
      </c>
      <c r="WU120">
        <v>216.09</v>
      </c>
      <c r="WV120">
        <v>216.28</v>
      </c>
      <c r="WX120">
        <v>216.67</v>
      </c>
      <c r="WY120">
        <v>216.87</v>
      </c>
      <c r="WZ120">
        <v>217.07</v>
      </c>
      <c r="XA120">
        <v>217.26</v>
      </c>
      <c r="XB120">
        <v>217.44</v>
      </c>
      <c r="XC120">
        <v>217.62</v>
      </c>
      <c r="XD120">
        <v>217.79</v>
      </c>
      <c r="XE120">
        <v>217.92</v>
      </c>
      <c r="XF120">
        <v>218.1</v>
      </c>
      <c r="XG120">
        <v>218.3</v>
      </c>
      <c r="XH120">
        <v>218.48</v>
      </c>
      <c r="XI120">
        <v>218.65</v>
      </c>
      <c r="AAG120">
        <v>239.3</v>
      </c>
      <c r="AAQ120">
        <v>240.38</v>
      </c>
      <c r="AAV120">
        <v>242.21</v>
      </c>
      <c r="ABJ120">
        <v>254.53</v>
      </c>
      <c r="ABR120">
        <v>256.82</v>
      </c>
      <c r="ABT120">
        <v>256.82</v>
      </c>
      <c r="ABV120">
        <v>256.82</v>
      </c>
      <c r="ABX120">
        <v>257.33999999999997</v>
      </c>
      <c r="ACD120">
        <v>257.76</v>
      </c>
      <c r="ACL120">
        <v>258.04000000000002</v>
      </c>
      <c r="ACS120">
        <v>258.12</v>
      </c>
      <c r="ACZ120">
        <v>258.25</v>
      </c>
      <c r="ADG120">
        <v>258.38</v>
      </c>
      <c r="ADN120">
        <v>258.5</v>
      </c>
      <c r="ADU120">
        <v>258.61</v>
      </c>
      <c r="AEB120">
        <v>258.69</v>
      </c>
    </row>
    <row r="121" spans="1:812">
      <c r="A121" s="1" t="s">
        <v>107</v>
      </c>
      <c r="B121" t="s">
        <v>107</v>
      </c>
      <c r="EZ121">
        <v>0</v>
      </c>
      <c r="FF121">
        <v>0.01</v>
      </c>
      <c r="FI121">
        <v>0.05</v>
      </c>
      <c r="FL121">
        <v>0.06</v>
      </c>
      <c r="FN121">
        <v>0.08</v>
      </c>
      <c r="FS121">
        <v>0.13</v>
      </c>
      <c r="GA121">
        <v>0.28000000000000003</v>
      </c>
      <c r="GC121">
        <v>0.35</v>
      </c>
      <c r="GG121">
        <v>0.49</v>
      </c>
      <c r="GH121">
        <v>0.54</v>
      </c>
      <c r="GM121">
        <v>0.68</v>
      </c>
      <c r="GQ121">
        <v>0.71</v>
      </c>
      <c r="GU121">
        <v>0.71</v>
      </c>
      <c r="JM121">
        <v>1</v>
      </c>
      <c r="KA121">
        <v>1.34</v>
      </c>
      <c r="LE121">
        <v>1.99</v>
      </c>
      <c r="MH121">
        <v>2.13</v>
      </c>
      <c r="ML121">
        <v>2.2000000000000002</v>
      </c>
      <c r="MZ121">
        <v>2.61</v>
      </c>
      <c r="OD121">
        <v>3.42</v>
      </c>
    </row>
    <row r="122" spans="1:812">
      <c r="A122" s="1" t="s">
        <v>128</v>
      </c>
      <c r="B122" t="s">
        <v>128</v>
      </c>
      <c r="CV122">
        <v>0.03</v>
      </c>
      <c r="CW122">
        <v>0.05</v>
      </c>
      <c r="CX122">
        <v>0.08</v>
      </c>
      <c r="CZ122">
        <v>0.13</v>
      </c>
      <c r="DA122">
        <v>0.13</v>
      </c>
      <c r="DB122">
        <v>0.2</v>
      </c>
      <c r="DC122">
        <v>0.28999999999999998</v>
      </c>
      <c r="DE122">
        <v>0.47</v>
      </c>
      <c r="DF122">
        <v>0.56999999999999995</v>
      </c>
      <c r="DG122">
        <v>0.57999999999999996</v>
      </c>
      <c r="DI122">
        <v>0.64</v>
      </c>
      <c r="DJ122">
        <v>0.7</v>
      </c>
      <c r="DK122">
        <v>0.76</v>
      </c>
      <c r="DL122">
        <v>0.81</v>
      </c>
      <c r="DN122">
        <v>0.83</v>
      </c>
      <c r="DO122">
        <v>0.84</v>
      </c>
      <c r="DP122">
        <v>0.86</v>
      </c>
      <c r="DS122">
        <v>1.01</v>
      </c>
      <c r="DT122">
        <v>1.07</v>
      </c>
      <c r="DU122">
        <v>1.0900000000000001</v>
      </c>
      <c r="DV122">
        <v>1.1100000000000001</v>
      </c>
      <c r="DW122">
        <v>1.2</v>
      </c>
      <c r="DX122">
        <v>1.26</v>
      </c>
      <c r="DZ122">
        <v>1.31</v>
      </c>
      <c r="EB122">
        <v>1.35</v>
      </c>
      <c r="EC122">
        <v>1.35</v>
      </c>
      <c r="ED122">
        <v>1.36</v>
      </c>
      <c r="EE122">
        <v>1.38</v>
      </c>
      <c r="EF122">
        <v>1.4</v>
      </c>
      <c r="EJ122">
        <v>1.45</v>
      </c>
      <c r="EK122">
        <v>1.47</v>
      </c>
      <c r="EL122">
        <v>1.49</v>
      </c>
      <c r="EM122">
        <v>1.52</v>
      </c>
      <c r="EN122">
        <v>1.55</v>
      </c>
      <c r="ET122">
        <v>1.63</v>
      </c>
      <c r="EV122">
        <v>1.66</v>
      </c>
      <c r="EW122">
        <v>1.67</v>
      </c>
      <c r="EX122">
        <v>1.67</v>
      </c>
      <c r="FA122">
        <v>1.73</v>
      </c>
      <c r="FC122">
        <v>1.74</v>
      </c>
      <c r="FE122">
        <v>1.75</v>
      </c>
      <c r="FF122">
        <v>1.75</v>
      </c>
      <c r="FG122">
        <v>1.76</v>
      </c>
      <c r="FH122">
        <v>1.77</v>
      </c>
      <c r="FI122">
        <v>1.79</v>
      </c>
      <c r="FJ122">
        <v>1.8</v>
      </c>
      <c r="FK122">
        <v>1.8</v>
      </c>
      <c r="FM122">
        <v>1.81</v>
      </c>
      <c r="FN122">
        <v>1.82</v>
      </c>
      <c r="FP122">
        <v>1.84</v>
      </c>
      <c r="FQ122">
        <v>1.85</v>
      </c>
      <c r="FR122">
        <v>1.86</v>
      </c>
      <c r="FS122">
        <v>1.86</v>
      </c>
      <c r="FT122">
        <v>1.86</v>
      </c>
      <c r="FU122">
        <v>1.87</v>
      </c>
      <c r="FV122">
        <v>1.87</v>
      </c>
      <c r="FY122">
        <v>1.88</v>
      </c>
      <c r="FZ122">
        <v>1.88</v>
      </c>
      <c r="GB122">
        <v>1.92</v>
      </c>
      <c r="GC122">
        <v>1.93</v>
      </c>
      <c r="GD122">
        <v>1.96</v>
      </c>
      <c r="GE122">
        <v>1.97</v>
      </c>
      <c r="GG122">
        <v>1.99</v>
      </c>
      <c r="GH122">
        <v>2.02</v>
      </c>
      <c r="GI122">
        <v>2.06</v>
      </c>
      <c r="GJ122">
        <v>2.12</v>
      </c>
      <c r="GK122">
        <v>2.16</v>
      </c>
      <c r="GL122">
        <v>2.2000000000000002</v>
      </c>
      <c r="GN122">
        <v>2.21</v>
      </c>
      <c r="GO122">
        <v>2.2200000000000002</v>
      </c>
      <c r="GP122">
        <v>2.23</v>
      </c>
      <c r="GQ122">
        <v>2.23</v>
      </c>
      <c r="GR122">
        <v>2.2400000000000002</v>
      </c>
      <c r="GS122">
        <v>2.2400000000000002</v>
      </c>
      <c r="GT122">
        <v>2.2400000000000002</v>
      </c>
      <c r="GU122">
        <v>2.2400000000000002</v>
      </c>
      <c r="HX122">
        <v>2.34</v>
      </c>
      <c r="HY122">
        <v>2.64</v>
      </c>
      <c r="IA122">
        <v>3.03</v>
      </c>
      <c r="IB122">
        <v>3.09</v>
      </c>
      <c r="IC122">
        <v>3.11</v>
      </c>
      <c r="ID122">
        <v>3.11</v>
      </c>
      <c r="IE122">
        <v>3.13</v>
      </c>
      <c r="IF122">
        <v>3.13</v>
      </c>
      <c r="IG122">
        <v>3.25</v>
      </c>
      <c r="IJ122">
        <v>3.26</v>
      </c>
      <c r="IL122">
        <v>3.43</v>
      </c>
      <c r="IN122">
        <v>3.57</v>
      </c>
      <c r="IP122">
        <v>3.79</v>
      </c>
      <c r="IQ122">
        <v>3.81</v>
      </c>
      <c r="IR122">
        <v>3.81</v>
      </c>
      <c r="IS122">
        <v>3.92</v>
      </c>
      <c r="IT122">
        <v>4.0199999999999996</v>
      </c>
      <c r="IU122">
        <v>4.12</v>
      </c>
      <c r="IV122">
        <v>4.0999999999999996</v>
      </c>
      <c r="IX122">
        <v>4.21</v>
      </c>
      <c r="IY122">
        <v>4.21</v>
      </c>
      <c r="IZ122">
        <v>4.28</v>
      </c>
      <c r="JA122">
        <v>4.34</v>
      </c>
      <c r="JC122">
        <v>4.42</v>
      </c>
      <c r="JE122">
        <v>4.47</v>
      </c>
      <c r="JF122">
        <v>4.47</v>
      </c>
      <c r="JG122">
        <v>4.55</v>
      </c>
      <c r="JH122">
        <v>4.59</v>
      </c>
      <c r="JM122">
        <v>4.6399999999999997</v>
      </c>
      <c r="JN122">
        <v>4.67</v>
      </c>
      <c r="JQ122">
        <v>4.75</v>
      </c>
      <c r="JR122">
        <v>4.7699999999999996</v>
      </c>
      <c r="JS122">
        <v>4.79</v>
      </c>
      <c r="JT122">
        <v>4.82</v>
      </c>
      <c r="JU122">
        <v>4.87</v>
      </c>
      <c r="JW122">
        <v>4.93</v>
      </c>
      <c r="JX122">
        <v>4.96</v>
      </c>
      <c r="JZ122">
        <v>5</v>
      </c>
      <c r="KA122">
        <v>5.01</v>
      </c>
      <c r="KB122">
        <v>5.05</v>
      </c>
      <c r="KC122">
        <v>5.0999999999999996</v>
      </c>
      <c r="KD122">
        <v>5.14</v>
      </c>
      <c r="KE122">
        <v>5.19</v>
      </c>
      <c r="KF122">
        <v>5.23</v>
      </c>
      <c r="KG122">
        <v>5.24</v>
      </c>
      <c r="KJ122">
        <v>5.33</v>
      </c>
      <c r="KL122">
        <v>5.41</v>
      </c>
      <c r="KO122">
        <v>5.44</v>
      </c>
      <c r="KQ122">
        <v>5.52</v>
      </c>
      <c r="KV122">
        <v>5.69</v>
      </c>
      <c r="LN122">
        <v>6.25</v>
      </c>
      <c r="LO122">
        <v>6.29</v>
      </c>
      <c r="LT122">
        <v>6.39</v>
      </c>
      <c r="LW122">
        <v>6.43</v>
      </c>
      <c r="MD122">
        <v>6.64</v>
      </c>
      <c r="ML122">
        <v>6.89</v>
      </c>
      <c r="MS122">
        <v>7.16</v>
      </c>
      <c r="MU122">
        <v>7.29</v>
      </c>
      <c r="MV122">
        <v>7.38</v>
      </c>
      <c r="MY122">
        <v>7.52</v>
      </c>
      <c r="NA122">
        <v>7.59</v>
      </c>
      <c r="NB122">
        <v>7.64</v>
      </c>
      <c r="NG122">
        <v>7.94</v>
      </c>
      <c r="NH122">
        <v>8.02</v>
      </c>
      <c r="NK122">
        <v>8.2899999999999991</v>
      </c>
      <c r="NL122">
        <v>8.34</v>
      </c>
      <c r="NV122">
        <v>8.98</v>
      </c>
      <c r="OA122">
        <v>9.2100000000000009</v>
      </c>
      <c r="OD122">
        <v>9.24</v>
      </c>
      <c r="OH122">
        <v>9.3699999999999992</v>
      </c>
      <c r="OJ122">
        <v>9.41</v>
      </c>
      <c r="OO122">
        <v>9.4600000000000009</v>
      </c>
      <c r="OQ122">
        <v>9.4700000000000006</v>
      </c>
      <c r="OS122">
        <v>9.49</v>
      </c>
      <c r="OX122">
        <v>9.67</v>
      </c>
      <c r="OZ122">
        <v>9.68</v>
      </c>
      <c r="PD122">
        <v>9.69</v>
      </c>
      <c r="PF122">
        <v>9.6999999999999993</v>
      </c>
      <c r="PH122">
        <v>9.61</v>
      </c>
      <c r="PW122">
        <v>9.74</v>
      </c>
      <c r="PX122">
        <v>9.74</v>
      </c>
      <c r="QC122">
        <v>9.7799999999999994</v>
      </c>
      <c r="QK122">
        <v>9.92</v>
      </c>
      <c r="QL122">
        <v>9.92</v>
      </c>
    </row>
    <row r="123" spans="1:812">
      <c r="A123" s="1" t="s">
        <v>111</v>
      </c>
      <c r="B123" t="s">
        <v>344</v>
      </c>
      <c r="BZ123">
        <v>0</v>
      </c>
      <c r="CD123">
        <v>0.01</v>
      </c>
      <c r="CF123">
        <v>0.08</v>
      </c>
      <c r="CG123">
        <v>0.16</v>
      </c>
      <c r="CH123">
        <v>0.25</v>
      </c>
      <c r="CI123">
        <v>0.31</v>
      </c>
      <c r="CJ123">
        <v>0.35</v>
      </c>
      <c r="CK123">
        <v>0.39</v>
      </c>
      <c r="CL123">
        <v>0.43</v>
      </c>
      <c r="CM123">
        <v>0.51</v>
      </c>
      <c r="CN123">
        <v>0.61</v>
      </c>
      <c r="CO123">
        <v>0.69</v>
      </c>
      <c r="CP123">
        <v>0.77</v>
      </c>
      <c r="CQ123">
        <v>0.85</v>
      </c>
      <c r="CR123">
        <v>0.9</v>
      </c>
      <c r="CS123">
        <v>0.93</v>
      </c>
      <c r="CT123">
        <v>0.99</v>
      </c>
      <c r="CU123">
        <v>1.07</v>
      </c>
      <c r="CV123">
        <v>1.1299999999999999</v>
      </c>
      <c r="CW123">
        <v>1.19</v>
      </c>
      <c r="CX123">
        <v>1.23</v>
      </c>
      <c r="CY123">
        <v>1.28</v>
      </c>
      <c r="CZ123">
        <v>1.32</v>
      </c>
      <c r="DA123">
        <v>1.4</v>
      </c>
      <c r="DB123">
        <v>1.49</v>
      </c>
      <c r="DC123">
        <v>1.58</v>
      </c>
      <c r="DD123">
        <v>1.66</v>
      </c>
      <c r="DE123">
        <v>1.7</v>
      </c>
      <c r="DF123">
        <v>1.75</v>
      </c>
      <c r="DG123">
        <v>1.79</v>
      </c>
      <c r="DH123">
        <v>1.92</v>
      </c>
      <c r="DI123">
        <v>2.04</v>
      </c>
      <c r="DJ123">
        <v>2.16</v>
      </c>
      <c r="DK123">
        <v>2.29</v>
      </c>
      <c r="DL123">
        <v>2.38</v>
      </c>
      <c r="DM123">
        <v>2.4300000000000002</v>
      </c>
      <c r="DN123">
        <v>2.48</v>
      </c>
      <c r="DO123">
        <v>2.56</v>
      </c>
      <c r="DP123">
        <v>2.66</v>
      </c>
      <c r="DQ123">
        <v>2.76</v>
      </c>
      <c r="DR123">
        <v>2.84</v>
      </c>
      <c r="DS123">
        <v>2.91</v>
      </c>
      <c r="DT123">
        <v>2.96</v>
      </c>
      <c r="DU123">
        <v>3.03</v>
      </c>
      <c r="DV123">
        <v>3.15</v>
      </c>
      <c r="DW123">
        <v>3.24</v>
      </c>
      <c r="DX123">
        <v>3.33</v>
      </c>
      <c r="DY123">
        <v>3.42</v>
      </c>
      <c r="DZ123">
        <v>3.48</v>
      </c>
      <c r="EA123">
        <v>3.51</v>
      </c>
      <c r="EB123">
        <v>3.54</v>
      </c>
      <c r="EC123">
        <v>3.64</v>
      </c>
      <c r="ED123">
        <v>3.74</v>
      </c>
      <c r="EE123">
        <v>3.81</v>
      </c>
      <c r="EF123">
        <v>3.9</v>
      </c>
      <c r="EG123">
        <v>3.95</v>
      </c>
      <c r="EH123">
        <v>3.99</v>
      </c>
      <c r="EI123">
        <v>4.03</v>
      </c>
      <c r="EJ123">
        <v>4.13</v>
      </c>
      <c r="EK123">
        <v>4.2300000000000004</v>
      </c>
      <c r="EL123">
        <v>4.3499999999999996</v>
      </c>
      <c r="EM123">
        <v>4.3899999999999997</v>
      </c>
      <c r="EO123">
        <v>4.49</v>
      </c>
      <c r="EP123">
        <v>4.54</v>
      </c>
      <c r="EQ123">
        <v>4.6900000000000004</v>
      </c>
      <c r="ER123">
        <v>4.8499999999999996</v>
      </c>
      <c r="ES123">
        <v>5.0199999999999996</v>
      </c>
      <c r="ET123">
        <v>5.19</v>
      </c>
      <c r="EU123">
        <v>5.33</v>
      </c>
      <c r="EV123">
        <v>5.42</v>
      </c>
      <c r="EW123">
        <v>5.52</v>
      </c>
      <c r="EX123">
        <v>5.71</v>
      </c>
      <c r="EY123">
        <v>5.86</v>
      </c>
      <c r="EZ123">
        <v>5.91</v>
      </c>
      <c r="FA123">
        <v>5.91</v>
      </c>
      <c r="FB123">
        <v>5.91</v>
      </c>
      <c r="FC123">
        <v>5.95</v>
      </c>
      <c r="FD123">
        <v>5.98</v>
      </c>
      <c r="FE123">
        <v>6.16</v>
      </c>
      <c r="FF123">
        <v>6.4</v>
      </c>
      <c r="FG123">
        <v>6.66</v>
      </c>
      <c r="FH123">
        <v>6.91</v>
      </c>
      <c r="FI123">
        <v>7.09</v>
      </c>
      <c r="FJ123">
        <v>7.23</v>
      </c>
      <c r="FK123">
        <v>7.38</v>
      </c>
      <c r="FL123">
        <v>7.67</v>
      </c>
      <c r="FM123">
        <v>7.98</v>
      </c>
      <c r="FN123">
        <v>8.0500000000000007</v>
      </c>
      <c r="FO123">
        <v>8.3800000000000008</v>
      </c>
      <c r="FP123">
        <v>8.61</v>
      </c>
      <c r="FQ123">
        <v>8.81</v>
      </c>
      <c r="FR123">
        <v>9</v>
      </c>
      <c r="FS123">
        <v>9.3000000000000007</v>
      </c>
      <c r="FT123">
        <v>9.6</v>
      </c>
      <c r="FU123">
        <v>9.93</v>
      </c>
      <c r="FV123">
        <v>10.29</v>
      </c>
      <c r="FW123">
        <v>10.57</v>
      </c>
      <c r="FX123">
        <v>10.79</v>
      </c>
      <c r="FY123">
        <v>11.04</v>
      </c>
      <c r="FZ123">
        <v>11.24</v>
      </c>
      <c r="GA123">
        <v>11.71</v>
      </c>
      <c r="GB123">
        <v>12.19</v>
      </c>
      <c r="GC123">
        <v>12.68</v>
      </c>
      <c r="GD123">
        <v>13.06</v>
      </c>
      <c r="GE123">
        <v>13.48</v>
      </c>
      <c r="GF123">
        <v>13.87</v>
      </c>
      <c r="GG123">
        <v>14.49</v>
      </c>
      <c r="GH123">
        <v>15.15</v>
      </c>
      <c r="GI123">
        <v>15.78</v>
      </c>
      <c r="GJ123">
        <v>16.47</v>
      </c>
      <c r="GK123">
        <v>17.03</v>
      </c>
      <c r="GL123">
        <v>17.53</v>
      </c>
      <c r="GM123">
        <v>17.97</v>
      </c>
      <c r="GN123">
        <v>18.7</v>
      </c>
      <c r="GO123">
        <v>19.47</v>
      </c>
      <c r="GP123">
        <v>20.25</v>
      </c>
      <c r="GQ123">
        <v>21.08</v>
      </c>
      <c r="GR123">
        <v>21.75</v>
      </c>
      <c r="GS123">
        <v>22.33</v>
      </c>
      <c r="GT123">
        <v>22.85</v>
      </c>
      <c r="GU123">
        <v>23.46</v>
      </c>
      <c r="GV123">
        <v>24.18</v>
      </c>
      <c r="GW123">
        <v>24.98</v>
      </c>
      <c r="GX123">
        <v>26.13</v>
      </c>
      <c r="GY123">
        <v>26.87</v>
      </c>
      <c r="GZ123">
        <v>27.55</v>
      </c>
      <c r="HA123">
        <v>28.21</v>
      </c>
      <c r="HB123">
        <v>29.2</v>
      </c>
      <c r="HC123">
        <v>30.28</v>
      </c>
      <c r="HD123">
        <v>31.48</v>
      </c>
      <c r="HE123">
        <v>32.67</v>
      </c>
      <c r="HF123">
        <v>33.729999999999997</v>
      </c>
      <c r="HG123">
        <v>34.74</v>
      </c>
      <c r="HH123">
        <v>35.65</v>
      </c>
      <c r="HI123">
        <v>36.97</v>
      </c>
      <c r="HJ123">
        <v>38.299999999999997</v>
      </c>
      <c r="HK123">
        <v>39.68</v>
      </c>
      <c r="HL123">
        <v>41.12</v>
      </c>
      <c r="HM123">
        <v>42.39</v>
      </c>
      <c r="HN123">
        <v>43.59</v>
      </c>
      <c r="HO123">
        <v>44.67</v>
      </c>
      <c r="HP123">
        <v>46.01</v>
      </c>
      <c r="HQ123">
        <v>46.95</v>
      </c>
      <c r="HR123">
        <v>48.35</v>
      </c>
      <c r="HS123">
        <v>49.93</v>
      </c>
      <c r="HT123">
        <v>51.39</v>
      </c>
      <c r="HU123">
        <v>52.7</v>
      </c>
      <c r="HV123">
        <v>53.96</v>
      </c>
      <c r="HW123">
        <v>55.59</v>
      </c>
      <c r="HX123">
        <v>57.34</v>
      </c>
      <c r="HY123">
        <v>59.08</v>
      </c>
      <c r="HZ123">
        <v>60.83</v>
      </c>
      <c r="IA123">
        <v>62.41</v>
      </c>
      <c r="IB123">
        <v>64.02</v>
      </c>
      <c r="IC123">
        <v>66</v>
      </c>
      <c r="ID123">
        <v>67.48</v>
      </c>
      <c r="IE123">
        <v>68.989999999999995</v>
      </c>
      <c r="IF123">
        <v>70.53</v>
      </c>
      <c r="IG123">
        <v>72.13</v>
      </c>
      <c r="IH123">
        <v>73.52</v>
      </c>
      <c r="II123">
        <v>74.84</v>
      </c>
      <c r="IJ123">
        <v>76.069999999999993</v>
      </c>
      <c r="IK123">
        <v>77.53</v>
      </c>
      <c r="IL123">
        <v>78.66</v>
      </c>
      <c r="IM123">
        <v>80.209999999999994</v>
      </c>
      <c r="IN123">
        <v>81.84</v>
      </c>
      <c r="IO123">
        <v>83.27</v>
      </c>
      <c r="IP123">
        <v>84.64</v>
      </c>
      <c r="IQ123">
        <v>85.93</v>
      </c>
      <c r="IR123">
        <v>87.48</v>
      </c>
      <c r="IS123">
        <v>89.1</v>
      </c>
      <c r="IT123">
        <v>90.74</v>
      </c>
      <c r="IU123">
        <v>92.34</v>
      </c>
      <c r="IV123">
        <v>93.01</v>
      </c>
      <c r="IW123">
        <v>94.44</v>
      </c>
      <c r="IX123">
        <v>95.79</v>
      </c>
      <c r="IY123">
        <v>97</v>
      </c>
      <c r="IZ123">
        <v>98.28</v>
      </c>
      <c r="JA123">
        <v>99.57</v>
      </c>
      <c r="JB123">
        <v>100.82</v>
      </c>
      <c r="JC123">
        <v>101.87</v>
      </c>
      <c r="JD123">
        <v>102.89</v>
      </c>
      <c r="JE123">
        <v>104.13</v>
      </c>
      <c r="JF123">
        <v>105.23</v>
      </c>
      <c r="JG123">
        <v>106.03</v>
      </c>
      <c r="JH123">
        <v>107.24</v>
      </c>
      <c r="JI123">
        <v>108.37</v>
      </c>
      <c r="JJ123">
        <v>109.35</v>
      </c>
      <c r="JK123">
        <v>110.27</v>
      </c>
      <c r="JL123">
        <v>111.15</v>
      </c>
      <c r="JM123">
        <v>112.11</v>
      </c>
      <c r="JN123">
        <v>113.11</v>
      </c>
      <c r="JO123">
        <v>114.08</v>
      </c>
      <c r="JP123">
        <v>115.07</v>
      </c>
      <c r="JQ123">
        <v>115.94</v>
      </c>
      <c r="JR123">
        <v>116.73</v>
      </c>
      <c r="JS123">
        <v>118.27</v>
      </c>
      <c r="JT123">
        <v>118.96</v>
      </c>
      <c r="JU123">
        <v>119.7</v>
      </c>
      <c r="JV123">
        <v>120.46</v>
      </c>
      <c r="JW123">
        <v>121.08</v>
      </c>
      <c r="JX123">
        <v>121.81</v>
      </c>
      <c r="JY123">
        <v>122.52</v>
      </c>
      <c r="JZ123">
        <v>123.18</v>
      </c>
      <c r="KA123">
        <v>124.07</v>
      </c>
      <c r="KB123">
        <v>124.86</v>
      </c>
      <c r="KC123">
        <v>125.85</v>
      </c>
      <c r="KD123">
        <v>126.84</v>
      </c>
      <c r="KE123">
        <v>127.68</v>
      </c>
      <c r="KF123">
        <v>128.47</v>
      </c>
      <c r="KG123">
        <v>129.29</v>
      </c>
      <c r="KH123">
        <v>130.28</v>
      </c>
      <c r="KI123">
        <v>131.28</v>
      </c>
      <c r="KJ123">
        <v>132.31</v>
      </c>
      <c r="KK123">
        <v>133.32</v>
      </c>
      <c r="KL123">
        <v>134.04</v>
      </c>
      <c r="KM123">
        <v>134.69</v>
      </c>
      <c r="KN123">
        <v>135.32</v>
      </c>
      <c r="KO123">
        <v>135.99</v>
      </c>
      <c r="KP123">
        <v>136.68</v>
      </c>
      <c r="KQ123">
        <v>137.32</v>
      </c>
      <c r="KR123">
        <v>137.91999999999999</v>
      </c>
      <c r="KS123">
        <v>138.44999999999999</v>
      </c>
      <c r="KT123">
        <v>138.88</v>
      </c>
      <c r="KU123">
        <v>139.28</v>
      </c>
      <c r="KV123">
        <v>139.84</v>
      </c>
      <c r="KW123">
        <v>140.47999999999999</v>
      </c>
      <c r="KX123">
        <v>141.12</v>
      </c>
      <c r="KY123">
        <v>141.75</v>
      </c>
      <c r="KZ123">
        <v>142.28</v>
      </c>
      <c r="LA123">
        <v>142.66999999999999</v>
      </c>
      <c r="LB123">
        <v>145.96</v>
      </c>
      <c r="LC123">
        <v>146.59</v>
      </c>
      <c r="LD123">
        <v>147</v>
      </c>
      <c r="LE123">
        <v>147.78</v>
      </c>
      <c r="LF123">
        <v>148.5</v>
      </c>
      <c r="LG123">
        <v>148.97999999999999</v>
      </c>
      <c r="LH123">
        <v>149.33000000000001</v>
      </c>
      <c r="LI123">
        <v>149.71</v>
      </c>
      <c r="LJ123">
        <v>150.27000000000001</v>
      </c>
      <c r="LK123">
        <v>150.82</v>
      </c>
      <c r="LL123">
        <v>151.27000000000001</v>
      </c>
      <c r="LN123">
        <v>152.36000000000001</v>
      </c>
      <c r="LO123">
        <v>152.59</v>
      </c>
      <c r="LP123">
        <v>152.78</v>
      </c>
      <c r="LQ123">
        <v>153.11000000000001</v>
      </c>
      <c r="LR123">
        <v>153.47999999999999</v>
      </c>
      <c r="LS123">
        <v>153.83000000000001</v>
      </c>
      <c r="LT123">
        <v>153.96</v>
      </c>
      <c r="LW123">
        <v>153.19999999999999</v>
      </c>
      <c r="LX123">
        <v>153.58000000000001</v>
      </c>
      <c r="LY123">
        <v>153.96</v>
      </c>
      <c r="LZ123">
        <v>154.41999999999999</v>
      </c>
      <c r="MA123">
        <v>154.85</v>
      </c>
      <c r="MB123">
        <v>155.22999999999999</v>
      </c>
      <c r="MC123">
        <v>155.4</v>
      </c>
      <c r="MD123">
        <v>155.57</v>
      </c>
      <c r="ME123">
        <v>155.93</v>
      </c>
      <c r="MF123">
        <v>156.32</v>
      </c>
      <c r="MG123">
        <v>156.71</v>
      </c>
      <c r="MH123">
        <v>157.09</v>
      </c>
      <c r="MI123">
        <v>157.44</v>
      </c>
      <c r="MK123">
        <v>157.71</v>
      </c>
      <c r="ML123">
        <v>158.13999999999999</v>
      </c>
      <c r="MM123">
        <v>158.56</v>
      </c>
      <c r="MN123">
        <v>159.01</v>
      </c>
      <c r="MO123">
        <v>159.46</v>
      </c>
      <c r="MP123">
        <v>159.83000000000001</v>
      </c>
      <c r="MQ123">
        <v>162.03</v>
      </c>
      <c r="MT123">
        <v>163.04</v>
      </c>
      <c r="MV123">
        <v>163.97</v>
      </c>
      <c r="MW123">
        <v>164.37</v>
      </c>
      <c r="MZ123">
        <v>165.09</v>
      </c>
      <c r="NA123">
        <v>165.48</v>
      </c>
      <c r="NG123">
        <v>166.56</v>
      </c>
      <c r="NH123">
        <v>166.81</v>
      </c>
      <c r="NI123">
        <v>166.81</v>
      </c>
      <c r="NJ123">
        <v>167.25</v>
      </c>
      <c r="NK123">
        <v>168.03</v>
      </c>
      <c r="NL123">
        <v>168.03</v>
      </c>
      <c r="NM123">
        <v>168.67</v>
      </c>
      <c r="NN123">
        <v>169.25</v>
      </c>
      <c r="NO123">
        <v>169.78</v>
      </c>
      <c r="NP123">
        <v>170.33</v>
      </c>
      <c r="NQ123">
        <v>170.87</v>
      </c>
      <c r="NR123">
        <v>171.31</v>
      </c>
      <c r="NS123">
        <v>171.39</v>
      </c>
      <c r="NT123">
        <v>171.59</v>
      </c>
      <c r="NU123">
        <v>172.01</v>
      </c>
      <c r="NV123">
        <v>174.25</v>
      </c>
      <c r="NW123">
        <v>174.84</v>
      </c>
      <c r="NX123">
        <v>175.48</v>
      </c>
      <c r="NY123">
        <v>176.05</v>
      </c>
      <c r="NZ123">
        <v>176.18</v>
      </c>
      <c r="OA123">
        <v>176.47</v>
      </c>
      <c r="OB123">
        <v>177.13</v>
      </c>
      <c r="OC123">
        <v>177.88</v>
      </c>
      <c r="OD123">
        <v>178.65</v>
      </c>
      <c r="OE123">
        <v>179.44</v>
      </c>
      <c r="OF123">
        <v>180.11</v>
      </c>
      <c r="OG123">
        <v>180.5</v>
      </c>
      <c r="OH123">
        <v>180.86</v>
      </c>
      <c r="OI123">
        <v>181.57</v>
      </c>
      <c r="OJ123">
        <v>182.36</v>
      </c>
      <c r="OK123">
        <v>183.17</v>
      </c>
      <c r="OL123">
        <v>184.01</v>
      </c>
      <c r="OM123">
        <v>184.76</v>
      </c>
      <c r="ON123">
        <v>185.29</v>
      </c>
      <c r="OO123">
        <v>185.76</v>
      </c>
      <c r="OP123">
        <v>186.52</v>
      </c>
      <c r="OQ123">
        <v>186.95</v>
      </c>
      <c r="OR123">
        <v>187.76</v>
      </c>
      <c r="OS123">
        <v>188.49</v>
      </c>
      <c r="OT123">
        <v>189</v>
      </c>
      <c r="OU123">
        <v>189.5</v>
      </c>
      <c r="OV123">
        <v>189.93</v>
      </c>
      <c r="OW123">
        <v>190.57</v>
      </c>
      <c r="OX123">
        <v>191.24</v>
      </c>
      <c r="OY123">
        <v>191.88</v>
      </c>
      <c r="OZ123">
        <v>192.52</v>
      </c>
      <c r="PA123">
        <v>193.08</v>
      </c>
      <c r="PB123">
        <v>193.39</v>
      </c>
      <c r="PC123">
        <v>193.64</v>
      </c>
      <c r="PD123">
        <v>193.94</v>
      </c>
      <c r="PE123">
        <v>194.05</v>
      </c>
      <c r="PF123">
        <v>194.15</v>
      </c>
      <c r="PG123">
        <v>194.48</v>
      </c>
      <c r="PH123">
        <v>194.78</v>
      </c>
      <c r="PI123">
        <v>195</v>
      </c>
      <c r="PJ123">
        <v>195.22</v>
      </c>
      <c r="PK123">
        <v>195.6</v>
      </c>
      <c r="PL123">
        <v>196.07</v>
      </c>
      <c r="PM123">
        <v>196.59</v>
      </c>
      <c r="PN123">
        <v>197.13</v>
      </c>
      <c r="PO123">
        <v>197.63</v>
      </c>
      <c r="PP123">
        <v>198.08</v>
      </c>
      <c r="PQ123">
        <v>198.44</v>
      </c>
      <c r="PR123">
        <v>198.92</v>
      </c>
      <c r="PS123">
        <v>199.4</v>
      </c>
      <c r="PT123">
        <v>199.92</v>
      </c>
      <c r="PU123">
        <v>200.46</v>
      </c>
      <c r="PV123">
        <v>200.96</v>
      </c>
      <c r="PW123">
        <v>201.43</v>
      </c>
      <c r="PX123">
        <v>201.82</v>
      </c>
      <c r="PY123">
        <v>202.25</v>
      </c>
      <c r="PZ123">
        <v>202.73</v>
      </c>
      <c r="QA123">
        <v>203.16</v>
      </c>
      <c r="QB123">
        <v>203.6</v>
      </c>
      <c r="QC123">
        <v>204.01</v>
      </c>
      <c r="QD123">
        <v>204.38</v>
      </c>
      <c r="QE123">
        <v>204.69</v>
      </c>
      <c r="QF123">
        <v>205.06</v>
      </c>
      <c r="QG123">
        <v>205.37</v>
      </c>
      <c r="QH123">
        <v>205.7</v>
      </c>
      <c r="QI123">
        <v>205.99</v>
      </c>
      <c r="QJ123">
        <v>206.26</v>
      </c>
      <c r="QK123">
        <v>206.47</v>
      </c>
      <c r="QL123">
        <v>206.65</v>
      </c>
      <c r="QM123">
        <v>206.85</v>
      </c>
      <c r="QN123">
        <v>207.07</v>
      </c>
      <c r="QO123">
        <v>207.28</v>
      </c>
      <c r="QP123">
        <v>207.48</v>
      </c>
      <c r="QQ123">
        <v>207.67</v>
      </c>
      <c r="QR123">
        <v>207.81</v>
      </c>
      <c r="QS123">
        <v>207.96</v>
      </c>
      <c r="QT123">
        <v>208.12</v>
      </c>
      <c r="QU123">
        <v>208.32</v>
      </c>
      <c r="QV123">
        <v>208.48</v>
      </c>
      <c r="QW123">
        <v>208.62</v>
      </c>
      <c r="QX123">
        <v>208.75</v>
      </c>
      <c r="QY123">
        <v>208.86</v>
      </c>
      <c r="QZ123">
        <v>208.95</v>
      </c>
      <c r="RA123">
        <v>209.04</v>
      </c>
      <c r="RB123">
        <v>209.14</v>
      </c>
      <c r="RC123">
        <v>209.23</v>
      </c>
      <c r="RD123">
        <v>209.32</v>
      </c>
      <c r="RE123">
        <v>209.43</v>
      </c>
      <c r="RF123">
        <v>209.54</v>
      </c>
      <c r="RG123">
        <v>209.61</v>
      </c>
      <c r="RH123">
        <v>209.74</v>
      </c>
      <c r="RI123">
        <v>209.89</v>
      </c>
      <c r="RJ123">
        <v>210.06</v>
      </c>
      <c r="RK123">
        <v>210.24</v>
      </c>
      <c r="RL123">
        <v>210.49</v>
      </c>
      <c r="RM123">
        <v>210.57</v>
      </c>
      <c r="RN123">
        <v>210.65</v>
      </c>
      <c r="RO123">
        <v>210.73</v>
      </c>
      <c r="RP123">
        <v>210.83</v>
      </c>
      <c r="RQ123">
        <v>211.19</v>
      </c>
      <c r="RR123">
        <v>211.36</v>
      </c>
      <c r="RS123">
        <v>211.5</v>
      </c>
      <c r="RT123">
        <v>211.65</v>
      </c>
      <c r="RU123">
        <v>211.84</v>
      </c>
      <c r="RV123">
        <v>212.45</v>
      </c>
      <c r="RW123">
        <v>212.64</v>
      </c>
      <c r="RX123">
        <v>212.79</v>
      </c>
      <c r="RY123">
        <v>213</v>
      </c>
      <c r="RZ123">
        <v>213.18</v>
      </c>
      <c r="SA123">
        <v>213.39</v>
      </c>
      <c r="SB123">
        <v>213.61</v>
      </c>
      <c r="SC123">
        <v>213.81</v>
      </c>
      <c r="SD123">
        <v>213.93</v>
      </c>
      <c r="SE123">
        <v>214.07</v>
      </c>
      <c r="SF123">
        <v>214.17</v>
      </c>
      <c r="SG123">
        <v>214.28</v>
      </c>
      <c r="SH123">
        <v>214.41</v>
      </c>
      <c r="SI123">
        <v>214.53</v>
      </c>
      <c r="SJ123">
        <v>214.56</v>
      </c>
      <c r="SK123">
        <v>214.57</v>
      </c>
      <c r="SL123">
        <v>214.58</v>
      </c>
      <c r="SM123">
        <v>214.58</v>
      </c>
      <c r="SN123">
        <v>214.63</v>
      </c>
      <c r="SO123">
        <v>214.68</v>
      </c>
      <c r="SP123">
        <v>214.76</v>
      </c>
      <c r="SQ123">
        <v>214.84</v>
      </c>
      <c r="SR123">
        <v>214.93</v>
      </c>
      <c r="SS123">
        <v>215.03</v>
      </c>
      <c r="ST123">
        <v>215.14</v>
      </c>
      <c r="SU123">
        <v>215.25</v>
      </c>
      <c r="SV123">
        <v>215.43</v>
      </c>
      <c r="SW123">
        <v>215.57</v>
      </c>
      <c r="SX123">
        <v>215.64</v>
      </c>
      <c r="SY123">
        <v>215.67</v>
      </c>
      <c r="SZ123">
        <v>215.74</v>
      </c>
      <c r="TA123">
        <v>215.77</v>
      </c>
      <c r="TB123">
        <v>215.82</v>
      </c>
      <c r="TC123">
        <v>215.91</v>
      </c>
      <c r="TD123">
        <v>215.98</v>
      </c>
      <c r="TE123">
        <v>216.02</v>
      </c>
      <c r="TF123">
        <v>216.08</v>
      </c>
      <c r="TG123">
        <v>216.11</v>
      </c>
      <c r="TH123">
        <v>216.14</v>
      </c>
      <c r="TI123">
        <v>216.18</v>
      </c>
      <c r="TJ123">
        <v>216.25</v>
      </c>
      <c r="TK123">
        <v>216.31</v>
      </c>
      <c r="TL123">
        <v>216.34</v>
      </c>
      <c r="TM123">
        <v>216.4</v>
      </c>
      <c r="TN123">
        <v>216.44</v>
      </c>
      <c r="TO123">
        <v>216.46</v>
      </c>
      <c r="TP123">
        <v>216.52</v>
      </c>
      <c r="TQ123">
        <v>216.55</v>
      </c>
      <c r="TR123">
        <v>216.57</v>
      </c>
      <c r="TS123">
        <v>216.59</v>
      </c>
      <c r="TT123">
        <v>216.59</v>
      </c>
      <c r="TU123">
        <v>216.65</v>
      </c>
      <c r="TV123">
        <v>216.67</v>
      </c>
      <c r="TW123">
        <v>216.7</v>
      </c>
      <c r="TX123">
        <v>216.73</v>
      </c>
      <c r="TY123">
        <v>216.77</v>
      </c>
      <c r="TZ123">
        <v>216.79</v>
      </c>
      <c r="UA123">
        <v>216.82</v>
      </c>
      <c r="UB123">
        <v>216.87</v>
      </c>
      <c r="UC123">
        <v>216.9</v>
      </c>
      <c r="UD123">
        <v>216.93</v>
      </c>
      <c r="UE123">
        <v>216.98</v>
      </c>
      <c r="UF123">
        <v>217.03</v>
      </c>
      <c r="UG123">
        <v>217.09</v>
      </c>
      <c r="UH123">
        <v>217.12</v>
      </c>
      <c r="UI123">
        <v>217.14</v>
      </c>
      <c r="UJ123">
        <v>217.16</v>
      </c>
      <c r="UK123">
        <v>217.2</v>
      </c>
      <c r="UL123">
        <v>217.25</v>
      </c>
      <c r="UM123">
        <v>217.28</v>
      </c>
      <c r="UN123">
        <v>217.3</v>
      </c>
      <c r="UO123">
        <v>217.32</v>
      </c>
      <c r="UP123">
        <v>217.34</v>
      </c>
      <c r="UQ123">
        <v>217.35</v>
      </c>
      <c r="UR123">
        <v>217.38</v>
      </c>
      <c r="US123">
        <v>217.4</v>
      </c>
      <c r="UT123">
        <v>217.42</v>
      </c>
      <c r="UU123">
        <v>217.45</v>
      </c>
      <c r="UV123">
        <v>217.46</v>
      </c>
      <c r="UW123">
        <v>217.48</v>
      </c>
      <c r="UX123">
        <v>217.5</v>
      </c>
      <c r="UY123">
        <v>217.54</v>
      </c>
      <c r="VB123">
        <v>212.96</v>
      </c>
      <c r="VC123">
        <v>212.97</v>
      </c>
      <c r="VD123">
        <v>213.01</v>
      </c>
      <c r="VE123">
        <v>213.05</v>
      </c>
      <c r="VF123">
        <v>213.11</v>
      </c>
      <c r="VG123">
        <v>213.17</v>
      </c>
      <c r="VH123">
        <v>213.24</v>
      </c>
      <c r="VI123">
        <v>213.27</v>
      </c>
      <c r="VJ123">
        <v>213.32</v>
      </c>
      <c r="VK123">
        <v>213.36</v>
      </c>
      <c r="VL123">
        <v>213.43</v>
      </c>
      <c r="VM123">
        <v>213.49</v>
      </c>
      <c r="VN123">
        <v>213.55</v>
      </c>
      <c r="VO123">
        <v>213.61</v>
      </c>
      <c r="VP123">
        <v>213.64</v>
      </c>
      <c r="VQ123">
        <v>213.7</v>
      </c>
      <c r="VR123">
        <v>213.75</v>
      </c>
      <c r="VS123">
        <v>213.8</v>
      </c>
      <c r="VT123">
        <v>213.85</v>
      </c>
      <c r="VU123">
        <v>213.92</v>
      </c>
      <c r="VV123">
        <v>213.95</v>
      </c>
      <c r="VW123">
        <v>214.01</v>
      </c>
      <c r="VX123">
        <v>214.03</v>
      </c>
      <c r="VY123">
        <v>214.07</v>
      </c>
      <c r="VZ123">
        <v>214.1</v>
      </c>
      <c r="WA123">
        <v>214.14</v>
      </c>
      <c r="WB123">
        <v>214.17</v>
      </c>
      <c r="WC123">
        <v>214.18</v>
      </c>
      <c r="WD123">
        <v>214.2</v>
      </c>
      <c r="WE123">
        <v>214.22</v>
      </c>
      <c r="WF123">
        <v>214.25</v>
      </c>
      <c r="WG123">
        <v>214.27</v>
      </c>
      <c r="WH123">
        <v>214.3</v>
      </c>
      <c r="WI123">
        <v>214.33</v>
      </c>
      <c r="WJ123">
        <v>214.33</v>
      </c>
      <c r="WK123">
        <v>214.33</v>
      </c>
      <c r="WL123">
        <v>214.33</v>
      </c>
      <c r="WM123">
        <v>214.39</v>
      </c>
      <c r="WN123">
        <v>214.42</v>
      </c>
      <c r="WO123">
        <v>214.44</v>
      </c>
      <c r="WP123">
        <v>214.46</v>
      </c>
      <c r="WQ123">
        <v>214.47</v>
      </c>
      <c r="WR123">
        <v>214.49</v>
      </c>
      <c r="WS123">
        <v>214.5</v>
      </c>
      <c r="WT123">
        <v>214.52</v>
      </c>
      <c r="WU123">
        <v>214.54</v>
      </c>
      <c r="WV123">
        <v>214.56</v>
      </c>
      <c r="WW123">
        <v>214.57</v>
      </c>
      <c r="WX123">
        <v>214.58</v>
      </c>
      <c r="WY123">
        <v>214.59</v>
      </c>
      <c r="WZ123">
        <v>214.6</v>
      </c>
      <c r="XA123">
        <v>214.61</v>
      </c>
      <c r="XB123">
        <v>214.62</v>
      </c>
      <c r="XC123">
        <v>214.64</v>
      </c>
      <c r="XD123">
        <v>214.64</v>
      </c>
      <c r="XE123">
        <v>214.65</v>
      </c>
      <c r="XF123">
        <v>214.66</v>
      </c>
      <c r="XG123">
        <v>214.67</v>
      </c>
      <c r="XH123">
        <v>214.68</v>
      </c>
      <c r="XI123">
        <v>214.69</v>
      </c>
      <c r="XJ123">
        <v>214.71</v>
      </c>
      <c r="XK123">
        <v>214.71</v>
      </c>
      <c r="XL123">
        <v>214.72</v>
      </c>
      <c r="XM123">
        <v>214.72</v>
      </c>
      <c r="XN123">
        <v>214.73</v>
      </c>
      <c r="XO123">
        <v>214.74</v>
      </c>
      <c r="XP123">
        <v>214.75</v>
      </c>
      <c r="XQ123">
        <v>214.76</v>
      </c>
      <c r="XR123">
        <v>214.76</v>
      </c>
      <c r="XS123">
        <v>214.77</v>
      </c>
      <c r="XT123">
        <v>214.77</v>
      </c>
      <c r="XU123">
        <v>214.78</v>
      </c>
      <c r="XV123">
        <v>214.79</v>
      </c>
      <c r="XW123">
        <v>214.8</v>
      </c>
      <c r="XX123">
        <v>214.81</v>
      </c>
      <c r="XY123">
        <v>214.82</v>
      </c>
      <c r="XZ123">
        <v>214.82</v>
      </c>
      <c r="YA123">
        <v>214.83</v>
      </c>
      <c r="YB123">
        <v>214.83</v>
      </c>
      <c r="YC123">
        <v>214.84</v>
      </c>
      <c r="YD123">
        <v>214.85</v>
      </c>
      <c r="YE123">
        <v>214.86</v>
      </c>
      <c r="YF123">
        <v>214.86</v>
      </c>
      <c r="YG123">
        <v>214.87</v>
      </c>
      <c r="YH123">
        <v>214.87</v>
      </c>
      <c r="YI123">
        <v>214.88</v>
      </c>
      <c r="YJ123">
        <v>214.88</v>
      </c>
      <c r="YK123">
        <v>214.89</v>
      </c>
      <c r="YL123">
        <v>214.9</v>
      </c>
      <c r="YM123">
        <v>214.9</v>
      </c>
      <c r="YN123">
        <v>214.9</v>
      </c>
      <c r="YO123">
        <v>214.91</v>
      </c>
      <c r="YP123">
        <v>214.91</v>
      </c>
      <c r="YQ123">
        <v>214.92</v>
      </c>
      <c r="YR123">
        <v>214.92</v>
      </c>
      <c r="YS123">
        <v>214.93</v>
      </c>
      <c r="YT123">
        <v>214.93</v>
      </c>
      <c r="YU123">
        <v>214.93</v>
      </c>
      <c r="YV123">
        <v>214.94</v>
      </c>
      <c r="YW123">
        <v>214.94</v>
      </c>
      <c r="YX123">
        <v>214.95</v>
      </c>
      <c r="YY123">
        <v>214.95</v>
      </c>
      <c r="YZ123">
        <v>214.96</v>
      </c>
      <c r="ZA123">
        <v>214.96</v>
      </c>
      <c r="ZB123">
        <v>214.96</v>
      </c>
      <c r="ZC123">
        <v>214.97</v>
      </c>
      <c r="ZD123">
        <v>214.97</v>
      </c>
      <c r="ZE123">
        <v>212.67</v>
      </c>
      <c r="ZF123">
        <v>212.67</v>
      </c>
      <c r="ZG123">
        <v>212.68</v>
      </c>
      <c r="ZH123">
        <v>212.68</v>
      </c>
      <c r="ZJ123">
        <v>212.69</v>
      </c>
      <c r="ZL123">
        <v>212.7</v>
      </c>
      <c r="ZM123">
        <v>212.71</v>
      </c>
      <c r="ZN123">
        <v>212.72</v>
      </c>
      <c r="ZO123">
        <v>212.72</v>
      </c>
      <c r="ZP123">
        <v>212.73</v>
      </c>
      <c r="ZQ123">
        <v>212.73</v>
      </c>
      <c r="ZR123">
        <v>212.74</v>
      </c>
      <c r="ZS123">
        <v>212.76</v>
      </c>
      <c r="ZT123">
        <v>212.77</v>
      </c>
      <c r="ZU123">
        <v>212.79</v>
      </c>
      <c r="ZV123">
        <v>212.8</v>
      </c>
      <c r="ZW123">
        <v>212.8</v>
      </c>
      <c r="ZX123">
        <v>212.82</v>
      </c>
      <c r="ZY123">
        <v>212.83</v>
      </c>
      <c r="ZZ123">
        <v>212.84</v>
      </c>
      <c r="AAA123">
        <v>212.86</v>
      </c>
      <c r="AAB123">
        <v>212.87</v>
      </c>
      <c r="AAC123">
        <v>212.87</v>
      </c>
      <c r="AAD123">
        <v>212.88</v>
      </c>
      <c r="AAE123">
        <v>212.88</v>
      </c>
      <c r="AAF123">
        <v>212.89</v>
      </c>
      <c r="AAG123">
        <v>212.9</v>
      </c>
      <c r="AAH123">
        <v>212.91</v>
      </c>
      <c r="AAI123">
        <v>212.93</v>
      </c>
      <c r="AAJ123">
        <v>212.93</v>
      </c>
      <c r="AAK123">
        <v>212.94</v>
      </c>
      <c r="AAL123">
        <v>212.94</v>
      </c>
      <c r="AAM123">
        <v>212.95</v>
      </c>
      <c r="AAN123">
        <v>212.96</v>
      </c>
      <c r="AAO123">
        <v>212.97</v>
      </c>
      <c r="AAP123">
        <v>212.98</v>
      </c>
      <c r="AAQ123">
        <v>212.99</v>
      </c>
      <c r="AAR123">
        <v>212.99</v>
      </c>
      <c r="AAS123">
        <v>213</v>
      </c>
      <c r="AAT123">
        <v>213.01</v>
      </c>
      <c r="AAU123">
        <v>213.02</v>
      </c>
      <c r="AAV123">
        <v>213.03</v>
      </c>
      <c r="AAW123">
        <v>213.04</v>
      </c>
      <c r="AAX123">
        <v>213.05</v>
      </c>
      <c r="AAY123">
        <v>213.05</v>
      </c>
      <c r="AAZ123">
        <v>213.06</v>
      </c>
      <c r="ABA123">
        <v>213.06</v>
      </c>
      <c r="ABB123">
        <v>213.07</v>
      </c>
      <c r="ABC123">
        <v>213.08</v>
      </c>
      <c r="ABD123">
        <v>213.09</v>
      </c>
      <c r="ABE123">
        <v>213.09</v>
      </c>
      <c r="ABF123">
        <v>213.09</v>
      </c>
      <c r="ABG123">
        <v>213.11</v>
      </c>
      <c r="ABH123">
        <v>213.11</v>
      </c>
      <c r="ABI123">
        <v>213.12</v>
      </c>
      <c r="ABJ123">
        <v>213.12</v>
      </c>
      <c r="ABK123">
        <v>213.13</v>
      </c>
      <c r="ABL123">
        <v>213.13</v>
      </c>
      <c r="ABM123">
        <v>213.13</v>
      </c>
      <c r="ABN123">
        <v>213.14</v>
      </c>
      <c r="ABO123">
        <v>213.14</v>
      </c>
      <c r="ABP123">
        <v>213.15</v>
      </c>
      <c r="ABQ123">
        <v>213.16</v>
      </c>
      <c r="ABR123">
        <v>213.17</v>
      </c>
      <c r="ABS123">
        <v>213.17</v>
      </c>
      <c r="ABT123">
        <v>213.19</v>
      </c>
      <c r="ABU123">
        <v>213.19</v>
      </c>
      <c r="ABV123">
        <v>213.21</v>
      </c>
      <c r="ABW123">
        <v>213.22</v>
      </c>
      <c r="ABX123">
        <v>213.25</v>
      </c>
      <c r="ABY123">
        <v>213.27</v>
      </c>
      <c r="ABZ123">
        <v>213.28</v>
      </c>
      <c r="ACA123">
        <v>213.29</v>
      </c>
      <c r="ACB123">
        <v>213.32</v>
      </c>
      <c r="ACC123">
        <v>213.35</v>
      </c>
      <c r="ACD123">
        <v>213.38</v>
      </c>
      <c r="ACE123">
        <v>213.41</v>
      </c>
      <c r="ACF123">
        <v>213.45</v>
      </c>
      <c r="ACG123">
        <v>213.47</v>
      </c>
      <c r="ACH123">
        <v>213.48</v>
      </c>
      <c r="ACI123">
        <v>213.51</v>
      </c>
      <c r="ACJ123">
        <v>213.53</v>
      </c>
      <c r="ACK123">
        <v>213.55</v>
      </c>
      <c r="ACL123">
        <v>213.58</v>
      </c>
      <c r="ACM123">
        <v>213.61</v>
      </c>
      <c r="ACN123">
        <v>213.62</v>
      </c>
      <c r="ACO123">
        <v>213.62</v>
      </c>
      <c r="ACP123">
        <v>213.63</v>
      </c>
      <c r="ACQ123">
        <v>213.64</v>
      </c>
      <c r="ACR123">
        <v>213.65</v>
      </c>
      <c r="ACS123">
        <v>213.67</v>
      </c>
      <c r="ACT123">
        <v>213.69</v>
      </c>
      <c r="ACU123">
        <v>213.69</v>
      </c>
      <c r="ACV123">
        <v>213.7</v>
      </c>
      <c r="ACW123">
        <v>213.71</v>
      </c>
      <c r="ACX123">
        <v>213.72</v>
      </c>
      <c r="ACY123">
        <v>213.73</v>
      </c>
      <c r="ACZ123">
        <v>213.74</v>
      </c>
      <c r="ADA123">
        <v>213.74</v>
      </c>
      <c r="ADB123">
        <v>213.75</v>
      </c>
      <c r="ADC123">
        <v>213.75</v>
      </c>
      <c r="ADD123">
        <v>213.76</v>
      </c>
      <c r="ADE123">
        <v>213.77</v>
      </c>
      <c r="ADF123">
        <v>213.77</v>
      </c>
      <c r="ADG123">
        <v>213.78</v>
      </c>
      <c r="ADH123">
        <v>213.78</v>
      </c>
      <c r="ADI123">
        <v>213.79</v>
      </c>
      <c r="ADJ123">
        <v>213.79</v>
      </c>
      <c r="ADK123">
        <v>213.79</v>
      </c>
      <c r="ADL123">
        <v>213.8</v>
      </c>
      <c r="ADM123">
        <v>213.8</v>
      </c>
      <c r="ADN123">
        <v>213.81</v>
      </c>
      <c r="ADO123">
        <v>213.81</v>
      </c>
      <c r="ADP123">
        <v>213.82</v>
      </c>
      <c r="ADQ123">
        <v>213.82</v>
      </c>
      <c r="ADR123">
        <v>213.83</v>
      </c>
      <c r="ADS123">
        <v>213.83</v>
      </c>
      <c r="ADT123">
        <v>213.83</v>
      </c>
      <c r="ADU123">
        <v>213.84</v>
      </c>
      <c r="ADV123">
        <v>213.84</v>
      </c>
      <c r="ADW123">
        <v>213.84</v>
      </c>
      <c r="ADX123">
        <v>213.85</v>
      </c>
      <c r="ADY123">
        <v>213.85</v>
      </c>
      <c r="ADZ123">
        <v>213.85</v>
      </c>
      <c r="AEA123">
        <v>213.86</v>
      </c>
      <c r="AEB123">
        <v>213.86</v>
      </c>
      <c r="AEC123">
        <v>213.86</v>
      </c>
      <c r="AED123">
        <v>213.86</v>
      </c>
      <c r="AEE123">
        <v>213.87</v>
      </c>
      <c r="AEF123">
        <v>213.87</v>
      </c>
    </row>
    <row r="124" spans="1:812">
      <c r="A124" s="1" t="s">
        <v>129</v>
      </c>
      <c r="B124" t="s">
        <v>275</v>
      </c>
      <c r="BE124">
        <v>0.16</v>
      </c>
      <c r="BF124">
        <v>0.28999999999999998</v>
      </c>
      <c r="BG124">
        <v>0.59</v>
      </c>
      <c r="BH124">
        <v>0.79</v>
      </c>
      <c r="BI124">
        <v>1.27</v>
      </c>
      <c r="BJ124">
        <v>1.8</v>
      </c>
      <c r="BK124">
        <v>2.39</v>
      </c>
      <c r="BL124">
        <v>3.01</v>
      </c>
      <c r="BM124">
        <v>3.73</v>
      </c>
      <c r="BN124">
        <v>4.6900000000000004</v>
      </c>
      <c r="BO124">
        <v>5.0599999999999996</v>
      </c>
      <c r="BP124">
        <v>6.12</v>
      </c>
      <c r="BQ124">
        <v>7.14</v>
      </c>
      <c r="BR124">
        <v>8.11</v>
      </c>
      <c r="BS124">
        <v>9.26</v>
      </c>
      <c r="BT124">
        <v>10.4</v>
      </c>
      <c r="BU124">
        <v>11.85</v>
      </c>
      <c r="BV124">
        <v>11.85</v>
      </c>
      <c r="BW124">
        <v>12.95</v>
      </c>
      <c r="BX124">
        <v>13.88</v>
      </c>
      <c r="BY124">
        <v>14.83</v>
      </c>
      <c r="BZ124">
        <v>15.75</v>
      </c>
      <c r="CA124">
        <v>16.809999999999999</v>
      </c>
      <c r="CB124">
        <v>18.190000000000001</v>
      </c>
      <c r="CC124">
        <v>18.39</v>
      </c>
      <c r="CD124">
        <v>19.52</v>
      </c>
      <c r="CE124">
        <v>20.61</v>
      </c>
      <c r="CF124">
        <v>21.67</v>
      </c>
      <c r="CG124">
        <v>22.88</v>
      </c>
      <c r="CH124">
        <v>23.94</v>
      </c>
      <c r="CI124">
        <v>25.37</v>
      </c>
      <c r="CJ124">
        <v>25.68</v>
      </c>
      <c r="CK124">
        <v>26.97</v>
      </c>
      <c r="CL124">
        <v>28.05</v>
      </c>
      <c r="CM124">
        <v>29.2</v>
      </c>
      <c r="CN124">
        <v>30.65</v>
      </c>
      <c r="CO124">
        <v>32.46</v>
      </c>
      <c r="CP124">
        <v>34.58</v>
      </c>
      <c r="CQ124">
        <v>34.86</v>
      </c>
      <c r="CR124">
        <v>36.67</v>
      </c>
      <c r="CS124">
        <v>38.130000000000003</v>
      </c>
      <c r="CT124">
        <v>39.35</v>
      </c>
      <c r="CU124">
        <v>39.68</v>
      </c>
      <c r="CV124">
        <v>39.93</v>
      </c>
      <c r="CW124">
        <v>40.26</v>
      </c>
      <c r="CX124">
        <v>40.340000000000003</v>
      </c>
      <c r="CY124">
        <v>40.450000000000003</v>
      </c>
      <c r="CZ124">
        <v>40.5</v>
      </c>
      <c r="DA124">
        <v>40.840000000000003</v>
      </c>
      <c r="DB124">
        <v>41.25</v>
      </c>
      <c r="DC124">
        <v>41.62</v>
      </c>
      <c r="DD124">
        <v>42.07</v>
      </c>
      <c r="DE124">
        <v>42.12</v>
      </c>
      <c r="DF124">
        <v>42.57</v>
      </c>
      <c r="DG124">
        <v>42.95</v>
      </c>
      <c r="DH124">
        <v>43.27</v>
      </c>
      <c r="DI124">
        <v>43.6</v>
      </c>
      <c r="DJ124">
        <v>43.98</v>
      </c>
      <c r="DK124">
        <v>44.54</v>
      </c>
      <c r="DL124">
        <v>44.61</v>
      </c>
      <c r="DM124">
        <v>45.41</v>
      </c>
      <c r="DN124">
        <v>46.37</v>
      </c>
      <c r="DO124">
        <v>47.52</v>
      </c>
      <c r="DP124">
        <v>48.81</v>
      </c>
      <c r="DQ124">
        <v>50.11</v>
      </c>
      <c r="DR124">
        <v>51.83</v>
      </c>
      <c r="DS124">
        <v>52.34</v>
      </c>
      <c r="DT124">
        <v>52.49</v>
      </c>
      <c r="DV124">
        <v>55.32</v>
      </c>
      <c r="DX124">
        <v>56.19</v>
      </c>
      <c r="DY124">
        <v>57.73</v>
      </c>
      <c r="DZ124">
        <v>57.97</v>
      </c>
      <c r="EA124">
        <v>59.11</v>
      </c>
      <c r="EB124">
        <v>60.62</v>
      </c>
      <c r="EC124">
        <v>62.03</v>
      </c>
      <c r="ED124">
        <v>63.34</v>
      </c>
      <c r="EE124">
        <v>64.7</v>
      </c>
      <c r="EF124">
        <v>66.36</v>
      </c>
      <c r="EG124">
        <v>66.78</v>
      </c>
      <c r="EH124">
        <v>68.11</v>
      </c>
      <c r="EI124">
        <v>69.42</v>
      </c>
      <c r="EJ124">
        <v>70.680000000000007</v>
      </c>
      <c r="EK124">
        <v>71.569999999999993</v>
      </c>
      <c r="EL124">
        <v>72.63</v>
      </c>
      <c r="EM124">
        <v>73.61</v>
      </c>
      <c r="EO124">
        <v>73.92</v>
      </c>
      <c r="EP124">
        <v>75.13</v>
      </c>
      <c r="EQ124">
        <v>76.34</v>
      </c>
      <c r="ER124">
        <v>77.5</v>
      </c>
      <c r="ES124">
        <v>78.400000000000006</v>
      </c>
      <c r="ET124">
        <v>79.040000000000006</v>
      </c>
      <c r="EU124">
        <v>79.33</v>
      </c>
      <c r="EV124">
        <v>79.88</v>
      </c>
      <c r="EW124">
        <v>80.52</v>
      </c>
      <c r="EX124">
        <v>81.010000000000005</v>
      </c>
      <c r="EY124">
        <v>81.58</v>
      </c>
      <c r="EZ124">
        <v>81.87</v>
      </c>
      <c r="FA124">
        <v>81.99</v>
      </c>
      <c r="FB124">
        <v>82.13</v>
      </c>
      <c r="FC124">
        <v>82.49</v>
      </c>
      <c r="FD124">
        <v>83.01</v>
      </c>
      <c r="FE124">
        <v>83.55</v>
      </c>
      <c r="FF124">
        <v>83.96</v>
      </c>
      <c r="FG124">
        <v>84.35</v>
      </c>
      <c r="FI124">
        <v>84.98</v>
      </c>
      <c r="FJ124">
        <v>85.44</v>
      </c>
      <c r="FK124">
        <v>85.93</v>
      </c>
      <c r="FL124">
        <v>86.35</v>
      </c>
      <c r="FM124">
        <v>86.84</v>
      </c>
      <c r="FN124">
        <v>87.1</v>
      </c>
      <c r="FO124">
        <v>87.45</v>
      </c>
      <c r="FP124">
        <v>87.51</v>
      </c>
      <c r="FQ124">
        <v>87.81</v>
      </c>
      <c r="FR124">
        <v>88.12</v>
      </c>
      <c r="FS124">
        <v>88.41</v>
      </c>
      <c r="FT124">
        <v>88.67</v>
      </c>
      <c r="FU124">
        <v>88.97</v>
      </c>
      <c r="FV124">
        <v>89.23</v>
      </c>
      <c r="FW124">
        <v>89.29</v>
      </c>
      <c r="FX124">
        <v>89.54</v>
      </c>
      <c r="FY124">
        <v>89.8</v>
      </c>
      <c r="FZ124">
        <v>90.06</v>
      </c>
      <c r="GA124">
        <v>90.32</v>
      </c>
      <c r="GB124">
        <v>90.54</v>
      </c>
      <c r="GC124">
        <v>90.73</v>
      </c>
      <c r="GE124">
        <v>90.99</v>
      </c>
      <c r="GF124">
        <v>91.15</v>
      </c>
      <c r="GG124">
        <v>91.32</v>
      </c>
      <c r="GH124">
        <v>91.54</v>
      </c>
      <c r="GI124">
        <v>91.74</v>
      </c>
      <c r="GJ124">
        <v>91.88</v>
      </c>
      <c r="GL124">
        <v>92.11</v>
      </c>
      <c r="GM124">
        <v>92.25</v>
      </c>
      <c r="GN124">
        <v>92.43</v>
      </c>
      <c r="GO124">
        <v>92.59</v>
      </c>
      <c r="GP124">
        <v>92.78</v>
      </c>
      <c r="GQ124">
        <v>92.97</v>
      </c>
      <c r="GR124">
        <v>93.03</v>
      </c>
      <c r="GS124">
        <v>93.24</v>
      </c>
      <c r="GT124">
        <v>93.48</v>
      </c>
      <c r="GU124">
        <v>93.65</v>
      </c>
      <c r="GV124">
        <v>93.81</v>
      </c>
      <c r="GW124">
        <v>93.93</v>
      </c>
      <c r="GX124">
        <v>94.1</v>
      </c>
      <c r="GY124">
        <v>94.16</v>
      </c>
      <c r="GZ124">
        <v>94.28</v>
      </c>
      <c r="HA124">
        <v>94.76</v>
      </c>
      <c r="HB124">
        <v>95.71</v>
      </c>
      <c r="HC124">
        <v>96.94</v>
      </c>
      <c r="HD124">
        <v>98.22</v>
      </c>
      <c r="HE124">
        <v>99.49</v>
      </c>
      <c r="HF124">
        <v>99.73</v>
      </c>
      <c r="HH124">
        <v>102.56</v>
      </c>
      <c r="HI124">
        <v>103.92</v>
      </c>
      <c r="HJ124">
        <v>104.81</v>
      </c>
      <c r="HK124">
        <v>105.69</v>
      </c>
      <c r="HL124">
        <v>106.51</v>
      </c>
      <c r="HM124">
        <v>106.64</v>
      </c>
      <c r="HN124">
        <v>107.17</v>
      </c>
      <c r="HP124">
        <v>107.42</v>
      </c>
      <c r="HR124">
        <v>107.54</v>
      </c>
      <c r="HS124">
        <v>107.62</v>
      </c>
      <c r="HT124">
        <v>107.68</v>
      </c>
      <c r="HU124">
        <v>107.73</v>
      </c>
      <c r="HW124">
        <v>107.86</v>
      </c>
      <c r="HX124">
        <v>107.98</v>
      </c>
      <c r="HY124">
        <v>108.16</v>
      </c>
      <c r="IA124">
        <v>108.53</v>
      </c>
      <c r="IB124">
        <v>109.33</v>
      </c>
      <c r="IC124">
        <v>110.1</v>
      </c>
      <c r="ID124">
        <v>111</v>
      </c>
      <c r="IE124">
        <v>111.89</v>
      </c>
      <c r="IF124">
        <v>112.47</v>
      </c>
      <c r="IH124">
        <v>113.23</v>
      </c>
      <c r="II124">
        <v>113.74</v>
      </c>
      <c r="IJ124">
        <v>114.25</v>
      </c>
      <c r="IK124">
        <v>114.78</v>
      </c>
      <c r="IL124">
        <v>116.87</v>
      </c>
      <c r="IM124">
        <v>117.27</v>
      </c>
      <c r="IN124">
        <v>117.77</v>
      </c>
      <c r="IO124">
        <v>117.87</v>
      </c>
      <c r="IP124">
        <v>118.2</v>
      </c>
      <c r="IQ124">
        <v>119.33</v>
      </c>
      <c r="IR124">
        <v>120.38</v>
      </c>
      <c r="IS124">
        <v>120.97</v>
      </c>
      <c r="IT124">
        <v>121.58</v>
      </c>
      <c r="IU124">
        <v>122.54</v>
      </c>
      <c r="IV124">
        <v>122.01</v>
      </c>
      <c r="IW124">
        <v>122.74</v>
      </c>
      <c r="IX124">
        <v>123.68</v>
      </c>
      <c r="IY124">
        <v>124.48</v>
      </c>
      <c r="IZ124">
        <v>125.05</v>
      </c>
      <c r="JA124">
        <v>125.28</v>
      </c>
      <c r="JB124">
        <v>125.61</v>
      </c>
      <c r="JE124">
        <v>126</v>
      </c>
      <c r="JG124">
        <v>126.37</v>
      </c>
      <c r="JM124">
        <v>127.31</v>
      </c>
      <c r="JN124">
        <v>127.83</v>
      </c>
      <c r="JQ124">
        <v>129.38</v>
      </c>
      <c r="JT124">
        <v>131.19999999999999</v>
      </c>
      <c r="JU124">
        <v>131.71</v>
      </c>
      <c r="JW124">
        <v>132.57</v>
      </c>
      <c r="KA124">
        <v>133.12</v>
      </c>
      <c r="KB124">
        <v>133.36000000000001</v>
      </c>
      <c r="KD124">
        <v>133.69</v>
      </c>
      <c r="KE124">
        <v>133.71</v>
      </c>
      <c r="KF124">
        <v>133.86000000000001</v>
      </c>
      <c r="PW124">
        <v>163.19999999999999</v>
      </c>
      <c r="QK124">
        <v>166.77</v>
      </c>
      <c r="QO124">
        <v>167.45</v>
      </c>
      <c r="ABG124">
        <v>181.64</v>
      </c>
      <c r="ADJ124">
        <v>181.66</v>
      </c>
    </row>
    <row r="125" spans="1:812">
      <c r="A125" s="1" t="s">
        <v>142</v>
      </c>
      <c r="B125" t="s">
        <v>142</v>
      </c>
      <c r="DI125">
        <v>0</v>
      </c>
      <c r="DL125">
        <v>0</v>
      </c>
      <c r="DV125">
        <v>0.13</v>
      </c>
      <c r="EI125">
        <v>0.25</v>
      </c>
      <c r="FB125">
        <v>0.42</v>
      </c>
      <c r="FI125">
        <v>0.43</v>
      </c>
      <c r="FN125">
        <v>0.54</v>
      </c>
      <c r="FS125">
        <v>0.63</v>
      </c>
      <c r="GA125">
        <v>0.75</v>
      </c>
      <c r="GC125">
        <v>0.78</v>
      </c>
      <c r="GG125">
        <v>0.81</v>
      </c>
      <c r="GM125">
        <v>0.87</v>
      </c>
      <c r="GQ125">
        <v>0.89</v>
      </c>
      <c r="HB125">
        <v>0.94</v>
      </c>
      <c r="HI125">
        <v>0.97</v>
      </c>
      <c r="IE125">
        <v>1.02</v>
      </c>
      <c r="IK125">
        <v>1.28</v>
      </c>
      <c r="JH125">
        <v>1.52</v>
      </c>
      <c r="JM125">
        <v>1.65</v>
      </c>
      <c r="JT125">
        <v>1.78</v>
      </c>
      <c r="KA125">
        <v>1.9</v>
      </c>
      <c r="KC125">
        <v>1.91</v>
      </c>
      <c r="KH125">
        <v>1.94</v>
      </c>
      <c r="LL125">
        <v>2.81</v>
      </c>
      <c r="NB125">
        <v>4.62</v>
      </c>
      <c r="NJ125">
        <v>4.75</v>
      </c>
      <c r="NN125">
        <v>4.83</v>
      </c>
      <c r="NQ125">
        <v>4.96</v>
      </c>
      <c r="NV125">
        <v>5.07</v>
      </c>
      <c r="OD125">
        <v>5.74</v>
      </c>
      <c r="PY125">
        <v>7.61</v>
      </c>
      <c r="QX125">
        <v>8.6999999999999993</v>
      </c>
    </row>
    <row r="126" spans="1:812">
      <c r="A126" s="1" t="s">
        <v>174</v>
      </c>
      <c r="B126" t="s">
        <v>174</v>
      </c>
      <c r="AO126">
        <v>2.65</v>
      </c>
      <c r="AP126">
        <v>2.94</v>
      </c>
      <c r="AQ126">
        <v>3.23</v>
      </c>
      <c r="AR126">
        <v>3.47</v>
      </c>
      <c r="AS126">
        <v>3.74</v>
      </c>
      <c r="AT126">
        <v>4.0199999999999996</v>
      </c>
      <c r="AU126">
        <v>4.29</v>
      </c>
      <c r="AV126">
        <v>4.53</v>
      </c>
      <c r="AW126">
        <v>4.8</v>
      </c>
      <c r="AX126">
        <v>5.07</v>
      </c>
      <c r="AY126">
        <v>5.33</v>
      </c>
      <c r="AZ126">
        <v>5.59</v>
      </c>
      <c r="BA126">
        <v>5.85</v>
      </c>
      <c r="BB126">
        <v>6.08</v>
      </c>
      <c r="BC126">
        <v>6.29</v>
      </c>
      <c r="BD126">
        <v>6.57</v>
      </c>
      <c r="BE126">
        <v>6.85</v>
      </c>
      <c r="BF126">
        <v>7.16</v>
      </c>
      <c r="BG126">
        <v>7.58</v>
      </c>
      <c r="BH126">
        <v>8.08</v>
      </c>
      <c r="BI126">
        <v>8.51</v>
      </c>
      <c r="BJ126">
        <v>8.89</v>
      </c>
      <c r="BK126">
        <v>9.35</v>
      </c>
      <c r="BL126">
        <v>9.81</v>
      </c>
      <c r="BM126">
        <v>10.1</v>
      </c>
      <c r="BN126">
        <v>10.5</v>
      </c>
      <c r="BO126">
        <v>10.98</v>
      </c>
      <c r="BP126">
        <v>11.36</v>
      </c>
      <c r="BQ126">
        <v>11.7</v>
      </c>
      <c r="BR126">
        <v>12.15</v>
      </c>
      <c r="BS126">
        <v>12.62</v>
      </c>
      <c r="BT126">
        <v>13.06</v>
      </c>
      <c r="BU126">
        <v>13.52</v>
      </c>
      <c r="BV126">
        <v>14.06</v>
      </c>
      <c r="BW126">
        <v>14.34</v>
      </c>
      <c r="BX126">
        <v>14.59</v>
      </c>
      <c r="BY126">
        <v>15.02</v>
      </c>
      <c r="BZ126">
        <v>15.58</v>
      </c>
      <c r="CA126">
        <v>16.21</v>
      </c>
      <c r="CB126">
        <v>16.68</v>
      </c>
      <c r="CC126">
        <v>17.25</v>
      </c>
      <c r="CD126">
        <v>17.66</v>
      </c>
      <c r="CE126">
        <v>18.03</v>
      </c>
      <c r="CF126">
        <v>18.54</v>
      </c>
      <c r="CG126">
        <v>19.05</v>
      </c>
      <c r="CH126">
        <v>19.670000000000002</v>
      </c>
      <c r="CI126">
        <v>20.37</v>
      </c>
      <c r="CJ126">
        <v>21.02</v>
      </c>
      <c r="CK126">
        <v>21.72</v>
      </c>
      <c r="CL126">
        <v>22.16</v>
      </c>
      <c r="CM126">
        <v>23.05</v>
      </c>
      <c r="CN126">
        <v>23.87</v>
      </c>
      <c r="CO126">
        <v>24.68</v>
      </c>
      <c r="CP126">
        <v>25.65</v>
      </c>
      <c r="CQ126">
        <v>26.53</v>
      </c>
      <c r="CR126">
        <v>27.19</v>
      </c>
      <c r="CS126">
        <v>27.71</v>
      </c>
      <c r="CT126">
        <v>28.6</v>
      </c>
      <c r="CU126">
        <v>29.64</v>
      </c>
      <c r="CV126">
        <v>30.32</v>
      </c>
      <c r="CW126">
        <v>31.31</v>
      </c>
      <c r="CX126">
        <v>31.78</v>
      </c>
      <c r="CY126">
        <v>32.42</v>
      </c>
      <c r="CZ126">
        <v>33.049999999999997</v>
      </c>
      <c r="DA126">
        <v>34.18</v>
      </c>
      <c r="DB126">
        <v>35.26</v>
      </c>
      <c r="DC126">
        <v>36.299999999999997</v>
      </c>
      <c r="DD126">
        <v>37.619999999999997</v>
      </c>
      <c r="DE126">
        <v>38.93</v>
      </c>
      <c r="DF126">
        <v>40</v>
      </c>
      <c r="DG126">
        <v>40.9</v>
      </c>
      <c r="DH126">
        <v>42.15</v>
      </c>
      <c r="DI126">
        <v>43.42</v>
      </c>
      <c r="DJ126">
        <v>44.7</v>
      </c>
      <c r="DK126">
        <v>46.1</v>
      </c>
      <c r="DL126">
        <v>47.35</v>
      </c>
      <c r="DM126">
        <v>48.12</v>
      </c>
      <c r="DN126">
        <v>48.85</v>
      </c>
      <c r="DO126">
        <v>49.64</v>
      </c>
      <c r="DP126">
        <v>50.51</v>
      </c>
      <c r="DQ126">
        <v>51.55</v>
      </c>
      <c r="DR126">
        <v>52.62</v>
      </c>
      <c r="DS126">
        <v>53.86</v>
      </c>
      <c r="DT126">
        <v>54.58</v>
      </c>
      <c r="DU126">
        <v>55.42</v>
      </c>
      <c r="DV126">
        <v>56.48</v>
      </c>
      <c r="DW126">
        <v>57.73</v>
      </c>
      <c r="DX126">
        <v>58.72</v>
      </c>
      <c r="DY126">
        <v>59.94</v>
      </c>
      <c r="DZ126">
        <v>61.1</v>
      </c>
      <c r="EA126">
        <v>62.2</v>
      </c>
      <c r="EB126">
        <v>62.63</v>
      </c>
      <c r="EC126">
        <v>64.06</v>
      </c>
      <c r="ED126">
        <v>65.41</v>
      </c>
      <c r="EE126">
        <v>66.94</v>
      </c>
      <c r="EF126">
        <v>68.31</v>
      </c>
      <c r="EG126">
        <v>69.67</v>
      </c>
      <c r="EH126">
        <v>70.56</v>
      </c>
      <c r="EI126">
        <v>70.95</v>
      </c>
      <c r="EJ126">
        <v>72.180000000000007</v>
      </c>
      <c r="EK126">
        <v>73.23</v>
      </c>
      <c r="EL126">
        <v>74.040000000000006</v>
      </c>
      <c r="EM126">
        <v>75.06</v>
      </c>
      <c r="EN126">
        <v>76.06</v>
      </c>
      <c r="EO126">
        <v>76.94</v>
      </c>
      <c r="EP126">
        <v>77.44</v>
      </c>
      <c r="EQ126">
        <v>78.58</v>
      </c>
      <c r="ER126">
        <v>79.819999999999993</v>
      </c>
      <c r="ES126">
        <v>81.400000000000006</v>
      </c>
      <c r="ET126">
        <v>82.87</v>
      </c>
      <c r="EU126">
        <v>84.39</v>
      </c>
      <c r="EV126">
        <v>85.15</v>
      </c>
      <c r="EW126">
        <v>86.05</v>
      </c>
      <c r="EX126">
        <v>87.59</v>
      </c>
      <c r="EY126">
        <v>88.99</v>
      </c>
      <c r="EZ126">
        <v>90.62</v>
      </c>
      <c r="FA126">
        <v>92.16</v>
      </c>
      <c r="FB126">
        <v>93.91</v>
      </c>
      <c r="FC126">
        <v>95.31</v>
      </c>
      <c r="FD126">
        <v>96.1</v>
      </c>
      <c r="FE126">
        <v>97.5</v>
      </c>
      <c r="FF126">
        <v>99.12</v>
      </c>
      <c r="FG126">
        <v>100.97</v>
      </c>
      <c r="FH126">
        <v>102.76</v>
      </c>
      <c r="FI126">
        <v>104.46</v>
      </c>
      <c r="FJ126">
        <v>106.18</v>
      </c>
      <c r="FK126">
        <v>107.46</v>
      </c>
      <c r="FL126">
        <v>109.29</v>
      </c>
      <c r="FM126">
        <v>111.09</v>
      </c>
      <c r="FN126">
        <v>112.95</v>
      </c>
      <c r="FO126">
        <v>114.4</v>
      </c>
      <c r="FP126">
        <v>115.35</v>
      </c>
      <c r="FQ126">
        <v>116.01</v>
      </c>
      <c r="FR126">
        <v>116.79</v>
      </c>
      <c r="FS126">
        <v>117.77</v>
      </c>
      <c r="FT126">
        <v>119.72</v>
      </c>
      <c r="FU126">
        <v>121.09</v>
      </c>
      <c r="FV126">
        <v>122.57</v>
      </c>
      <c r="FW126">
        <v>123.8</v>
      </c>
      <c r="FX126">
        <v>124.9</v>
      </c>
      <c r="FY126">
        <v>125.43</v>
      </c>
      <c r="FZ126">
        <v>126.45</v>
      </c>
      <c r="GA126">
        <v>127.9</v>
      </c>
      <c r="GB126">
        <v>129.21</v>
      </c>
      <c r="GC126">
        <v>130.51</v>
      </c>
      <c r="GD126">
        <v>131.86000000000001</v>
      </c>
      <c r="GE126">
        <v>132.97999999999999</v>
      </c>
      <c r="GF126">
        <v>133.51</v>
      </c>
      <c r="GG126">
        <v>135</v>
      </c>
      <c r="GH126">
        <v>136.80000000000001</v>
      </c>
      <c r="GI126">
        <v>138.12</v>
      </c>
      <c r="GJ126">
        <v>139.54</v>
      </c>
      <c r="GK126">
        <v>140.80000000000001</v>
      </c>
      <c r="GL126">
        <v>141.74</v>
      </c>
      <c r="GM126">
        <v>142.4</v>
      </c>
      <c r="GN126">
        <v>143.01</v>
      </c>
      <c r="GO126">
        <v>144.05000000000001</v>
      </c>
      <c r="GP126">
        <v>145.11000000000001</v>
      </c>
      <c r="GQ126">
        <v>146.44999999999999</v>
      </c>
      <c r="GR126">
        <v>147.31</v>
      </c>
      <c r="GS126">
        <v>147.88999999999999</v>
      </c>
      <c r="GT126">
        <v>148.27000000000001</v>
      </c>
      <c r="GU126">
        <v>149.36000000000001</v>
      </c>
      <c r="GV126">
        <v>150.58000000000001</v>
      </c>
      <c r="GW126">
        <v>151.91</v>
      </c>
      <c r="GX126">
        <v>152.88</v>
      </c>
      <c r="GY126">
        <v>153.9</v>
      </c>
      <c r="GZ126">
        <v>154.63</v>
      </c>
      <c r="HA126">
        <v>155.13999999999999</v>
      </c>
      <c r="HB126">
        <v>156.25</v>
      </c>
      <c r="HC126">
        <v>156.86000000000001</v>
      </c>
      <c r="HD126">
        <v>157.82</v>
      </c>
      <c r="HE126">
        <v>158.58000000000001</v>
      </c>
      <c r="HF126">
        <v>159.43</v>
      </c>
      <c r="HG126">
        <v>159.86000000000001</v>
      </c>
      <c r="HH126">
        <v>160.09</v>
      </c>
      <c r="HI126">
        <v>160.6</v>
      </c>
      <c r="HJ126">
        <v>161.25</v>
      </c>
      <c r="HK126">
        <v>162.03</v>
      </c>
      <c r="HL126">
        <v>162.71</v>
      </c>
      <c r="HM126">
        <v>163.38999999999999</v>
      </c>
      <c r="HN126">
        <v>163.81</v>
      </c>
      <c r="HO126">
        <v>164.05</v>
      </c>
      <c r="HP126">
        <v>164.9</v>
      </c>
      <c r="HQ126">
        <v>165.44</v>
      </c>
      <c r="HR126">
        <v>166.18</v>
      </c>
      <c r="HS126">
        <v>166.85</v>
      </c>
      <c r="HT126">
        <v>168.13</v>
      </c>
      <c r="HU126">
        <v>168.44</v>
      </c>
      <c r="HV126">
        <v>168.62</v>
      </c>
      <c r="HW126">
        <v>169.15</v>
      </c>
      <c r="HX126">
        <v>170.01</v>
      </c>
      <c r="HY126">
        <v>170.21</v>
      </c>
      <c r="HZ126">
        <v>171.14</v>
      </c>
      <c r="IA126">
        <v>171.73</v>
      </c>
      <c r="IB126">
        <v>172.08</v>
      </c>
      <c r="IC126">
        <v>172.22</v>
      </c>
      <c r="ID126">
        <v>172.77</v>
      </c>
      <c r="IE126">
        <v>173.35</v>
      </c>
      <c r="IF126">
        <v>173.9</v>
      </c>
      <c r="IG126">
        <v>174.5</v>
      </c>
      <c r="IH126">
        <v>175.12</v>
      </c>
      <c r="II126">
        <v>175.35</v>
      </c>
      <c r="IJ126">
        <v>175.5</v>
      </c>
      <c r="IK126">
        <v>176.02</v>
      </c>
      <c r="IL126">
        <v>176.41</v>
      </c>
      <c r="IM126">
        <v>176.83</v>
      </c>
      <c r="IN126">
        <v>177.24</v>
      </c>
      <c r="IO126">
        <v>177.56</v>
      </c>
      <c r="IP126">
        <v>177.7</v>
      </c>
      <c r="IQ126">
        <v>152.5</v>
      </c>
      <c r="IR126">
        <v>152.75</v>
      </c>
      <c r="IS126">
        <v>152.97999999999999</v>
      </c>
      <c r="IT126">
        <v>153.19999999999999</v>
      </c>
      <c r="IU126">
        <v>153.44</v>
      </c>
      <c r="IV126">
        <v>153.69</v>
      </c>
      <c r="IW126">
        <v>153.77000000000001</v>
      </c>
      <c r="IX126">
        <v>153.78</v>
      </c>
      <c r="IY126">
        <v>153.94999999999999</v>
      </c>
      <c r="IZ126">
        <v>154.11000000000001</v>
      </c>
      <c r="JA126">
        <v>154.28</v>
      </c>
      <c r="JB126">
        <v>154.41</v>
      </c>
      <c r="JC126">
        <v>154.54</v>
      </c>
      <c r="JD126">
        <v>154.61000000000001</v>
      </c>
      <c r="JE126">
        <v>154.63</v>
      </c>
      <c r="JF126">
        <v>154.76</v>
      </c>
      <c r="JH126">
        <v>154.88999999999999</v>
      </c>
      <c r="JI126">
        <v>155</v>
      </c>
      <c r="JJ126">
        <v>155.1</v>
      </c>
      <c r="JK126">
        <v>155.31</v>
      </c>
      <c r="JM126">
        <v>155.58000000000001</v>
      </c>
      <c r="JQ126">
        <v>156.41</v>
      </c>
      <c r="JR126">
        <v>156.53</v>
      </c>
      <c r="JS126">
        <v>156.54</v>
      </c>
      <c r="JT126">
        <v>156.78</v>
      </c>
      <c r="JU126">
        <v>156.99</v>
      </c>
      <c r="JV126">
        <v>157.21</v>
      </c>
      <c r="JW126">
        <v>157.44</v>
      </c>
      <c r="JX126">
        <v>157.63999999999999</v>
      </c>
      <c r="JZ126">
        <v>157.76</v>
      </c>
      <c r="KA126">
        <v>157.96</v>
      </c>
      <c r="KB126">
        <v>158.02000000000001</v>
      </c>
      <c r="KC126">
        <v>158.21</v>
      </c>
      <c r="KD126">
        <v>158.38</v>
      </c>
      <c r="KE126">
        <v>158.61000000000001</v>
      </c>
      <c r="KF126">
        <v>158.72</v>
      </c>
      <c r="KG126">
        <v>158.72999999999999</v>
      </c>
      <c r="KT126">
        <v>163.16999999999999</v>
      </c>
      <c r="LN126">
        <v>170.49</v>
      </c>
      <c r="LO126">
        <v>170.77</v>
      </c>
      <c r="MB126">
        <v>175.04</v>
      </c>
      <c r="MK126">
        <v>180.29</v>
      </c>
      <c r="ML126">
        <v>180.93</v>
      </c>
      <c r="MM126">
        <v>181.52</v>
      </c>
      <c r="ND126">
        <v>191.46</v>
      </c>
      <c r="NF126">
        <v>192.48</v>
      </c>
      <c r="NG126">
        <v>193.27</v>
      </c>
      <c r="NH126">
        <v>193.82</v>
      </c>
      <c r="NK126">
        <v>195.17</v>
      </c>
      <c r="ON126">
        <v>226.46</v>
      </c>
      <c r="OU126">
        <v>231.29</v>
      </c>
      <c r="PH126">
        <v>236.46</v>
      </c>
      <c r="PI126">
        <v>236.69</v>
      </c>
      <c r="PV126">
        <v>239.39</v>
      </c>
      <c r="PW126">
        <v>239.6</v>
      </c>
      <c r="PZ126">
        <v>240.06</v>
      </c>
      <c r="QB126">
        <v>240.32</v>
      </c>
      <c r="QD126">
        <v>240.59</v>
      </c>
      <c r="QG126">
        <v>240.82</v>
      </c>
      <c r="QH126">
        <v>240.95</v>
      </c>
      <c r="QI126">
        <v>241.03</v>
      </c>
      <c r="QJ126">
        <v>241.25</v>
      </c>
      <c r="QK126">
        <v>241.37</v>
      </c>
      <c r="QO126">
        <v>241.78</v>
      </c>
      <c r="QP126">
        <v>241.87</v>
      </c>
      <c r="QQ126">
        <v>241.98</v>
      </c>
      <c r="QS126">
        <v>242.13</v>
      </c>
      <c r="QU126">
        <v>242.36</v>
      </c>
      <c r="QV126">
        <v>242.45</v>
      </c>
      <c r="QY126">
        <v>242.71</v>
      </c>
      <c r="RF126">
        <v>243.21</v>
      </c>
      <c r="RR126">
        <v>244.13</v>
      </c>
      <c r="RW126">
        <v>244.46</v>
      </c>
      <c r="RY126">
        <v>245.76</v>
      </c>
      <c r="SA126">
        <v>246.13</v>
      </c>
      <c r="SC126">
        <v>246.37</v>
      </c>
      <c r="SE126">
        <v>246.86</v>
      </c>
      <c r="SH126">
        <v>247.31</v>
      </c>
      <c r="SI126">
        <v>247.41</v>
      </c>
      <c r="SJ126">
        <v>247.47</v>
      </c>
      <c r="SN126">
        <v>247.8</v>
      </c>
      <c r="SP126">
        <v>247.91</v>
      </c>
      <c r="ST126">
        <v>248.6</v>
      </c>
      <c r="SU126">
        <v>248.84</v>
      </c>
      <c r="SV126">
        <v>249.06</v>
      </c>
      <c r="SW126">
        <v>249.15</v>
      </c>
      <c r="SZ126">
        <v>249.77</v>
      </c>
      <c r="TC126">
        <v>250.41</v>
      </c>
      <c r="TD126">
        <v>250.5</v>
      </c>
      <c r="TE126">
        <v>250.58</v>
      </c>
      <c r="TF126">
        <v>250.78</v>
      </c>
      <c r="TG126">
        <v>250.99</v>
      </c>
      <c r="TH126">
        <v>251.19</v>
      </c>
      <c r="TJ126">
        <v>251.6</v>
      </c>
      <c r="TK126">
        <v>251.66</v>
      </c>
      <c r="TM126">
        <v>251.85</v>
      </c>
      <c r="TP126">
        <v>252.39</v>
      </c>
      <c r="TQ126">
        <v>252.57</v>
      </c>
      <c r="TR126">
        <v>252.62</v>
      </c>
      <c r="TS126">
        <v>252.65</v>
      </c>
      <c r="TU126">
        <v>252.87</v>
      </c>
      <c r="TV126">
        <v>252.98</v>
      </c>
      <c r="TW126">
        <v>253.11</v>
      </c>
      <c r="TX126">
        <v>253.27</v>
      </c>
      <c r="TY126">
        <v>253.35</v>
      </c>
      <c r="UB126">
        <v>253.63</v>
      </c>
      <c r="UC126">
        <v>253.78</v>
      </c>
      <c r="UD126">
        <v>253.9</v>
      </c>
      <c r="UE126">
        <v>254.02</v>
      </c>
      <c r="UF126">
        <v>254.07</v>
      </c>
      <c r="UG126">
        <v>254.09</v>
      </c>
      <c r="UH126">
        <v>254.2</v>
      </c>
      <c r="UI126">
        <v>254.36</v>
      </c>
      <c r="UJ126">
        <v>254.56</v>
      </c>
      <c r="UK126">
        <v>254.71</v>
      </c>
      <c r="UL126">
        <v>254.85</v>
      </c>
      <c r="UM126">
        <v>254.91</v>
      </c>
      <c r="UN126">
        <v>254.93</v>
      </c>
      <c r="UP126">
        <v>255.16</v>
      </c>
      <c r="UR126">
        <v>255.24</v>
      </c>
      <c r="US126">
        <v>255.29</v>
      </c>
      <c r="UT126">
        <v>255.3</v>
      </c>
      <c r="UU126">
        <v>255.3</v>
      </c>
      <c r="UV126">
        <v>255.35</v>
      </c>
      <c r="UW126">
        <v>255.46</v>
      </c>
      <c r="UZ126">
        <v>255.73</v>
      </c>
      <c r="VA126">
        <v>255.81</v>
      </c>
      <c r="VB126">
        <v>250.64</v>
      </c>
      <c r="VC126">
        <v>250.72</v>
      </c>
      <c r="VD126">
        <v>250.76</v>
      </c>
      <c r="VF126">
        <v>251.02</v>
      </c>
      <c r="VH126">
        <v>251.14</v>
      </c>
      <c r="VJ126">
        <v>251.25</v>
      </c>
      <c r="VL126">
        <v>251.5</v>
      </c>
      <c r="VM126">
        <v>251.61</v>
      </c>
      <c r="VN126">
        <v>251.79</v>
      </c>
      <c r="VO126">
        <v>251.89</v>
      </c>
      <c r="VQ126">
        <v>251.93</v>
      </c>
      <c r="VS126">
        <v>252.17</v>
      </c>
      <c r="VU126">
        <v>252.37</v>
      </c>
      <c r="VV126">
        <v>252.44</v>
      </c>
      <c r="VW126">
        <v>252.5</v>
      </c>
      <c r="WB126">
        <v>252.88</v>
      </c>
      <c r="WP126">
        <v>253.21</v>
      </c>
      <c r="YF126">
        <v>253.53</v>
      </c>
      <c r="YL126">
        <v>253.57</v>
      </c>
      <c r="YM126">
        <v>253.58</v>
      </c>
      <c r="YO126">
        <v>253.6</v>
      </c>
      <c r="YP126">
        <v>253.6</v>
      </c>
      <c r="YQ126">
        <v>253.61</v>
      </c>
      <c r="YR126">
        <v>253.61</v>
      </c>
      <c r="YS126">
        <v>253.62</v>
      </c>
      <c r="YT126">
        <v>253.63</v>
      </c>
      <c r="YZ126">
        <v>254.25</v>
      </c>
      <c r="ZA126">
        <v>254.3</v>
      </c>
      <c r="ZC126">
        <v>254.46</v>
      </c>
      <c r="ZE126">
        <v>251.53</v>
      </c>
      <c r="ZG126">
        <v>251.7</v>
      </c>
      <c r="ZJ126">
        <v>251.87</v>
      </c>
      <c r="ZL126">
        <v>252.05</v>
      </c>
      <c r="ZS126">
        <v>255.75</v>
      </c>
      <c r="ZU126">
        <v>255.96</v>
      </c>
      <c r="ZV126">
        <v>256</v>
      </c>
      <c r="ZX126">
        <v>256.14999999999998</v>
      </c>
      <c r="ZY126">
        <v>256.26</v>
      </c>
      <c r="AAA126">
        <v>256.5</v>
      </c>
      <c r="AAB126">
        <v>256.63</v>
      </c>
      <c r="AAC126">
        <v>256.67</v>
      </c>
      <c r="AAD126">
        <v>256.7</v>
      </c>
      <c r="AAE126">
        <v>256.79000000000002</v>
      </c>
      <c r="AAG126">
        <v>256.98</v>
      </c>
      <c r="AAH126">
        <v>257.05</v>
      </c>
      <c r="AAI126">
        <v>257.14</v>
      </c>
      <c r="AAJ126">
        <v>257.14999999999998</v>
      </c>
      <c r="AAL126">
        <v>257.24</v>
      </c>
      <c r="AAN126">
        <v>257.35000000000002</v>
      </c>
      <c r="AAP126">
        <v>257.5</v>
      </c>
      <c r="AAQ126">
        <v>257.51</v>
      </c>
      <c r="AAS126">
        <v>257.58</v>
      </c>
      <c r="AAT126">
        <v>257.64</v>
      </c>
      <c r="AAU126">
        <v>257.69</v>
      </c>
      <c r="AAV126">
        <v>257.72000000000003</v>
      </c>
      <c r="AAW126">
        <v>257.77999999999997</v>
      </c>
      <c r="AAX126">
        <v>257.79000000000002</v>
      </c>
      <c r="AAZ126">
        <v>257.8</v>
      </c>
      <c r="ABA126">
        <v>257.8</v>
      </c>
      <c r="ABB126">
        <v>257.86</v>
      </c>
      <c r="ABC126">
        <v>257.88</v>
      </c>
      <c r="ABD126">
        <v>257.89</v>
      </c>
      <c r="ABE126">
        <v>257.89999999999998</v>
      </c>
      <c r="ABG126">
        <v>257.97000000000003</v>
      </c>
      <c r="ABH126">
        <v>258</v>
      </c>
      <c r="ABI126">
        <v>258.02999999999997</v>
      </c>
      <c r="ABJ126">
        <v>258.05</v>
      </c>
      <c r="ABK126">
        <v>258.06</v>
      </c>
      <c r="ABL126">
        <v>258.06</v>
      </c>
      <c r="ABN126">
        <v>258.08999999999997</v>
      </c>
      <c r="ABO126">
        <v>258.14999999999998</v>
      </c>
      <c r="ABP126">
        <v>258.17</v>
      </c>
      <c r="ABQ126">
        <v>258.18</v>
      </c>
      <c r="ABR126">
        <v>258.19</v>
      </c>
      <c r="ABU126">
        <v>258.20999999999998</v>
      </c>
      <c r="ABV126">
        <v>258.24</v>
      </c>
      <c r="ABW126">
        <v>258.26</v>
      </c>
      <c r="ABX126">
        <v>258.27</v>
      </c>
      <c r="ABY126">
        <v>258.27999999999997</v>
      </c>
      <c r="ABZ126">
        <v>258.27999999999997</v>
      </c>
      <c r="ACA126">
        <v>258.29000000000002</v>
      </c>
      <c r="ACC126">
        <v>258.37</v>
      </c>
      <c r="ACD126">
        <v>258.41000000000003</v>
      </c>
      <c r="ACE126">
        <v>258.45999999999998</v>
      </c>
      <c r="ACF126">
        <v>258.47000000000003</v>
      </c>
      <c r="ACG126">
        <v>258.48</v>
      </c>
      <c r="ACH126">
        <v>258.49</v>
      </c>
      <c r="ACI126">
        <v>258.49</v>
      </c>
      <c r="ACJ126">
        <v>258.52999999999997</v>
      </c>
      <c r="ACK126">
        <v>258.52999999999997</v>
      </c>
      <c r="ACQ126">
        <v>258.63</v>
      </c>
      <c r="ACX126">
        <v>258.69</v>
      </c>
      <c r="ADE126">
        <v>258.72000000000003</v>
      </c>
      <c r="ADL126">
        <v>258.75</v>
      </c>
      <c r="ADS126">
        <v>258.81</v>
      </c>
      <c r="ADZ126">
        <v>258.83</v>
      </c>
    </row>
    <row r="127" spans="1:812">
      <c r="A127" s="1" t="s">
        <v>248</v>
      </c>
      <c r="B127" t="s">
        <v>345</v>
      </c>
    </row>
    <row r="128" spans="1:812">
      <c r="A128" s="1" t="s">
        <v>119</v>
      </c>
      <c r="B128" t="s">
        <v>119</v>
      </c>
      <c r="DE128">
        <v>0</v>
      </c>
      <c r="DK128">
        <v>0.03</v>
      </c>
      <c r="DR128">
        <v>0.06</v>
      </c>
      <c r="EB128">
        <v>0.15</v>
      </c>
      <c r="EW128">
        <v>0.34</v>
      </c>
      <c r="FI128">
        <v>0.55000000000000004</v>
      </c>
      <c r="FK128">
        <v>0.61</v>
      </c>
      <c r="FN128">
        <v>0.62</v>
      </c>
      <c r="FS128">
        <v>0.8</v>
      </c>
      <c r="GA128">
        <v>0.94</v>
      </c>
      <c r="GC128">
        <v>0.96</v>
      </c>
      <c r="GG128">
        <v>1</v>
      </c>
      <c r="GH128">
        <v>1.06</v>
      </c>
      <c r="GP128">
        <v>3.06</v>
      </c>
      <c r="GW128">
        <v>3.46</v>
      </c>
      <c r="HB128">
        <v>3.69</v>
      </c>
      <c r="HD128">
        <v>3.76</v>
      </c>
      <c r="HI128">
        <v>3.79</v>
      </c>
      <c r="HJ128">
        <v>3.85</v>
      </c>
      <c r="HL128">
        <v>3.93</v>
      </c>
      <c r="HP128">
        <v>4.07</v>
      </c>
      <c r="HU128">
        <v>4.1100000000000003</v>
      </c>
      <c r="HW128">
        <v>4.13</v>
      </c>
      <c r="HZ128">
        <v>4.17</v>
      </c>
      <c r="IE128">
        <v>4.72</v>
      </c>
      <c r="IG128">
        <v>4.82</v>
      </c>
      <c r="IK128">
        <v>5.09</v>
      </c>
      <c r="IN128">
        <v>5.22</v>
      </c>
      <c r="IR128">
        <v>5.45</v>
      </c>
      <c r="IY128">
        <v>5.32</v>
      </c>
      <c r="JH128">
        <v>5.57</v>
      </c>
      <c r="JP128">
        <v>6.42</v>
      </c>
      <c r="JV128">
        <v>6.98</v>
      </c>
      <c r="LN128">
        <v>32.590000000000003</v>
      </c>
      <c r="LT128">
        <v>34.049999999999997</v>
      </c>
      <c r="LX128">
        <v>35.18</v>
      </c>
      <c r="LZ128">
        <v>35.26</v>
      </c>
      <c r="MA128">
        <v>35.479999999999997</v>
      </c>
      <c r="ME128">
        <v>35.71</v>
      </c>
      <c r="MH128">
        <v>35.92</v>
      </c>
      <c r="ML128">
        <v>36.14</v>
      </c>
      <c r="MN128">
        <v>36.31</v>
      </c>
      <c r="MV128">
        <v>36.85</v>
      </c>
      <c r="MZ128">
        <v>37.33</v>
      </c>
      <c r="NB128">
        <v>37.6</v>
      </c>
      <c r="NG128">
        <v>37.96</v>
      </c>
      <c r="NI128">
        <v>38.01</v>
      </c>
      <c r="NJ128">
        <v>38.119999999999997</v>
      </c>
      <c r="NQ128">
        <v>38.5</v>
      </c>
      <c r="NX128">
        <v>40.57</v>
      </c>
      <c r="OE128">
        <v>50.77</v>
      </c>
      <c r="PK128">
        <v>52.89</v>
      </c>
      <c r="PR128">
        <v>53.29</v>
      </c>
      <c r="PY128">
        <v>53.93</v>
      </c>
    </row>
    <row r="129" spans="1:812">
      <c r="A129" s="1" t="s">
        <v>188</v>
      </c>
      <c r="B129" t="s">
        <v>346</v>
      </c>
      <c r="AW129">
        <v>0</v>
      </c>
      <c r="BD129">
        <v>0.02</v>
      </c>
      <c r="BT129">
        <v>0.3</v>
      </c>
      <c r="DC129">
        <v>9.23</v>
      </c>
      <c r="EZ129">
        <v>17.350000000000001</v>
      </c>
      <c r="FS129">
        <v>31.52</v>
      </c>
      <c r="GA129">
        <v>35.799999999999997</v>
      </c>
      <c r="GM129">
        <v>47.09</v>
      </c>
      <c r="GQ129">
        <v>55.59</v>
      </c>
      <c r="HI129">
        <v>70.89</v>
      </c>
      <c r="HP129">
        <v>81.849999999999994</v>
      </c>
      <c r="HU129">
        <v>86.14</v>
      </c>
      <c r="HW129">
        <v>90.94</v>
      </c>
      <c r="IE129">
        <v>97.32</v>
      </c>
      <c r="IK129">
        <v>101.99</v>
      </c>
      <c r="IU129">
        <v>112.16</v>
      </c>
      <c r="JA129">
        <v>117.52</v>
      </c>
      <c r="JH129">
        <v>122.89</v>
      </c>
      <c r="JP129">
        <v>124.97</v>
      </c>
      <c r="JV129">
        <v>127.68</v>
      </c>
      <c r="KC129">
        <v>128.31</v>
      </c>
      <c r="KK129">
        <v>130.01</v>
      </c>
      <c r="KR129">
        <v>132.4</v>
      </c>
      <c r="KY129">
        <v>134.58000000000001</v>
      </c>
      <c r="LF129">
        <v>135.52000000000001</v>
      </c>
      <c r="LM129">
        <v>137.41999999999999</v>
      </c>
      <c r="LT129">
        <v>138.21</v>
      </c>
      <c r="LZ129">
        <v>138.55000000000001</v>
      </c>
      <c r="MH129">
        <v>140.74</v>
      </c>
      <c r="NQ129">
        <v>158.38</v>
      </c>
      <c r="NV129">
        <v>159.94999999999999</v>
      </c>
      <c r="NX129">
        <v>160.07</v>
      </c>
      <c r="OE129">
        <v>161.06</v>
      </c>
      <c r="OK129">
        <v>163.12</v>
      </c>
    </row>
    <row r="130" spans="1:812">
      <c r="A130" s="1" t="s">
        <v>44</v>
      </c>
      <c r="B130" t="s">
        <v>276</v>
      </c>
      <c r="Q130">
        <v>0</v>
      </c>
      <c r="T130">
        <v>0.01</v>
      </c>
      <c r="U130">
        <v>0.01</v>
      </c>
      <c r="V130">
        <v>0.01</v>
      </c>
      <c r="W130">
        <v>0.02</v>
      </c>
      <c r="AB130">
        <v>0.03</v>
      </c>
      <c r="AC130">
        <v>0.04</v>
      </c>
      <c r="AD130">
        <v>0.04</v>
      </c>
      <c r="AE130">
        <v>0.05</v>
      </c>
      <c r="AF130">
        <v>0.05</v>
      </c>
      <c r="AG130">
        <v>0.06</v>
      </c>
      <c r="AH130">
        <v>0.06</v>
      </c>
      <c r="AI130">
        <v>7.0000000000000007E-2</v>
      </c>
      <c r="AJ130">
        <v>7.0000000000000007E-2</v>
      </c>
      <c r="AK130">
        <v>0.15</v>
      </c>
      <c r="AL130">
        <v>0.26</v>
      </c>
      <c r="AM130">
        <v>0.32</v>
      </c>
      <c r="AN130">
        <v>0.36</v>
      </c>
      <c r="AO130">
        <v>0.37</v>
      </c>
      <c r="AP130">
        <v>0.38</v>
      </c>
      <c r="AQ130">
        <v>0.39</v>
      </c>
      <c r="AR130">
        <v>0.39</v>
      </c>
      <c r="AS130">
        <v>0.43</v>
      </c>
      <c r="AT130">
        <v>0.48</v>
      </c>
      <c r="AU130">
        <v>0.48</v>
      </c>
      <c r="AV130">
        <v>0.49</v>
      </c>
      <c r="AW130">
        <v>0.5</v>
      </c>
      <c r="AX130">
        <v>0.51</v>
      </c>
      <c r="AY130">
        <v>0.51</v>
      </c>
      <c r="AZ130">
        <v>0.51</v>
      </c>
      <c r="BA130">
        <v>0.51</v>
      </c>
      <c r="BB130">
        <v>0.52</v>
      </c>
      <c r="BC130">
        <v>0.52</v>
      </c>
      <c r="BD130">
        <v>0.52</v>
      </c>
      <c r="BE130">
        <v>0.53</v>
      </c>
      <c r="BF130">
        <v>0.53</v>
      </c>
      <c r="BG130">
        <v>0.54</v>
      </c>
      <c r="BH130">
        <v>0.54</v>
      </c>
      <c r="BI130">
        <v>0.55000000000000004</v>
      </c>
      <c r="BJ130">
        <v>0.55000000000000004</v>
      </c>
      <c r="BK130">
        <v>0.56000000000000005</v>
      </c>
      <c r="BL130">
        <v>0.56000000000000005</v>
      </c>
      <c r="BM130">
        <v>0.56000000000000005</v>
      </c>
      <c r="BN130">
        <v>0.56000000000000005</v>
      </c>
      <c r="BO130">
        <v>0.56000000000000005</v>
      </c>
      <c r="BP130">
        <v>0.56000000000000005</v>
      </c>
      <c r="BR130">
        <v>0.57999999999999996</v>
      </c>
      <c r="BS130">
        <v>0.71</v>
      </c>
      <c r="BT130">
        <v>0.82</v>
      </c>
      <c r="BU130">
        <v>1.02</v>
      </c>
      <c r="BV130">
        <v>1.22</v>
      </c>
      <c r="BW130">
        <v>1.28</v>
      </c>
      <c r="BX130">
        <v>1.31</v>
      </c>
      <c r="BY130">
        <v>1.34</v>
      </c>
      <c r="BZ130">
        <v>1.4</v>
      </c>
      <c r="CA130">
        <v>1.47</v>
      </c>
      <c r="CB130">
        <v>1.62</v>
      </c>
      <c r="CC130">
        <v>1.76</v>
      </c>
      <c r="CD130">
        <v>1.85</v>
      </c>
      <c r="CE130">
        <v>1.9</v>
      </c>
      <c r="CF130">
        <v>1.96</v>
      </c>
      <c r="CG130">
        <v>2</v>
      </c>
      <c r="CH130">
        <v>2.04</v>
      </c>
      <c r="CI130">
        <v>2.08</v>
      </c>
      <c r="CJ130">
        <v>2.12</v>
      </c>
      <c r="CK130">
        <v>2.15</v>
      </c>
      <c r="CL130">
        <v>2.17</v>
      </c>
      <c r="CM130">
        <v>2.21</v>
      </c>
      <c r="CN130">
        <v>2.41</v>
      </c>
      <c r="CO130">
        <v>2.71</v>
      </c>
      <c r="CP130">
        <v>2.95</v>
      </c>
      <c r="CQ130">
        <v>3.11</v>
      </c>
      <c r="CR130">
        <v>3.27</v>
      </c>
      <c r="CS130">
        <v>3.37</v>
      </c>
      <c r="CT130">
        <v>3.42</v>
      </c>
      <c r="CU130">
        <v>3.51</v>
      </c>
      <c r="CV130">
        <v>3.67</v>
      </c>
      <c r="CW130">
        <v>3.84</v>
      </c>
      <c r="CX130">
        <v>4.0199999999999996</v>
      </c>
      <c r="CY130">
        <v>4.2300000000000004</v>
      </c>
      <c r="CZ130">
        <v>4.3499999999999996</v>
      </c>
      <c r="DA130">
        <v>4.4800000000000004</v>
      </c>
      <c r="DB130">
        <v>4.5999999999999996</v>
      </c>
      <c r="DC130">
        <v>4.75</v>
      </c>
      <c r="DD130">
        <v>4.84</v>
      </c>
      <c r="DE130">
        <v>5.03</v>
      </c>
      <c r="DF130">
        <v>5.22</v>
      </c>
      <c r="DG130">
        <v>5.31</v>
      </c>
      <c r="DH130">
        <v>5.44</v>
      </c>
      <c r="DI130">
        <v>5.74</v>
      </c>
      <c r="DJ130">
        <v>6.09</v>
      </c>
      <c r="DL130">
        <v>6.7</v>
      </c>
      <c r="DM130">
        <v>6.97</v>
      </c>
      <c r="DN130">
        <v>7.01</v>
      </c>
      <c r="DO130">
        <v>7.2</v>
      </c>
      <c r="DP130">
        <v>7.5</v>
      </c>
      <c r="DQ130">
        <v>7.83</v>
      </c>
      <c r="DR130">
        <v>8.25</v>
      </c>
      <c r="DS130">
        <v>8.52</v>
      </c>
      <c r="DT130">
        <v>8.69</v>
      </c>
      <c r="DU130">
        <v>8.84</v>
      </c>
      <c r="DV130">
        <v>9.08</v>
      </c>
      <c r="DW130">
        <v>9.6199999999999992</v>
      </c>
      <c r="DX130">
        <v>10.02</v>
      </c>
      <c r="DY130">
        <v>10.41</v>
      </c>
      <c r="DZ130">
        <v>10.84</v>
      </c>
      <c r="EA130">
        <v>11.05</v>
      </c>
      <c r="EB130">
        <v>11.14</v>
      </c>
      <c r="EC130">
        <v>11.3</v>
      </c>
      <c r="ED130">
        <v>11.64</v>
      </c>
      <c r="EE130">
        <v>12</v>
      </c>
      <c r="EF130">
        <v>12.31</v>
      </c>
      <c r="EG130">
        <v>12.58</v>
      </c>
      <c r="EH130">
        <v>12.73</v>
      </c>
      <c r="EI130">
        <v>12.8</v>
      </c>
      <c r="EJ130">
        <v>12.94</v>
      </c>
      <c r="EL130">
        <v>13.46</v>
      </c>
      <c r="EM130">
        <v>13.74</v>
      </c>
      <c r="EN130">
        <v>14.02</v>
      </c>
      <c r="EO130">
        <v>14.21</v>
      </c>
      <c r="EP130">
        <v>14.33</v>
      </c>
      <c r="EQ130">
        <v>14.6</v>
      </c>
      <c r="ER130">
        <v>15</v>
      </c>
      <c r="ES130">
        <v>15.47</v>
      </c>
      <c r="ET130">
        <v>15.93</v>
      </c>
      <c r="EU130">
        <v>16.29</v>
      </c>
      <c r="EV130">
        <v>16.46</v>
      </c>
      <c r="EW130">
        <v>16.52</v>
      </c>
      <c r="EY130">
        <v>16.739999999999998</v>
      </c>
      <c r="EZ130">
        <v>17.05</v>
      </c>
      <c r="FA130">
        <v>17.38</v>
      </c>
      <c r="FD130">
        <v>17.97</v>
      </c>
      <c r="FE130">
        <v>18.07</v>
      </c>
      <c r="FG130">
        <v>18.79</v>
      </c>
      <c r="FH130">
        <v>19.38</v>
      </c>
      <c r="FI130">
        <v>19.88</v>
      </c>
      <c r="FJ130">
        <v>20.28</v>
      </c>
      <c r="FK130">
        <v>20.54</v>
      </c>
      <c r="FL130">
        <v>20.67</v>
      </c>
      <c r="FM130">
        <v>20.91</v>
      </c>
      <c r="FN130">
        <v>21.49</v>
      </c>
      <c r="FP130">
        <v>22.68</v>
      </c>
      <c r="FQ130">
        <v>23.16</v>
      </c>
      <c r="FR130">
        <v>23.5</v>
      </c>
      <c r="FS130">
        <v>23.64</v>
      </c>
      <c r="FT130">
        <v>24.04</v>
      </c>
      <c r="FU130">
        <v>24.67</v>
      </c>
      <c r="FV130">
        <v>25.5</v>
      </c>
      <c r="FW130">
        <v>26.2</v>
      </c>
      <c r="FX130">
        <v>26.73</v>
      </c>
      <c r="FY130">
        <v>26.73</v>
      </c>
      <c r="FZ130">
        <v>26.88</v>
      </c>
      <c r="GA130">
        <v>27.27</v>
      </c>
      <c r="GB130">
        <v>28.05</v>
      </c>
      <c r="GC130">
        <v>28.26</v>
      </c>
      <c r="GD130">
        <v>28.68</v>
      </c>
      <c r="GE130">
        <v>28.93</v>
      </c>
      <c r="GF130">
        <v>29.1</v>
      </c>
      <c r="GG130">
        <v>29.32</v>
      </c>
      <c r="GH130">
        <v>29.67</v>
      </c>
      <c r="GI130">
        <v>29.96</v>
      </c>
      <c r="GJ130">
        <v>30.37</v>
      </c>
      <c r="GK130">
        <v>30.73</v>
      </c>
      <c r="GL130">
        <v>31.05</v>
      </c>
      <c r="GM130">
        <v>31.2</v>
      </c>
      <c r="GN130">
        <v>31.57</v>
      </c>
      <c r="GO130">
        <v>32.08</v>
      </c>
      <c r="GP130">
        <v>32.700000000000003</v>
      </c>
      <c r="GQ130">
        <v>33.19</v>
      </c>
      <c r="GR130">
        <v>33.64</v>
      </c>
      <c r="GS130">
        <v>33.94</v>
      </c>
      <c r="GT130">
        <v>34.06</v>
      </c>
      <c r="GU130">
        <v>34.43</v>
      </c>
      <c r="GV130">
        <v>34.99</v>
      </c>
      <c r="GW130">
        <v>35.6</v>
      </c>
      <c r="GX130">
        <v>36.03</v>
      </c>
      <c r="GY130">
        <v>36.409999999999997</v>
      </c>
      <c r="HA130">
        <v>36.61</v>
      </c>
      <c r="HB130">
        <v>37.03</v>
      </c>
      <c r="HC130">
        <v>37.619999999999997</v>
      </c>
      <c r="HD130">
        <v>38.159999999999997</v>
      </c>
      <c r="HE130">
        <v>38.67</v>
      </c>
      <c r="HF130">
        <v>39.06</v>
      </c>
      <c r="HG130">
        <v>39.32</v>
      </c>
      <c r="HH130">
        <v>39.409999999999997</v>
      </c>
      <c r="HI130">
        <v>39.81</v>
      </c>
      <c r="HJ130">
        <v>40.32</v>
      </c>
      <c r="HK130">
        <v>40.880000000000003</v>
      </c>
      <c r="HL130">
        <v>41.37</v>
      </c>
      <c r="HM130">
        <v>41.82</v>
      </c>
      <c r="HN130">
        <v>42.1</v>
      </c>
      <c r="HO130">
        <v>42.3</v>
      </c>
      <c r="HP130">
        <v>42.74</v>
      </c>
      <c r="HQ130">
        <v>43.37</v>
      </c>
      <c r="HR130">
        <v>44.11</v>
      </c>
      <c r="HS130">
        <v>45.18</v>
      </c>
      <c r="HT130">
        <v>46.21</v>
      </c>
      <c r="HU130">
        <v>46.97</v>
      </c>
      <c r="HV130">
        <v>47.22</v>
      </c>
      <c r="HW130">
        <v>47.98</v>
      </c>
      <c r="HX130">
        <v>49.11</v>
      </c>
      <c r="HY130">
        <v>50.02</v>
      </c>
      <c r="HZ130">
        <v>50.9</v>
      </c>
      <c r="IA130">
        <v>51.74</v>
      </c>
      <c r="IB130">
        <v>52.24</v>
      </c>
      <c r="IC130">
        <v>52.43</v>
      </c>
      <c r="ID130">
        <v>52.81</v>
      </c>
      <c r="IE130">
        <v>53.38</v>
      </c>
      <c r="IF130">
        <v>54.15</v>
      </c>
      <c r="IG130">
        <v>54.92</v>
      </c>
      <c r="IH130">
        <v>55.58</v>
      </c>
      <c r="IJ130">
        <v>55.95</v>
      </c>
      <c r="IK130">
        <v>56.22</v>
      </c>
      <c r="IL130">
        <v>56.61</v>
      </c>
      <c r="IM130">
        <v>57.22</v>
      </c>
      <c r="IN130">
        <v>58.02</v>
      </c>
      <c r="IO130">
        <v>58.78</v>
      </c>
      <c r="IP130">
        <v>59.4</v>
      </c>
      <c r="IQ130">
        <v>59.9</v>
      </c>
      <c r="IR130">
        <v>60.17</v>
      </c>
      <c r="IS130">
        <v>61.09</v>
      </c>
      <c r="IT130">
        <v>61.58</v>
      </c>
      <c r="IU130">
        <v>62</v>
      </c>
      <c r="IV130">
        <v>61.72</v>
      </c>
      <c r="IW130">
        <v>61.94</v>
      </c>
      <c r="IX130">
        <v>62.1</v>
      </c>
      <c r="IY130">
        <v>62.39</v>
      </c>
      <c r="IZ130">
        <v>62.89</v>
      </c>
      <c r="JA130">
        <v>63.47</v>
      </c>
      <c r="JB130">
        <v>64.05</v>
      </c>
      <c r="JC130">
        <v>64.510000000000005</v>
      </c>
      <c r="JD130">
        <v>64.78</v>
      </c>
      <c r="JE130">
        <v>64.91</v>
      </c>
      <c r="JF130">
        <v>65.209999999999994</v>
      </c>
      <c r="JG130">
        <v>65.540000000000006</v>
      </c>
      <c r="JM130">
        <v>67.36</v>
      </c>
      <c r="JN130">
        <v>68.010000000000005</v>
      </c>
      <c r="JQ130">
        <v>70</v>
      </c>
      <c r="JS130">
        <v>70.69</v>
      </c>
      <c r="JT130">
        <v>71.2</v>
      </c>
      <c r="JU130">
        <v>71.849999999999994</v>
      </c>
      <c r="JV130">
        <v>72.27</v>
      </c>
      <c r="JW130">
        <v>72.39</v>
      </c>
      <c r="JX130">
        <v>72.819999999999993</v>
      </c>
      <c r="KB130">
        <v>74.31</v>
      </c>
      <c r="KC130">
        <v>74.87</v>
      </c>
      <c r="KD130">
        <v>75.45</v>
      </c>
      <c r="KE130">
        <v>75.92</v>
      </c>
      <c r="KF130">
        <v>76.14</v>
      </c>
      <c r="KI130">
        <v>77.17</v>
      </c>
      <c r="LN130">
        <v>96.8</v>
      </c>
      <c r="LO130">
        <v>96.99</v>
      </c>
      <c r="LQ130">
        <v>97.06</v>
      </c>
      <c r="LS130">
        <v>97.13</v>
      </c>
      <c r="LW130">
        <v>98.45</v>
      </c>
      <c r="LX130">
        <v>98.54</v>
      </c>
      <c r="LZ130">
        <v>98.99</v>
      </c>
      <c r="MA130">
        <v>99.19</v>
      </c>
      <c r="MD130">
        <v>99.65</v>
      </c>
      <c r="ME130">
        <v>99.69</v>
      </c>
      <c r="MF130">
        <v>99.7</v>
      </c>
      <c r="MG130">
        <v>99.79</v>
      </c>
      <c r="MH130">
        <v>99.99</v>
      </c>
      <c r="MJ130">
        <v>100.41</v>
      </c>
      <c r="MK130">
        <v>100.55</v>
      </c>
      <c r="ML130">
        <v>100.62</v>
      </c>
      <c r="MN130">
        <v>100.86</v>
      </c>
      <c r="MO130">
        <v>101.03</v>
      </c>
      <c r="MQ130">
        <v>101.41</v>
      </c>
      <c r="MR130">
        <v>101.57</v>
      </c>
      <c r="MS130">
        <v>101.66</v>
      </c>
      <c r="MT130">
        <v>101.82</v>
      </c>
      <c r="MU130">
        <v>101.98</v>
      </c>
      <c r="MV130">
        <v>102.3</v>
      </c>
      <c r="MY130">
        <v>103.15</v>
      </c>
      <c r="NB130">
        <v>103.65</v>
      </c>
      <c r="NE130">
        <v>105.04</v>
      </c>
      <c r="NF130">
        <v>105.3</v>
      </c>
      <c r="NG130">
        <v>105.45</v>
      </c>
      <c r="NI130">
        <v>106.59</v>
      </c>
      <c r="NJ130">
        <v>107.34</v>
      </c>
      <c r="NM130">
        <v>108.8</v>
      </c>
      <c r="NN130">
        <v>108.88</v>
      </c>
      <c r="NV130">
        <v>114.05</v>
      </c>
      <c r="NX130">
        <v>114.24</v>
      </c>
      <c r="NZ130">
        <v>114.34</v>
      </c>
      <c r="OQ130">
        <v>120.08</v>
      </c>
      <c r="OR130">
        <v>120.64</v>
      </c>
      <c r="OS130">
        <v>121.2</v>
      </c>
      <c r="OV130">
        <v>123.2</v>
      </c>
      <c r="OW130">
        <v>123.46</v>
      </c>
      <c r="OX130">
        <v>123.96</v>
      </c>
      <c r="OY130">
        <v>124.36</v>
      </c>
      <c r="OZ130">
        <v>125.05</v>
      </c>
      <c r="PC130">
        <v>127.09</v>
      </c>
      <c r="PD130">
        <v>127.24</v>
      </c>
      <c r="PF130">
        <v>128.03</v>
      </c>
      <c r="PH130">
        <v>129.38</v>
      </c>
      <c r="PJ130">
        <v>130.22</v>
      </c>
      <c r="PK130">
        <v>130.26</v>
      </c>
      <c r="PL130">
        <v>130.36000000000001</v>
      </c>
      <c r="PM130">
        <v>130.66</v>
      </c>
      <c r="PN130">
        <v>131.05000000000001</v>
      </c>
      <c r="PO130">
        <v>131.62</v>
      </c>
      <c r="PP130">
        <v>132.08000000000001</v>
      </c>
      <c r="PQ130">
        <v>132.41</v>
      </c>
      <c r="PR130">
        <v>132.56</v>
      </c>
      <c r="PS130">
        <v>132.84</v>
      </c>
      <c r="PT130">
        <v>133.44</v>
      </c>
      <c r="PU130">
        <v>134.32</v>
      </c>
      <c r="PV130">
        <v>135.25</v>
      </c>
      <c r="PX130">
        <v>136.59</v>
      </c>
      <c r="PY130">
        <v>136.75</v>
      </c>
      <c r="QA130">
        <v>137.63</v>
      </c>
      <c r="QB130">
        <v>138.22999999999999</v>
      </c>
      <c r="QE130">
        <v>139.44</v>
      </c>
      <c r="QF130">
        <v>139.68</v>
      </c>
      <c r="QG130">
        <v>139.86000000000001</v>
      </c>
      <c r="QH130">
        <v>140.08000000000001</v>
      </c>
      <c r="QI130">
        <v>140.31</v>
      </c>
      <c r="QJ130">
        <v>140.52000000000001</v>
      </c>
      <c r="QL130">
        <v>140.88</v>
      </c>
      <c r="QO130">
        <v>141.46</v>
      </c>
      <c r="QR130">
        <v>142.9</v>
      </c>
      <c r="QT130">
        <v>143.19999999999999</v>
      </c>
      <c r="QU130">
        <v>143.4</v>
      </c>
      <c r="QV130">
        <v>143.69999999999999</v>
      </c>
      <c r="QW130">
        <v>144.06</v>
      </c>
      <c r="QX130">
        <v>144.44999999999999</v>
      </c>
      <c r="QZ130">
        <v>144.91</v>
      </c>
      <c r="RA130">
        <v>144.97999999999999</v>
      </c>
      <c r="RE130">
        <v>145.71</v>
      </c>
      <c r="RF130">
        <v>146.01</v>
      </c>
      <c r="RG130">
        <v>146.12</v>
      </c>
      <c r="RH130">
        <v>146.19999999999999</v>
      </c>
      <c r="RI130">
        <v>147.32</v>
      </c>
      <c r="RV130">
        <v>150.1</v>
      </c>
      <c r="RY130">
        <v>150.80000000000001</v>
      </c>
      <c r="RZ130">
        <v>151.22999999999999</v>
      </c>
      <c r="SA130">
        <v>151.61000000000001</v>
      </c>
      <c r="SC130">
        <v>152.27000000000001</v>
      </c>
      <c r="SY130">
        <v>158.87</v>
      </c>
      <c r="AAP130">
        <v>176.51</v>
      </c>
      <c r="AAW130">
        <v>176.51</v>
      </c>
      <c r="ABV130">
        <v>176.51</v>
      </c>
      <c r="ACE130">
        <v>176.51</v>
      </c>
      <c r="ACM130">
        <v>176.51</v>
      </c>
      <c r="ADA130">
        <v>176.51</v>
      </c>
      <c r="AEC130">
        <v>175.02</v>
      </c>
    </row>
    <row r="131" spans="1:812">
      <c r="A131" s="1" t="s">
        <v>308</v>
      </c>
      <c r="B131" t="s">
        <v>347</v>
      </c>
    </row>
    <row r="132" spans="1:812">
      <c r="A132" s="1" t="s">
        <v>90</v>
      </c>
      <c r="B132" t="s">
        <v>348</v>
      </c>
      <c r="CJ132">
        <v>0.1</v>
      </c>
      <c r="CO132">
        <v>0.16</v>
      </c>
      <c r="CP132">
        <v>0.2</v>
      </c>
      <c r="CQ132">
        <v>0.23</v>
      </c>
      <c r="CR132">
        <v>0.28000000000000003</v>
      </c>
      <c r="CT132">
        <v>0.32</v>
      </c>
      <c r="CU132">
        <v>0.37</v>
      </c>
      <c r="CV132">
        <v>0.4</v>
      </c>
      <c r="CX132">
        <v>0.46</v>
      </c>
      <c r="CZ132">
        <v>0.51</v>
      </c>
      <c r="DB132">
        <v>0.53</v>
      </c>
      <c r="DC132">
        <v>0.57999999999999996</v>
      </c>
      <c r="DD132">
        <v>0.68</v>
      </c>
      <c r="DE132">
        <v>0.76</v>
      </c>
      <c r="DF132">
        <v>0.84</v>
      </c>
      <c r="DJ132">
        <v>1</v>
      </c>
      <c r="DK132">
        <v>1.04</v>
      </c>
      <c r="DN132">
        <v>1.18</v>
      </c>
      <c r="DP132">
        <v>1.28</v>
      </c>
      <c r="DQ132">
        <v>1.36</v>
      </c>
      <c r="DS132">
        <v>1.43</v>
      </c>
      <c r="DU132">
        <v>1.59</v>
      </c>
      <c r="DV132">
        <v>1.66</v>
      </c>
      <c r="DW132">
        <v>1.78</v>
      </c>
      <c r="DX132">
        <v>1.95</v>
      </c>
      <c r="DY132">
        <v>2.13</v>
      </c>
      <c r="DZ132">
        <v>2.27</v>
      </c>
      <c r="EB132">
        <v>2.3199999999999998</v>
      </c>
      <c r="EC132">
        <v>2.39</v>
      </c>
      <c r="ED132">
        <v>2.4700000000000002</v>
      </c>
      <c r="EF132">
        <v>2.72</v>
      </c>
      <c r="EG132">
        <v>2.98</v>
      </c>
      <c r="EJ132">
        <v>3.09</v>
      </c>
      <c r="EK132">
        <v>3.29</v>
      </c>
      <c r="EL132">
        <v>3.46</v>
      </c>
      <c r="EM132">
        <v>3.6</v>
      </c>
      <c r="EN132">
        <v>3.65</v>
      </c>
      <c r="ER132">
        <v>3.73</v>
      </c>
      <c r="ES132">
        <v>3.98</v>
      </c>
      <c r="ET132">
        <v>4.26</v>
      </c>
      <c r="EU132">
        <v>4.53</v>
      </c>
      <c r="EV132">
        <v>4.58</v>
      </c>
      <c r="EX132">
        <v>4.59</v>
      </c>
      <c r="EY132">
        <v>4.78</v>
      </c>
      <c r="EZ132">
        <v>5.03</v>
      </c>
      <c r="FA132">
        <v>5.37</v>
      </c>
      <c r="FB132">
        <v>5.68</v>
      </c>
      <c r="FC132">
        <v>5.79</v>
      </c>
      <c r="FE132">
        <v>6.02</v>
      </c>
      <c r="FF132">
        <v>6.28</v>
      </c>
      <c r="FG132">
        <v>6.55</v>
      </c>
      <c r="FH132">
        <v>6.83</v>
      </c>
      <c r="FI132">
        <v>7.14</v>
      </c>
      <c r="FJ132">
        <v>7.31</v>
      </c>
      <c r="FK132">
        <v>7.4</v>
      </c>
      <c r="FL132">
        <v>7.6</v>
      </c>
      <c r="FM132">
        <v>8.7200000000000006</v>
      </c>
      <c r="FO132">
        <v>9.34</v>
      </c>
      <c r="FP132">
        <v>9.8800000000000008</v>
      </c>
      <c r="FQ132">
        <v>10.08</v>
      </c>
      <c r="FS132">
        <v>10.33</v>
      </c>
      <c r="FT132">
        <v>10.56</v>
      </c>
      <c r="FU132">
        <v>10.88</v>
      </c>
      <c r="FV132">
        <v>11.53</v>
      </c>
      <c r="FX132">
        <v>11.64</v>
      </c>
      <c r="FY132">
        <v>11.67</v>
      </c>
      <c r="FZ132">
        <v>11.9</v>
      </c>
      <c r="GB132">
        <v>12.44</v>
      </c>
      <c r="GC132">
        <v>12.7</v>
      </c>
      <c r="GD132">
        <v>12.96</v>
      </c>
      <c r="GE132">
        <v>13.1</v>
      </c>
      <c r="GF132">
        <v>13.15</v>
      </c>
      <c r="GG132">
        <v>13.36</v>
      </c>
      <c r="GH132">
        <v>13.8</v>
      </c>
      <c r="GI132">
        <v>14.32</v>
      </c>
      <c r="GJ132">
        <v>14.81</v>
      </c>
      <c r="GK132">
        <v>15.21</v>
      </c>
      <c r="GL132">
        <v>15.33</v>
      </c>
      <c r="GM132">
        <v>15.65</v>
      </c>
      <c r="GN132">
        <v>15.93</v>
      </c>
      <c r="GP132">
        <v>16.25</v>
      </c>
      <c r="GQ132">
        <v>16.559999999999999</v>
      </c>
      <c r="GR132">
        <v>16.86</v>
      </c>
      <c r="GS132">
        <v>17.059999999999999</v>
      </c>
      <c r="GU132">
        <v>17.28</v>
      </c>
      <c r="GV132">
        <v>17.52</v>
      </c>
      <c r="GW132">
        <v>18.02</v>
      </c>
      <c r="GY132">
        <v>18.239999999999998</v>
      </c>
      <c r="GZ132">
        <v>18.329999999999998</v>
      </c>
      <c r="HA132">
        <v>18.350000000000001</v>
      </c>
      <c r="HB132">
        <v>18.5</v>
      </c>
      <c r="HC132">
        <v>18.73</v>
      </c>
      <c r="HD132">
        <v>18.940000000000001</v>
      </c>
      <c r="HE132">
        <v>19.190000000000001</v>
      </c>
      <c r="HF132">
        <v>19.45</v>
      </c>
      <c r="HG132">
        <v>19.5</v>
      </c>
      <c r="HH132">
        <v>19.670000000000002</v>
      </c>
      <c r="HI132">
        <v>19.91</v>
      </c>
      <c r="HJ132">
        <v>20.170000000000002</v>
      </c>
      <c r="HK132">
        <v>20.45</v>
      </c>
      <c r="HL132">
        <v>21.03</v>
      </c>
      <c r="HN132">
        <v>21.37</v>
      </c>
      <c r="HP132">
        <v>22.12</v>
      </c>
      <c r="HR132">
        <v>22.58</v>
      </c>
      <c r="HS132">
        <v>23.33</v>
      </c>
      <c r="HU132">
        <v>23.59</v>
      </c>
      <c r="HV132">
        <v>23.69</v>
      </c>
      <c r="HW132">
        <v>24.14</v>
      </c>
      <c r="HX132">
        <v>24.61</v>
      </c>
      <c r="HY132">
        <v>25.01</v>
      </c>
      <c r="HZ132">
        <v>25.34</v>
      </c>
      <c r="IA132">
        <v>25.64</v>
      </c>
      <c r="IB132">
        <v>25.85</v>
      </c>
      <c r="IC132">
        <v>25.89</v>
      </c>
      <c r="ID132">
        <v>26.05</v>
      </c>
      <c r="IE132">
        <v>26.53</v>
      </c>
      <c r="IH132">
        <v>27.02</v>
      </c>
      <c r="II132">
        <v>27.11</v>
      </c>
      <c r="IJ132">
        <v>27.14</v>
      </c>
      <c r="IK132">
        <v>27.35</v>
      </c>
      <c r="IL132">
        <v>27.56</v>
      </c>
      <c r="IO132">
        <v>28.18</v>
      </c>
      <c r="IP132">
        <v>28.35</v>
      </c>
      <c r="IQ132">
        <v>28.4</v>
      </c>
      <c r="IR132">
        <v>28.73</v>
      </c>
      <c r="IS132">
        <v>29.1</v>
      </c>
      <c r="IT132">
        <v>29.47</v>
      </c>
      <c r="IU132">
        <v>29.75</v>
      </c>
      <c r="IV132">
        <v>30.1</v>
      </c>
      <c r="IW132">
        <v>30.26</v>
      </c>
      <c r="IX132">
        <v>30.3</v>
      </c>
      <c r="IY132">
        <v>30.53</v>
      </c>
      <c r="IZ132">
        <v>30.8</v>
      </c>
      <c r="JA132">
        <v>31.06</v>
      </c>
      <c r="JB132">
        <v>31.32</v>
      </c>
      <c r="JC132">
        <v>31.4</v>
      </c>
      <c r="JD132">
        <v>31.47</v>
      </c>
      <c r="JE132">
        <v>31.66</v>
      </c>
      <c r="JG132">
        <v>31.91</v>
      </c>
      <c r="JJ132">
        <v>32.229999999999997</v>
      </c>
      <c r="JK132">
        <v>32.299999999999997</v>
      </c>
      <c r="JL132">
        <v>32.31</v>
      </c>
      <c r="JM132">
        <v>32.61</v>
      </c>
      <c r="JO132">
        <v>32.75</v>
      </c>
      <c r="JP132">
        <v>32.86</v>
      </c>
      <c r="JQ132">
        <v>32.99</v>
      </c>
      <c r="JR132">
        <v>33.08</v>
      </c>
      <c r="JS132">
        <v>33.1</v>
      </c>
      <c r="JT132">
        <v>33.22</v>
      </c>
      <c r="JU132">
        <v>33.35</v>
      </c>
      <c r="JV132">
        <v>33.47</v>
      </c>
      <c r="JW132">
        <v>33.619999999999997</v>
      </c>
      <c r="JX132">
        <v>33.729999999999997</v>
      </c>
      <c r="JY132">
        <v>33.79</v>
      </c>
      <c r="JZ132">
        <v>33.799999999999997</v>
      </c>
      <c r="KA132">
        <v>33.89</v>
      </c>
      <c r="KB132">
        <v>34.1</v>
      </c>
      <c r="KD132">
        <v>34.19</v>
      </c>
      <c r="KE132">
        <v>34.33</v>
      </c>
      <c r="KG132">
        <v>34.39</v>
      </c>
      <c r="KH132">
        <v>34.51</v>
      </c>
      <c r="KI132">
        <v>34.61</v>
      </c>
      <c r="KK132">
        <v>34.83</v>
      </c>
      <c r="KL132">
        <v>34.950000000000003</v>
      </c>
      <c r="KM132">
        <v>35</v>
      </c>
      <c r="KN132">
        <v>35.020000000000003</v>
      </c>
      <c r="KO132">
        <v>35.090000000000003</v>
      </c>
      <c r="KQ132">
        <v>35.32</v>
      </c>
      <c r="KR132">
        <v>35.46</v>
      </c>
      <c r="KS132">
        <v>35.56</v>
      </c>
      <c r="KT132">
        <v>35.630000000000003</v>
      </c>
      <c r="KW132">
        <v>35.83</v>
      </c>
      <c r="KX132">
        <v>35.94</v>
      </c>
      <c r="KY132">
        <v>36.020000000000003</v>
      </c>
      <c r="KZ132">
        <v>36.14</v>
      </c>
      <c r="LA132">
        <v>36.19</v>
      </c>
      <c r="LB132">
        <v>36.22</v>
      </c>
      <c r="LC132">
        <v>36.340000000000003</v>
      </c>
      <c r="LD132">
        <v>36.47</v>
      </c>
      <c r="LG132">
        <v>36.869999999999997</v>
      </c>
      <c r="LH132">
        <v>36.93</v>
      </c>
      <c r="LI132">
        <v>36.950000000000003</v>
      </c>
      <c r="LK132">
        <v>37.21</v>
      </c>
      <c r="LL132">
        <v>37.35</v>
      </c>
      <c r="LM132">
        <v>37.49</v>
      </c>
      <c r="LO132">
        <v>37.729999999999997</v>
      </c>
      <c r="LP132">
        <v>37.79</v>
      </c>
      <c r="LQ132">
        <v>37.92</v>
      </c>
      <c r="LR132">
        <v>38.03</v>
      </c>
      <c r="LS132">
        <v>38.130000000000003</v>
      </c>
      <c r="LT132">
        <v>38.24</v>
      </c>
      <c r="LU132">
        <v>38.35</v>
      </c>
      <c r="LV132">
        <v>38.4</v>
      </c>
      <c r="LW132">
        <v>38.42</v>
      </c>
      <c r="LX132">
        <v>38.49</v>
      </c>
      <c r="LZ132">
        <v>38.69</v>
      </c>
      <c r="MC132">
        <v>38.94</v>
      </c>
      <c r="MD132">
        <v>38.96</v>
      </c>
      <c r="ME132">
        <v>39.049999999999997</v>
      </c>
      <c r="MF132">
        <v>39.159999999999997</v>
      </c>
      <c r="MG132">
        <v>39.26</v>
      </c>
      <c r="MH132">
        <v>39.36</v>
      </c>
      <c r="MI132">
        <v>39.47</v>
      </c>
      <c r="MJ132">
        <v>39.520000000000003</v>
      </c>
      <c r="MK132">
        <v>39.53</v>
      </c>
      <c r="ML132">
        <v>39.630000000000003</v>
      </c>
      <c r="MN132">
        <v>39.83</v>
      </c>
      <c r="MO132">
        <v>39.94</v>
      </c>
      <c r="MR132">
        <v>40.11</v>
      </c>
      <c r="MS132">
        <v>40.24</v>
      </c>
      <c r="MT132">
        <v>40.39</v>
      </c>
      <c r="MV132">
        <v>40.65</v>
      </c>
      <c r="MW132">
        <v>40.78</v>
      </c>
      <c r="MX132">
        <v>40.869999999999997</v>
      </c>
      <c r="MZ132">
        <v>41.01</v>
      </c>
      <c r="NA132">
        <v>41.16</v>
      </c>
      <c r="NB132">
        <v>41.35</v>
      </c>
      <c r="ND132">
        <v>41.65</v>
      </c>
      <c r="NE132">
        <v>41.77</v>
      </c>
      <c r="NF132">
        <v>41.79</v>
      </c>
      <c r="NG132">
        <v>42.05</v>
      </c>
      <c r="NI132">
        <v>42.21</v>
      </c>
      <c r="NK132">
        <v>42.58</v>
      </c>
      <c r="NM132">
        <v>42.65</v>
      </c>
      <c r="NN132">
        <v>42.78</v>
      </c>
      <c r="NO132">
        <v>42.94</v>
      </c>
      <c r="NP132">
        <v>43.06</v>
      </c>
      <c r="NQ132">
        <v>43.27</v>
      </c>
      <c r="NS132">
        <v>43.5</v>
      </c>
      <c r="NT132">
        <v>43.52</v>
      </c>
      <c r="NU132">
        <v>43.67</v>
      </c>
      <c r="NV132">
        <v>43.84</v>
      </c>
      <c r="NX132">
        <v>44.11</v>
      </c>
      <c r="NY132">
        <v>44.15</v>
      </c>
      <c r="NZ132">
        <v>44.15</v>
      </c>
      <c r="OA132">
        <v>44.16</v>
      </c>
      <c r="OB132">
        <v>44.23</v>
      </c>
      <c r="OC132">
        <v>44.35</v>
      </c>
      <c r="OD132">
        <v>44.51</v>
      </c>
      <c r="OE132">
        <v>44.62</v>
      </c>
      <c r="OF132">
        <v>44.63</v>
      </c>
      <c r="OG132">
        <v>44.65</v>
      </c>
      <c r="OI132">
        <v>44.82</v>
      </c>
      <c r="OJ132">
        <v>45.02</v>
      </c>
      <c r="OK132">
        <v>45.24</v>
      </c>
      <c r="OM132">
        <v>45.64</v>
      </c>
      <c r="ON132">
        <v>45.7</v>
      </c>
      <c r="OO132">
        <v>45.71</v>
      </c>
      <c r="OP132">
        <v>45.89</v>
      </c>
      <c r="OQ132">
        <v>46.1</v>
      </c>
      <c r="OR132">
        <v>46.3</v>
      </c>
      <c r="OS132">
        <v>46.51</v>
      </c>
      <c r="OT132">
        <v>46.72</v>
      </c>
      <c r="OV132">
        <v>46.85</v>
      </c>
      <c r="OW132">
        <v>47.02</v>
      </c>
      <c r="OX132">
        <v>47.22</v>
      </c>
      <c r="OY132">
        <v>47.41</v>
      </c>
      <c r="OZ132">
        <v>47.6</v>
      </c>
      <c r="PA132">
        <v>47.8</v>
      </c>
      <c r="PB132">
        <v>47.85</v>
      </c>
      <c r="PC132">
        <v>47.86</v>
      </c>
      <c r="PD132">
        <v>48</v>
      </c>
      <c r="PE132">
        <v>48.16</v>
      </c>
      <c r="PF132">
        <v>48.35</v>
      </c>
      <c r="PG132">
        <v>48.53</v>
      </c>
      <c r="PI132">
        <v>48.79</v>
      </c>
      <c r="PK132">
        <v>48.81</v>
      </c>
      <c r="PL132">
        <v>49.09</v>
      </c>
      <c r="PN132">
        <v>49.43</v>
      </c>
      <c r="PP132">
        <v>49.63</v>
      </c>
      <c r="PQ132">
        <v>49.68</v>
      </c>
      <c r="PR132">
        <v>49.83</v>
      </c>
      <c r="PT132">
        <v>50.15</v>
      </c>
      <c r="PV132">
        <v>50.29</v>
      </c>
      <c r="PW132">
        <v>50.48</v>
      </c>
      <c r="PX132">
        <v>50.54</v>
      </c>
      <c r="PY132">
        <v>50.65</v>
      </c>
      <c r="PZ132">
        <v>50.79</v>
      </c>
      <c r="QB132">
        <v>51.04</v>
      </c>
      <c r="QD132">
        <v>51.18</v>
      </c>
      <c r="QE132">
        <v>51.23</v>
      </c>
      <c r="QF132">
        <v>51.37</v>
      </c>
      <c r="QG132">
        <v>51.46</v>
      </c>
      <c r="QH132">
        <v>51.55</v>
      </c>
      <c r="QI132">
        <v>51.65</v>
      </c>
      <c r="QJ132">
        <v>51.75</v>
      </c>
      <c r="QL132">
        <v>51.79</v>
      </c>
      <c r="QM132">
        <v>51.85</v>
      </c>
      <c r="QN132">
        <v>51.86</v>
      </c>
      <c r="QO132">
        <v>51.95</v>
      </c>
      <c r="QP132">
        <v>52.04</v>
      </c>
      <c r="QS132">
        <v>52.18</v>
      </c>
      <c r="QT132">
        <v>52.27</v>
      </c>
      <c r="QU132">
        <v>52.37</v>
      </c>
      <c r="QV132">
        <v>52.37</v>
      </c>
      <c r="QW132">
        <v>52.45</v>
      </c>
      <c r="QX132">
        <v>52.48</v>
      </c>
      <c r="QY132">
        <v>52.49</v>
      </c>
      <c r="QZ132">
        <v>52.5</v>
      </c>
      <c r="RA132">
        <v>52.53</v>
      </c>
      <c r="RB132">
        <v>52.57</v>
      </c>
      <c r="RC132">
        <v>52.61</v>
      </c>
      <c r="RD132">
        <v>52.65</v>
      </c>
      <c r="RE132">
        <v>52.69</v>
      </c>
      <c r="RF132">
        <v>52.71</v>
      </c>
      <c r="RG132">
        <v>52.71</v>
      </c>
      <c r="RH132">
        <v>52.71</v>
      </c>
      <c r="RI132">
        <v>52.78</v>
      </c>
      <c r="RJ132">
        <v>52.81</v>
      </c>
      <c r="RK132">
        <v>52.81</v>
      </c>
      <c r="RL132">
        <v>52.81</v>
      </c>
      <c r="RM132">
        <v>52.81</v>
      </c>
      <c r="RN132">
        <v>52.93</v>
      </c>
      <c r="RO132">
        <v>52.96</v>
      </c>
      <c r="RP132">
        <v>52.96</v>
      </c>
      <c r="RQ132">
        <v>53.02</v>
      </c>
      <c r="RR132">
        <v>53.05</v>
      </c>
      <c r="RS132">
        <v>53.05</v>
      </c>
      <c r="RT132">
        <v>53.09</v>
      </c>
      <c r="RU132">
        <v>53.12</v>
      </c>
      <c r="RV132">
        <v>53.16</v>
      </c>
      <c r="RX132">
        <v>53.19</v>
      </c>
      <c r="RY132">
        <v>53.21</v>
      </c>
      <c r="RZ132">
        <v>53.24</v>
      </c>
      <c r="SA132">
        <v>53.26</v>
      </c>
      <c r="SF132">
        <v>53.28</v>
      </c>
      <c r="SL132">
        <v>53.38</v>
      </c>
      <c r="TP132">
        <v>53.82</v>
      </c>
    </row>
    <row r="133" spans="1:812">
      <c r="A133" s="1" t="s">
        <v>201</v>
      </c>
      <c r="B133" t="s">
        <v>277</v>
      </c>
      <c r="W133">
        <v>0</v>
      </c>
      <c r="AP133">
        <v>6.12</v>
      </c>
      <c r="CI133">
        <v>39.78</v>
      </c>
      <c r="CX133">
        <v>46.07</v>
      </c>
      <c r="DL133">
        <v>52.26</v>
      </c>
      <c r="DY133">
        <v>58.49</v>
      </c>
      <c r="EF133">
        <v>62.15</v>
      </c>
      <c r="EM133">
        <v>63.97</v>
      </c>
      <c r="ET133">
        <v>66.09</v>
      </c>
      <c r="FF133">
        <v>73.040000000000006</v>
      </c>
      <c r="FO133">
        <v>76.52</v>
      </c>
      <c r="FV133">
        <v>80.97</v>
      </c>
      <c r="GC133">
        <v>86.55</v>
      </c>
      <c r="GQ133">
        <v>93.29</v>
      </c>
      <c r="GX133">
        <v>96.5</v>
      </c>
      <c r="HE133">
        <v>98.99</v>
      </c>
      <c r="HL133">
        <v>101.39</v>
      </c>
      <c r="HS133">
        <v>103.53</v>
      </c>
      <c r="IE133">
        <v>109.08</v>
      </c>
      <c r="IH133">
        <v>112.27</v>
      </c>
      <c r="JW133">
        <v>126.47</v>
      </c>
    </row>
    <row r="134" spans="1:812">
      <c r="A134" s="1" t="s">
        <v>190</v>
      </c>
      <c r="B134" t="s">
        <v>190</v>
      </c>
      <c r="BY134">
        <v>0</v>
      </c>
      <c r="CB134">
        <v>0.09</v>
      </c>
      <c r="CC134">
        <v>0.15</v>
      </c>
      <c r="CD134">
        <v>0.21</v>
      </c>
      <c r="CG134">
        <v>0.28999999999999998</v>
      </c>
      <c r="CI134">
        <v>0.4</v>
      </c>
      <c r="CN134">
        <v>0.64</v>
      </c>
      <c r="CO134">
        <v>0.93</v>
      </c>
      <c r="CP134">
        <v>1.47</v>
      </c>
      <c r="CQ134">
        <v>2.06</v>
      </c>
      <c r="CR134">
        <v>2.56</v>
      </c>
      <c r="CS134">
        <v>3.05</v>
      </c>
      <c r="CT134">
        <v>3.61</v>
      </c>
      <c r="CU134">
        <v>3.86</v>
      </c>
      <c r="CV134">
        <v>4.26</v>
      </c>
      <c r="CW134">
        <v>5.23</v>
      </c>
      <c r="CX134">
        <v>5.79</v>
      </c>
      <c r="CY134">
        <v>6.23</v>
      </c>
      <c r="CZ134">
        <v>6.38</v>
      </c>
      <c r="DB134">
        <v>6.82</v>
      </c>
      <c r="DC134">
        <v>7.84</v>
      </c>
      <c r="DF134">
        <v>8.42</v>
      </c>
      <c r="DH134">
        <v>8.51</v>
      </c>
      <c r="DI134">
        <v>8.85</v>
      </c>
      <c r="DJ134">
        <v>9.16</v>
      </c>
      <c r="DK134">
        <v>9.49</v>
      </c>
      <c r="DL134">
        <v>9.8699999999999992</v>
      </c>
      <c r="DM134">
        <v>10.27</v>
      </c>
      <c r="DN134">
        <v>11.48</v>
      </c>
      <c r="DO134">
        <v>12.64</v>
      </c>
      <c r="DP134">
        <v>14.24</v>
      </c>
      <c r="DR134">
        <v>17.38</v>
      </c>
      <c r="DS134">
        <v>18.28</v>
      </c>
      <c r="EF134">
        <v>20.46</v>
      </c>
      <c r="EK134">
        <v>30.72</v>
      </c>
      <c r="EL134">
        <v>32.96</v>
      </c>
      <c r="EM134">
        <v>34.729999999999997</v>
      </c>
      <c r="EN134">
        <v>36.869999999999997</v>
      </c>
      <c r="EO134">
        <v>39.549999999999997</v>
      </c>
      <c r="EP134">
        <v>42.66</v>
      </c>
      <c r="EQ134">
        <v>46.75</v>
      </c>
      <c r="ER134">
        <v>50.68</v>
      </c>
      <c r="ES134">
        <v>53.58</v>
      </c>
      <c r="ET134">
        <v>59.37</v>
      </c>
      <c r="EU134">
        <v>63.66</v>
      </c>
      <c r="EV134">
        <v>65.72</v>
      </c>
      <c r="EW134">
        <v>67.52</v>
      </c>
      <c r="EX134">
        <v>69.28</v>
      </c>
      <c r="EY134">
        <v>70.459999999999994</v>
      </c>
      <c r="EZ134">
        <v>71.599999999999994</v>
      </c>
      <c r="FA134">
        <v>72.38</v>
      </c>
      <c r="FB134">
        <v>73.150000000000006</v>
      </c>
      <c r="FC134">
        <v>73.56</v>
      </c>
      <c r="FD134">
        <v>73.89</v>
      </c>
      <c r="FE134">
        <v>74.56</v>
      </c>
      <c r="FF134">
        <v>75.3</v>
      </c>
      <c r="FG134">
        <v>76.13</v>
      </c>
      <c r="FH134">
        <v>76.959999999999994</v>
      </c>
      <c r="FI134">
        <v>77.98</v>
      </c>
      <c r="FJ134">
        <v>78.73</v>
      </c>
      <c r="FK134">
        <v>79.45</v>
      </c>
      <c r="FL134">
        <v>81.260000000000005</v>
      </c>
      <c r="FM134">
        <v>83.27</v>
      </c>
      <c r="FN134">
        <v>85.04</v>
      </c>
      <c r="FO134">
        <v>87.62</v>
      </c>
      <c r="FP134">
        <v>92.34</v>
      </c>
      <c r="FR134">
        <v>94.07</v>
      </c>
      <c r="FS134">
        <v>96.54</v>
      </c>
      <c r="FT134">
        <v>97.09</v>
      </c>
      <c r="FU134">
        <v>98.65</v>
      </c>
      <c r="FV134">
        <v>100.83</v>
      </c>
      <c r="FW134">
        <v>102.43</v>
      </c>
      <c r="FX134">
        <v>103.13</v>
      </c>
      <c r="FY134">
        <v>103.64</v>
      </c>
      <c r="FZ134">
        <v>104.83</v>
      </c>
      <c r="GA134">
        <v>106.19</v>
      </c>
      <c r="GC134">
        <v>107.02</v>
      </c>
      <c r="GD134">
        <v>107.63</v>
      </c>
      <c r="GE134">
        <v>107.82</v>
      </c>
      <c r="GF134">
        <v>107.93</v>
      </c>
      <c r="GG134">
        <v>108.37</v>
      </c>
      <c r="GH134">
        <v>108.77</v>
      </c>
      <c r="GJ134">
        <v>109.45</v>
      </c>
      <c r="GK134">
        <v>109.8</v>
      </c>
      <c r="GM134">
        <v>110.07</v>
      </c>
      <c r="GO134">
        <v>110.83</v>
      </c>
      <c r="GP134">
        <v>111.19</v>
      </c>
      <c r="GR134">
        <v>112.02</v>
      </c>
      <c r="GT134">
        <v>112.34</v>
      </c>
      <c r="GU134">
        <v>113.47</v>
      </c>
      <c r="GW134">
        <v>114.93</v>
      </c>
      <c r="GX134">
        <v>115.56</v>
      </c>
      <c r="GY134">
        <v>116.22</v>
      </c>
      <c r="HA134">
        <v>116.75</v>
      </c>
      <c r="HC134">
        <v>117.92</v>
      </c>
      <c r="HD134">
        <v>118.34</v>
      </c>
      <c r="HE134">
        <v>118.6</v>
      </c>
      <c r="HG134">
        <v>118.96</v>
      </c>
      <c r="HK134">
        <v>119.05</v>
      </c>
      <c r="HL134">
        <v>119.36</v>
      </c>
      <c r="HN134">
        <v>119.76</v>
      </c>
      <c r="HO134">
        <v>119.91</v>
      </c>
      <c r="HP134">
        <v>120.51</v>
      </c>
      <c r="HQ134">
        <v>121.17</v>
      </c>
      <c r="HR134">
        <v>121.98</v>
      </c>
      <c r="HS134">
        <v>122.77</v>
      </c>
      <c r="HT134">
        <v>123.46</v>
      </c>
      <c r="HV134">
        <v>124.1</v>
      </c>
      <c r="HW134">
        <v>124.79</v>
      </c>
      <c r="HX134">
        <v>125.41</v>
      </c>
      <c r="HY134">
        <v>125.9</v>
      </c>
      <c r="IA134">
        <v>126.73</v>
      </c>
      <c r="IC134">
        <v>126.95</v>
      </c>
      <c r="ID134">
        <v>127.25</v>
      </c>
      <c r="IE134">
        <v>127.29</v>
      </c>
      <c r="IF134">
        <v>127.67</v>
      </c>
      <c r="IG134">
        <v>127.88</v>
      </c>
      <c r="IH134">
        <v>128.06</v>
      </c>
      <c r="II134">
        <v>128.11000000000001</v>
      </c>
      <c r="IJ134">
        <v>128.13999999999999</v>
      </c>
      <c r="IK134">
        <v>128.32</v>
      </c>
      <c r="IL134">
        <v>128.46</v>
      </c>
      <c r="IM134">
        <v>128.66</v>
      </c>
      <c r="IN134">
        <v>128.87</v>
      </c>
      <c r="IO134">
        <v>129.12</v>
      </c>
      <c r="IP134">
        <v>129.19999999999999</v>
      </c>
      <c r="IQ134">
        <v>129.21</v>
      </c>
      <c r="IR134">
        <v>129.35</v>
      </c>
      <c r="IT134">
        <v>129.79</v>
      </c>
      <c r="IU134">
        <v>129.97999999999999</v>
      </c>
      <c r="IV134">
        <v>128.5</v>
      </c>
      <c r="IW134">
        <v>128.58000000000001</v>
      </c>
      <c r="IX134">
        <v>128.63999999999999</v>
      </c>
      <c r="IY134">
        <v>128.91</v>
      </c>
      <c r="IZ134">
        <v>129.12</v>
      </c>
      <c r="JA134">
        <v>129.34</v>
      </c>
      <c r="JB134">
        <v>129.49</v>
      </c>
      <c r="JD134">
        <v>129.77000000000001</v>
      </c>
      <c r="JE134">
        <v>129.80000000000001</v>
      </c>
      <c r="JF134">
        <v>129.99</v>
      </c>
      <c r="JG134">
        <v>130.16999999999999</v>
      </c>
      <c r="JH134">
        <v>130.28</v>
      </c>
      <c r="JI134">
        <v>130.38999999999999</v>
      </c>
      <c r="JJ134">
        <v>130.47999999999999</v>
      </c>
      <c r="JK134">
        <v>130.53</v>
      </c>
      <c r="JL134">
        <v>130.56</v>
      </c>
      <c r="JM134">
        <v>130.63</v>
      </c>
      <c r="JN134">
        <v>130.72</v>
      </c>
      <c r="JO134">
        <v>130.81</v>
      </c>
      <c r="JP134">
        <v>130.84</v>
      </c>
      <c r="JR134">
        <v>130.91999999999999</v>
      </c>
      <c r="JT134">
        <v>131.03</v>
      </c>
      <c r="JU134">
        <v>131.1</v>
      </c>
      <c r="JV134">
        <v>131.13999999999999</v>
      </c>
      <c r="JW134">
        <v>131.18</v>
      </c>
      <c r="JX134">
        <v>131.24</v>
      </c>
      <c r="JZ134">
        <v>131.27000000000001</v>
      </c>
      <c r="KA134">
        <v>131.32</v>
      </c>
      <c r="KB134">
        <v>131.35</v>
      </c>
      <c r="KC134">
        <v>131.38999999999999</v>
      </c>
      <c r="KD134">
        <v>131.41999999999999</v>
      </c>
      <c r="KE134">
        <v>131.44999999999999</v>
      </c>
      <c r="KG134">
        <v>131.46</v>
      </c>
      <c r="KH134">
        <v>131.5</v>
      </c>
      <c r="KI134">
        <v>131.53</v>
      </c>
      <c r="KJ134">
        <v>131.57</v>
      </c>
      <c r="KK134">
        <v>131.6</v>
      </c>
      <c r="KL134">
        <v>131.62</v>
      </c>
      <c r="KM134">
        <v>131.63</v>
      </c>
      <c r="KN134">
        <v>131.63</v>
      </c>
      <c r="KO134">
        <v>131.66</v>
      </c>
      <c r="KP134">
        <v>131.68</v>
      </c>
      <c r="KQ134">
        <v>131.69999999999999</v>
      </c>
      <c r="KR134">
        <v>131.72</v>
      </c>
      <c r="KU134">
        <v>131.75</v>
      </c>
      <c r="KV134">
        <v>131.77000000000001</v>
      </c>
      <c r="KW134">
        <v>131.79</v>
      </c>
      <c r="KX134">
        <v>131.81</v>
      </c>
      <c r="KY134">
        <v>131.83000000000001</v>
      </c>
      <c r="LB134">
        <v>131.85</v>
      </c>
      <c r="LC134">
        <v>131.87</v>
      </c>
      <c r="LD134">
        <v>131.88</v>
      </c>
      <c r="LE134">
        <v>131.9</v>
      </c>
      <c r="LI134">
        <v>131.93</v>
      </c>
      <c r="LK134">
        <v>131.96</v>
      </c>
      <c r="LM134">
        <v>131.99</v>
      </c>
      <c r="LP134">
        <v>132.02000000000001</v>
      </c>
      <c r="LU134">
        <v>132.08000000000001</v>
      </c>
      <c r="LV134">
        <v>132.08000000000001</v>
      </c>
      <c r="LZ134">
        <v>132.16</v>
      </c>
      <c r="MB134">
        <v>132.22</v>
      </c>
      <c r="MD134">
        <v>132.22999999999999</v>
      </c>
      <c r="ME134">
        <v>132.25</v>
      </c>
      <c r="MF134">
        <v>132.27000000000001</v>
      </c>
      <c r="MH134">
        <v>132.31</v>
      </c>
      <c r="MI134">
        <v>132.33000000000001</v>
      </c>
      <c r="MK134">
        <v>132.34</v>
      </c>
      <c r="ML134">
        <v>132.36000000000001</v>
      </c>
      <c r="MM134">
        <v>132.38</v>
      </c>
      <c r="MN134">
        <v>132.41</v>
      </c>
      <c r="MO134">
        <v>132.43</v>
      </c>
      <c r="MQ134">
        <v>132.44999999999999</v>
      </c>
      <c r="MR134">
        <v>132.44999999999999</v>
      </c>
      <c r="MS134">
        <v>132.47999999999999</v>
      </c>
      <c r="MU134">
        <v>132.54</v>
      </c>
      <c r="MV134">
        <v>132.57</v>
      </c>
      <c r="MW134">
        <v>132.59</v>
      </c>
      <c r="MX134">
        <v>132.6</v>
      </c>
      <c r="MY134">
        <v>132.61000000000001</v>
      </c>
      <c r="MZ134">
        <v>132.63</v>
      </c>
      <c r="NB134">
        <v>132.68</v>
      </c>
      <c r="NC134">
        <v>132.69</v>
      </c>
      <c r="NE134">
        <v>132.72</v>
      </c>
      <c r="NF134">
        <v>132.72999999999999</v>
      </c>
      <c r="NG134">
        <v>132.72999999999999</v>
      </c>
      <c r="NH134">
        <v>132.75</v>
      </c>
      <c r="NI134">
        <v>132.85</v>
      </c>
      <c r="NJ134">
        <v>132.87</v>
      </c>
      <c r="NK134">
        <v>132.88999999999999</v>
      </c>
      <c r="NL134">
        <v>132.9</v>
      </c>
      <c r="NM134">
        <v>132.9</v>
      </c>
      <c r="NO134">
        <v>132.93</v>
      </c>
      <c r="NP134">
        <v>159.09</v>
      </c>
      <c r="NQ134">
        <v>159.31</v>
      </c>
      <c r="NR134">
        <v>159.59</v>
      </c>
      <c r="NS134">
        <v>159.85</v>
      </c>
      <c r="NU134">
        <v>159.96</v>
      </c>
      <c r="NV134">
        <v>160.16</v>
      </c>
      <c r="NW134">
        <v>160.32</v>
      </c>
      <c r="NY134">
        <v>160.41</v>
      </c>
      <c r="NZ134">
        <v>160.59</v>
      </c>
      <c r="OA134">
        <v>160.63999999999999</v>
      </c>
      <c r="OC134">
        <v>160.69999999999999</v>
      </c>
      <c r="OD134">
        <v>160.80000000000001</v>
      </c>
      <c r="OE134">
        <v>160.91999999999999</v>
      </c>
      <c r="OF134">
        <v>161.07</v>
      </c>
      <c r="OG134">
        <v>161.21</v>
      </c>
      <c r="OH134">
        <v>161.27000000000001</v>
      </c>
      <c r="OI134">
        <v>161.30000000000001</v>
      </c>
      <c r="OJ134">
        <v>161.44</v>
      </c>
      <c r="OK134">
        <v>161.62</v>
      </c>
      <c r="OL134">
        <v>161.82</v>
      </c>
      <c r="OM134">
        <v>161.88999999999999</v>
      </c>
      <c r="OO134">
        <v>162.29</v>
      </c>
      <c r="OP134">
        <v>162.33000000000001</v>
      </c>
      <c r="OQ134">
        <v>162.55000000000001</v>
      </c>
      <c r="OR134">
        <v>162.69999999999999</v>
      </c>
      <c r="OS134">
        <v>162.83000000000001</v>
      </c>
      <c r="OT134">
        <v>162.97999999999999</v>
      </c>
      <c r="OU134">
        <v>163.12</v>
      </c>
      <c r="OV134">
        <v>163.16999999999999</v>
      </c>
      <c r="OW134">
        <v>163.19</v>
      </c>
      <c r="OX134">
        <v>163.30000000000001</v>
      </c>
      <c r="OY134">
        <v>163.38</v>
      </c>
      <c r="OZ134">
        <v>163.46</v>
      </c>
      <c r="PA134">
        <v>163.52000000000001</v>
      </c>
      <c r="PB134">
        <v>163.59</v>
      </c>
      <c r="PC134">
        <v>163.6</v>
      </c>
      <c r="PD134">
        <v>163.61000000000001</v>
      </c>
      <c r="PE134">
        <v>163.65</v>
      </c>
      <c r="PG134">
        <v>163.66</v>
      </c>
      <c r="PM134">
        <v>163.74</v>
      </c>
      <c r="PN134">
        <v>163.78</v>
      </c>
      <c r="PO134">
        <v>163.83000000000001</v>
      </c>
      <c r="PQ134">
        <v>163.88</v>
      </c>
      <c r="PR134">
        <v>163.88</v>
      </c>
      <c r="PS134">
        <v>163.92</v>
      </c>
      <c r="PT134">
        <v>163.94</v>
      </c>
      <c r="PV134">
        <v>164.02</v>
      </c>
      <c r="PX134">
        <v>164.05</v>
      </c>
      <c r="PZ134">
        <v>164.1</v>
      </c>
      <c r="QB134">
        <v>164.18</v>
      </c>
      <c r="QC134">
        <v>164.2</v>
      </c>
      <c r="QD134">
        <v>164.23</v>
      </c>
      <c r="QH134">
        <v>164.29</v>
      </c>
      <c r="QI134">
        <v>164.31</v>
      </c>
      <c r="QJ134">
        <v>164.33</v>
      </c>
      <c r="QM134">
        <v>164.34</v>
      </c>
      <c r="QN134">
        <v>164.36</v>
      </c>
      <c r="QP134">
        <v>164.38</v>
      </c>
      <c r="QQ134">
        <v>164.4</v>
      </c>
      <c r="QR134">
        <v>164.41</v>
      </c>
      <c r="QU134">
        <v>164.43</v>
      </c>
      <c r="QV134">
        <v>164.45</v>
      </c>
      <c r="QX134">
        <v>164.48</v>
      </c>
      <c r="QZ134">
        <v>164.49</v>
      </c>
      <c r="RC134">
        <v>164.52</v>
      </c>
      <c r="RD134">
        <v>164.53</v>
      </c>
      <c r="RE134">
        <v>164.54</v>
      </c>
      <c r="RF134">
        <v>164.55</v>
      </c>
      <c r="RI134">
        <v>164.56</v>
      </c>
      <c r="RN134">
        <v>164.62</v>
      </c>
      <c r="RO134">
        <v>164.63</v>
      </c>
      <c r="RQ134">
        <v>164.65</v>
      </c>
      <c r="RS134">
        <v>164.66</v>
      </c>
      <c r="RT134">
        <v>164.67</v>
      </c>
      <c r="RU134">
        <v>164.68</v>
      </c>
      <c r="RW134">
        <v>164.7</v>
      </c>
      <c r="RZ134">
        <v>164.75</v>
      </c>
      <c r="SA134">
        <v>164.78</v>
      </c>
      <c r="SG134">
        <v>164.83</v>
      </c>
      <c r="SH134">
        <v>164.86</v>
      </c>
      <c r="SN134">
        <v>164.93</v>
      </c>
      <c r="ST134">
        <v>164.96</v>
      </c>
      <c r="TA134">
        <v>164.99</v>
      </c>
    </row>
    <row r="135" spans="1:812">
      <c r="A135" s="1" t="s">
        <v>135</v>
      </c>
      <c r="B135" t="s">
        <v>135</v>
      </c>
      <c r="BW135">
        <v>0</v>
      </c>
      <c r="CB135">
        <v>0.18</v>
      </c>
      <c r="CC135">
        <v>0.21</v>
      </c>
      <c r="CF135">
        <v>0.24</v>
      </c>
      <c r="CH135">
        <v>0.31</v>
      </c>
      <c r="CJ135">
        <v>0.36</v>
      </c>
      <c r="CK135">
        <v>0.38</v>
      </c>
      <c r="CM135">
        <v>0.49</v>
      </c>
      <c r="CQ135">
        <v>0.54</v>
      </c>
      <c r="CS135">
        <v>0.6</v>
      </c>
      <c r="CU135">
        <v>0.8</v>
      </c>
      <c r="CV135">
        <v>0.91</v>
      </c>
      <c r="CW135">
        <v>0.97</v>
      </c>
      <c r="CX135">
        <v>1.0900000000000001</v>
      </c>
      <c r="CY135">
        <v>1.1599999999999999</v>
      </c>
      <c r="DB135">
        <v>1.38</v>
      </c>
      <c r="DC135">
        <v>1.72</v>
      </c>
      <c r="DD135">
        <v>2.06</v>
      </c>
      <c r="DE135">
        <v>2.35</v>
      </c>
      <c r="DF135">
        <v>2.62</v>
      </c>
      <c r="DG135">
        <v>2.97</v>
      </c>
      <c r="DH135">
        <v>3.21</v>
      </c>
      <c r="DI135">
        <v>3.24</v>
      </c>
      <c r="DJ135">
        <v>3.57</v>
      </c>
      <c r="DK135">
        <v>3.67</v>
      </c>
      <c r="DL135">
        <v>3.98</v>
      </c>
      <c r="DM135">
        <v>4.29</v>
      </c>
      <c r="DN135">
        <v>4.7300000000000004</v>
      </c>
      <c r="DO135">
        <v>5.04</v>
      </c>
      <c r="DP135">
        <v>5.47</v>
      </c>
      <c r="DQ135">
        <v>5.87</v>
      </c>
      <c r="DR135">
        <v>6.14</v>
      </c>
      <c r="DS135">
        <v>6.34</v>
      </c>
      <c r="DT135">
        <v>6.59</v>
      </c>
      <c r="DU135">
        <v>6.76</v>
      </c>
      <c r="DV135">
        <v>6.83</v>
      </c>
      <c r="DW135">
        <v>7.16</v>
      </c>
      <c r="DX135">
        <v>7.47</v>
      </c>
      <c r="DY135">
        <v>7.85</v>
      </c>
      <c r="DZ135">
        <v>8.09</v>
      </c>
      <c r="EA135">
        <v>8.34</v>
      </c>
      <c r="EB135">
        <v>8.6999999999999993</v>
      </c>
      <c r="EC135">
        <v>8.84</v>
      </c>
      <c r="ED135">
        <v>8.98</v>
      </c>
      <c r="EE135">
        <v>9.15</v>
      </c>
      <c r="EF135">
        <v>9.26</v>
      </c>
      <c r="EG135">
        <v>9.35</v>
      </c>
      <c r="EH135">
        <v>9.44</v>
      </c>
      <c r="EI135">
        <v>9.5399999999999991</v>
      </c>
      <c r="EJ135">
        <v>9.56</v>
      </c>
      <c r="EK135">
        <v>9.58</v>
      </c>
      <c r="EL135">
        <v>9.6199999999999992</v>
      </c>
      <c r="EM135">
        <v>9.68</v>
      </c>
      <c r="EN135">
        <v>9.83</v>
      </c>
      <c r="EO135">
        <v>10.039999999999999</v>
      </c>
      <c r="EQ135">
        <v>10.16</v>
      </c>
      <c r="ER135">
        <v>10.43</v>
      </c>
      <c r="ES135">
        <v>13.58</v>
      </c>
      <c r="ET135">
        <v>15.01</v>
      </c>
      <c r="EV135">
        <v>16.38</v>
      </c>
      <c r="EW135">
        <v>17.440000000000001</v>
      </c>
      <c r="EX135">
        <v>18.239999999999998</v>
      </c>
      <c r="EY135">
        <v>19.23</v>
      </c>
      <c r="EZ135">
        <v>20.010000000000002</v>
      </c>
      <c r="FA135">
        <v>20.79</v>
      </c>
      <c r="FB135">
        <v>21.28</v>
      </c>
      <c r="FC135">
        <v>21.85</v>
      </c>
      <c r="FD135">
        <v>22.31</v>
      </c>
      <c r="FE135">
        <v>22.58</v>
      </c>
      <c r="FF135">
        <v>23.14</v>
      </c>
      <c r="FG135">
        <v>23.61</v>
      </c>
      <c r="FH135">
        <v>24.13</v>
      </c>
      <c r="FI135">
        <v>24.53</v>
      </c>
      <c r="FK135">
        <v>24.96</v>
      </c>
      <c r="FL135">
        <v>25.09</v>
      </c>
      <c r="FM135">
        <v>25.49</v>
      </c>
      <c r="FN135">
        <v>28.79</v>
      </c>
      <c r="FP135">
        <v>30.44</v>
      </c>
      <c r="FQ135">
        <v>31.88</v>
      </c>
      <c r="FR135">
        <v>32.89</v>
      </c>
      <c r="FS135">
        <v>33.549999999999997</v>
      </c>
      <c r="FT135">
        <v>34.76</v>
      </c>
      <c r="FU135">
        <v>35.61</v>
      </c>
      <c r="FV135">
        <v>36.590000000000003</v>
      </c>
      <c r="FW135">
        <v>37.299999999999997</v>
      </c>
      <c r="FX135">
        <v>38.03</v>
      </c>
      <c r="FY135">
        <v>38.54</v>
      </c>
      <c r="FZ135">
        <v>38.869999999999997</v>
      </c>
      <c r="GA135">
        <v>39.57</v>
      </c>
      <c r="GB135">
        <v>40.159999999999997</v>
      </c>
      <c r="GC135">
        <v>40.770000000000003</v>
      </c>
      <c r="GD135">
        <v>41.31</v>
      </c>
      <c r="GE135">
        <v>41.6</v>
      </c>
      <c r="GG135">
        <v>41.94</v>
      </c>
      <c r="GH135">
        <v>42.35</v>
      </c>
      <c r="GJ135">
        <v>43.03</v>
      </c>
      <c r="GK135">
        <v>43.41</v>
      </c>
      <c r="GL135">
        <v>43.71</v>
      </c>
      <c r="GM135">
        <v>43.89</v>
      </c>
      <c r="GN135">
        <v>44</v>
      </c>
      <c r="GO135">
        <v>44.29</v>
      </c>
      <c r="GP135">
        <v>44.52</v>
      </c>
      <c r="GQ135">
        <v>44.86</v>
      </c>
      <c r="GS135">
        <v>45.39</v>
      </c>
      <c r="GT135">
        <v>45.51</v>
      </c>
      <c r="GU135">
        <v>45.59</v>
      </c>
      <c r="GV135">
        <v>45.8</v>
      </c>
      <c r="GW135">
        <v>45.99</v>
      </c>
      <c r="GX135">
        <v>46.21</v>
      </c>
      <c r="GY135">
        <v>46.43</v>
      </c>
      <c r="GZ135">
        <v>46.62</v>
      </c>
      <c r="HA135">
        <v>46.78</v>
      </c>
      <c r="HB135">
        <v>46.86</v>
      </c>
      <c r="HC135">
        <v>47.15</v>
      </c>
      <c r="HD135">
        <v>47.39</v>
      </c>
      <c r="HE135">
        <v>47.67</v>
      </c>
      <c r="HF135">
        <v>47.86</v>
      </c>
      <c r="HG135">
        <v>48.06</v>
      </c>
      <c r="HH135">
        <v>48.14</v>
      </c>
      <c r="HI135">
        <v>48.17</v>
      </c>
      <c r="HJ135">
        <v>48.34</v>
      </c>
      <c r="HK135">
        <v>48.4</v>
      </c>
      <c r="HL135">
        <v>48.51</v>
      </c>
      <c r="HM135">
        <v>48.69</v>
      </c>
      <c r="HN135">
        <v>48.9</v>
      </c>
      <c r="HO135">
        <v>48.99</v>
      </c>
      <c r="HP135">
        <v>49.03</v>
      </c>
      <c r="HQ135">
        <v>49.42</v>
      </c>
      <c r="HS135">
        <v>49.71</v>
      </c>
      <c r="HT135">
        <v>49.97</v>
      </c>
      <c r="HU135">
        <v>50.26</v>
      </c>
      <c r="HV135">
        <v>50.48</v>
      </c>
      <c r="HW135">
        <v>50.59</v>
      </c>
      <c r="HX135">
        <v>51</v>
      </c>
      <c r="HY135">
        <v>51.39</v>
      </c>
      <c r="HZ135">
        <v>51.81</v>
      </c>
      <c r="IA135">
        <v>52.16</v>
      </c>
      <c r="IB135">
        <v>52.54</v>
      </c>
      <c r="IC135">
        <v>52.86</v>
      </c>
      <c r="ID135">
        <v>53.02</v>
      </c>
      <c r="IE135">
        <v>53.48</v>
      </c>
      <c r="IF135">
        <v>53.81</v>
      </c>
      <c r="IG135">
        <v>54.21</v>
      </c>
      <c r="IH135">
        <v>54.6</v>
      </c>
      <c r="II135">
        <v>54.98</v>
      </c>
      <c r="IJ135">
        <v>55.17</v>
      </c>
      <c r="IK135">
        <v>55.29</v>
      </c>
      <c r="IL135">
        <v>55.63</v>
      </c>
      <c r="IM135">
        <v>55.92</v>
      </c>
      <c r="IN135">
        <v>56.31</v>
      </c>
      <c r="IO135">
        <v>56.68</v>
      </c>
      <c r="IP135">
        <v>57.04</v>
      </c>
      <c r="IQ135">
        <v>57.21</v>
      </c>
      <c r="IR135">
        <v>57.33</v>
      </c>
      <c r="IS135">
        <v>57.69</v>
      </c>
      <c r="IT135">
        <v>58.08</v>
      </c>
      <c r="IU135">
        <v>58.5</v>
      </c>
      <c r="IV135">
        <v>58.95</v>
      </c>
      <c r="IW135">
        <v>59.38</v>
      </c>
      <c r="IX135">
        <v>59.66</v>
      </c>
      <c r="IY135">
        <v>59.79</v>
      </c>
      <c r="IZ135">
        <v>60.24</v>
      </c>
      <c r="JA135">
        <v>60.63</v>
      </c>
      <c r="JB135">
        <v>61.11</v>
      </c>
      <c r="JC135">
        <v>61.63</v>
      </c>
      <c r="JD135">
        <v>62.07</v>
      </c>
      <c r="JE135">
        <v>62.31</v>
      </c>
      <c r="JF135">
        <v>62.45</v>
      </c>
      <c r="JG135">
        <v>62.8</v>
      </c>
      <c r="JH135">
        <v>63.11</v>
      </c>
      <c r="JI135">
        <v>63.5</v>
      </c>
      <c r="JJ135">
        <v>63.87</v>
      </c>
      <c r="JK135">
        <v>64.25</v>
      </c>
      <c r="JL135">
        <v>64.38</v>
      </c>
      <c r="JM135">
        <v>64.459999999999994</v>
      </c>
      <c r="JN135">
        <v>64.73</v>
      </c>
      <c r="JO135">
        <v>64.97</v>
      </c>
      <c r="JP135">
        <v>65.319999999999993</v>
      </c>
      <c r="JQ135">
        <v>65.73</v>
      </c>
      <c r="JR135">
        <v>66.2</v>
      </c>
      <c r="JS135">
        <v>66.459999999999994</v>
      </c>
      <c r="JT135">
        <v>66.58</v>
      </c>
      <c r="JU135">
        <v>67.069999999999993</v>
      </c>
      <c r="JV135">
        <v>67.47</v>
      </c>
      <c r="JW135">
        <v>67.930000000000007</v>
      </c>
      <c r="JX135">
        <v>68.81</v>
      </c>
      <c r="JZ135">
        <v>68.989999999999995</v>
      </c>
      <c r="KA135">
        <v>69.08</v>
      </c>
      <c r="KB135">
        <v>69.45</v>
      </c>
      <c r="KC135">
        <v>70.069999999999993</v>
      </c>
      <c r="KE135">
        <v>70.430000000000007</v>
      </c>
      <c r="KF135">
        <v>70.89</v>
      </c>
      <c r="KG135">
        <v>71.14</v>
      </c>
      <c r="KH135">
        <v>71.25</v>
      </c>
      <c r="KI135">
        <v>71.72</v>
      </c>
      <c r="KJ135">
        <v>72.099999999999994</v>
      </c>
      <c r="KK135">
        <v>72.45</v>
      </c>
      <c r="KL135">
        <v>72.84</v>
      </c>
      <c r="KM135">
        <v>73.25</v>
      </c>
      <c r="KN135">
        <v>73.42</v>
      </c>
      <c r="KO135">
        <v>73.540000000000006</v>
      </c>
      <c r="KP135">
        <v>73.89</v>
      </c>
      <c r="KR135">
        <v>74.569999999999993</v>
      </c>
      <c r="KS135">
        <v>74.95</v>
      </c>
      <c r="KT135">
        <v>75.25</v>
      </c>
      <c r="KU135">
        <v>75.36</v>
      </c>
      <c r="KV135">
        <v>75.760000000000005</v>
      </c>
      <c r="KX135">
        <v>76.010000000000005</v>
      </c>
      <c r="KY135">
        <v>76.260000000000005</v>
      </c>
      <c r="KZ135">
        <v>76.56</v>
      </c>
      <c r="LA135">
        <v>77.03</v>
      </c>
      <c r="LC135">
        <v>77.13</v>
      </c>
      <c r="LD135">
        <v>77.489999999999995</v>
      </c>
      <c r="LE135">
        <v>77.81</v>
      </c>
      <c r="LF135">
        <v>78.06</v>
      </c>
      <c r="LG135">
        <v>78.33</v>
      </c>
      <c r="LH135">
        <v>78.569999999999993</v>
      </c>
      <c r="LI135">
        <v>78.67</v>
      </c>
      <c r="LJ135">
        <v>78.73</v>
      </c>
      <c r="LK135">
        <v>78.95</v>
      </c>
      <c r="LL135">
        <v>79.13</v>
      </c>
      <c r="LM135">
        <v>79.290000000000006</v>
      </c>
      <c r="LN135">
        <v>79.48</v>
      </c>
      <c r="LO135">
        <v>79.67</v>
      </c>
      <c r="LP135">
        <v>79.73</v>
      </c>
      <c r="LQ135">
        <v>79.760000000000005</v>
      </c>
      <c r="LR135">
        <v>79.92</v>
      </c>
      <c r="LS135">
        <v>80.06</v>
      </c>
      <c r="LT135">
        <v>80.349999999999994</v>
      </c>
      <c r="LV135">
        <v>80.540000000000006</v>
      </c>
      <c r="LW135">
        <v>80.66</v>
      </c>
      <c r="LX135">
        <v>80.739999999999995</v>
      </c>
      <c r="LY135">
        <v>80.959999999999994</v>
      </c>
      <c r="LZ135">
        <v>81.17</v>
      </c>
      <c r="MA135">
        <v>81.37</v>
      </c>
      <c r="MB135">
        <v>81.58</v>
      </c>
      <c r="MC135">
        <v>81.8</v>
      </c>
      <c r="MD135">
        <v>81.93</v>
      </c>
      <c r="ME135">
        <v>81.99</v>
      </c>
      <c r="MF135">
        <v>82.21</v>
      </c>
      <c r="MH135">
        <v>82.57</v>
      </c>
      <c r="MJ135">
        <v>82.92</v>
      </c>
      <c r="ML135">
        <v>83.23</v>
      </c>
      <c r="MN135">
        <v>83.38</v>
      </c>
      <c r="MO135">
        <v>83.47</v>
      </c>
      <c r="MP135">
        <v>83.7</v>
      </c>
      <c r="MQ135">
        <v>83.92</v>
      </c>
      <c r="MR135">
        <v>84.09</v>
      </c>
      <c r="MS135">
        <v>84.17</v>
      </c>
      <c r="MT135">
        <v>84.43</v>
      </c>
      <c r="MU135">
        <v>84.65</v>
      </c>
      <c r="MV135">
        <v>84.85</v>
      </c>
      <c r="MW135">
        <v>85.06</v>
      </c>
      <c r="MX135">
        <v>85.3</v>
      </c>
      <c r="MY135">
        <v>85.45</v>
      </c>
      <c r="MZ135">
        <v>85.51</v>
      </c>
      <c r="NA135">
        <v>85.76</v>
      </c>
      <c r="NB135">
        <v>85.95</v>
      </c>
      <c r="NC135">
        <v>86.13</v>
      </c>
      <c r="ND135">
        <v>86.3</v>
      </c>
      <c r="NE135">
        <v>86.46</v>
      </c>
      <c r="NF135">
        <v>86.55</v>
      </c>
      <c r="NG135">
        <v>86.59</v>
      </c>
      <c r="NH135">
        <v>86.74</v>
      </c>
      <c r="NI135">
        <v>86.87</v>
      </c>
      <c r="NJ135">
        <v>86.99</v>
      </c>
      <c r="NK135">
        <v>87.13</v>
      </c>
      <c r="NL135">
        <v>87.28</v>
      </c>
      <c r="NM135">
        <v>87.37</v>
      </c>
      <c r="NN135">
        <v>87.4</v>
      </c>
      <c r="NO135">
        <v>87.55</v>
      </c>
      <c r="NP135">
        <v>98.67</v>
      </c>
      <c r="NQ135">
        <v>98.94</v>
      </c>
      <c r="NR135">
        <v>99.21</v>
      </c>
      <c r="NS135">
        <v>99.52</v>
      </c>
      <c r="NT135">
        <v>99.73</v>
      </c>
      <c r="NV135">
        <v>100.12</v>
      </c>
      <c r="NW135">
        <v>100.41</v>
      </c>
      <c r="NX135">
        <v>100.73</v>
      </c>
      <c r="NY135">
        <v>101.03</v>
      </c>
      <c r="NZ135">
        <v>101.2</v>
      </c>
      <c r="OB135">
        <v>101.22</v>
      </c>
      <c r="OC135">
        <v>101.28</v>
      </c>
      <c r="OD135">
        <v>101.53</v>
      </c>
      <c r="OE135">
        <v>101.75</v>
      </c>
      <c r="OF135">
        <v>101.83</v>
      </c>
      <c r="OG135">
        <v>101.86</v>
      </c>
      <c r="OH135">
        <v>101.94</v>
      </c>
      <c r="OK135">
        <v>102.3</v>
      </c>
      <c r="OL135">
        <v>102.46</v>
      </c>
      <c r="OM135">
        <v>102.62</v>
      </c>
      <c r="ON135">
        <v>102.79</v>
      </c>
      <c r="OO135">
        <v>102.87</v>
      </c>
      <c r="OP135">
        <v>102.89</v>
      </c>
      <c r="OQ135">
        <v>103.05</v>
      </c>
      <c r="OR135">
        <v>103.18</v>
      </c>
      <c r="OS135">
        <v>103.3</v>
      </c>
      <c r="OT135">
        <v>103.41</v>
      </c>
      <c r="OU135">
        <v>103.52</v>
      </c>
      <c r="OV135">
        <v>103.57</v>
      </c>
      <c r="OW135">
        <v>103.69</v>
      </c>
      <c r="OY135">
        <v>103.89</v>
      </c>
      <c r="PA135">
        <v>103.98</v>
      </c>
      <c r="PC135">
        <v>104.12</v>
      </c>
      <c r="PD135">
        <v>104.13</v>
      </c>
      <c r="PE135">
        <v>104.23</v>
      </c>
      <c r="PG135">
        <v>104.37</v>
      </c>
      <c r="PH135">
        <v>104.46</v>
      </c>
      <c r="PI135">
        <v>104.56</v>
      </c>
      <c r="PJ135">
        <v>104.6</v>
      </c>
      <c r="PK135">
        <v>104.61</v>
      </c>
      <c r="PL135">
        <v>104.71</v>
      </c>
      <c r="PM135">
        <v>104.77</v>
      </c>
      <c r="PN135">
        <v>104.84</v>
      </c>
      <c r="PO135">
        <v>104.91</v>
      </c>
      <c r="PP135">
        <v>104.98</v>
      </c>
      <c r="PQ135">
        <v>105.01</v>
      </c>
      <c r="PR135">
        <v>105.03</v>
      </c>
      <c r="PS135">
        <v>105.1</v>
      </c>
      <c r="PT135">
        <v>105.15</v>
      </c>
      <c r="PU135">
        <v>105.21</v>
      </c>
      <c r="PW135">
        <v>105.33</v>
      </c>
      <c r="PX135">
        <v>105.36</v>
      </c>
      <c r="PY135">
        <v>105.36</v>
      </c>
      <c r="PZ135">
        <v>105.42</v>
      </c>
      <c r="QA135">
        <v>105.46</v>
      </c>
      <c r="QB135">
        <v>105.51</v>
      </c>
      <c r="QC135">
        <v>105.55</v>
      </c>
      <c r="QD135">
        <v>105.59</v>
      </c>
      <c r="QE135">
        <v>105.61</v>
      </c>
      <c r="QF135">
        <v>105.62</v>
      </c>
      <c r="QG135">
        <v>105.67</v>
      </c>
      <c r="QH135">
        <v>105.71</v>
      </c>
      <c r="QI135">
        <v>105.75</v>
      </c>
      <c r="QJ135">
        <v>105.79</v>
      </c>
      <c r="QK135">
        <v>105.83</v>
      </c>
      <c r="QL135">
        <v>105.85</v>
      </c>
      <c r="QM135">
        <v>105.85</v>
      </c>
      <c r="QN135">
        <v>105.89</v>
      </c>
      <c r="QO135">
        <v>105.92</v>
      </c>
      <c r="QP135">
        <v>105.95</v>
      </c>
      <c r="QQ135">
        <v>106.01</v>
      </c>
      <c r="QS135">
        <v>106.04</v>
      </c>
      <c r="QT135">
        <v>106.04</v>
      </c>
      <c r="QU135">
        <v>106.07</v>
      </c>
      <c r="QV135">
        <v>106.1</v>
      </c>
      <c r="QW135">
        <v>106.13</v>
      </c>
      <c r="QY135">
        <v>106.18</v>
      </c>
      <c r="QZ135">
        <v>106.19</v>
      </c>
      <c r="RA135">
        <v>106.2</v>
      </c>
      <c r="RB135">
        <v>106.23</v>
      </c>
      <c r="RC135">
        <v>106.25</v>
      </c>
      <c r="RD135">
        <v>106.28</v>
      </c>
      <c r="RE135">
        <v>106.31</v>
      </c>
      <c r="RF135">
        <v>106.34</v>
      </c>
      <c r="RG135">
        <v>106.36</v>
      </c>
      <c r="RH135">
        <v>106.36</v>
      </c>
      <c r="RI135">
        <v>106.39</v>
      </c>
      <c r="RJ135">
        <v>106.43</v>
      </c>
      <c r="RK135">
        <v>106.45</v>
      </c>
      <c r="RM135">
        <v>106.52</v>
      </c>
      <c r="RN135">
        <v>106.55</v>
      </c>
      <c r="RO135">
        <v>106.58</v>
      </c>
      <c r="RP135">
        <v>106.6</v>
      </c>
      <c r="RQ135">
        <v>106.67</v>
      </c>
      <c r="RR135">
        <v>106.67</v>
      </c>
      <c r="RS135">
        <v>106.69</v>
      </c>
      <c r="RU135">
        <v>106.73</v>
      </c>
      <c r="RW135">
        <v>106.8</v>
      </c>
      <c r="RX135">
        <v>106.82</v>
      </c>
      <c r="RY135">
        <v>106.83</v>
      </c>
      <c r="RZ135">
        <v>106.85</v>
      </c>
      <c r="SA135">
        <v>106.87</v>
      </c>
      <c r="SB135">
        <v>106.88</v>
      </c>
      <c r="SD135">
        <v>106.88</v>
      </c>
      <c r="SE135">
        <v>106.88</v>
      </c>
      <c r="SF135">
        <v>106.91</v>
      </c>
      <c r="SG135">
        <v>106.93</v>
      </c>
      <c r="SH135">
        <v>106.95</v>
      </c>
      <c r="SI135">
        <v>106.98</v>
      </c>
      <c r="SJ135">
        <v>106.98</v>
      </c>
      <c r="SK135">
        <v>106.98</v>
      </c>
      <c r="SL135">
        <v>106.99</v>
      </c>
      <c r="SM135">
        <v>106.99</v>
      </c>
      <c r="SN135">
        <v>107.01</v>
      </c>
      <c r="SO135">
        <v>107.03</v>
      </c>
      <c r="SP135">
        <v>107.06</v>
      </c>
      <c r="SQ135">
        <v>107.07</v>
      </c>
      <c r="SR135">
        <v>107.07</v>
      </c>
      <c r="SS135">
        <v>107.09</v>
      </c>
      <c r="ST135">
        <v>107.1</v>
      </c>
      <c r="SU135">
        <v>107.12</v>
      </c>
      <c r="SV135">
        <v>107.13</v>
      </c>
      <c r="SW135">
        <v>107.15</v>
      </c>
      <c r="SY135">
        <v>107.16</v>
      </c>
      <c r="SZ135">
        <v>107.17</v>
      </c>
      <c r="TA135">
        <v>107.18</v>
      </c>
      <c r="TB135">
        <v>107.2</v>
      </c>
      <c r="TC135">
        <v>107.21</v>
      </c>
      <c r="TD135">
        <v>107.22</v>
      </c>
      <c r="TE135">
        <v>107.22</v>
      </c>
      <c r="TF135">
        <v>107.22</v>
      </c>
      <c r="TG135">
        <v>107.22</v>
      </c>
      <c r="TH135">
        <v>107.24</v>
      </c>
      <c r="TI135">
        <v>107.25</v>
      </c>
      <c r="TJ135">
        <v>107.26</v>
      </c>
      <c r="TK135">
        <v>107.27</v>
      </c>
      <c r="TL135">
        <v>107.27</v>
      </c>
      <c r="TM135">
        <v>107.27</v>
      </c>
      <c r="TN135">
        <v>107.28</v>
      </c>
      <c r="TO135">
        <v>107.29</v>
      </c>
      <c r="TP135">
        <v>107.3</v>
      </c>
      <c r="TQ135">
        <v>107.31</v>
      </c>
      <c r="TR135">
        <v>107.32</v>
      </c>
      <c r="TS135">
        <v>107.33</v>
      </c>
      <c r="TT135">
        <v>107.33</v>
      </c>
      <c r="TU135">
        <v>107.34</v>
      </c>
      <c r="TW135">
        <v>107.36</v>
      </c>
      <c r="TX135">
        <v>107.37</v>
      </c>
      <c r="TY135">
        <v>107.38</v>
      </c>
      <c r="TZ135">
        <v>107.38</v>
      </c>
      <c r="UA135">
        <v>107.38</v>
      </c>
      <c r="UB135">
        <v>107.4</v>
      </c>
      <c r="UC135">
        <v>107.4</v>
      </c>
      <c r="UD135">
        <v>107.42</v>
      </c>
      <c r="UE135">
        <v>107.43</v>
      </c>
      <c r="UF135">
        <v>107.44</v>
      </c>
      <c r="UG135">
        <v>107.44</v>
      </c>
      <c r="UH135">
        <v>107.44</v>
      </c>
      <c r="UI135">
        <v>107.45</v>
      </c>
      <c r="UJ135">
        <v>107.46</v>
      </c>
      <c r="UK135">
        <v>107.46</v>
      </c>
      <c r="UL135">
        <v>107.47</v>
      </c>
      <c r="UM135">
        <v>107.47</v>
      </c>
      <c r="UN135">
        <v>107.48</v>
      </c>
      <c r="UO135">
        <v>107.48</v>
      </c>
      <c r="UP135">
        <v>107.48</v>
      </c>
      <c r="UQ135">
        <v>107.49</v>
      </c>
      <c r="UR135">
        <v>107.5</v>
      </c>
      <c r="UT135">
        <v>107.52</v>
      </c>
      <c r="UU135">
        <v>107.52</v>
      </c>
      <c r="UW135">
        <v>107.53</v>
      </c>
      <c r="UY135">
        <v>107.55</v>
      </c>
      <c r="VA135">
        <v>107.56</v>
      </c>
      <c r="VC135">
        <v>107.62</v>
      </c>
      <c r="VD135">
        <v>107.63</v>
      </c>
      <c r="VE135">
        <v>107.64</v>
      </c>
      <c r="VF135">
        <v>107.64</v>
      </c>
      <c r="VG135">
        <v>107.65</v>
      </c>
      <c r="VH135">
        <v>107.67</v>
      </c>
      <c r="VJ135">
        <v>107.67</v>
      </c>
      <c r="VK135">
        <v>107.68</v>
      </c>
      <c r="VM135">
        <v>107.7</v>
      </c>
      <c r="VN135">
        <v>107.73</v>
      </c>
      <c r="VO135">
        <v>107.75</v>
      </c>
      <c r="VP135">
        <v>107.75</v>
      </c>
      <c r="VR135">
        <v>107.77</v>
      </c>
      <c r="VT135">
        <v>107.79</v>
      </c>
      <c r="VU135">
        <v>107.81</v>
      </c>
      <c r="VV135">
        <v>107.84</v>
      </c>
      <c r="VW135">
        <v>107.85</v>
      </c>
      <c r="VX135">
        <v>107.86</v>
      </c>
      <c r="VY135">
        <v>107.88</v>
      </c>
      <c r="VZ135">
        <v>107.9</v>
      </c>
      <c r="WA135">
        <v>107.92</v>
      </c>
      <c r="WB135">
        <v>107.95</v>
      </c>
      <c r="WC135">
        <v>107.95</v>
      </c>
      <c r="WD135">
        <v>107.95</v>
      </c>
      <c r="WE135">
        <v>107.97</v>
      </c>
      <c r="WF135">
        <v>107.98</v>
      </c>
      <c r="WG135">
        <v>107.99</v>
      </c>
      <c r="WH135">
        <v>108.01</v>
      </c>
      <c r="WI135">
        <v>108.03</v>
      </c>
      <c r="WJ135">
        <v>108.03</v>
      </c>
      <c r="WK135">
        <v>108.03</v>
      </c>
      <c r="WL135">
        <v>108.03</v>
      </c>
      <c r="WM135">
        <v>108.06</v>
      </c>
      <c r="WN135">
        <v>108.06</v>
      </c>
      <c r="WO135">
        <v>108.07</v>
      </c>
      <c r="WP135">
        <v>108.11</v>
      </c>
      <c r="WV135">
        <v>108.17</v>
      </c>
    </row>
    <row r="136" spans="1:812">
      <c r="A136" s="1" t="s">
        <v>217</v>
      </c>
      <c r="B136" t="s">
        <v>217</v>
      </c>
      <c r="BK136">
        <v>0</v>
      </c>
      <c r="BZ136">
        <v>13.04</v>
      </c>
      <c r="CO136">
        <v>18.64</v>
      </c>
      <c r="CV136">
        <v>26.13</v>
      </c>
      <c r="DJ136">
        <v>30.85</v>
      </c>
      <c r="DX136">
        <v>35.03</v>
      </c>
      <c r="EE136">
        <v>38.19</v>
      </c>
      <c r="FI136">
        <v>48.57</v>
      </c>
      <c r="FP136">
        <v>50.45</v>
      </c>
      <c r="GD136">
        <v>51.69</v>
      </c>
      <c r="GK136">
        <v>52.01</v>
      </c>
      <c r="GR136">
        <v>52.81</v>
      </c>
      <c r="GY136">
        <v>53.03</v>
      </c>
      <c r="HF136">
        <v>53.91</v>
      </c>
      <c r="HM136">
        <v>54.21</v>
      </c>
      <c r="HT136">
        <v>54.61</v>
      </c>
      <c r="IA136">
        <v>55.83</v>
      </c>
      <c r="IH136">
        <v>56.57</v>
      </c>
    </row>
    <row r="137" spans="1:812">
      <c r="A137" s="1" t="s">
        <v>89</v>
      </c>
      <c r="B137" t="s">
        <v>278</v>
      </c>
      <c r="AZ137">
        <v>0</v>
      </c>
      <c r="BB137">
        <v>0.24</v>
      </c>
      <c r="BC137">
        <v>0.34</v>
      </c>
      <c r="BD137">
        <v>0.54</v>
      </c>
      <c r="BE137">
        <v>0.7</v>
      </c>
      <c r="BF137">
        <v>0.84</v>
      </c>
      <c r="BG137">
        <v>0.95</v>
      </c>
      <c r="BH137">
        <v>1.1100000000000001</v>
      </c>
      <c r="BI137">
        <v>1.26</v>
      </c>
      <c r="BK137">
        <v>1.49</v>
      </c>
      <c r="BL137">
        <v>1.67</v>
      </c>
      <c r="BM137">
        <v>2.02</v>
      </c>
      <c r="BN137">
        <v>2.3199999999999998</v>
      </c>
      <c r="BO137">
        <v>3.01</v>
      </c>
      <c r="BP137">
        <v>3.76</v>
      </c>
      <c r="BR137">
        <v>4.62</v>
      </c>
      <c r="BS137">
        <v>5.16</v>
      </c>
      <c r="BT137">
        <v>5.64</v>
      </c>
      <c r="BU137">
        <v>6.05</v>
      </c>
      <c r="BV137">
        <v>6.4</v>
      </c>
      <c r="BW137">
        <v>6.67</v>
      </c>
      <c r="BY137">
        <v>6.98</v>
      </c>
      <c r="BZ137">
        <v>7.23</v>
      </c>
      <c r="CA137">
        <v>7.99</v>
      </c>
      <c r="CB137">
        <v>8.68</v>
      </c>
      <c r="CC137">
        <v>9.2799999999999994</v>
      </c>
      <c r="CD137">
        <v>9.75</v>
      </c>
      <c r="CF137">
        <v>10.3</v>
      </c>
      <c r="CG137">
        <v>10.71</v>
      </c>
      <c r="CH137">
        <v>11.12</v>
      </c>
      <c r="CI137">
        <v>11.47</v>
      </c>
      <c r="CJ137">
        <v>11.86</v>
      </c>
      <c r="CK137">
        <v>12.17</v>
      </c>
      <c r="CM137">
        <v>12.5</v>
      </c>
      <c r="CN137">
        <v>12.83</v>
      </c>
      <c r="CO137">
        <v>13.37</v>
      </c>
      <c r="CP137">
        <v>13.82</v>
      </c>
      <c r="CQ137">
        <v>14.61</v>
      </c>
      <c r="CR137">
        <v>15.4</v>
      </c>
      <c r="CT137">
        <v>16.239999999999998</v>
      </c>
      <c r="CU137">
        <v>16.79</v>
      </c>
      <c r="CV137">
        <v>17.23</v>
      </c>
      <c r="CX137">
        <v>17.91</v>
      </c>
      <c r="CY137">
        <v>18.12</v>
      </c>
      <c r="DA137">
        <v>18.37</v>
      </c>
      <c r="DB137">
        <v>18.579999999999998</v>
      </c>
      <c r="DC137">
        <v>19.309999999999999</v>
      </c>
      <c r="DD137">
        <v>19.940000000000001</v>
      </c>
      <c r="DE137">
        <v>20.39</v>
      </c>
      <c r="DF137">
        <v>20.68</v>
      </c>
      <c r="DH137">
        <v>21.02</v>
      </c>
      <c r="DI137">
        <v>21.36</v>
      </c>
      <c r="DJ137">
        <v>21.66</v>
      </c>
      <c r="DK137">
        <v>21.94</v>
      </c>
      <c r="DL137">
        <v>22.14</v>
      </c>
      <c r="DM137">
        <v>22.33</v>
      </c>
      <c r="DO137">
        <v>22.5</v>
      </c>
      <c r="DP137">
        <v>22.69</v>
      </c>
      <c r="DQ137">
        <v>22.89</v>
      </c>
      <c r="DR137">
        <v>23.05</v>
      </c>
      <c r="DS137">
        <v>23.17</v>
      </c>
      <c r="DT137">
        <v>23.32</v>
      </c>
      <c r="DU137">
        <v>23.4</v>
      </c>
      <c r="DW137">
        <v>23.44</v>
      </c>
      <c r="DX137">
        <v>23.56</v>
      </c>
      <c r="DY137">
        <v>23.65</v>
      </c>
      <c r="DZ137">
        <v>23.74</v>
      </c>
      <c r="EA137">
        <v>23.95</v>
      </c>
      <c r="EC137">
        <v>24.01</v>
      </c>
      <c r="ED137">
        <v>24.05</v>
      </c>
      <c r="EE137">
        <v>24.12</v>
      </c>
      <c r="EF137">
        <v>24.15</v>
      </c>
      <c r="EG137">
        <v>24.22</v>
      </c>
      <c r="EJ137">
        <v>24.25</v>
      </c>
      <c r="EK137">
        <v>24.5</v>
      </c>
      <c r="EL137">
        <v>25.03</v>
      </c>
      <c r="EN137">
        <v>25.24</v>
      </c>
      <c r="EO137">
        <v>25.24</v>
      </c>
      <c r="EQ137">
        <v>25.44</v>
      </c>
      <c r="ER137">
        <v>25.9</v>
      </c>
      <c r="ES137">
        <v>26.23</v>
      </c>
      <c r="EU137">
        <v>26.53</v>
      </c>
      <c r="EV137">
        <v>26.73</v>
      </c>
      <c r="EX137">
        <v>27.45</v>
      </c>
      <c r="EY137">
        <v>27.95</v>
      </c>
      <c r="EZ137">
        <v>28.27</v>
      </c>
      <c r="FB137">
        <v>28.42</v>
      </c>
      <c r="FC137">
        <v>28.91</v>
      </c>
      <c r="FE137">
        <v>29.81</v>
      </c>
      <c r="FF137">
        <v>30.75</v>
      </c>
      <c r="FG137">
        <v>31.71</v>
      </c>
      <c r="FH137">
        <v>32.549999999999997</v>
      </c>
      <c r="FI137">
        <v>33.28</v>
      </c>
      <c r="FJ137">
        <v>33.78</v>
      </c>
      <c r="FL137">
        <v>34.43</v>
      </c>
      <c r="FM137">
        <v>35.67</v>
      </c>
      <c r="FS137">
        <v>38.32</v>
      </c>
      <c r="FT137">
        <v>39.049999999999997</v>
      </c>
      <c r="FU137">
        <v>39.590000000000003</v>
      </c>
      <c r="FV137">
        <v>40.4</v>
      </c>
      <c r="FX137">
        <v>40.659999999999997</v>
      </c>
      <c r="FZ137">
        <v>41.67</v>
      </c>
      <c r="GA137">
        <v>42.8</v>
      </c>
      <c r="GB137">
        <v>43.46</v>
      </c>
      <c r="GC137">
        <v>43.99</v>
      </c>
      <c r="GD137">
        <v>44.46</v>
      </c>
      <c r="GE137">
        <v>44.59</v>
      </c>
      <c r="GG137">
        <v>45.22</v>
      </c>
      <c r="GH137">
        <v>45.75</v>
      </c>
      <c r="GI137">
        <v>46.2</v>
      </c>
      <c r="GJ137">
        <v>46.77</v>
      </c>
      <c r="GK137">
        <v>47.23</v>
      </c>
      <c r="GL137">
        <v>47.4</v>
      </c>
      <c r="GN137">
        <v>48.89</v>
      </c>
      <c r="GP137">
        <v>49.45</v>
      </c>
      <c r="GQ137">
        <v>49.94</v>
      </c>
      <c r="GR137">
        <v>50.41</v>
      </c>
      <c r="GS137">
        <v>50.51</v>
      </c>
      <c r="GU137">
        <v>51.1</v>
      </c>
      <c r="GW137">
        <v>51.77</v>
      </c>
      <c r="GX137">
        <v>51.94</v>
      </c>
      <c r="GY137">
        <v>52.07</v>
      </c>
      <c r="GZ137">
        <v>52.09</v>
      </c>
      <c r="HA137">
        <v>52.1</v>
      </c>
      <c r="HB137">
        <v>52.29</v>
      </c>
      <c r="HC137">
        <v>52.44</v>
      </c>
      <c r="HD137">
        <v>52.75</v>
      </c>
      <c r="HE137">
        <v>52.92</v>
      </c>
      <c r="HF137">
        <v>53.02</v>
      </c>
      <c r="HG137">
        <v>53.04</v>
      </c>
      <c r="HH137">
        <v>53.05</v>
      </c>
      <c r="HI137">
        <v>53.81</v>
      </c>
      <c r="HJ137">
        <v>54.52</v>
      </c>
      <c r="HK137">
        <v>55.12</v>
      </c>
      <c r="HL137">
        <v>56.34</v>
      </c>
      <c r="HN137">
        <v>56.44</v>
      </c>
      <c r="HO137">
        <v>56.46</v>
      </c>
      <c r="HP137">
        <v>57.69</v>
      </c>
      <c r="HS137">
        <v>58.21</v>
      </c>
      <c r="HU137">
        <v>58.31</v>
      </c>
      <c r="HV137">
        <v>58.37</v>
      </c>
      <c r="HW137">
        <v>59.4</v>
      </c>
      <c r="HX137">
        <v>60.81</v>
      </c>
      <c r="HY137">
        <v>62.28</v>
      </c>
      <c r="HZ137">
        <v>63.62</v>
      </c>
      <c r="IA137">
        <v>64.069999999999993</v>
      </c>
      <c r="IB137">
        <v>64.36</v>
      </c>
      <c r="IC137">
        <v>64.489999999999995</v>
      </c>
      <c r="ID137">
        <v>65.72</v>
      </c>
      <c r="IE137">
        <v>68.150000000000006</v>
      </c>
      <c r="IG137">
        <v>69.2</v>
      </c>
      <c r="IH137">
        <v>70.040000000000006</v>
      </c>
      <c r="II137">
        <v>70.260000000000005</v>
      </c>
      <c r="IJ137">
        <v>70.36</v>
      </c>
      <c r="IK137">
        <v>71.56</v>
      </c>
      <c r="IL137">
        <v>71.900000000000006</v>
      </c>
      <c r="IM137">
        <v>73.02</v>
      </c>
      <c r="IN137">
        <v>74.06</v>
      </c>
      <c r="IO137">
        <v>74.67</v>
      </c>
      <c r="IP137">
        <v>74.86</v>
      </c>
      <c r="IQ137">
        <v>74.95</v>
      </c>
      <c r="IR137">
        <v>76.22</v>
      </c>
      <c r="IS137">
        <v>77.81</v>
      </c>
      <c r="IT137">
        <v>79.39</v>
      </c>
      <c r="IU137">
        <v>80.89</v>
      </c>
      <c r="IV137">
        <v>80.41</v>
      </c>
      <c r="IW137">
        <v>80.7</v>
      </c>
      <c r="IX137">
        <v>80.87</v>
      </c>
      <c r="IY137">
        <v>82.15</v>
      </c>
      <c r="IZ137">
        <v>83.68</v>
      </c>
      <c r="JC137">
        <v>86.86</v>
      </c>
      <c r="JD137">
        <v>87.14</v>
      </c>
      <c r="JE137">
        <v>88.39</v>
      </c>
      <c r="JG137">
        <v>90.3</v>
      </c>
      <c r="JJ137">
        <v>92.43</v>
      </c>
      <c r="JK137">
        <v>92.76</v>
      </c>
      <c r="JL137">
        <v>92.89</v>
      </c>
      <c r="JM137">
        <v>95.12</v>
      </c>
      <c r="JO137">
        <v>95.66</v>
      </c>
      <c r="JP137">
        <v>96.41</v>
      </c>
      <c r="JQ137">
        <v>97.13</v>
      </c>
      <c r="JZ137">
        <v>102.92</v>
      </c>
      <c r="KC137">
        <v>105.84</v>
      </c>
      <c r="KI137">
        <v>110.06</v>
      </c>
      <c r="NB137">
        <v>131.72</v>
      </c>
      <c r="QE137">
        <v>143.88999999999999</v>
      </c>
      <c r="QL137">
        <v>144.32</v>
      </c>
      <c r="RU137">
        <v>145.57</v>
      </c>
      <c r="RW137">
        <v>145.61000000000001</v>
      </c>
      <c r="SN137">
        <v>145.81</v>
      </c>
      <c r="TF137">
        <v>146.19</v>
      </c>
      <c r="UC137">
        <v>146.63</v>
      </c>
      <c r="UI137">
        <v>146.72</v>
      </c>
      <c r="UR137">
        <v>146.87</v>
      </c>
      <c r="ZL137">
        <v>147.68</v>
      </c>
      <c r="AAS137">
        <v>147.76</v>
      </c>
      <c r="AAZ137">
        <v>147.77000000000001</v>
      </c>
      <c r="ABJ137">
        <v>147.79</v>
      </c>
      <c r="ACI137">
        <v>147.81</v>
      </c>
      <c r="ACV137">
        <v>147.83000000000001</v>
      </c>
      <c r="ADK137">
        <v>147.84</v>
      </c>
      <c r="ADL137">
        <v>147.85</v>
      </c>
      <c r="ADS137">
        <v>147.85</v>
      </c>
      <c r="ADU137">
        <v>147.85</v>
      </c>
      <c r="ADZ137">
        <v>147.85</v>
      </c>
    </row>
    <row r="138" spans="1:812">
      <c r="A138" s="1" t="s">
        <v>151</v>
      </c>
      <c r="B138" t="s">
        <v>151</v>
      </c>
      <c r="CL138">
        <v>0</v>
      </c>
      <c r="CR138">
        <v>0.15</v>
      </c>
      <c r="DB138">
        <v>0.18</v>
      </c>
      <c r="EZ138">
        <v>1.1399999999999999</v>
      </c>
      <c r="FF138">
        <v>1.26</v>
      </c>
      <c r="FS138">
        <v>1.26</v>
      </c>
      <c r="GC138">
        <v>1.26</v>
      </c>
      <c r="GQ138">
        <v>1.4</v>
      </c>
      <c r="HB138">
        <v>1.63</v>
      </c>
      <c r="HP138">
        <v>2.15</v>
      </c>
      <c r="HU138">
        <v>2.15</v>
      </c>
      <c r="HW138">
        <v>2.21</v>
      </c>
      <c r="IE138">
        <v>2.29</v>
      </c>
      <c r="IK138">
        <v>4.4400000000000004</v>
      </c>
      <c r="IR138">
        <v>4.76</v>
      </c>
      <c r="IV138">
        <v>5.8</v>
      </c>
      <c r="JA138">
        <v>6.09</v>
      </c>
      <c r="JV138">
        <v>10.66</v>
      </c>
      <c r="LF138">
        <v>11.81</v>
      </c>
      <c r="LM138">
        <v>14.87</v>
      </c>
      <c r="LT138">
        <v>20.48</v>
      </c>
      <c r="LZ138">
        <v>23.19</v>
      </c>
      <c r="MH138">
        <v>27.64</v>
      </c>
      <c r="MN138">
        <v>30.18</v>
      </c>
      <c r="MV138">
        <v>32.659999999999997</v>
      </c>
      <c r="NC138">
        <v>34.51</v>
      </c>
      <c r="NG138">
        <v>36.47</v>
      </c>
      <c r="NI138">
        <v>37.39</v>
      </c>
      <c r="NN138">
        <v>41.2</v>
      </c>
      <c r="NX138">
        <v>45.76</v>
      </c>
      <c r="OE138">
        <v>48.13</v>
      </c>
      <c r="OK138">
        <v>55.06</v>
      </c>
      <c r="PA138">
        <v>61.53</v>
      </c>
      <c r="QK138">
        <v>73.260000000000005</v>
      </c>
      <c r="QX138">
        <v>81.510000000000005</v>
      </c>
    </row>
    <row r="139" spans="1:812">
      <c r="A139" s="1" t="s">
        <v>187</v>
      </c>
      <c r="B139" t="s">
        <v>187</v>
      </c>
      <c r="AX139">
        <v>0</v>
      </c>
      <c r="AY139">
        <v>0.01</v>
      </c>
      <c r="BH139">
        <v>0.7</v>
      </c>
      <c r="DJ139">
        <v>1.91</v>
      </c>
      <c r="EG139">
        <v>3.31</v>
      </c>
      <c r="ER139">
        <v>4.68</v>
      </c>
      <c r="FA139">
        <v>5.5</v>
      </c>
      <c r="FX139">
        <v>6.19</v>
      </c>
      <c r="GX139">
        <v>6.43</v>
      </c>
      <c r="IW139">
        <v>11.41</v>
      </c>
      <c r="KA139">
        <v>16.420000000000002</v>
      </c>
      <c r="PZ139">
        <v>80.66</v>
      </c>
      <c r="QD139">
        <v>81.209999999999994</v>
      </c>
      <c r="QU139">
        <v>85.2</v>
      </c>
      <c r="QY139">
        <v>88.07</v>
      </c>
      <c r="RB139">
        <v>88.88</v>
      </c>
      <c r="RF139">
        <v>89.98</v>
      </c>
      <c r="SE139">
        <v>99.67</v>
      </c>
      <c r="SI139">
        <v>101.39</v>
      </c>
    </row>
    <row r="140" spans="1:812">
      <c r="A140" s="1" t="s">
        <v>145</v>
      </c>
      <c r="B140" t="s">
        <v>145</v>
      </c>
      <c r="CW140">
        <v>0</v>
      </c>
      <c r="DD140">
        <v>0.01</v>
      </c>
      <c r="DJ140">
        <v>0.06</v>
      </c>
      <c r="DK140">
        <v>7.0000000000000007E-2</v>
      </c>
      <c r="DM140">
        <v>0.08</v>
      </c>
      <c r="DR140">
        <v>0.1</v>
      </c>
      <c r="DU140">
        <v>0.1</v>
      </c>
      <c r="DV140">
        <v>0.11</v>
      </c>
      <c r="DW140">
        <v>0.12</v>
      </c>
      <c r="DX140">
        <v>0.13</v>
      </c>
      <c r="DY140">
        <v>0.14000000000000001</v>
      </c>
      <c r="DZ140">
        <v>0.16</v>
      </c>
      <c r="EA140">
        <v>0.18</v>
      </c>
      <c r="EB140">
        <v>0.18</v>
      </c>
      <c r="EC140">
        <v>0.19</v>
      </c>
      <c r="ED140">
        <v>0.22</v>
      </c>
      <c r="EE140">
        <v>0.25</v>
      </c>
      <c r="EF140">
        <v>0.28999999999999998</v>
      </c>
      <c r="EG140">
        <v>0.39</v>
      </c>
      <c r="EH140">
        <v>0.49</v>
      </c>
      <c r="EI140">
        <v>0.51</v>
      </c>
      <c r="EL140">
        <v>0.79</v>
      </c>
      <c r="EN140">
        <v>0.85</v>
      </c>
      <c r="EO140">
        <v>0.99</v>
      </c>
      <c r="ES140">
        <v>1.1599999999999999</v>
      </c>
      <c r="ET140">
        <v>1.36</v>
      </c>
      <c r="EU140">
        <v>1.43</v>
      </c>
      <c r="EV140">
        <v>1.57</v>
      </c>
      <c r="EW140">
        <v>1.58</v>
      </c>
      <c r="EX140">
        <v>1.64</v>
      </c>
      <c r="EY140">
        <v>1.75</v>
      </c>
      <c r="EZ140">
        <v>1.86</v>
      </c>
      <c r="FA140">
        <v>1.87</v>
      </c>
      <c r="FB140">
        <v>1.98</v>
      </c>
      <c r="FC140">
        <v>2.09</v>
      </c>
      <c r="FD140">
        <v>2.1</v>
      </c>
      <c r="FE140">
        <v>2.12</v>
      </c>
      <c r="FF140">
        <v>2.2400000000000002</v>
      </c>
      <c r="FG140">
        <v>2.38</v>
      </c>
      <c r="FI140">
        <v>2.6</v>
      </c>
      <c r="FJ140">
        <v>2.63</v>
      </c>
      <c r="FK140">
        <v>2.66</v>
      </c>
      <c r="FM140">
        <v>2.75</v>
      </c>
      <c r="FN140">
        <v>2.85</v>
      </c>
      <c r="FO140">
        <v>2.94</v>
      </c>
      <c r="FQ140">
        <v>3.01</v>
      </c>
      <c r="FR140">
        <v>3.01</v>
      </c>
      <c r="FS140">
        <v>3.03</v>
      </c>
      <c r="FT140">
        <v>3.1</v>
      </c>
      <c r="FU140">
        <v>3.17</v>
      </c>
      <c r="FV140">
        <v>3.26</v>
      </c>
      <c r="FW140">
        <v>3.35</v>
      </c>
      <c r="FX140">
        <v>3.44</v>
      </c>
      <c r="FY140">
        <v>3.44</v>
      </c>
      <c r="FZ140">
        <v>3.46</v>
      </c>
      <c r="GA140">
        <v>3.57</v>
      </c>
      <c r="GB140">
        <v>3.66</v>
      </c>
      <c r="GC140">
        <v>3.8</v>
      </c>
      <c r="GD140">
        <v>3.93</v>
      </c>
      <c r="GE140">
        <v>3.97</v>
      </c>
      <c r="GF140">
        <v>4.04</v>
      </c>
      <c r="GG140">
        <v>4.08</v>
      </c>
      <c r="GH140">
        <v>4.24</v>
      </c>
      <c r="GI140">
        <v>4.4400000000000004</v>
      </c>
      <c r="GJ140">
        <v>4.59</v>
      </c>
      <c r="GK140">
        <v>4.76</v>
      </c>
      <c r="GL140">
        <v>4.88</v>
      </c>
      <c r="GM140">
        <v>4.88</v>
      </c>
      <c r="GN140">
        <v>4.9000000000000004</v>
      </c>
      <c r="GO140">
        <v>5.0599999999999996</v>
      </c>
      <c r="GP140">
        <v>5.2</v>
      </c>
      <c r="GQ140">
        <v>5.32</v>
      </c>
      <c r="GR140">
        <v>5.47</v>
      </c>
      <c r="GS140">
        <v>5.56</v>
      </c>
      <c r="GT140">
        <v>5.56</v>
      </c>
      <c r="GV140">
        <v>5.66</v>
      </c>
      <c r="GW140">
        <v>5.74</v>
      </c>
      <c r="GX140">
        <v>5.82</v>
      </c>
      <c r="GY140">
        <v>5.87</v>
      </c>
      <c r="GZ140">
        <v>5.92</v>
      </c>
      <c r="HA140">
        <v>5.92</v>
      </c>
      <c r="HB140">
        <v>5.94</v>
      </c>
      <c r="HC140">
        <v>6.02</v>
      </c>
      <c r="HD140">
        <v>6.09</v>
      </c>
      <c r="HE140">
        <v>6.17</v>
      </c>
      <c r="HF140">
        <v>6.28</v>
      </c>
      <c r="HG140">
        <v>6.36</v>
      </c>
      <c r="HH140">
        <v>6.36</v>
      </c>
      <c r="HI140">
        <v>6.4</v>
      </c>
      <c r="HJ140">
        <v>6.48</v>
      </c>
      <c r="HK140">
        <v>6.56</v>
      </c>
      <c r="HL140">
        <v>6.62</v>
      </c>
      <c r="HM140">
        <v>6.69</v>
      </c>
      <c r="HN140">
        <v>6.73</v>
      </c>
      <c r="HO140">
        <v>6.73</v>
      </c>
      <c r="HP140">
        <v>6.76</v>
      </c>
      <c r="HQ140">
        <v>6.93</v>
      </c>
      <c r="HR140">
        <v>7.12</v>
      </c>
      <c r="HS140">
        <v>7.34</v>
      </c>
      <c r="HT140">
        <v>7.53</v>
      </c>
      <c r="HU140">
        <v>7.65</v>
      </c>
      <c r="HV140">
        <v>7.68</v>
      </c>
      <c r="HW140">
        <v>7.74</v>
      </c>
      <c r="HX140">
        <v>7.9</v>
      </c>
      <c r="HY140">
        <v>8.0299999999999994</v>
      </c>
      <c r="HZ140">
        <v>8.18</v>
      </c>
      <c r="IA140">
        <v>8.32</v>
      </c>
      <c r="IB140">
        <v>8.4</v>
      </c>
      <c r="IC140">
        <v>8.42</v>
      </c>
      <c r="ID140">
        <v>8.4600000000000009</v>
      </c>
      <c r="IE140">
        <v>8.6</v>
      </c>
      <c r="IF140">
        <v>8.69</v>
      </c>
      <c r="IG140">
        <v>8.7899999999999991</v>
      </c>
      <c r="IH140">
        <v>8.9</v>
      </c>
      <c r="II140">
        <v>8.99</v>
      </c>
      <c r="IJ140">
        <v>8.99</v>
      </c>
      <c r="IL140">
        <v>9.25</v>
      </c>
      <c r="IM140">
        <v>9.64</v>
      </c>
      <c r="IN140">
        <v>9.94</v>
      </c>
      <c r="IO140">
        <v>10.199999999999999</v>
      </c>
      <c r="IP140">
        <v>10.37</v>
      </c>
      <c r="IQ140">
        <v>10.42</v>
      </c>
      <c r="IR140">
        <v>10.57</v>
      </c>
      <c r="IU140">
        <v>10.78</v>
      </c>
      <c r="JA140">
        <v>11.79</v>
      </c>
      <c r="JH140">
        <v>12.72</v>
      </c>
      <c r="JP140">
        <v>13.64</v>
      </c>
      <c r="JV140">
        <v>14.46</v>
      </c>
      <c r="KC140">
        <v>15.75</v>
      </c>
      <c r="KK140">
        <v>16.579999999999998</v>
      </c>
      <c r="KR140">
        <v>18.260000000000002</v>
      </c>
      <c r="KY140">
        <v>19.13</v>
      </c>
      <c r="LF140">
        <v>20.68</v>
      </c>
      <c r="LM140">
        <v>22.19</v>
      </c>
      <c r="LT140">
        <v>23.2</v>
      </c>
      <c r="LZ140">
        <v>23.74</v>
      </c>
      <c r="MH140">
        <v>24.36</v>
      </c>
      <c r="MN140">
        <v>25.12</v>
      </c>
      <c r="MV140">
        <v>26.07</v>
      </c>
      <c r="NC140">
        <v>26.95</v>
      </c>
      <c r="NI140">
        <v>27.58</v>
      </c>
      <c r="NQ140">
        <v>28.45</v>
      </c>
      <c r="NX140">
        <v>28.8</v>
      </c>
      <c r="OE140">
        <v>28.97</v>
      </c>
      <c r="OK140">
        <v>29.36</v>
      </c>
      <c r="QX140">
        <v>31.98</v>
      </c>
    </row>
    <row r="141" spans="1:812">
      <c r="A141" s="1" t="s">
        <v>402</v>
      </c>
      <c r="B141" t="s">
        <v>402</v>
      </c>
      <c r="DR141">
        <v>0</v>
      </c>
      <c r="DS141">
        <v>1.55</v>
      </c>
      <c r="ED141">
        <v>6.46</v>
      </c>
      <c r="FF141">
        <v>68.23</v>
      </c>
      <c r="GA141">
        <v>68.650000000000006</v>
      </c>
      <c r="GN141">
        <v>69.099999999999994</v>
      </c>
      <c r="GV141">
        <v>85.96</v>
      </c>
      <c r="HJ141">
        <v>97.43</v>
      </c>
      <c r="HQ141">
        <v>133.63</v>
      </c>
      <c r="HX141">
        <v>136.46</v>
      </c>
      <c r="OQ141">
        <v>139.13</v>
      </c>
      <c r="RA141">
        <v>154.72999999999999</v>
      </c>
      <c r="RR141">
        <v>211.31</v>
      </c>
      <c r="UV141">
        <v>217.58</v>
      </c>
      <c r="VC141">
        <v>191.86</v>
      </c>
      <c r="YV141">
        <v>201.18</v>
      </c>
      <c r="ADR141">
        <v>253.38</v>
      </c>
    </row>
    <row r="142" spans="1:812">
      <c r="A142" s="1" t="s">
        <v>94</v>
      </c>
      <c r="B142" t="s">
        <v>94</v>
      </c>
      <c r="AX142">
        <v>0</v>
      </c>
      <c r="BD142">
        <v>0.39</v>
      </c>
      <c r="BG142">
        <v>0.54</v>
      </c>
      <c r="BW142">
        <v>1.38</v>
      </c>
      <c r="CX142">
        <v>5.49</v>
      </c>
      <c r="DO142">
        <v>5.83</v>
      </c>
      <c r="DQ142">
        <v>6.2</v>
      </c>
      <c r="DR142">
        <v>6.22</v>
      </c>
      <c r="DS142">
        <v>6.3</v>
      </c>
      <c r="DT142">
        <v>6.32</v>
      </c>
      <c r="DU142">
        <v>6.35</v>
      </c>
      <c r="DW142">
        <v>6.43</v>
      </c>
      <c r="DY142">
        <v>6.47</v>
      </c>
      <c r="DZ142">
        <v>6.52</v>
      </c>
      <c r="EA142">
        <v>6.56</v>
      </c>
      <c r="EB142">
        <v>6.61</v>
      </c>
      <c r="EC142">
        <v>6.65</v>
      </c>
      <c r="ED142">
        <v>6.73</v>
      </c>
      <c r="EE142">
        <v>6.75</v>
      </c>
      <c r="EF142">
        <v>6.79</v>
      </c>
      <c r="EG142">
        <v>6.83</v>
      </c>
      <c r="EI142">
        <v>6.89</v>
      </c>
      <c r="EJ142">
        <v>6.93</v>
      </c>
      <c r="EK142">
        <v>7.04</v>
      </c>
      <c r="EL142">
        <v>7.18</v>
      </c>
      <c r="EU142">
        <v>8.42</v>
      </c>
      <c r="FF142">
        <v>8.7200000000000006</v>
      </c>
      <c r="FH142">
        <v>8.91</v>
      </c>
      <c r="FI142">
        <v>9.02</v>
      </c>
      <c r="FJ142">
        <v>9.08</v>
      </c>
      <c r="FK142">
        <v>9.15</v>
      </c>
      <c r="FL142">
        <v>9.2899999999999991</v>
      </c>
      <c r="FM142">
        <v>9.36</v>
      </c>
      <c r="FN142">
        <v>9.41</v>
      </c>
      <c r="FO142">
        <v>9.48</v>
      </c>
      <c r="FP142">
        <v>9.5</v>
      </c>
      <c r="FQ142">
        <v>9.61</v>
      </c>
      <c r="FR142">
        <v>9.6199999999999992</v>
      </c>
      <c r="FY142">
        <v>9.6300000000000008</v>
      </c>
      <c r="GB142">
        <v>9.82</v>
      </c>
      <c r="GC142">
        <v>10.08</v>
      </c>
      <c r="GE142">
        <v>10.55</v>
      </c>
      <c r="GH142">
        <v>10.74</v>
      </c>
      <c r="GI142">
        <v>10.82</v>
      </c>
      <c r="GL142">
        <v>11.09</v>
      </c>
      <c r="GS142">
        <v>11.44</v>
      </c>
      <c r="GT142">
        <v>11.44</v>
      </c>
      <c r="GU142">
        <v>11.46</v>
      </c>
      <c r="GV142">
        <v>11.51</v>
      </c>
      <c r="GW142">
        <v>11.52</v>
      </c>
      <c r="GX142">
        <v>11.54</v>
      </c>
      <c r="GZ142">
        <v>11.54</v>
      </c>
      <c r="HA142">
        <v>11.55</v>
      </c>
      <c r="HB142">
        <v>11.57</v>
      </c>
      <c r="HD142">
        <v>11.89</v>
      </c>
      <c r="HF142">
        <v>12.27</v>
      </c>
      <c r="HH142">
        <v>12.54</v>
      </c>
      <c r="HI142">
        <v>12.67</v>
      </c>
      <c r="HJ142">
        <v>12.75</v>
      </c>
      <c r="HK142">
        <v>12.8</v>
      </c>
      <c r="HM142">
        <v>13.34</v>
      </c>
      <c r="HN142">
        <v>13.86</v>
      </c>
      <c r="HO142">
        <v>14.17</v>
      </c>
      <c r="HQ142">
        <v>14.79</v>
      </c>
      <c r="HS142">
        <v>15.75</v>
      </c>
      <c r="HT142">
        <v>16</v>
      </c>
      <c r="HU142">
        <v>16.28</v>
      </c>
      <c r="HV142">
        <v>16.41</v>
      </c>
      <c r="HW142">
        <v>16.57</v>
      </c>
      <c r="HX142">
        <v>16.89</v>
      </c>
      <c r="HY142">
        <v>17.32</v>
      </c>
      <c r="HZ142">
        <v>17.850000000000001</v>
      </c>
      <c r="IB142">
        <v>19.5</v>
      </c>
      <c r="IC142">
        <v>20.170000000000002</v>
      </c>
      <c r="ID142">
        <v>21.15</v>
      </c>
      <c r="IE142">
        <v>21.48</v>
      </c>
      <c r="IF142">
        <v>21.87</v>
      </c>
      <c r="IG142">
        <v>22.27</v>
      </c>
      <c r="IH142">
        <v>22.69</v>
      </c>
      <c r="II142">
        <v>23.35</v>
      </c>
      <c r="IJ142">
        <v>23.98</v>
      </c>
      <c r="IK142">
        <v>24.48</v>
      </c>
      <c r="IL142">
        <v>24.93</v>
      </c>
      <c r="IM142">
        <v>25.6</v>
      </c>
      <c r="IN142">
        <v>25.79</v>
      </c>
      <c r="IP142">
        <v>27.38</v>
      </c>
      <c r="IQ142">
        <v>27.62</v>
      </c>
      <c r="IR142">
        <v>28.17</v>
      </c>
      <c r="IS142">
        <v>28.66</v>
      </c>
      <c r="IT142">
        <v>28.95</v>
      </c>
      <c r="IU142">
        <v>29.26</v>
      </c>
      <c r="IV142">
        <v>29.34</v>
      </c>
      <c r="IW142">
        <v>29.56</v>
      </c>
      <c r="IX142">
        <v>29.62</v>
      </c>
      <c r="IY142">
        <v>29.66</v>
      </c>
      <c r="JA142">
        <v>29.88</v>
      </c>
      <c r="JB142">
        <v>30.11</v>
      </c>
      <c r="JC142">
        <v>30.72</v>
      </c>
      <c r="JF142">
        <v>32.729999999999997</v>
      </c>
      <c r="JG142">
        <v>33.020000000000003</v>
      </c>
      <c r="JH142">
        <v>34.01</v>
      </c>
      <c r="JI142">
        <v>34.049999999999997</v>
      </c>
      <c r="JJ142">
        <v>34.6</v>
      </c>
      <c r="JK142">
        <v>34.96</v>
      </c>
      <c r="JL142">
        <v>35.14</v>
      </c>
      <c r="JM142">
        <v>35.51</v>
      </c>
      <c r="JN142">
        <v>35.78</v>
      </c>
      <c r="JP142">
        <v>36.5</v>
      </c>
      <c r="JQ142">
        <v>36.6</v>
      </c>
      <c r="JR142">
        <v>36.83</v>
      </c>
      <c r="JS142">
        <v>36.869999999999997</v>
      </c>
      <c r="JT142">
        <v>37.18</v>
      </c>
      <c r="JU142">
        <v>37.47</v>
      </c>
      <c r="JV142">
        <v>38.479999999999997</v>
      </c>
      <c r="JW142">
        <v>38.86</v>
      </c>
      <c r="JX142">
        <v>39.06</v>
      </c>
      <c r="JY142">
        <v>39.630000000000003</v>
      </c>
      <c r="JZ142">
        <v>39.700000000000003</v>
      </c>
      <c r="KC142">
        <v>40.49</v>
      </c>
      <c r="KD142">
        <v>40.96</v>
      </c>
      <c r="KE142">
        <v>41.54</v>
      </c>
      <c r="KF142">
        <v>42.27</v>
      </c>
      <c r="KG142">
        <v>42.61</v>
      </c>
      <c r="KH142">
        <v>43.67</v>
      </c>
      <c r="KI142">
        <v>44.37</v>
      </c>
      <c r="KJ142">
        <v>45.33</v>
      </c>
      <c r="KK142">
        <v>46.31</v>
      </c>
      <c r="KM142">
        <v>47.32</v>
      </c>
      <c r="KN142">
        <v>47.41</v>
      </c>
      <c r="KO142">
        <v>47.82</v>
      </c>
      <c r="KP142">
        <v>48.27</v>
      </c>
      <c r="KQ142">
        <v>48.47</v>
      </c>
      <c r="KR142">
        <v>48.66</v>
      </c>
      <c r="KS142">
        <v>48.81</v>
      </c>
      <c r="KT142">
        <v>49.11</v>
      </c>
      <c r="KU142">
        <v>49.38</v>
      </c>
      <c r="KV142">
        <v>49.81</v>
      </c>
      <c r="KW142">
        <v>50.04</v>
      </c>
      <c r="KX142">
        <v>50.05</v>
      </c>
      <c r="KY142">
        <v>50.07</v>
      </c>
      <c r="LC142">
        <v>50.16</v>
      </c>
      <c r="PY142">
        <v>127.28</v>
      </c>
      <c r="QA142">
        <v>123.26</v>
      </c>
      <c r="QB142">
        <v>123.65</v>
      </c>
      <c r="QC142">
        <v>124.06</v>
      </c>
      <c r="QE142">
        <v>124.63</v>
      </c>
      <c r="QF142">
        <v>125.11</v>
      </c>
      <c r="QG142">
        <v>125.47</v>
      </c>
      <c r="QH142">
        <v>125.59</v>
      </c>
      <c r="QJ142">
        <v>126.14</v>
      </c>
      <c r="QK142">
        <v>126.99</v>
      </c>
      <c r="QN142">
        <v>128.87</v>
      </c>
      <c r="QO142">
        <v>129.21</v>
      </c>
      <c r="QQ142">
        <v>130.07</v>
      </c>
      <c r="QR142">
        <v>130.41</v>
      </c>
      <c r="QS142">
        <v>130.72</v>
      </c>
      <c r="QT142">
        <v>131.03</v>
      </c>
      <c r="QU142">
        <v>131.41</v>
      </c>
      <c r="QV142">
        <v>131.77000000000001</v>
      </c>
      <c r="QW142">
        <v>132.27000000000001</v>
      </c>
      <c r="QX142">
        <v>132.37</v>
      </c>
      <c r="QY142">
        <v>132.4</v>
      </c>
      <c r="QZ142">
        <v>132.4</v>
      </c>
      <c r="RA142">
        <v>132.69</v>
      </c>
      <c r="RB142">
        <v>132.94</v>
      </c>
      <c r="RC142">
        <v>133.28</v>
      </c>
      <c r="RD142">
        <v>133.56</v>
      </c>
      <c r="RE142">
        <v>133.79</v>
      </c>
      <c r="RF142">
        <v>133.96</v>
      </c>
      <c r="RG142">
        <v>134.04</v>
      </c>
      <c r="RH142">
        <v>134.4</v>
      </c>
      <c r="RI142">
        <v>134.58000000000001</v>
      </c>
      <c r="RJ142">
        <v>134.82</v>
      </c>
      <c r="RK142">
        <v>135.02000000000001</v>
      </c>
      <c r="RL142">
        <v>135.53</v>
      </c>
      <c r="RM142">
        <v>135.74</v>
      </c>
      <c r="RN142">
        <v>135.80000000000001</v>
      </c>
      <c r="RO142">
        <v>135.99</v>
      </c>
      <c r="RP142">
        <v>136.16999999999999</v>
      </c>
      <c r="RQ142">
        <v>136.33000000000001</v>
      </c>
      <c r="RR142">
        <v>136.38</v>
      </c>
      <c r="RS142">
        <v>136.55000000000001</v>
      </c>
      <c r="RT142">
        <v>136.74</v>
      </c>
      <c r="RU142">
        <v>136.94999999999999</v>
      </c>
      <c r="RV142">
        <v>137.1</v>
      </c>
      <c r="RW142">
        <v>137.19</v>
      </c>
      <c r="RX142">
        <v>137.44</v>
      </c>
      <c r="RY142">
        <v>137.69999999999999</v>
      </c>
      <c r="RZ142">
        <v>137.82</v>
      </c>
      <c r="SB142">
        <v>138.41999999999999</v>
      </c>
      <c r="SC142">
        <v>138.58000000000001</v>
      </c>
      <c r="SD142">
        <v>139</v>
      </c>
      <c r="SE142">
        <v>139.29</v>
      </c>
      <c r="SF142">
        <v>139.69999999999999</v>
      </c>
      <c r="SH142">
        <v>140.75</v>
      </c>
      <c r="SI142">
        <v>141</v>
      </c>
      <c r="SJ142">
        <v>141.1</v>
      </c>
      <c r="SK142">
        <v>141.16</v>
      </c>
      <c r="SL142">
        <v>141.47</v>
      </c>
      <c r="SM142">
        <v>141.58000000000001</v>
      </c>
      <c r="SN142">
        <v>141.88999999999999</v>
      </c>
      <c r="SO142">
        <v>142.16999999999999</v>
      </c>
      <c r="SP142">
        <v>142.41</v>
      </c>
      <c r="SQ142">
        <v>142.47999999999999</v>
      </c>
      <c r="SR142">
        <v>142.61000000000001</v>
      </c>
      <c r="SS142">
        <v>142.88</v>
      </c>
      <c r="ST142">
        <v>142.91999999999999</v>
      </c>
      <c r="SU142">
        <v>142.99</v>
      </c>
      <c r="SX142">
        <v>143.03</v>
      </c>
      <c r="TA142">
        <v>143.15</v>
      </c>
      <c r="TC142">
        <v>143.22</v>
      </c>
      <c r="TE142">
        <v>143.28</v>
      </c>
      <c r="TF142">
        <v>143.38</v>
      </c>
      <c r="TG142">
        <v>143.44999999999999</v>
      </c>
      <c r="TH142">
        <v>143.61000000000001</v>
      </c>
      <c r="TI142">
        <v>143.83000000000001</v>
      </c>
      <c r="TJ142">
        <v>144.05000000000001</v>
      </c>
      <c r="TK142">
        <v>144.4</v>
      </c>
      <c r="TL142">
        <v>144.58000000000001</v>
      </c>
      <c r="TM142">
        <v>144.62</v>
      </c>
      <c r="TO142">
        <v>145.65</v>
      </c>
      <c r="TP142">
        <v>146.13</v>
      </c>
      <c r="TQ142">
        <v>146.41</v>
      </c>
      <c r="TR142">
        <v>147.03</v>
      </c>
      <c r="TS142">
        <v>147.07</v>
      </c>
      <c r="TT142">
        <v>147.41</v>
      </c>
      <c r="TU142">
        <v>147.77000000000001</v>
      </c>
      <c r="TV142">
        <v>148.16999999999999</v>
      </c>
      <c r="TW142">
        <v>148.56</v>
      </c>
      <c r="TX142">
        <v>148.83000000000001</v>
      </c>
      <c r="TY142">
        <v>149.11000000000001</v>
      </c>
      <c r="UB142">
        <v>150.41</v>
      </c>
      <c r="UC142">
        <v>150.97999999999999</v>
      </c>
      <c r="UD142">
        <v>151.32</v>
      </c>
      <c r="UE142">
        <v>151.84</v>
      </c>
      <c r="UF142">
        <v>152.06</v>
      </c>
      <c r="UG142">
        <v>152.22999999999999</v>
      </c>
      <c r="UH142">
        <v>152.72999999999999</v>
      </c>
      <c r="UI142">
        <v>152.97999999999999</v>
      </c>
      <c r="UJ142">
        <v>153.32</v>
      </c>
      <c r="UK142">
        <v>153.61000000000001</v>
      </c>
      <c r="UL142">
        <v>154.12</v>
      </c>
      <c r="UM142">
        <v>154.31</v>
      </c>
      <c r="UN142">
        <v>154.5</v>
      </c>
      <c r="UO142">
        <v>154.94</v>
      </c>
      <c r="UP142">
        <v>155.4</v>
      </c>
      <c r="UU142">
        <v>157.52000000000001</v>
      </c>
      <c r="UV142">
        <v>158.01</v>
      </c>
      <c r="ABH142">
        <v>197.97</v>
      </c>
      <c r="ACJ142">
        <v>199</v>
      </c>
      <c r="ADL142">
        <v>199.61</v>
      </c>
    </row>
    <row r="143" spans="1:812">
      <c r="A143" s="1" t="s">
        <v>72</v>
      </c>
      <c r="B143" t="s">
        <v>279</v>
      </c>
      <c r="AO143">
        <v>0.45</v>
      </c>
      <c r="AV143">
        <v>0.86</v>
      </c>
      <c r="BC143">
        <v>2</v>
      </c>
      <c r="BJ143">
        <v>3.33</v>
      </c>
      <c r="BQ143">
        <v>4.57</v>
      </c>
      <c r="BX143">
        <v>5.92</v>
      </c>
      <c r="CE143">
        <v>7.8</v>
      </c>
      <c r="CL143">
        <v>9.4499999999999993</v>
      </c>
      <c r="CS143">
        <v>11.02</v>
      </c>
      <c r="CZ143">
        <v>12.24</v>
      </c>
      <c r="DG143">
        <v>13.88</v>
      </c>
      <c r="DN143">
        <v>17.13</v>
      </c>
      <c r="DU143">
        <v>20.88</v>
      </c>
      <c r="EB143">
        <v>25.59</v>
      </c>
      <c r="EI143">
        <v>29.41</v>
      </c>
      <c r="EP143">
        <v>33.32</v>
      </c>
      <c r="EW143">
        <v>38.229999999999997</v>
      </c>
      <c r="FD143">
        <v>44.11</v>
      </c>
      <c r="FK143">
        <v>50.1</v>
      </c>
      <c r="FR143">
        <v>55.92</v>
      </c>
      <c r="FY143">
        <v>62.72</v>
      </c>
      <c r="GF143">
        <v>72.3</v>
      </c>
      <c r="GM143">
        <v>80.510000000000005</v>
      </c>
      <c r="GT143">
        <v>88.83</v>
      </c>
      <c r="HA143">
        <v>98.48</v>
      </c>
      <c r="HH143">
        <v>105.05</v>
      </c>
      <c r="HO143">
        <v>110.89</v>
      </c>
      <c r="HV143">
        <v>115.16</v>
      </c>
      <c r="IC143">
        <v>118.62</v>
      </c>
      <c r="IJ143">
        <v>123</v>
      </c>
      <c r="IQ143">
        <v>126.39</v>
      </c>
      <c r="IX143">
        <v>127.06</v>
      </c>
      <c r="JE143">
        <v>127.42</v>
      </c>
      <c r="JI143">
        <v>128.15</v>
      </c>
      <c r="JJ143">
        <v>128.15</v>
      </c>
      <c r="JL143">
        <v>128.15</v>
      </c>
      <c r="JR143">
        <v>128.69999999999999</v>
      </c>
      <c r="JS143">
        <v>128.69999999999999</v>
      </c>
      <c r="JY143">
        <v>129.25</v>
      </c>
      <c r="JZ143">
        <v>129.25</v>
      </c>
      <c r="KG143">
        <v>129.69</v>
      </c>
      <c r="NG143">
        <v>145.99</v>
      </c>
      <c r="OG143">
        <v>176.39</v>
      </c>
      <c r="ON143">
        <v>186.16</v>
      </c>
      <c r="OU143">
        <v>190.87</v>
      </c>
      <c r="PB143">
        <v>193.12</v>
      </c>
      <c r="PI143">
        <v>195.11</v>
      </c>
      <c r="PP143">
        <v>196.29</v>
      </c>
      <c r="PW143">
        <v>196.95</v>
      </c>
      <c r="QD143">
        <v>197.34</v>
      </c>
      <c r="QK143">
        <v>197.65</v>
      </c>
      <c r="QY143">
        <v>198.09</v>
      </c>
    </row>
    <row r="144" spans="1:812">
      <c r="A144" s="1" t="s">
        <v>212</v>
      </c>
      <c r="B144" t="s">
        <v>412</v>
      </c>
      <c r="DQ144">
        <v>13.05</v>
      </c>
      <c r="DW144">
        <v>15.49</v>
      </c>
      <c r="ED144">
        <v>18.52</v>
      </c>
      <c r="EK144">
        <v>21.34</v>
      </c>
      <c r="ER144">
        <v>23.73</v>
      </c>
      <c r="EY144">
        <v>26.47</v>
      </c>
      <c r="FF144">
        <v>28.28</v>
      </c>
      <c r="FM144">
        <v>30.35</v>
      </c>
      <c r="FT144">
        <v>32.43</v>
      </c>
      <c r="GA144">
        <v>34.590000000000003</v>
      </c>
      <c r="GH144">
        <v>35.44</v>
      </c>
      <c r="GN144">
        <v>36.67</v>
      </c>
      <c r="GV144">
        <v>38.97</v>
      </c>
      <c r="HC144">
        <v>40.36</v>
      </c>
      <c r="HQ144">
        <v>43.15</v>
      </c>
      <c r="HX144">
        <v>44.04</v>
      </c>
      <c r="ID144">
        <v>45.56</v>
      </c>
      <c r="IK144">
        <v>46.87</v>
      </c>
      <c r="IR144">
        <v>48.7</v>
      </c>
      <c r="IY144">
        <v>50.3</v>
      </c>
      <c r="JN144">
        <v>54.91</v>
      </c>
      <c r="JU144">
        <v>61.35</v>
      </c>
      <c r="KB144">
        <v>71.75</v>
      </c>
      <c r="KI144">
        <v>77.63</v>
      </c>
      <c r="KP144">
        <v>87.28</v>
      </c>
      <c r="KW144">
        <v>99.51</v>
      </c>
      <c r="LC144">
        <v>108.43</v>
      </c>
      <c r="LJ144">
        <v>112.58</v>
      </c>
      <c r="LQ144">
        <v>115.87</v>
      </c>
      <c r="LX144">
        <v>117.97</v>
      </c>
      <c r="ME144">
        <v>118.94</v>
      </c>
      <c r="ML144">
        <v>120.44</v>
      </c>
      <c r="MT144">
        <v>121.56</v>
      </c>
      <c r="MZ144">
        <v>122.11</v>
      </c>
      <c r="NG144">
        <v>122.94</v>
      </c>
      <c r="NN144">
        <v>123.42</v>
      </c>
      <c r="OC144">
        <v>124.37</v>
      </c>
      <c r="OJ144">
        <v>124.69</v>
      </c>
      <c r="OQ144">
        <v>125.21</v>
      </c>
      <c r="PD144">
        <v>126.05</v>
      </c>
      <c r="PK144">
        <v>126.27</v>
      </c>
      <c r="PR144">
        <v>126.65</v>
      </c>
      <c r="PY144">
        <v>127.05</v>
      </c>
      <c r="QF144">
        <v>127.31</v>
      </c>
      <c r="QM144">
        <v>127.44</v>
      </c>
      <c r="QT144">
        <v>127.52</v>
      </c>
      <c r="RA144">
        <v>127.57</v>
      </c>
      <c r="RM144">
        <v>159.16</v>
      </c>
      <c r="RR144">
        <v>159.24</v>
      </c>
      <c r="RW144">
        <v>159.28</v>
      </c>
      <c r="SD144">
        <v>159.37</v>
      </c>
      <c r="SK144">
        <v>159.51</v>
      </c>
      <c r="SR144">
        <v>159.66</v>
      </c>
      <c r="SY144">
        <v>159.75</v>
      </c>
      <c r="TF144">
        <v>159.91</v>
      </c>
      <c r="TM144">
        <v>159.97</v>
      </c>
      <c r="TT144">
        <v>160.04</v>
      </c>
      <c r="UA144">
        <v>160.12</v>
      </c>
      <c r="UH144">
        <v>160.19</v>
      </c>
      <c r="UV144">
        <v>160.34</v>
      </c>
      <c r="XM144">
        <v>162.97</v>
      </c>
      <c r="XT144">
        <v>163.01</v>
      </c>
      <c r="YA144">
        <v>163.04</v>
      </c>
      <c r="YI144">
        <v>163.06</v>
      </c>
      <c r="YV144">
        <v>163.12</v>
      </c>
      <c r="ZC144">
        <v>163.13999999999999</v>
      </c>
      <c r="ZJ144">
        <v>161.91999999999999</v>
      </c>
      <c r="ZQ144">
        <v>161.94999999999999</v>
      </c>
      <c r="ZX144">
        <v>161.96</v>
      </c>
      <c r="AAE144">
        <v>161.99</v>
      </c>
      <c r="AAL144">
        <v>162.01</v>
      </c>
      <c r="AAZ144">
        <v>162.06</v>
      </c>
      <c r="ABG144">
        <v>162.09</v>
      </c>
      <c r="ABW144">
        <v>164.89</v>
      </c>
      <c r="ACI144">
        <v>165.03</v>
      </c>
      <c r="ACP144">
        <v>165.11</v>
      </c>
      <c r="ACX144">
        <v>165.21</v>
      </c>
      <c r="ADD144">
        <v>165.28</v>
      </c>
      <c r="ADK144">
        <v>165.39</v>
      </c>
      <c r="ADR144">
        <v>165.45</v>
      </c>
      <c r="ADY144">
        <v>165.5</v>
      </c>
      <c r="AEF144">
        <v>165.52</v>
      </c>
    </row>
    <row r="145" spans="1:812">
      <c r="A145" s="1" t="s">
        <v>157</v>
      </c>
      <c r="B145" t="s">
        <v>349</v>
      </c>
      <c r="BU145">
        <v>0</v>
      </c>
      <c r="BV145">
        <v>0</v>
      </c>
      <c r="BW145">
        <v>0</v>
      </c>
      <c r="CA145">
        <v>0.02</v>
      </c>
      <c r="CE145">
        <v>0.03</v>
      </c>
      <c r="CF145">
        <v>0.17</v>
      </c>
      <c r="CG145">
        <v>0.2</v>
      </c>
      <c r="CH145">
        <v>0.24</v>
      </c>
      <c r="CI145">
        <v>0.27</v>
      </c>
      <c r="CJ145">
        <v>0.3</v>
      </c>
      <c r="CK145">
        <v>0.31</v>
      </c>
      <c r="CL145">
        <v>0.32</v>
      </c>
      <c r="CM145">
        <v>0.35</v>
      </c>
      <c r="CN145">
        <v>0.38</v>
      </c>
      <c r="CO145">
        <v>0.4</v>
      </c>
      <c r="CP145">
        <v>0.43</v>
      </c>
      <c r="CQ145">
        <v>0.45</v>
      </c>
      <c r="CR145">
        <v>0.47</v>
      </c>
      <c r="CS145">
        <v>0.48</v>
      </c>
      <c r="CT145">
        <v>0.52</v>
      </c>
      <c r="CU145">
        <v>0.56000000000000005</v>
      </c>
      <c r="CV145">
        <v>0.61</v>
      </c>
      <c r="CW145">
        <v>0.65</v>
      </c>
      <c r="CX145">
        <v>0.7</v>
      </c>
      <c r="CY145">
        <v>0.73</v>
      </c>
      <c r="CZ145">
        <v>0.76</v>
      </c>
      <c r="DA145">
        <v>0.81</v>
      </c>
      <c r="DB145">
        <v>0.86</v>
      </c>
      <c r="DC145">
        <v>0.94</v>
      </c>
      <c r="DD145">
        <v>1.01</v>
      </c>
      <c r="DE145">
        <v>1.1000000000000001</v>
      </c>
      <c r="DF145">
        <v>1.1399999999999999</v>
      </c>
      <c r="DG145">
        <v>1.17</v>
      </c>
      <c r="DH145">
        <v>1.27</v>
      </c>
      <c r="DI145">
        <v>1.39</v>
      </c>
      <c r="DJ145">
        <v>1.52</v>
      </c>
      <c r="DK145">
        <v>1.66</v>
      </c>
      <c r="DL145">
        <v>1.7</v>
      </c>
      <c r="DM145">
        <v>1.74</v>
      </c>
      <c r="DN145">
        <v>1.76</v>
      </c>
      <c r="DO145">
        <v>1.78</v>
      </c>
      <c r="DP145">
        <v>1.89</v>
      </c>
      <c r="DQ145">
        <v>2.04</v>
      </c>
      <c r="DR145">
        <v>2.21</v>
      </c>
      <c r="DS145">
        <v>2.36</v>
      </c>
      <c r="DT145">
        <v>2.44</v>
      </c>
      <c r="DU145">
        <v>2.52</v>
      </c>
      <c r="DV145">
        <v>2.68</v>
      </c>
      <c r="DW145">
        <v>2.85</v>
      </c>
      <c r="DX145">
        <v>3.02</v>
      </c>
      <c r="DY145">
        <v>3.2</v>
      </c>
      <c r="DZ145">
        <v>3.4</v>
      </c>
      <c r="EA145">
        <v>3.5</v>
      </c>
      <c r="EB145">
        <v>3.55</v>
      </c>
      <c r="EC145">
        <v>3.69</v>
      </c>
      <c r="ED145">
        <v>3.88</v>
      </c>
      <c r="EE145">
        <v>4.09</v>
      </c>
      <c r="EF145">
        <v>4.3099999999999996</v>
      </c>
      <c r="EG145">
        <v>4.55</v>
      </c>
      <c r="EH145">
        <v>4.6500000000000004</v>
      </c>
      <c r="EI145">
        <v>4.7</v>
      </c>
      <c r="EJ145">
        <v>4.74</v>
      </c>
      <c r="EK145">
        <v>4.95</v>
      </c>
      <c r="EL145">
        <v>5.18</v>
      </c>
      <c r="EM145">
        <v>5.44</v>
      </c>
      <c r="EN145">
        <v>5.71</v>
      </c>
      <c r="EO145">
        <v>5.83</v>
      </c>
      <c r="EP145">
        <v>5.9</v>
      </c>
      <c r="EQ145">
        <v>6.13</v>
      </c>
      <c r="ER145">
        <v>6.41</v>
      </c>
      <c r="ES145">
        <v>6.71</v>
      </c>
      <c r="ET145">
        <v>7.03</v>
      </c>
      <c r="EU145">
        <v>7.38</v>
      </c>
      <c r="EV145">
        <v>7.52</v>
      </c>
      <c r="EW145">
        <v>7.59</v>
      </c>
      <c r="EX145">
        <v>7.84</v>
      </c>
      <c r="EY145">
        <v>8.16</v>
      </c>
      <c r="EZ145">
        <v>8.4700000000000006</v>
      </c>
      <c r="FA145">
        <v>8.8000000000000007</v>
      </c>
      <c r="FB145">
        <v>9.1300000000000008</v>
      </c>
      <c r="FC145">
        <v>9.26</v>
      </c>
      <c r="FD145">
        <v>9.35</v>
      </c>
      <c r="FE145">
        <v>9.58</v>
      </c>
      <c r="FF145">
        <v>9.8800000000000008</v>
      </c>
      <c r="FG145">
        <v>10.199999999999999</v>
      </c>
      <c r="FH145">
        <v>10.52</v>
      </c>
      <c r="FI145">
        <v>10.85</v>
      </c>
      <c r="FJ145">
        <v>11.01</v>
      </c>
      <c r="FK145">
        <v>11.09</v>
      </c>
      <c r="FL145">
        <v>11.36</v>
      </c>
      <c r="FM145">
        <v>11.72</v>
      </c>
      <c r="FN145">
        <v>12.11</v>
      </c>
      <c r="FO145">
        <v>12.46</v>
      </c>
      <c r="FP145">
        <v>12.88</v>
      </c>
      <c r="FQ145">
        <v>13.1</v>
      </c>
      <c r="FR145">
        <v>13.2</v>
      </c>
      <c r="FS145">
        <v>13.5</v>
      </c>
      <c r="FT145">
        <v>13.92</v>
      </c>
      <c r="FU145">
        <v>14.35</v>
      </c>
      <c r="FV145">
        <v>14.83</v>
      </c>
      <c r="FW145">
        <v>15.25</v>
      </c>
      <c r="FX145">
        <v>15.45</v>
      </c>
      <c r="FY145">
        <v>15.56</v>
      </c>
      <c r="FZ145">
        <v>15.67</v>
      </c>
      <c r="GA145">
        <v>16.12</v>
      </c>
      <c r="GB145">
        <v>16.36</v>
      </c>
      <c r="GC145">
        <v>16.84</v>
      </c>
      <c r="GD145">
        <v>17.29</v>
      </c>
      <c r="GE145">
        <v>17.53</v>
      </c>
      <c r="GF145">
        <v>17.690000000000001</v>
      </c>
      <c r="GG145">
        <v>18.059999999999999</v>
      </c>
      <c r="GH145">
        <v>18.52</v>
      </c>
      <c r="GI145">
        <v>19.02</v>
      </c>
      <c r="GJ145">
        <v>19.5</v>
      </c>
      <c r="GK145">
        <v>19.940000000000001</v>
      </c>
      <c r="GL145">
        <v>20.190000000000001</v>
      </c>
      <c r="GM145">
        <v>20.34</v>
      </c>
      <c r="GN145">
        <v>20.7</v>
      </c>
      <c r="GO145">
        <v>21.17</v>
      </c>
      <c r="GP145">
        <v>21.68</v>
      </c>
      <c r="GQ145">
        <v>22.19</v>
      </c>
      <c r="GR145">
        <v>22.64</v>
      </c>
      <c r="GS145">
        <v>22.94</v>
      </c>
      <c r="GT145">
        <v>23.08</v>
      </c>
      <c r="GU145">
        <v>23.42</v>
      </c>
      <c r="GV145">
        <v>23.86</v>
      </c>
      <c r="GW145">
        <v>24.33</v>
      </c>
      <c r="GX145">
        <v>24.83</v>
      </c>
      <c r="GY145">
        <v>25.25</v>
      </c>
      <c r="GZ145">
        <v>25.51</v>
      </c>
      <c r="HA145">
        <v>25.64</v>
      </c>
      <c r="HB145">
        <v>25.97</v>
      </c>
      <c r="HC145">
        <v>26.4</v>
      </c>
      <c r="HD145">
        <v>26.88</v>
      </c>
      <c r="HE145">
        <v>27.39</v>
      </c>
      <c r="HF145">
        <v>27.84</v>
      </c>
      <c r="HG145">
        <v>28.16</v>
      </c>
      <c r="HH145">
        <v>28.32</v>
      </c>
      <c r="HI145">
        <v>28.69</v>
      </c>
      <c r="HJ145">
        <v>29.16</v>
      </c>
      <c r="HK145">
        <v>29.67</v>
      </c>
      <c r="HL145">
        <v>30.16</v>
      </c>
      <c r="HM145">
        <v>30.62</v>
      </c>
      <c r="HN145">
        <v>30.96</v>
      </c>
      <c r="HO145">
        <v>31.14</v>
      </c>
      <c r="HP145">
        <v>31.6</v>
      </c>
      <c r="HQ145">
        <v>32.24</v>
      </c>
      <c r="HR145">
        <v>32.94</v>
      </c>
      <c r="HS145">
        <v>33.61</v>
      </c>
      <c r="HT145">
        <v>34.25</v>
      </c>
      <c r="HU145">
        <v>34.770000000000003</v>
      </c>
      <c r="HV145">
        <v>35.06</v>
      </c>
      <c r="HW145">
        <v>35.69</v>
      </c>
      <c r="HX145">
        <v>36.49</v>
      </c>
      <c r="HY145">
        <v>37.36</v>
      </c>
      <c r="HZ145">
        <v>38.19</v>
      </c>
      <c r="IA145">
        <v>39.049999999999997</v>
      </c>
      <c r="IB145">
        <v>39.85</v>
      </c>
      <c r="IC145">
        <v>40.33</v>
      </c>
      <c r="ID145">
        <v>41.06</v>
      </c>
      <c r="IE145">
        <v>41.95</v>
      </c>
      <c r="IF145">
        <v>42.89</v>
      </c>
      <c r="IG145">
        <v>43.76</v>
      </c>
      <c r="IH145">
        <v>44.63</v>
      </c>
      <c r="II145">
        <v>45.39</v>
      </c>
      <c r="IJ145">
        <v>45.81</v>
      </c>
      <c r="IK145">
        <v>46.61</v>
      </c>
      <c r="IL145">
        <v>47.59</v>
      </c>
      <c r="IM145">
        <v>48.6</v>
      </c>
      <c r="IN145">
        <v>49.61</v>
      </c>
      <c r="IO145">
        <v>50.58</v>
      </c>
      <c r="IP145">
        <v>51.48</v>
      </c>
      <c r="IQ145">
        <v>52.01</v>
      </c>
      <c r="IR145">
        <v>52.97</v>
      </c>
      <c r="IS145">
        <v>54.12</v>
      </c>
      <c r="IV145">
        <v>55.55</v>
      </c>
      <c r="IW145">
        <v>56.63</v>
      </c>
      <c r="IX145">
        <v>57.37</v>
      </c>
      <c r="IY145">
        <v>58.68</v>
      </c>
      <c r="IZ145">
        <v>60.33</v>
      </c>
      <c r="JE145">
        <v>68.709999999999994</v>
      </c>
      <c r="JF145">
        <v>70.3</v>
      </c>
      <c r="JG145">
        <v>72.05</v>
      </c>
      <c r="JH145">
        <v>73.94</v>
      </c>
      <c r="JI145">
        <v>75.8</v>
      </c>
      <c r="JL145">
        <v>80.03</v>
      </c>
      <c r="JM145">
        <v>81.47</v>
      </c>
      <c r="JN145">
        <v>82.97</v>
      </c>
      <c r="JO145">
        <v>84.36</v>
      </c>
      <c r="JP145">
        <v>85.66</v>
      </c>
      <c r="JT145">
        <v>90.15</v>
      </c>
      <c r="JU145">
        <v>91.43</v>
      </c>
      <c r="JW145">
        <v>94.01</v>
      </c>
      <c r="KA145">
        <v>98</v>
      </c>
      <c r="KB145">
        <v>99.11</v>
      </c>
      <c r="KG145">
        <v>103.81</v>
      </c>
      <c r="KH145">
        <v>104.66</v>
      </c>
      <c r="KI145">
        <v>105.6</v>
      </c>
      <c r="KJ145">
        <v>105.6</v>
      </c>
      <c r="KK145">
        <v>107.41</v>
      </c>
      <c r="KN145">
        <v>110</v>
      </c>
      <c r="KO145">
        <v>111.15</v>
      </c>
      <c r="KP145">
        <v>112.48</v>
      </c>
      <c r="KQ145">
        <v>113.94</v>
      </c>
      <c r="KR145">
        <v>115.64</v>
      </c>
      <c r="KU145">
        <v>119.99</v>
      </c>
      <c r="KV145">
        <v>121.43</v>
      </c>
      <c r="KW145">
        <v>122.93</v>
      </c>
      <c r="KX145">
        <v>124.36</v>
      </c>
      <c r="KY145">
        <v>125.78</v>
      </c>
      <c r="LB145">
        <v>130.52000000000001</v>
      </c>
      <c r="LC145">
        <v>131.41999999999999</v>
      </c>
      <c r="LD145">
        <v>132.31</v>
      </c>
      <c r="LE145">
        <v>133.21</v>
      </c>
      <c r="LF145">
        <v>134.07</v>
      </c>
      <c r="LG145">
        <v>135</v>
      </c>
      <c r="LH145">
        <v>135.88</v>
      </c>
      <c r="LI145">
        <v>136.27000000000001</v>
      </c>
      <c r="LJ145">
        <v>136.49</v>
      </c>
      <c r="LK145">
        <v>137.36000000000001</v>
      </c>
      <c r="LL145">
        <v>138.19</v>
      </c>
      <c r="LM145">
        <v>139.12</v>
      </c>
      <c r="LP145">
        <v>141.31</v>
      </c>
      <c r="LQ145">
        <v>141.88999999999999</v>
      </c>
      <c r="LR145">
        <v>142.47999999999999</v>
      </c>
      <c r="LS145">
        <v>143.05000000000001</v>
      </c>
      <c r="LT145">
        <v>143.59</v>
      </c>
      <c r="LU145">
        <v>144.18</v>
      </c>
      <c r="LV145">
        <v>144.88</v>
      </c>
      <c r="LW145">
        <v>145.18</v>
      </c>
      <c r="LX145">
        <v>138.16999999999999</v>
      </c>
      <c r="LY145">
        <v>138.62</v>
      </c>
      <c r="LZ145">
        <v>139.05000000000001</v>
      </c>
      <c r="MA145">
        <v>139.51</v>
      </c>
      <c r="MC145">
        <v>140.5</v>
      </c>
      <c r="MD145">
        <v>140.79</v>
      </c>
      <c r="ME145">
        <v>141.21</v>
      </c>
      <c r="MF145">
        <v>141.63</v>
      </c>
      <c r="MG145">
        <v>142.04</v>
      </c>
      <c r="MH145">
        <v>142.44999999999999</v>
      </c>
      <c r="MI145">
        <v>142.88999999999999</v>
      </c>
      <c r="MJ145">
        <v>143.32</v>
      </c>
      <c r="MK145">
        <v>143.51</v>
      </c>
      <c r="ML145">
        <v>143.81</v>
      </c>
      <c r="MM145">
        <v>144.19</v>
      </c>
      <c r="MN145">
        <v>144.56</v>
      </c>
      <c r="MO145">
        <v>144.91999999999999</v>
      </c>
      <c r="MP145">
        <v>145.28</v>
      </c>
      <c r="MQ145">
        <v>145.69</v>
      </c>
      <c r="MS145">
        <v>147.13999999999999</v>
      </c>
      <c r="MU145">
        <v>148.69</v>
      </c>
      <c r="MV145">
        <v>149.47999999999999</v>
      </c>
      <c r="MW145">
        <v>150.26</v>
      </c>
      <c r="MX145">
        <v>150.80000000000001</v>
      </c>
      <c r="MY145">
        <v>151.03</v>
      </c>
      <c r="MZ145">
        <v>151.54</v>
      </c>
      <c r="NA145">
        <v>152.03</v>
      </c>
      <c r="NB145">
        <v>152.49</v>
      </c>
      <c r="NC145">
        <v>152.91999999999999</v>
      </c>
      <c r="NE145">
        <v>153.65</v>
      </c>
      <c r="NF145">
        <v>153.81</v>
      </c>
      <c r="NG145">
        <v>154.16999999999999</v>
      </c>
      <c r="NH145">
        <v>154.59</v>
      </c>
      <c r="NI145">
        <v>154.99</v>
      </c>
      <c r="NJ145">
        <v>155.41999999999999</v>
      </c>
      <c r="NL145">
        <v>156.15</v>
      </c>
      <c r="NM145">
        <v>156.30000000000001</v>
      </c>
      <c r="NN145">
        <v>156.69999999999999</v>
      </c>
      <c r="NO145">
        <v>157.13</v>
      </c>
      <c r="NP145">
        <v>157.59</v>
      </c>
      <c r="NQ145">
        <v>158.01</v>
      </c>
      <c r="NS145">
        <v>158.28</v>
      </c>
      <c r="NT145">
        <v>158.32</v>
      </c>
      <c r="NU145">
        <v>158.4</v>
      </c>
      <c r="NV145">
        <v>158.5</v>
      </c>
      <c r="NW145">
        <v>158.97</v>
      </c>
      <c r="NX145">
        <v>159.43</v>
      </c>
      <c r="NZ145">
        <v>159.80000000000001</v>
      </c>
      <c r="OA145">
        <v>159.86000000000001</v>
      </c>
      <c r="OB145">
        <v>159.97999999999999</v>
      </c>
      <c r="OC145">
        <v>160.12</v>
      </c>
      <c r="OD145">
        <v>161.06</v>
      </c>
      <c r="OE145">
        <v>162.03</v>
      </c>
      <c r="OG145">
        <v>163.5</v>
      </c>
      <c r="OH145">
        <v>163.75</v>
      </c>
      <c r="OI145">
        <v>164.81</v>
      </c>
      <c r="OJ145">
        <v>165.83</v>
      </c>
      <c r="OK145">
        <v>166.77</v>
      </c>
      <c r="OL145">
        <v>167.7</v>
      </c>
      <c r="OM145">
        <v>168.6</v>
      </c>
      <c r="ON145">
        <v>169.1</v>
      </c>
      <c r="OO145">
        <v>169.32</v>
      </c>
      <c r="OQ145">
        <v>170.96</v>
      </c>
      <c r="OR145">
        <v>171.75</v>
      </c>
      <c r="OS145">
        <v>172.58</v>
      </c>
      <c r="OT145">
        <v>173.36</v>
      </c>
      <c r="OU145">
        <v>173.95</v>
      </c>
      <c r="OV145">
        <v>174.4</v>
      </c>
      <c r="OW145">
        <v>177.43</v>
      </c>
      <c r="OX145">
        <v>176.78</v>
      </c>
      <c r="OY145">
        <v>180.28</v>
      </c>
      <c r="OZ145">
        <v>181.54</v>
      </c>
      <c r="PA145">
        <v>182.78</v>
      </c>
      <c r="PB145">
        <v>183.59</v>
      </c>
      <c r="PC145">
        <v>183.96</v>
      </c>
      <c r="PD145">
        <v>184.55</v>
      </c>
      <c r="PE145">
        <v>182.07</v>
      </c>
      <c r="PF145">
        <v>186.43</v>
      </c>
      <c r="PG145">
        <v>187.48</v>
      </c>
      <c r="PI145">
        <v>190.03</v>
      </c>
      <c r="PJ145">
        <v>190.57</v>
      </c>
      <c r="PK145">
        <v>190.98</v>
      </c>
      <c r="PL145">
        <v>192.26</v>
      </c>
      <c r="PM145">
        <v>193.45</v>
      </c>
      <c r="PN145">
        <v>194.53</v>
      </c>
      <c r="PO145">
        <v>195.75</v>
      </c>
      <c r="PP145">
        <v>196.84</v>
      </c>
      <c r="PQ145">
        <v>197.29</v>
      </c>
      <c r="PR145">
        <v>198.29</v>
      </c>
      <c r="PS145">
        <v>199.28</v>
      </c>
      <c r="PT145">
        <v>200.15</v>
      </c>
      <c r="PU145">
        <v>200.92</v>
      </c>
      <c r="PX145">
        <v>202.86</v>
      </c>
      <c r="PY145">
        <v>203.46</v>
      </c>
      <c r="QC145">
        <v>205.89</v>
      </c>
      <c r="QE145">
        <v>206.84</v>
      </c>
      <c r="QF145">
        <v>207.37</v>
      </c>
      <c r="QG145">
        <v>207.79</v>
      </c>
      <c r="QI145">
        <v>208.56</v>
      </c>
      <c r="QL145">
        <v>209.42</v>
      </c>
      <c r="QM145">
        <v>209.63</v>
      </c>
      <c r="QN145">
        <v>209.86</v>
      </c>
      <c r="QP145">
        <v>210.27</v>
      </c>
      <c r="QR145">
        <v>210.68</v>
      </c>
      <c r="QT145">
        <v>210.98</v>
      </c>
      <c r="QU145">
        <v>211.19</v>
      </c>
      <c r="QW145">
        <v>211.63</v>
      </c>
      <c r="QX145">
        <v>211.87</v>
      </c>
      <c r="QZ145">
        <v>212.26</v>
      </c>
      <c r="RA145">
        <v>212.42</v>
      </c>
      <c r="RB145">
        <v>212.59</v>
      </c>
      <c r="RC145">
        <v>212.76</v>
      </c>
      <c r="RD145">
        <v>212.91</v>
      </c>
      <c r="RE145">
        <v>213.1</v>
      </c>
      <c r="RG145">
        <v>213.39</v>
      </c>
      <c r="RH145">
        <v>213.5</v>
      </c>
      <c r="RI145">
        <v>213.61</v>
      </c>
      <c r="RJ145">
        <v>213.71</v>
      </c>
      <c r="RK145">
        <v>213.81</v>
      </c>
      <c r="RL145">
        <v>214.08</v>
      </c>
      <c r="RM145">
        <v>214.15</v>
      </c>
      <c r="RN145">
        <v>214.21</v>
      </c>
      <c r="RO145">
        <v>214.28</v>
      </c>
      <c r="RP145">
        <v>214.35</v>
      </c>
      <c r="RQ145">
        <v>214.56</v>
      </c>
      <c r="RR145">
        <v>214.62</v>
      </c>
      <c r="RS145">
        <v>214.67</v>
      </c>
      <c r="RT145">
        <v>214.73</v>
      </c>
      <c r="RW145">
        <v>214.85</v>
      </c>
      <c r="RX145">
        <v>214.91</v>
      </c>
      <c r="RZ145">
        <v>215.02</v>
      </c>
      <c r="SD145">
        <v>215.15</v>
      </c>
      <c r="SE145">
        <v>215.22</v>
      </c>
      <c r="SF145">
        <v>215.28</v>
      </c>
      <c r="SG145">
        <v>215.33</v>
      </c>
      <c r="SK145">
        <v>215.5</v>
      </c>
      <c r="SL145">
        <v>215.53</v>
      </c>
      <c r="SM145">
        <v>215.56</v>
      </c>
      <c r="SN145">
        <v>215.59</v>
      </c>
      <c r="SQ145">
        <v>215.68</v>
      </c>
      <c r="SR145">
        <v>215.7</v>
      </c>
      <c r="SS145">
        <v>215.73</v>
      </c>
      <c r="SU145">
        <v>215.79</v>
      </c>
      <c r="SX145">
        <v>215.87</v>
      </c>
      <c r="SY145">
        <v>215.9</v>
      </c>
      <c r="SZ145">
        <v>215.92</v>
      </c>
      <c r="TA145">
        <v>215.95</v>
      </c>
      <c r="TB145">
        <v>215.97</v>
      </c>
      <c r="TF145">
        <v>216.06</v>
      </c>
      <c r="TG145">
        <v>216.08</v>
      </c>
      <c r="TI145">
        <v>216.13</v>
      </c>
      <c r="TL145">
        <v>216.21</v>
      </c>
      <c r="TM145">
        <v>216.23</v>
      </c>
      <c r="TN145">
        <v>216.26</v>
      </c>
      <c r="TO145">
        <v>216.28</v>
      </c>
      <c r="TP145">
        <v>216.31</v>
      </c>
      <c r="TT145">
        <v>216.38</v>
      </c>
      <c r="TU145">
        <v>216.41</v>
      </c>
      <c r="TZ145">
        <v>216.53</v>
      </c>
      <c r="UA145">
        <v>216.56</v>
      </c>
      <c r="UB145">
        <v>216.59</v>
      </c>
      <c r="UG145">
        <v>216.72</v>
      </c>
      <c r="UH145">
        <v>216.74</v>
      </c>
      <c r="UI145">
        <v>216.77</v>
      </c>
      <c r="UN145">
        <v>216.88</v>
      </c>
      <c r="UO145">
        <v>216.91</v>
      </c>
      <c r="UP145">
        <v>217.06</v>
      </c>
      <c r="UQ145">
        <v>217.21</v>
      </c>
      <c r="UT145">
        <v>217.6</v>
      </c>
      <c r="UU145">
        <v>217.63</v>
      </c>
      <c r="UV145">
        <v>217.81</v>
      </c>
      <c r="UW145">
        <v>218</v>
      </c>
      <c r="UX145">
        <v>218.25</v>
      </c>
      <c r="UY145">
        <v>218.5</v>
      </c>
      <c r="VB145">
        <v>218.82</v>
      </c>
      <c r="VC145">
        <v>219.18</v>
      </c>
      <c r="VD145">
        <v>219.47</v>
      </c>
      <c r="VE145">
        <v>219.81</v>
      </c>
      <c r="VF145">
        <v>220.16</v>
      </c>
      <c r="VI145">
        <v>220.73</v>
      </c>
      <c r="VJ145">
        <v>221.03</v>
      </c>
      <c r="VK145">
        <v>221.32</v>
      </c>
      <c r="VP145">
        <v>222.36</v>
      </c>
      <c r="VQ145">
        <v>222.6</v>
      </c>
      <c r="VR145">
        <v>222.84</v>
      </c>
      <c r="VT145">
        <v>223.34</v>
      </c>
      <c r="VW145">
        <v>223.96</v>
      </c>
      <c r="VX145">
        <v>224.19</v>
      </c>
      <c r="VY145">
        <v>224.4</v>
      </c>
      <c r="VZ145">
        <v>224.62</v>
      </c>
      <c r="WC145">
        <v>224.98</v>
      </c>
      <c r="WS145">
        <v>227.12</v>
      </c>
      <c r="WZ145">
        <v>227.81</v>
      </c>
      <c r="XG145">
        <v>228.32</v>
      </c>
      <c r="XN145">
        <v>228.76</v>
      </c>
      <c r="XU145">
        <v>229.14</v>
      </c>
      <c r="YB145">
        <v>229.4</v>
      </c>
      <c r="YI145">
        <v>229.66</v>
      </c>
      <c r="ZJ145">
        <v>228.35</v>
      </c>
      <c r="AAS145">
        <v>229.76</v>
      </c>
      <c r="AAT145">
        <v>229.81</v>
      </c>
      <c r="ACC145">
        <v>230.71</v>
      </c>
      <c r="ACP145">
        <v>230.9</v>
      </c>
      <c r="ACQ145">
        <v>230.91</v>
      </c>
      <c r="ACR145">
        <v>230.92</v>
      </c>
      <c r="ACS145">
        <v>230.94</v>
      </c>
      <c r="ACT145">
        <v>230.95</v>
      </c>
      <c r="ACU145">
        <v>230.96</v>
      </c>
      <c r="ACV145">
        <v>230.96</v>
      </c>
      <c r="ACW145">
        <v>230.97</v>
      </c>
      <c r="ACX145">
        <v>230.98</v>
      </c>
      <c r="ACY145">
        <v>230.99</v>
      </c>
      <c r="ADZ145">
        <v>231.15</v>
      </c>
    </row>
    <row r="146" spans="1:812">
      <c r="A146" s="1" t="s">
        <v>132</v>
      </c>
      <c r="B146" t="s">
        <v>132</v>
      </c>
      <c r="CF146">
        <v>0</v>
      </c>
      <c r="DX146">
        <v>0.93</v>
      </c>
      <c r="EH146">
        <v>2.04</v>
      </c>
      <c r="EU146">
        <v>2.5099999999999998</v>
      </c>
      <c r="FI146">
        <v>2.5299999999999998</v>
      </c>
      <c r="HM146">
        <v>6.27</v>
      </c>
      <c r="IS146">
        <v>8.76</v>
      </c>
      <c r="IV146">
        <v>9.14</v>
      </c>
      <c r="JC146">
        <v>9.6300000000000008</v>
      </c>
      <c r="JQ146">
        <v>10.97</v>
      </c>
      <c r="JX146">
        <v>11.48</v>
      </c>
      <c r="KF146">
        <v>11.76</v>
      </c>
      <c r="LG146">
        <v>19.5</v>
      </c>
      <c r="LN146">
        <v>38.53</v>
      </c>
      <c r="MU146">
        <v>95.13</v>
      </c>
      <c r="NB146">
        <v>101.98</v>
      </c>
      <c r="ND146">
        <v>103.59</v>
      </c>
      <c r="NI146">
        <v>109.04</v>
      </c>
      <c r="NW146">
        <v>116.15</v>
      </c>
      <c r="OF146">
        <v>119.07</v>
      </c>
      <c r="OK146">
        <v>121.39</v>
      </c>
      <c r="OR146">
        <v>125.38</v>
      </c>
      <c r="OY146">
        <v>129.19999999999999</v>
      </c>
      <c r="PF146">
        <v>132.51</v>
      </c>
      <c r="PO146">
        <v>135.27000000000001</v>
      </c>
      <c r="PT146">
        <v>137.16999999999999</v>
      </c>
      <c r="QH146">
        <v>141.4</v>
      </c>
      <c r="QO146">
        <v>143.41</v>
      </c>
      <c r="SH146">
        <v>154.83000000000001</v>
      </c>
      <c r="SO146">
        <v>155.24</v>
      </c>
      <c r="SV146">
        <v>155.88999999999999</v>
      </c>
      <c r="TC146">
        <v>156.47999999999999</v>
      </c>
      <c r="TJ146">
        <v>157.58000000000001</v>
      </c>
      <c r="TV146">
        <v>163.72</v>
      </c>
      <c r="UC146">
        <v>166.2</v>
      </c>
      <c r="UJ146">
        <v>169.21</v>
      </c>
      <c r="UR146">
        <v>170.7</v>
      </c>
      <c r="UY146">
        <v>171.77</v>
      </c>
      <c r="VE146">
        <v>168.53</v>
      </c>
      <c r="VS146">
        <v>169.37</v>
      </c>
      <c r="VY146">
        <v>169.91</v>
      </c>
      <c r="WT146">
        <v>170.9</v>
      </c>
      <c r="XC146">
        <v>171.32</v>
      </c>
      <c r="XJ146">
        <v>171.59</v>
      </c>
      <c r="XX146">
        <v>172.13</v>
      </c>
      <c r="YE146">
        <v>172.69</v>
      </c>
      <c r="YL146">
        <v>172.93</v>
      </c>
      <c r="YS146">
        <v>173.24</v>
      </c>
      <c r="YZ146">
        <v>173.58</v>
      </c>
      <c r="ZG146">
        <v>171.41</v>
      </c>
      <c r="AAB146">
        <v>172.12</v>
      </c>
      <c r="AAP146">
        <v>173</v>
      </c>
      <c r="AAU146">
        <v>173.55</v>
      </c>
      <c r="ABC146">
        <v>173.82</v>
      </c>
      <c r="ABJ146">
        <v>174.12</v>
      </c>
      <c r="ABV146">
        <v>174.41</v>
      </c>
      <c r="ABY146">
        <v>174.6</v>
      </c>
      <c r="ACE146">
        <v>174.78</v>
      </c>
      <c r="ACT146">
        <v>175.44</v>
      </c>
      <c r="ADA146">
        <v>175.99</v>
      </c>
      <c r="ADH146">
        <v>175.99</v>
      </c>
      <c r="ADV146">
        <v>176.36</v>
      </c>
      <c r="AEC146">
        <v>219.2</v>
      </c>
    </row>
    <row r="147" spans="1:812">
      <c r="A147" s="1" t="s">
        <v>167</v>
      </c>
      <c r="B147" t="s">
        <v>350</v>
      </c>
      <c r="EA147">
        <v>0.01</v>
      </c>
      <c r="EZ147">
        <v>0.31</v>
      </c>
      <c r="FF147">
        <v>0.5</v>
      </c>
      <c r="FN147">
        <v>0.66</v>
      </c>
      <c r="GA147">
        <v>0.75</v>
      </c>
      <c r="GG147">
        <v>0.77</v>
      </c>
      <c r="GQ147">
        <v>1.06</v>
      </c>
      <c r="HB147">
        <v>1.75</v>
      </c>
      <c r="IK147">
        <v>1.76</v>
      </c>
      <c r="IR147">
        <v>2.0099999999999998</v>
      </c>
      <c r="IY147">
        <v>1.95</v>
      </c>
      <c r="KU147">
        <v>2.57</v>
      </c>
      <c r="PD147">
        <v>7.16</v>
      </c>
      <c r="QD147">
        <v>7.32</v>
      </c>
    </row>
    <row r="148" spans="1:812">
      <c r="A148" s="1" t="s">
        <v>77</v>
      </c>
      <c r="B148" t="s">
        <v>77</v>
      </c>
      <c r="CI148">
        <v>0</v>
      </c>
      <c r="CT148">
        <v>0</v>
      </c>
      <c r="DC148">
        <v>0.13</v>
      </c>
      <c r="DG148">
        <v>0.25</v>
      </c>
      <c r="DJ148">
        <v>0.35</v>
      </c>
      <c r="DK148">
        <v>0.4</v>
      </c>
      <c r="DP148">
        <v>0.47</v>
      </c>
      <c r="DX148">
        <v>0.51</v>
      </c>
      <c r="DY148">
        <v>0.51</v>
      </c>
      <c r="DZ148">
        <v>0.52</v>
      </c>
      <c r="EB148">
        <v>0.53</v>
      </c>
      <c r="EC148">
        <v>0.53</v>
      </c>
      <c r="ED148">
        <v>0.54</v>
      </c>
      <c r="EE148">
        <v>0.55000000000000004</v>
      </c>
      <c r="EF148">
        <v>0.56000000000000005</v>
      </c>
      <c r="EG148">
        <v>0.56000000000000005</v>
      </c>
      <c r="EH148">
        <v>0.56999999999999995</v>
      </c>
      <c r="EI148">
        <v>0.56999999999999995</v>
      </c>
      <c r="EJ148">
        <v>0.56999999999999995</v>
      </c>
      <c r="EK148">
        <v>0.56999999999999995</v>
      </c>
      <c r="EL148">
        <v>0.57999999999999996</v>
      </c>
      <c r="EO148">
        <v>0.59</v>
      </c>
      <c r="EP148">
        <v>0.6</v>
      </c>
      <c r="EQ148">
        <v>0.6</v>
      </c>
      <c r="ER148">
        <v>0.6</v>
      </c>
      <c r="ES148">
        <v>0.61</v>
      </c>
      <c r="ET148">
        <v>0.63</v>
      </c>
      <c r="EU148">
        <v>0.78</v>
      </c>
      <c r="EV148">
        <v>0.8</v>
      </c>
      <c r="EW148">
        <v>0.81</v>
      </c>
      <c r="EX148">
        <v>0.82</v>
      </c>
      <c r="EY148">
        <v>0.83</v>
      </c>
      <c r="EZ148">
        <v>0.85</v>
      </c>
      <c r="FA148">
        <v>0.86</v>
      </c>
      <c r="FB148">
        <v>0.86</v>
      </c>
      <c r="FC148">
        <v>0.87</v>
      </c>
      <c r="FD148">
        <v>0.88</v>
      </c>
      <c r="FE148">
        <v>0.88</v>
      </c>
      <c r="FF148">
        <v>0.89</v>
      </c>
      <c r="FG148">
        <v>0.91</v>
      </c>
      <c r="FH148">
        <v>0.92</v>
      </c>
      <c r="FI148">
        <v>0.93</v>
      </c>
      <c r="FJ148">
        <v>0.93</v>
      </c>
      <c r="FK148">
        <v>0.94</v>
      </c>
      <c r="FM148">
        <v>0.94</v>
      </c>
      <c r="FN148">
        <v>0.95</v>
      </c>
      <c r="FO148">
        <v>0.95</v>
      </c>
      <c r="FP148">
        <v>0.96</v>
      </c>
      <c r="FQ148">
        <v>0.97</v>
      </c>
      <c r="FR148">
        <v>0.98</v>
      </c>
      <c r="FS148">
        <v>0.98</v>
      </c>
      <c r="FT148">
        <v>1</v>
      </c>
      <c r="FU148">
        <v>1.02</v>
      </c>
      <c r="FW148">
        <v>1.08</v>
      </c>
      <c r="GH148">
        <v>1.29</v>
      </c>
      <c r="GQ148">
        <v>1.51</v>
      </c>
      <c r="GU148">
        <v>1.65</v>
      </c>
      <c r="HB148">
        <v>1.86</v>
      </c>
      <c r="HI148">
        <v>1.91</v>
      </c>
      <c r="IK148">
        <v>1.92</v>
      </c>
      <c r="JG148">
        <v>2.1</v>
      </c>
      <c r="JM148">
        <v>2.4500000000000002</v>
      </c>
      <c r="JS148">
        <v>2.7</v>
      </c>
      <c r="JV148">
        <v>2.77</v>
      </c>
      <c r="JZ148">
        <v>2.93</v>
      </c>
      <c r="KC148">
        <v>2.96</v>
      </c>
      <c r="KK148">
        <v>3.19</v>
      </c>
      <c r="KR148">
        <v>3.37</v>
      </c>
      <c r="KY148">
        <v>3.54</v>
      </c>
      <c r="LF148">
        <v>3.87</v>
      </c>
      <c r="LM148">
        <v>4.0599999999999996</v>
      </c>
      <c r="LT148">
        <v>4.16</v>
      </c>
      <c r="LZ148">
        <v>4.22</v>
      </c>
      <c r="MH148">
        <v>4.38</v>
      </c>
      <c r="MN148">
        <v>4.5599999999999996</v>
      </c>
      <c r="MV148">
        <v>4.79</v>
      </c>
      <c r="NC148">
        <v>5.3</v>
      </c>
      <c r="NI148">
        <v>5.72</v>
      </c>
      <c r="NN148">
        <v>6.14</v>
      </c>
      <c r="NX148">
        <v>6.74</v>
      </c>
      <c r="OE148">
        <v>7.22</v>
      </c>
      <c r="OK148">
        <v>8.01</v>
      </c>
      <c r="OM148">
        <v>8.31</v>
      </c>
      <c r="PY148">
        <v>12.01</v>
      </c>
      <c r="QE148">
        <v>12.54</v>
      </c>
      <c r="QL148">
        <v>13.05</v>
      </c>
      <c r="QS148">
        <v>13.57</v>
      </c>
      <c r="QX148">
        <v>14.01</v>
      </c>
      <c r="RG148">
        <v>14.85</v>
      </c>
    </row>
    <row r="149" spans="1:812">
      <c r="A149" s="1" t="s">
        <v>428</v>
      </c>
      <c r="HC149">
        <v>75.150000000000006</v>
      </c>
      <c r="IK149">
        <v>148.69999999999999</v>
      </c>
    </row>
    <row r="150" spans="1:812">
      <c r="A150" s="1" t="s">
        <v>108</v>
      </c>
      <c r="B150" t="s">
        <v>351</v>
      </c>
      <c r="BS150">
        <v>0</v>
      </c>
      <c r="CU150">
        <v>0.25</v>
      </c>
      <c r="DJ150">
        <v>0.37</v>
      </c>
      <c r="DL150">
        <v>0.4</v>
      </c>
      <c r="DM150">
        <v>0.43</v>
      </c>
      <c r="DO150">
        <v>0.57999999999999996</v>
      </c>
      <c r="DQ150">
        <v>0.74</v>
      </c>
      <c r="DR150">
        <v>0.88</v>
      </c>
      <c r="DS150">
        <v>1.02</v>
      </c>
      <c r="DT150">
        <v>1.1499999999999999</v>
      </c>
      <c r="DV150">
        <v>1.25</v>
      </c>
      <c r="DW150">
        <v>1.4</v>
      </c>
      <c r="DX150">
        <v>1.51</v>
      </c>
      <c r="DZ150">
        <v>1.85</v>
      </c>
      <c r="EB150">
        <v>1.87</v>
      </c>
      <c r="EC150">
        <v>1.99</v>
      </c>
      <c r="EE150">
        <v>2.0699999999999998</v>
      </c>
      <c r="EF150">
        <v>2.16</v>
      </c>
      <c r="EH150">
        <v>2.39</v>
      </c>
      <c r="EI150">
        <v>2.4900000000000002</v>
      </c>
      <c r="EJ150">
        <v>2.5499999999999998</v>
      </c>
      <c r="EK150">
        <v>2.68</v>
      </c>
      <c r="EN150">
        <v>2.96</v>
      </c>
      <c r="ER150">
        <v>3.17</v>
      </c>
      <c r="ES150">
        <v>3.56</v>
      </c>
      <c r="EV150">
        <v>4.66</v>
      </c>
      <c r="EW150">
        <v>5.18</v>
      </c>
      <c r="EX150">
        <v>6.96</v>
      </c>
      <c r="EY150">
        <v>7.7</v>
      </c>
      <c r="EZ150">
        <v>8.42</v>
      </c>
      <c r="FC150">
        <v>9.76</v>
      </c>
      <c r="FF150">
        <v>9.9499999999999993</v>
      </c>
      <c r="FG150">
        <v>10.56</v>
      </c>
      <c r="FH150">
        <v>11.16</v>
      </c>
      <c r="FI150">
        <v>11.74</v>
      </c>
      <c r="FJ150">
        <v>12.25</v>
      </c>
      <c r="FK150">
        <v>12.46</v>
      </c>
      <c r="FN150">
        <v>12.82</v>
      </c>
      <c r="FO150">
        <v>13.37</v>
      </c>
      <c r="FP150">
        <v>13.96</v>
      </c>
      <c r="FQ150">
        <v>14.64</v>
      </c>
      <c r="FS150">
        <v>15.16</v>
      </c>
      <c r="FT150">
        <v>15.89</v>
      </c>
      <c r="FU150">
        <v>16.649999999999999</v>
      </c>
      <c r="FV150">
        <v>17.41</v>
      </c>
      <c r="FW150">
        <v>17.739999999999998</v>
      </c>
      <c r="FX150">
        <v>18.45</v>
      </c>
      <c r="FY150">
        <v>19.2</v>
      </c>
      <c r="GA150">
        <v>19.71</v>
      </c>
      <c r="GB150">
        <v>20.2</v>
      </c>
      <c r="GC150">
        <v>20.7</v>
      </c>
      <c r="GD150">
        <v>21.26</v>
      </c>
      <c r="GG150">
        <v>21.72</v>
      </c>
      <c r="GH150">
        <v>21.99</v>
      </c>
      <c r="GI150">
        <v>22.2</v>
      </c>
      <c r="GJ150">
        <v>22.74</v>
      </c>
      <c r="GN150">
        <v>23.14</v>
      </c>
      <c r="GO150">
        <v>23.42</v>
      </c>
      <c r="GP150">
        <v>23.76</v>
      </c>
      <c r="GQ150">
        <v>24.07</v>
      </c>
      <c r="GR150">
        <v>24.07</v>
      </c>
      <c r="GS150">
        <v>24.5</v>
      </c>
      <c r="GV150">
        <v>25.41</v>
      </c>
      <c r="GW150">
        <v>26.05</v>
      </c>
      <c r="GX150">
        <v>26.75</v>
      </c>
      <c r="GY150">
        <v>27.46</v>
      </c>
      <c r="GZ150">
        <v>28.15</v>
      </c>
      <c r="HB150">
        <v>29.43</v>
      </c>
      <c r="HC150">
        <v>30.14</v>
      </c>
      <c r="HD150">
        <v>30.76</v>
      </c>
      <c r="HE150">
        <v>31.33</v>
      </c>
      <c r="HF150">
        <v>31.79</v>
      </c>
      <c r="HI150">
        <v>32.479999999999997</v>
      </c>
      <c r="HJ150">
        <v>32.97</v>
      </c>
      <c r="HK150">
        <v>33.61</v>
      </c>
      <c r="HL150">
        <v>34.229999999999997</v>
      </c>
      <c r="HM150">
        <v>34.840000000000003</v>
      </c>
      <c r="HR150">
        <v>36.53</v>
      </c>
      <c r="HS150">
        <v>38.409999999999997</v>
      </c>
      <c r="HT150">
        <v>39.28</v>
      </c>
      <c r="HW150">
        <v>40.67</v>
      </c>
      <c r="HX150">
        <v>41.4</v>
      </c>
      <c r="HY150">
        <v>41.4</v>
      </c>
      <c r="HZ150">
        <v>42.16</v>
      </c>
      <c r="IA150">
        <v>42.79</v>
      </c>
      <c r="IB150">
        <v>43.42</v>
      </c>
      <c r="IE150">
        <v>44.18</v>
      </c>
      <c r="IF150">
        <v>44.76</v>
      </c>
      <c r="IG150">
        <v>45.35</v>
      </c>
      <c r="IH150">
        <v>46.02</v>
      </c>
      <c r="IK150">
        <v>47.17</v>
      </c>
      <c r="IL150">
        <v>47.94</v>
      </c>
      <c r="IM150">
        <v>48.8</v>
      </c>
      <c r="IN150">
        <v>49.61</v>
      </c>
      <c r="IP150">
        <v>50.79</v>
      </c>
      <c r="IR150">
        <v>51.79</v>
      </c>
      <c r="IS150">
        <v>52.7</v>
      </c>
      <c r="IT150">
        <v>53.57</v>
      </c>
      <c r="IV150">
        <v>55.33</v>
      </c>
      <c r="IY150">
        <v>56.56</v>
      </c>
      <c r="JA150">
        <v>57.29</v>
      </c>
      <c r="JB150">
        <v>57.98</v>
      </c>
      <c r="JC150">
        <v>58.6</v>
      </c>
      <c r="JF150">
        <v>60.19</v>
      </c>
      <c r="JG150">
        <v>60.19</v>
      </c>
      <c r="JH150">
        <v>60.87</v>
      </c>
      <c r="JO150">
        <v>63.7</v>
      </c>
      <c r="JQ150">
        <v>65.209999999999994</v>
      </c>
      <c r="JT150">
        <v>67.11</v>
      </c>
      <c r="JV150">
        <v>67.790000000000006</v>
      </c>
      <c r="JX150">
        <v>68.92</v>
      </c>
      <c r="KB150">
        <v>70.349999999999994</v>
      </c>
      <c r="KC150">
        <v>70.8</v>
      </c>
      <c r="KD150">
        <v>71.17</v>
      </c>
      <c r="KF150">
        <v>71.819999999999993</v>
      </c>
      <c r="KI150">
        <v>72.290000000000006</v>
      </c>
      <c r="KJ150">
        <v>72.540000000000006</v>
      </c>
      <c r="KL150">
        <v>72.89</v>
      </c>
      <c r="KQ150">
        <v>73.63</v>
      </c>
      <c r="KS150">
        <v>73.95</v>
      </c>
      <c r="KZ150">
        <v>74.760000000000005</v>
      </c>
      <c r="LE150">
        <v>75.209999999999994</v>
      </c>
      <c r="LN150">
        <v>77.11</v>
      </c>
      <c r="LQ150">
        <v>77.39</v>
      </c>
      <c r="LT150">
        <v>78.010000000000005</v>
      </c>
      <c r="MF150">
        <v>79.599999999999994</v>
      </c>
    </row>
    <row r="151" spans="1:812">
      <c r="A151" s="1" t="s">
        <v>298</v>
      </c>
      <c r="B151" t="s">
        <v>380</v>
      </c>
      <c r="AL151">
        <v>0</v>
      </c>
      <c r="AQ151">
        <v>1.3</v>
      </c>
      <c r="AT151">
        <v>2.88</v>
      </c>
      <c r="DD151">
        <v>25.63</v>
      </c>
      <c r="DX151">
        <v>27.46</v>
      </c>
      <c r="EC151">
        <v>28.09</v>
      </c>
      <c r="EG151">
        <v>28.65</v>
      </c>
      <c r="EV151">
        <v>31.88</v>
      </c>
      <c r="EX151">
        <v>32.07</v>
      </c>
      <c r="EY151">
        <v>32.39</v>
      </c>
      <c r="FB151">
        <v>32.450000000000003</v>
      </c>
      <c r="FE151">
        <v>32.64</v>
      </c>
      <c r="FG151">
        <v>32.770000000000003</v>
      </c>
      <c r="FJ151">
        <v>33.14</v>
      </c>
      <c r="FL151">
        <v>33.18</v>
      </c>
      <c r="FM151">
        <v>33.39</v>
      </c>
      <c r="FO151">
        <v>33.94</v>
      </c>
      <c r="IQ151">
        <v>79.23</v>
      </c>
      <c r="LN151">
        <v>144.27000000000001</v>
      </c>
      <c r="LU151">
        <v>145.69</v>
      </c>
      <c r="MB151">
        <v>147.54</v>
      </c>
      <c r="MI151">
        <v>150.51</v>
      </c>
      <c r="MP151">
        <v>161.52000000000001</v>
      </c>
      <c r="AAU151">
        <v>225.04</v>
      </c>
      <c r="AAW151">
        <v>225.04</v>
      </c>
      <c r="AAY151">
        <v>225.04</v>
      </c>
      <c r="ABA151">
        <v>225.04</v>
      </c>
      <c r="ABC151">
        <v>225.04</v>
      </c>
      <c r="ABE151">
        <v>225.04</v>
      </c>
      <c r="ABG151">
        <v>225.04</v>
      </c>
      <c r="ABI151">
        <v>225.04</v>
      </c>
      <c r="ABK151">
        <v>225.04</v>
      </c>
      <c r="ABM151">
        <v>225.04</v>
      </c>
      <c r="ABO151">
        <v>225.04</v>
      </c>
      <c r="ABQ151">
        <v>225.04</v>
      </c>
      <c r="ABS151">
        <v>225.04</v>
      </c>
      <c r="ABU151">
        <v>225.04</v>
      </c>
      <c r="ABW151">
        <v>225.04</v>
      </c>
      <c r="ABY151">
        <v>225.04</v>
      </c>
      <c r="ACA151">
        <v>225.04</v>
      </c>
      <c r="ACC151">
        <v>225.04</v>
      </c>
      <c r="ACE151">
        <v>225.04</v>
      </c>
      <c r="ACJ151">
        <v>225.04</v>
      </c>
      <c r="ACL151">
        <v>225.04</v>
      </c>
      <c r="ACN151">
        <v>225.04</v>
      </c>
      <c r="ACP151">
        <v>225.04</v>
      </c>
      <c r="ACR151">
        <v>225.04</v>
      </c>
      <c r="ACT151">
        <v>225.04</v>
      </c>
      <c r="ACV151">
        <v>225.04</v>
      </c>
      <c r="ACX151">
        <v>225.04</v>
      </c>
      <c r="ACZ151">
        <v>225.04</v>
      </c>
      <c r="ADB151">
        <v>225.04</v>
      </c>
    </row>
    <row r="152" spans="1:812">
      <c r="A152" s="1" t="s">
        <v>110</v>
      </c>
      <c r="B152" t="s">
        <v>280</v>
      </c>
      <c r="T152">
        <v>0</v>
      </c>
      <c r="U152">
        <v>0.01</v>
      </c>
      <c r="V152">
        <v>0.03</v>
      </c>
      <c r="W152">
        <v>0.04</v>
      </c>
      <c r="X152">
        <v>0.04</v>
      </c>
      <c r="Y152">
        <v>0.04</v>
      </c>
      <c r="Z152">
        <v>0.04</v>
      </c>
      <c r="AA152">
        <v>0.04</v>
      </c>
      <c r="AB152">
        <v>0.04</v>
      </c>
      <c r="AC152">
        <v>0.1</v>
      </c>
      <c r="AD152">
        <v>0.27</v>
      </c>
      <c r="AE152">
        <v>0.39</v>
      </c>
      <c r="AF152">
        <v>0.42</v>
      </c>
      <c r="AG152">
        <v>0.42</v>
      </c>
      <c r="AH152">
        <v>0.43</v>
      </c>
      <c r="AI152">
        <v>0.43</v>
      </c>
      <c r="AJ152">
        <v>0.51</v>
      </c>
      <c r="AK152">
        <v>0.69</v>
      </c>
      <c r="AL152">
        <v>0.85</v>
      </c>
      <c r="AM152">
        <v>0.93</v>
      </c>
      <c r="AN152">
        <v>0.94</v>
      </c>
      <c r="AO152">
        <v>0.95</v>
      </c>
      <c r="AP152">
        <v>0.98</v>
      </c>
      <c r="AQ152">
        <v>1.08</v>
      </c>
      <c r="AR152">
        <v>1.28</v>
      </c>
      <c r="AS152">
        <v>1.43</v>
      </c>
      <c r="AT152">
        <v>1.5</v>
      </c>
      <c r="AU152">
        <v>1.5</v>
      </c>
      <c r="AV152">
        <v>1.5</v>
      </c>
      <c r="AW152">
        <v>1.51</v>
      </c>
      <c r="AX152">
        <v>1.6</v>
      </c>
      <c r="AY152">
        <v>1.95</v>
      </c>
      <c r="AZ152">
        <v>2.27</v>
      </c>
      <c r="BA152">
        <v>2.38</v>
      </c>
      <c r="BB152">
        <v>2.38</v>
      </c>
      <c r="BC152">
        <v>2.39</v>
      </c>
      <c r="BD152">
        <v>2.4</v>
      </c>
      <c r="BE152">
        <v>2.57</v>
      </c>
      <c r="BF152">
        <v>3.19</v>
      </c>
      <c r="BG152">
        <v>3.83</v>
      </c>
      <c r="BH152">
        <v>4.1100000000000003</v>
      </c>
      <c r="BI152">
        <v>4.1399999999999997</v>
      </c>
      <c r="BJ152">
        <v>4.1500000000000004</v>
      </c>
      <c r="BK152">
        <v>4.17</v>
      </c>
      <c r="BL152">
        <v>4.33</v>
      </c>
      <c r="BM152">
        <v>4.92</v>
      </c>
      <c r="BN152">
        <v>5.46</v>
      </c>
      <c r="BO152">
        <v>5.68</v>
      </c>
      <c r="BP152">
        <v>5.7</v>
      </c>
      <c r="BQ152">
        <v>5.7</v>
      </c>
      <c r="BR152">
        <v>5.73</v>
      </c>
      <c r="BS152">
        <v>5.88</v>
      </c>
      <c r="BT152">
        <v>6.47</v>
      </c>
      <c r="BU152">
        <v>7.02</v>
      </c>
      <c r="BV152">
        <v>7.31</v>
      </c>
      <c r="BW152">
        <v>7.32</v>
      </c>
      <c r="BX152">
        <v>7.32</v>
      </c>
      <c r="BY152">
        <v>7.37</v>
      </c>
      <c r="BZ152">
        <v>7.57</v>
      </c>
      <c r="CA152">
        <v>8.19</v>
      </c>
      <c r="CB152">
        <v>8.86</v>
      </c>
      <c r="CC152">
        <v>9.19</v>
      </c>
      <c r="CD152">
        <v>9.1999999999999993</v>
      </c>
      <c r="CE152">
        <v>9.2200000000000006</v>
      </c>
      <c r="CF152">
        <v>9.34</v>
      </c>
      <c r="CG152">
        <v>9.61</v>
      </c>
      <c r="CH152">
        <v>10.27</v>
      </c>
      <c r="CI152">
        <v>10.91</v>
      </c>
      <c r="CJ152">
        <v>11.25</v>
      </c>
      <c r="CK152">
        <v>11.26</v>
      </c>
      <c r="CL152">
        <v>11.27</v>
      </c>
      <c r="CM152">
        <v>11.36</v>
      </c>
      <c r="CN152">
        <v>11.67</v>
      </c>
      <c r="CO152">
        <v>12.37</v>
      </c>
      <c r="CP152">
        <v>12.9</v>
      </c>
      <c r="CQ152">
        <v>13.1</v>
      </c>
      <c r="CR152">
        <v>13.1</v>
      </c>
      <c r="CS152">
        <v>13.11</v>
      </c>
      <c r="CT152">
        <v>13.12</v>
      </c>
      <c r="CU152">
        <v>13.23</v>
      </c>
      <c r="CV152">
        <v>13.69</v>
      </c>
      <c r="CW152">
        <v>14.1</v>
      </c>
      <c r="CX152">
        <v>14.24</v>
      </c>
      <c r="CY152">
        <v>14.25</v>
      </c>
      <c r="CZ152">
        <v>14.26</v>
      </c>
      <c r="DA152">
        <v>14.28</v>
      </c>
      <c r="DB152">
        <v>14.54</v>
      </c>
      <c r="DC152">
        <v>15.33</v>
      </c>
      <c r="DD152">
        <v>16.09</v>
      </c>
      <c r="DE152">
        <v>16.43</v>
      </c>
      <c r="DF152">
        <v>16.440000000000001</v>
      </c>
      <c r="DG152">
        <v>16.45</v>
      </c>
      <c r="DH152">
        <v>16.54</v>
      </c>
      <c r="DI152">
        <v>17.2</v>
      </c>
      <c r="DJ152">
        <v>18.010000000000002</v>
      </c>
      <c r="DK152">
        <v>18.45</v>
      </c>
      <c r="DL152">
        <v>18.54</v>
      </c>
      <c r="DM152">
        <v>18.54</v>
      </c>
      <c r="DN152">
        <v>18.55</v>
      </c>
      <c r="DO152">
        <v>18.579999999999998</v>
      </c>
      <c r="DP152">
        <v>18.97</v>
      </c>
      <c r="DQ152">
        <v>20.13</v>
      </c>
      <c r="DR152">
        <v>21.27</v>
      </c>
      <c r="DS152">
        <v>21.79</v>
      </c>
      <c r="DT152">
        <v>21.81</v>
      </c>
      <c r="DU152">
        <v>21.82</v>
      </c>
      <c r="DV152">
        <v>21.89</v>
      </c>
      <c r="DW152">
        <v>22.37</v>
      </c>
      <c r="DX152">
        <v>23.64</v>
      </c>
      <c r="DY152">
        <v>24.87</v>
      </c>
      <c r="DZ152">
        <v>25.43</v>
      </c>
      <c r="EA152">
        <v>25.47</v>
      </c>
      <c r="EB152">
        <v>25.49</v>
      </c>
      <c r="EC152">
        <v>25.61</v>
      </c>
      <c r="ED152">
        <v>25.99</v>
      </c>
      <c r="EE152">
        <v>27.13</v>
      </c>
      <c r="EF152">
        <v>28.12</v>
      </c>
      <c r="EG152">
        <v>28.48</v>
      </c>
      <c r="EH152">
        <v>28.49</v>
      </c>
      <c r="EI152">
        <v>28.49</v>
      </c>
      <c r="EJ152">
        <v>28.54</v>
      </c>
      <c r="EK152">
        <v>29.01</v>
      </c>
      <c r="EL152">
        <v>30.54</v>
      </c>
      <c r="EM152">
        <v>31.92</v>
      </c>
      <c r="EN152">
        <v>32.54</v>
      </c>
      <c r="EO152">
        <v>32.909999999999997</v>
      </c>
      <c r="EP152">
        <v>32.94</v>
      </c>
      <c r="EQ152">
        <v>33.020000000000003</v>
      </c>
      <c r="ER152">
        <v>33.44</v>
      </c>
      <c r="ES152">
        <v>34.9</v>
      </c>
      <c r="ET152">
        <v>36.22</v>
      </c>
      <c r="EU152">
        <v>36.799999999999997</v>
      </c>
      <c r="EV152">
        <v>36.82</v>
      </c>
      <c r="EW152">
        <v>36.840000000000003</v>
      </c>
      <c r="EX152">
        <v>37</v>
      </c>
      <c r="EY152">
        <v>37.92</v>
      </c>
      <c r="EZ152">
        <v>39.69</v>
      </c>
      <c r="FA152">
        <v>40.08</v>
      </c>
      <c r="FB152">
        <v>40.44</v>
      </c>
      <c r="FC152">
        <v>40.49</v>
      </c>
      <c r="FD152">
        <v>40.54</v>
      </c>
      <c r="FE152">
        <v>40.549999999999997</v>
      </c>
      <c r="FF152">
        <v>41.07</v>
      </c>
      <c r="FG152">
        <v>42.56</v>
      </c>
      <c r="FH152">
        <v>43.99</v>
      </c>
      <c r="FI152">
        <v>44.66</v>
      </c>
      <c r="FJ152">
        <v>44.7</v>
      </c>
      <c r="FK152">
        <v>44.72</v>
      </c>
      <c r="FL152">
        <v>44.78</v>
      </c>
      <c r="FM152">
        <v>45.4</v>
      </c>
      <c r="FN152">
        <v>47.13</v>
      </c>
      <c r="FO152">
        <v>48.67</v>
      </c>
      <c r="FP152">
        <v>49.35</v>
      </c>
      <c r="FQ152">
        <v>49.4</v>
      </c>
      <c r="FR152">
        <v>49.44</v>
      </c>
      <c r="FS152">
        <v>49.62</v>
      </c>
      <c r="FT152">
        <v>50.39</v>
      </c>
      <c r="FU152">
        <v>52.67</v>
      </c>
      <c r="FV152">
        <v>54.76</v>
      </c>
      <c r="FW152">
        <v>55.71</v>
      </c>
      <c r="FX152">
        <v>55.79</v>
      </c>
      <c r="FY152">
        <v>55.85</v>
      </c>
      <c r="FZ152">
        <v>56.19</v>
      </c>
      <c r="GA152">
        <v>57.05</v>
      </c>
      <c r="GB152">
        <v>58.91</v>
      </c>
      <c r="GC152">
        <v>60.67</v>
      </c>
      <c r="GD152">
        <v>61.45</v>
      </c>
      <c r="GE152">
        <v>61.52</v>
      </c>
      <c r="GF152">
        <v>61.58</v>
      </c>
      <c r="GG152">
        <v>61.98</v>
      </c>
      <c r="GH152">
        <v>62.71</v>
      </c>
      <c r="GI152">
        <v>64.66</v>
      </c>
      <c r="GJ152">
        <v>66.36</v>
      </c>
      <c r="GK152">
        <v>67.17</v>
      </c>
      <c r="GL152">
        <v>67.3</v>
      </c>
      <c r="GM152">
        <v>67.38</v>
      </c>
      <c r="GN152">
        <v>67.760000000000005</v>
      </c>
      <c r="GO152">
        <v>68.680000000000007</v>
      </c>
      <c r="GP152">
        <v>70.709999999999994</v>
      </c>
      <c r="GQ152">
        <v>72.790000000000006</v>
      </c>
      <c r="GR152">
        <v>73.78</v>
      </c>
      <c r="GS152">
        <v>73.97</v>
      </c>
      <c r="GT152">
        <v>74.069999999999993</v>
      </c>
      <c r="GU152">
        <v>74.680000000000007</v>
      </c>
      <c r="GV152">
        <v>75.61</v>
      </c>
      <c r="GW152">
        <v>77.650000000000006</v>
      </c>
      <c r="GX152">
        <v>79.989999999999995</v>
      </c>
      <c r="GY152">
        <v>80.989999999999995</v>
      </c>
      <c r="GZ152">
        <v>81.17</v>
      </c>
      <c r="HA152">
        <v>81.28</v>
      </c>
      <c r="HB152">
        <v>81.790000000000006</v>
      </c>
      <c r="HC152">
        <v>82.62</v>
      </c>
      <c r="HD152">
        <v>84.19</v>
      </c>
      <c r="HE152">
        <v>85.63</v>
      </c>
      <c r="HF152">
        <v>86.19</v>
      </c>
      <c r="HG152">
        <v>86.27</v>
      </c>
      <c r="HH152">
        <v>86.32</v>
      </c>
      <c r="HI152">
        <v>86.6</v>
      </c>
      <c r="HJ152">
        <v>87.19</v>
      </c>
      <c r="HK152">
        <v>88.62</v>
      </c>
      <c r="HL152">
        <v>89.95</v>
      </c>
      <c r="HM152">
        <v>90.43</v>
      </c>
      <c r="HN152">
        <v>90.45</v>
      </c>
      <c r="HO152">
        <v>90.45</v>
      </c>
      <c r="HP152">
        <v>90.67</v>
      </c>
      <c r="HQ152">
        <v>91.23</v>
      </c>
      <c r="HR152">
        <v>92.79</v>
      </c>
      <c r="HS152">
        <v>94.44</v>
      </c>
      <c r="HT152">
        <v>94.97</v>
      </c>
      <c r="HU152">
        <v>94.97</v>
      </c>
      <c r="HV152">
        <v>95.01</v>
      </c>
      <c r="HW152">
        <v>95.23</v>
      </c>
      <c r="HX152">
        <v>95.78</v>
      </c>
      <c r="HY152">
        <v>97.49</v>
      </c>
      <c r="HZ152">
        <v>99.21</v>
      </c>
      <c r="IA152">
        <v>99.81</v>
      </c>
      <c r="IB152">
        <v>99.83</v>
      </c>
      <c r="IC152">
        <v>100.02</v>
      </c>
      <c r="ID152">
        <v>100.36</v>
      </c>
      <c r="IE152">
        <v>100.96</v>
      </c>
      <c r="IF152">
        <v>102.53</v>
      </c>
      <c r="IG152">
        <v>104.08</v>
      </c>
      <c r="IH152">
        <v>104.67</v>
      </c>
      <c r="II152">
        <v>104.7</v>
      </c>
      <c r="IJ152">
        <v>104.71</v>
      </c>
      <c r="IK152">
        <v>105.16</v>
      </c>
      <c r="IL152">
        <v>105.92</v>
      </c>
      <c r="IM152">
        <v>107.81</v>
      </c>
      <c r="IN152">
        <v>109.71</v>
      </c>
      <c r="IO152">
        <v>110.54</v>
      </c>
      <c r="IP152">
        <v>110.59</v>
      </c>
      <c r="IQ152">
        <v>110.61</v>
      </c>
      <c r="IR152">
        <v>111.22</v>
      </c>
      <c r="IS152">
        <v>112.12</v>
      </c>
      <c r="IT152">
        <v>114.27</v>
      </c>
      <c r="IU152">
        <v>116.21</v>
      </c>
      <c r="IV152">
        <v>116.53</v>
      </c>
      <c r="IW152">
        <v>116.66</v>
      </c>
      <c r="IX152">
        <v>116.7</v>
      </c>
      <c r="IY152">
        <v>117.49</v>
      </c>
      <c r="IZ152">
        <v>118.8</v>
      </c>
      <c r="JA152">
        <v>121.3</v>
      </c>
      <c r="JB152">
        <v>123.59</v>
      </c>
      <c r="JE152">
        <v>125.48</v>
      </c>
      <c r="JF152">
        <v>126.29</v>
      </c>
      <c r="JG152">
        <v>127.21</v>
      </c>
      <c r="JI152">
        <v>130.68</v>
      </c>
      <c r="JM152">
        <v>132.35</v>
      </c>
      <c r="JN152">
        <v>132.96</v>
      </c>
      <c r="JO152">
        <v>134.18</v>
      </c>
      <c r="JS152">
        <v>136.05000000000001</v>
      </c>
      <c r="JT152">
        <v>136.36000000000001</v>
      </c>
      <c r="JU152">
        <v>136.86000000000001</v>
      </c>
      <c r="JV152">
        <v>137.91</v>
      </c>
      <c r="JW152">
        <v>138.81</v>
      </c>
      <c r="JZ152">
        <v>139.33000000000001</v>
      </c>
      <c r="KA152">
        <v>139.69999999999999</v>
      </c>
      <c r="KB152">
        <v>140.12</v>
      </c>
      <c r="KC152">
        <v>140.91999999999999</v>
      </c>
      <c r="KD152">
        <v>141.49</v>
      </c>
      <c r="KE152">
        <v>141.72999999999999</v>
      </c>
      <c r="KF152">
        <v>141.75</v>
      </c>
      <c r="KG152">
        <v>141.75</v>
      </c>
      <c r="KI152">
        <v>142.15</v>
      </c>
      <c r="ML152">
        <v>153.76</v>
      </c>
      <c r="MM152">
        <v>154.29</v>
      </c>
      <c r="NG152">
        <v>167.41</v>
      </c>
      <c r="NH152">
        <v>168.42</v>
      </c>
      <c r="OE152">
        <v>183.81</v>
      </c>
      <c r="PZ152">
        <v>205.16</v>
      </c>
      <c r="QB152">
        <v>205.36</v>
      </c>
      <c r="QF152">
        <v>205.48</v>
      </c>
      <c r="QH152">
        <v>205.59</v>
      </c>
      <c r="QO152">
        <v>205.8</v>
      </c>
      <c r="QP152">
        <v>205.85</v>
      </c>
      <c r="QS152">
        <v>205.85</v>
      </c>
      <c r="QU152">
        <v>205.94</v>
      </c>
      <c r="QV152">
        <v>205.96</v>
      </c>
      <c r="RR152">
        <v>206.44</v>
      </c>
      <c r="RW152">
        <v>206.46</v>
      </c>
      <c r="RY152">
        <v>206.52</v>
      </c>
      <c r="SC152">
        <v>206.58</v>
      </c>
      <c r="SE152">
        <v>206.62</v>
      </c>
      <c r="SI152">
        <v>206.7</v>
      </c>
      <c r="SN152">
        <v>206.8</v>
      </c>
      <c r="ST152">
        <v>206.89</v>
      </c>
      <c r="TF152">
        <v>207.07</v>
      </c>
      <c r="TG152">
        <v>207.11</v>
      </c>
      <c r="TH152">
        <v>207.15</v>
      </c>
      <c r="TM152">
        <v>207.2</v>
      </c>
      <c r="TP152">
        <v>207.31</v>
      </c>
      <c r="TU152">
        <v>207.37</v>
      </c>
      <c r="TV152">
        <v>207.4</v>
      </c>
      <c r="TW152">
        <v>207.43</v>
      </c>
      <c r="UB152">
        <v>207.5</v>
      </c>
      <c r="UC152">
        <v>207.53</v>
      </c>
      <c r="UD152">
        <v>207.56</v>
      </c>
      <c r="UG152">
        <v>208.44</v>
      </c>
      <c r="UH152">
        <v>208.47</v>
      </c>
      <c r="UI152">
        <v>208.51</v>
      </c>
      <c r="UJ152">
        <v>208.56</v>
      </c>
      <c r="UK152">
        <v>208.6</v>
      </c>
      <c r="UR152">
        <v>208.79</v>
      </c>
      <c r="UT152">
        <v>208.83</v>
      </c>
      <c r="UU152">
        <v>208.84</v>
      </c>
      <c r="UV152">
        <v>208.88</v>
      </c>
      <c r="UW152">
        <v>208.95</v>
      </c>
      <c r="VC152">
        <v>211.7</v>
      </c>
      <c r="VF152">
        <v>212.03</v>
      </c>
      <c r="VJ152">
        <v>212.14</v>
      </c>
      <c r="VL152">
        <v>212.33</v>
      </c>
      <c r="VM152">
        <v>212.45</v>
      </c>
      <c r="VQ152">
        <v>212.57</v>
      </c>
      <c r="VS152">
        <v>212.82</v>
      </c>
      <c r="VW152">
        <v>213.03</v>
      </c>
      <c r="YO152">
        <v>222.59</v>
      </c>
      <c r="YP152">
        <v>222.59</v>
      </c>
      <c r="YQ152">
        <v>222.76</v>
      </c>
      <c r="YR152">
        <v>222.88</v>
      </c>
      <c r="ZC152">
        <v>223.57</v>
      </c>
      <c r="ZE152">
        <v>222.52</v>
      </c>
      <c r="ZJ152">
        <v>222.78</v>
      </c>
      <c r="ZL152">
        <v>222.95</v>
      </c>
      <c r="ZM152">
        <v>223.04</v>
      </c>
      <c r="ZS152">
        <v>223.3</v>
      </c>
    </row>
    <row r="153" spans="1:812">
      <c r="A153" s="1" t="s">
        <v>64</v>
      </c>
      <c r="B153" t="s">
        <v>281</v>
      </c>
      <c r="U153">
        <v>0.03</v>
      </c>
      <c r="V153">
        <v>7.0000000000000007E-2</v>
      </c>
      <c r="W153">
        <v>0.1</v>
      </c>
      <c r="X153">
        <v>0.13</v>
      </c>
      <c r="Z153">
        <v>0.14000000000000001</v>
      </c>
      <c r="AA153">
        <v>0.17</v>
      </c>
      <c r="AB153">
        <v>0.21</v>
      </c>
      <c r="AC153">
        <v>0.25</v>
      </c>
      <c r="AD153">
        <v>0.27</v>
      </c>
      <c r="AE153">
        <v>0.28999999999999998</v>
      </c>
      <c r="AF153">
        <v>0.28999999999999998</v>
      </c>
      <c r="AG153">
        <v>0.28999999999999998</v>
      </c>
      <c r="AH153">
        <v>0.31</v>
      </c>
      <c r="AI153">
        <v>0.36</v>
      </c>
      <c r="AJ153">
        <v>0.4</v>
      </c>
      <c r="AK153">
        <v>0.45</v>
      </c>
      <c r="AL153">
        <v>0.47</v>
      </c>
      <c r="AN153">
        <v>0.49</v>
      </c>
      <c r="AO153">
        <v>0.5</v>
      </c>
      <c r="AP153">
        <v>0.52</v>
      </c>
      <c r="AQ153">
        <v>0.55000000000000004</v>
      </c>
      <c r="AR153">
        <v>0.57999999999999996</v>
      </c>
      <c r="AU153">
        <v>0.6</v>
      </c>
      <c r="AV153">
        <v>0.64</v>
      </c>
      <c r="AW153">
        <v>0.68</v>
      </c>
      <c r="AX153">
        <v>0.71</v>
      </c>
      <c r="AY153">
        <v>0.73</v>
      </c>
      <c r="BK153">
        <v>0.77</v>
      </c>
      <c r="BL153">
        <v>0.81</v>
      </c>
      <c r="BM153">
        <v>0.85</v>
      </c>
      <c r="BN153">
        <v>0.88</v>
      </c>
      <c r="BO153">
        <v>0.92</v>
      </c>
      <c r="BP153">
        <v>0.92</v>
      </c>
      <c r="BQ153">
        <v>0.96</v>
      </c>
      <c r="BR153">
        <v>0.98</v>
      </c>
      <c r="BS153">
        <v>1.1100000000000001</v>
      </c>
      <c r="BT153">
        <v>1.1399999999999999</v>
      </c>
      <c r="BU153">
        <v>1.17</v>
      </c>
      <c r="BV153">
        <v>1.21</v>
      </c>
      <c r="BW153">
        <v>1.22</v>
      </c>
      <c r="BX153">
        <v>1.26</v>
      </c>
      <c r="BY153">
        <v>1.29</v>
      </c>
      <c r="BZ153">
        <v>1.32</v>
      </c>
      <c r="CN153">
        <v>1.85</v>
      </c>
      <c r="CO153">
        <v>1.92</v>
      </c>
      <c r="CT153">
        <v>2.06</v>
      </c>
      <c r="CV153">
        <v>2.15</v>
      </c>
      <c r="DA153">
        <v>2.37</v>
      </c>
      <c r="DC153">
        <v>2.5299999999999998</v>
      </c>
      <c r="DH153">
        <v>2.74</v>
      </c>
      <c r="DJ153">
        <v>2.97</v>
      </c>
      <c r="DO153">
        <v>3.35</v>
      </c>
      <c r="DV153">
        <v>3.68</v>
      </c>
      <c r="DX153">
        <v>3.78</v>
      </c>
      <c r="EC153">
        <v>4.26</v>
      </c>
      <c r="EE153">
        <v>4.79</v>
      </c>
      <c r="FE153">
        <v>5.81</v>
      </c>
      <c r="GF153">
        <v>11.86</v>
      </c>
      <c r="GH153">
        <v>14.1</v>
      </c>
      <c r="GM153">
        <v>16.82</v>
      </c>
      <c r="HB153">
        <v>26.2</v>
      </c>
      <c r="HD153">
        <v>29</v>
      </c>
      <c r="HI153">
        <v>31.94</v>
      </c>
      <c r="HK153">
        <v>33.85</v>
      </c>
      <c r="HV153">
        <v>36.96</v>
      </c>
      <c r="IK153">
        <v>52.02</v>
      </c>
      <c r="IR153">
        <v>57.8</v>
      </c>
      <c r="IY153">
        <v>64.709999999999994</v>
      </c>
      <c r="JF153">
        <v>71.84</v>
      </c>
      <c r="KA153">
        <v>88.76</v>
      </c>
      <c r="KH153">
        <v>94.71</v>
      </c>
      <c r="KV153">
        <v>100.6</v>
      </c>
      <c r="LY153">
        <v>111.47</v>
      </c>
      <c r="NJ153">
        <v>113.62</v>
      </c>
      <c r="OP153">
        <v>122.06</v>
      </c>
      <c r="PD153">
        <v>126.37</v>
      </c>
      <c r="UH153">
        <v>135.31</v>
      </c>
    </row>
    <row r="154" spans="1:812">
      <c r="A154" s="1" t="s">
        <v>48</v>
      </c>
      <c r="B154" t="s">
        <v>352</v>
      </c>
      <c r="BE154">
        <v>0</v>
      </c>
      <c r="BM154">
        <v>0.01</v>
      </c>
      <c r="BT154">
        <v>0.02</v>
      </c>
      <c r="BX154">
        <v>0.03</v>
      </c>
      <c r="CS154">
        <v>0.16</v>
      </c>
      <c r="DJ154">
        <v>0.36</v>
      </c>
      <c r="DP154">
        <v>0.42</v>
      </c>
      <c r="DR154">
        <v>0.5</v>
      </c>
      <c r="DW154">
        <v>0.59</v>
      </c>
      <c r="EL154">
        <v>0.95</v>
      </c>
      <c r="ER154">
        <v>1.34</v>
      </c>
      <c r="ES154">
        <v>1.43</v>
      </c>
      <c r="ET154">
        <v>1.5</v>
      </c>
      <c r="EY154">
        <v>1.68</v>
      </c>
      <c r="FA154">
        <v>1.74</v>
      </c>
      <c r="FH154">
        <v>2.15</v>
      </c>
      <c r="FI154">
        <v>2.2400000000000002</v>
      </c>
      <c r="FL154">
        <v>2.4300000000000002</v>
      </c>
      <c r="FO154">
        <v>2.78</v>
      </c>
      <c r="FT154">
        <v>3.32</v>
      </c>
      <c r="FU154">
        <v>3.46</v>
      </c>
      <c r="FV154">
        <v>3.6</v>
      </c>
      <c r="FX154">
        <v>3.74</v>
      </c>
      <c r="GB154">
        <v>4.33</v>
      </c>
      <c r="GE154">
        <v>4.75</v>
      </c>
      <c r="GF154">
        <v>4.84</v>
      </c>
      <c r="GH154">
        <v>5.0199999999999996</v>
      </c>
      <c r="GI154">
        <v>5.32</v>
      </c>
      <c r="GJ154">
        <v>5.46</v>
      </c>
      <c r="GK154">
        <v>5.65</v>
      </c>
      <c r="GL154">
        <v>5.77</v>
      </c>
      <c r="GN154">
        <v>5.88</v>
      </c>
      <c r="GP154">
        <v>6.1</v>
      </c>
      <c r="GX154">
        <v>7.4</v>
      </c>
      <c r="GZ154">
        <v>7.57</v>
      </c>
      <c r="HA154">
        <v>7.87</v>
      </c>
      <c r="HD154">
        <v>8.25</v>
      </c>
      <c r="HG154">
        <v>8.6300000000000008</v>
      </c>
      <c r="HH154">
        <v>9</v>
      </c>
      <c r="HJ154">
        <v>9.3000000000000007</v>
      </c>
      <c r="HK154">
        <v>9.5399999999999991</v>
      </c>
      <c r="HL154">
        <v>9.81</v>
      </c>
      <c r="HM154">
        <v>10.06</v>
      </c>
      <c r="HN154">
        <v>10.29</v>
      </c>
      <c r="HR154">
        <v>10.91</v>
      </c>
      <c r="HW154">
        <v>11.51</v>
      </c>
      <c r="HY154">
        <v>11.88</v>
      </c>
      <c r="HZ154">
        <v>12.62</v>
      </c>
      <c r="IA154">
        <v>13.01</v>
      </c>
      <c r="IB154">
        <v>13.42</v>
      </c>
      <c r="IC154">
        <v>13.85</v>
      </c>
      <c r="IE154">
        <v>14.97</v>
      </c>
      <c r="IF154">
        <v>15.48</v>
      </c>
      <c r="IG154">
        <v>15.98</v>
      </c>
      <c r="IH154">
        <v>16.45</v>
      </c>
      <c r="II154">
        <v>16.940000000000001</v>
      </c>
      <c r="IK154">
        <v>17.53</v>
      </c>
      <c r="IL154">
        <v>17.98</v>
      </c>
      <c r="IM154">
        <v>18.41</v>
      </c>
      <c r="IN154">
        <v>18.77</v>
      </c>
      <c r="IO154">
        <v>19.09</v>
      </c>
      <c r="IQ154">
        <v>19.329999999999998</v>
      </c>
      <c r="IS154">
        <v>20.07</v>
      </c>
      <c r="IT154">
        <v>20.25</v>
      </c>
      <c r="IV154">
        <v>20.22</v>
      </c>
      <c r="IW154">
        <v>20.63</v>
      </c>
      <c r="IZ154">
        <v>21.23</v>
      </c>
      <c r="JB154">
        <v>22.64</v>
      </c>
      <c r="JE154">
        <v>23.67</v>
      </c>
      <c r="JG154">
        <v>25.21</v>
      </c>
      <c r="JH154">
        <v>25.82</v>
      </c>
      <c r="JI154">
        <v>26.37</v>
      </c>
      <c r="JL154">
        <v>27.41</v>
      </c>
      <c r="JM154">
        <v>28.12</v>
      </c>
      <c r="JN154">
        <v>28.67</v>
      </c>
      <c r="JO154">
        <v>29.09</v>
      </c>
      <c r="JP154">
        <v>29.51</v>
      </c>
      <c r="JQ154">
        <v>29.9</v>
      </c>
      <c r="JS154">
        <v>30.3</v>
      </c>
      <c r="JU154">
        <v>31.26</v>
      </c>
      <c r="JW154">
        <v>31.67</v>
      </c>
      <c r="JX154">
        <v>32.409999999999997</v>
      </c>
      <c r="JZ154">
        <v>32.78</v>
      </c>
      <c r="KA154">
        <v>33.229999999999997</v>
      </c>
      <c r="KC154">
        <v>33.81</v>
      </c>
      <c r="KH154">
        <v>35.32</v>
      </c>
      <c r="KI154">
        <v>35.75</v>
      </c>
      <c r="KK154">
        <v>36.78</v>
      </c>
      <c r="KO154">
        <v>38.47</v>
      </c>
      <c r="KP154">
        <v>38.96</v>
      </c>
      <c r="KR154">
        <v>39.840000000000003</v>
      </c>
      <c r="KV154">
        <v>41.12</v>
      </c>
      <c r="KW154">
        <v>41.54</v>
      </c>
      <c r="LE154">
        <v>43.79</v>
      </c>
      <c r="LF154">
        <v>44.11</v>
      </c>
      <c r="LH154">
        <v>44.73</v>
      </c>
      <c r="LK154">
        <v>45.32</v>
      </c>
      <c r="LM154">
        <v>45.97</v>
      </c>
      <c r="LQ154">
        <v>47.02</v>
      </c>
      <c r="LR154">
        <v>47.51</v>
      </c>
      <c r="LT154">
        <v>48.66</v>
      </c>
      <c r="LU154">
        <v>49.2</v>
      </c>
      <c r="LW154">
        <v>49.72</v>
      </c>
      <c r="LX154">
        <v>50.26</v>
      </c>
      <c r="LY154">
        <v>51.02</v>
      </c>
      <c r="LZ154">
        <v>51.57</v>
      </c>
      <c r="MA154">
        <v>52.06</v>
      </c>
      <c r="MB154">
        <v>52.55</v>
      </c>
      <c r="MD154">
        <v>52.86</v>
      </c>
      <c r="ME154">
        <v>53.04</v>
      </c>
      <c r="MF154">
        <v>53.17</v>
      </c>
      <c r="MG154">
        <v>53.29</v>
      </c>
      <c r="MH154">
        <v>53.39</v>
      </c>
      <c r="MI154">
        <v>53.49</v>
      </c>
      <c r="ML154">
        <v>53.8</v>
      </c>
      <c r="MM154">
        <v>53.94</v>
      </c>
      <c r="MN154">
        <v>54.08</v>
      </c>
      <c r="MP154">
        <v>54.32</v>
      </c>
      <c r="MR154">
        <v>54.42</v>
      </c>
      <c r="MS154">
        <v>54.63</v>
      </c>
      <c r="MU154">
        <v>55.09</v>
      </c>
      <c r="MV154">
        <v>55.4</v>
      </c>
      <c r="MY154">
        <v>56.21</v>
      </c>
      <c r="MZ154">
        <v>56.71</v>
      </c>
      <c r="NB154">
        <v>57.77</v>
      </c>
      <c r="NC154">
        <v>58.31</v>
      </c>
      <c r="ND154">
        <v>58.9</v>
      </c>
      <c r="NF154">
        <v>59.46</v>
      </c>
      <c r="NG154">
        <v>59.87</v>
      </c>
      <c r="NH154">
        <v>60.36</v>
      </c>
      <c r="NI154">
        <v>60.89</v>
      </c>
      <c r="NJ154">
        <v>61.44</v>
      </c>
      <c r="NM154">
        <v>62.84</v>
      </c>
      <c r="NN154">
        <v>63.37</v>
      </c>
      <c r="NO154">
        <v>63.97</v>
      </c>
      <c r="NP154">
        <v>64.59</v>
      </c>
      <c r="NR154">
        <v>65.84</v>
      </c>
      <c r="NU154">
        <v>67.47</v>
      </c>
      <c r="NV154">
        <v>68.150000000000006</v>
      </c>
      <c r="NX154">
        <v>69.55</v>
      </c>
      <c r="OB154">
        <v>70.63</v>
      </c>
      <c r="OC154">
        <v>71</v>
      </c>
      <c r="OD154">
        <v>71.34</v>
      </c>
      <c r="OE154">
        <v>71.67</v>
      </c>
      <c r="OF154">
        <v>71.989999999999995</v>
      </c>
      <c r="OJ154">
        <v>72.67</v>
      </c>
      <c r="OK154">
        <v>73.400000000000006</v>
      </c>
      <c r="OL154">
        <v>73.75</v>
      </c>
      <c r="OM154">
        <v>74.08</v>
      </c>
      <c r="OP154">
        <v>74.760000000000005</v>
      </c>
      <c r="OQ154">
        <v>75.099999999999994</v>
      </c>
      <c r="OR154">
        <v>75.459999999999994</v>
      </c>
      <c r="OS154">
        <v>75.8</v>
      </c>
      <c r="OW154">
        <v>76.75</v>
      </c>
      <c r="OZ154">
        <v>77.3</v>
      </c>
      <c r="PE154">
        <v>78.81</v>
      </c>
      <c r="PF154">
        <v>79.48</v>
      </c>
      <c r="PG154">
        <v>80.22</v>
      </c>
      <c r="PH154">
        <v>80.989999999999995</v>
      </c>
      <c r="PJ154">
        <v>82.58</v>
      </c>
      <c r="PK154">
        <v>83.48</v>
      </c>
      <c r="PL154">
        <v>84.4</v>
      </c>
      <c r="PM154">
        <v>85.37</v>
      </c>
      <c r="PN154">
        <v>86.36</v>
      </c>
      <c r="PQ154">
        <v>89.2</v>
      </c>
      <c r="PR154">
        <v>90.24</v>
      </c>
      <c r="PT154">
        <v>91.26</v>
      </c>
      <c r="PY154">
        <v>93</v>
      </c>
      <c r="QF154">
        <v>95.32</v>
      </c>
      <c r="QG154">
        <v>95.52</v>
      </c>
      <c r="QH154">
        <v>95.71</v>
      </c>
      <c r="QK154">
        <v>96.33</v>
      </c>
      <c r="QM154">
        <v>96.56</v>
      </c>
      <c r="QN154">
        <v>96.83</v>
      </c>
      <c r="QO154">
        <v>97.11</v>
      </c>
      <c r="QP154">
        <v>97.41</v>
      </c>
      <c r="RK154">
        <v>105.65</v>
      </c>
      <c r="RR154">
        <v>108.09</v>
      </c>
      <c r="RS154">
        <v>108.18</v>
      </c>
      <c r="RT154">
        <v>108.26</v>
      </c>
      <c r="RU154">
        <v>108.34</v>
      </c>
      <c r="RV154">
        <v>108.51</v>
      </c>
      <c r="RW154">
        <v>108.6</v>
      </c>
      <c r="RX154">
        <v>108.69</v>
      </c>
      <c r="RY154">
        <v>108.76</v>
      </c>
      <c r="RZ154">
        <v>108.83</v>
      </c>
      <c r="SA154">
        <v>108.9</v>
      </c>
      <c r="SB154">
        <v>108.97</v>
      </c>
      <c r="SD154">
        <v>109.05</v>
      </c>
      <c r="SE154">
        <v>109.1</v>
      </c>
      <c r="SF154">
        <v>109.16</v>
      </c>
      <c r="SG154">
        <v>109.22</v>
      </c>
      <c r="SH154">
        <v>109.27</v>
      </c>
      <c r="SI154">
        <v>109.32</v>
      </c>
      <c r="SO154">
        <v>109.36</v>
      </c>
      <c r="SP154">
        <v>109.43</v>
      </c>
      <c r="SS154">
        <v>109.64</v>
      </c>
      <c r="ST154">
        <v>109.72</v>
      </c>
      <c r="SU154">
        <v>109.78</v>
      </c>
      <c r="SV154">
        <v>109.86</v>
      </c>
      <c r="SW154">
        <v>109.9</v>
      </c>
      <c r="SX154">
        <v>109.92</v>
      </c>
      <c r="SY154">
        <v>109.96</v>
      </c>
      <c r="SZ154">
        <v>110</v>
      </c>
      <c r="TA154">
        <v>110.05</v>
      </c>
      <c r="TB154">
        <v>110.16</v>
      </c>
      <c r="TC154">
        <v>110.22</v>
      </c>
      <c r="TD154">
        <v>110.29</v>
      </c>
      <c r="TE154">
        <v>110.32</v>
      </c>
      <c r="TF154">
        <v>110.35</v>
      </c>
      <c r="TG154">
        <v>110.42</v>
      </c>
      <c r="TH154">
        <v>110.47</v>
      </c>
      <c r="TI154">
        <v>110.54</v>
      </c>
      <c r="TJ154">
        <v>110.59</v>
      </c>
      <c r="TK154">
        <v>110.64</v>
      </c>
      <c r="TL154">
        <v>110.65</v>
      </c>
      <c r="TM154">
        <v>110.65</v>
      </c>
      <c r="TN154">
        <v>110.74</v>
      </c>
      <c r="TO154">
        <v>110.77</v>
      </c>
      <c r="TP154">
        <v>110.81</v>
      </c>
      <c r="TQ154">
        <v>110.84</v>
      </c>
      <c r="TR154">
        <v>110.87</v>
      </c>
      <c r="TS154">
        <v>110.88</v>
      </c>
      <c r="TT154">
        <v>110.99</v>
      </c>
      <c r="TU154">
        <v>111.32</v>
      </c>
      <c r="TV154">
        <v>111.67</v>
      </c>
      <c r="TX154">
        <v>112.31</v>
      </c>
      <c r="TY154">
        <v>112.63</v>
      </c>
      <c r="TZ154">
        <v>112.92</v>
      </c>
      <c r="UA154">
        <v>113.26</v>
      </c>
      <c r="UB154">
        <v>113.59</v>
      </c>
      <c r="UC154">
        <v>113.92</v>
      </c>
      <c r="UD154">
        <v>114.23</v>
      </c>
      <c r="UE154">
        <v>114.55</v>
      </c>
      <c r="UF154">
        <v>114.87</v>
      </c>
      <c r="UG154">
        <v>115.14</v>
      </c>
      <c r="UH154">
        <v>115.45</v>
      </c>
      <c r="UI154">
        <v>115.87</v>
      </c>
      <c r="UJ154">
        <v>116.34</v>
      </c>
      <c r="UK154">
        <v>116.86</v>
      </c>
      <c r="UL154">
        <v>117.31</v>
      </c>
      <c r="UM154">
        <v>117.76</v>
      </c>
      <c r="UN154">
        <v>118.19</v>
      </c>
      <c r="UO154">
        <v>118.65</v>
      </c>
      <c r="UP154">
        <v>119.1</v>
      </c>
      <c r="UQ154">
        <v>119.53</v>
      </c>
      <c r="UR154">
        <v>119.97</v>
      </c>
      <c r="US154">
        <v>120.25</v>
      </c>
      <c r="UT154">
        <v>120.65</v>
      </c>
      <c r="UU154">
        <v>120.97</v>
      </c>
      <c r="UV154">
        <v>121.39</v>
      </c>
      <c r="UW154">
        <v>121.83</v>
      </c>
      <c r="UX154">
        <v>122.28</v>
      </c>
      <c r="UZ154">
        <v>123.16</v>
      </c>
      <c r="VA154">
        <v>123.36</v>
      </c>
      <c r="VE154">
        <v>120.2</v>
      </c>
      <c r="VF154">
        <v>120.39</v>
      </c>
      <c r="VG154">
        <v>120.6</v>
      </c>
      <c r="VH154">
        <v>120.81</v>
      </c>
      <c r="VJ154">
        <v>121.03</v>
      </c>
      <c r="VK154">
        <v>121.23</v>
      </c>
      <c r="VL154">
        <v>121.45</v>
      </c>
      <c r="VM154">
        <v>121.65</v>
      </c>
      <c r="VN154">
        <v>121.85</v>
      </c>
      <c r="VO154">
        <v>122.02</v>
      </c>
      <c r="VQ154">
        <v>122.24</v>
      </c>
      <c r="VR154">
        <v>122.45</v>
      </c>
      <c r="VS154">
        <v>122.65</v>
      </c>
      <c r="VT154">
        <v>122.86</v>
      </c>
      <c r="VU154">
        <v>123.06</v>
      </c>
      <c r="VV154">
        <v>123.26</v>
      </c>
      <c r="VW154">
        <v>123.47</v>
      </c>
      <c r="VX154">
        <v>123.68</v>
      </c>
      <c r="VY154">
        <v>123.88</v>
      </c>
      <c r="VZ154">
        <v>124.07</v>
      </c>
      <c r="WA154">
        <v>124.25</v>
      </c>
      <c r="WB154">
        <v>124.39</v>
      </c>
      <c r="WF154">
        <v>124.58</v>
      </c>
      <c r="WM154">
        <v>125.4</v>
      </c>
      <c r="WO154">
        <v>125.64</v>
      </c>
      <c r="WP154">
        <v>125.76</v>
      </c>
      <c r="WR154">
        <v>125.85</v>
      </c>
      <c r="WS154">
        <v>125.93</v>
      </c>
      <c r="WT154">
        <v>126.01</v>
      </c>
      <c r="WU154">
        <v>126.08</v>
      </c>
      <c r="WW154">
        <v>126.2</v>
      </c>
      <c r="WY154">
        <v>126.27</v>
      </c>
      <c r="WZ154">
        <v>126.35</v>
      </c>
      <c r="XA154">
        <v>126.43</v>
      </c>
      <c r="XB154">
        <v>126.51</v>
      </c>
      <c r="XC154">
        <v>126.59</v>
      </c>
      <c r="XD154">
        <v>126.66</v>
      </c>
      <c r="XH154">
        <v>126.87</v>
      </c>
      <c r="XI154">
        <v>126.95</v>
      </c>
      <c r="XJ154">
        <v>127.02</v>
      </c>
      <c r="XK154">
        <v>127.09</v>
      </c>
      <c r="XM154">
        <v>127.17</v>
      </c>
      <c r="XN154">
        <v>127.24</v>
      </c>
      <c r="XO154">
        <v>127.32</v>
      </c>
      <c r="XQ154">
        <v>127.4</v>
      </c>
      <c r="XR154">
        <v>127.55</v>
      </c>
      <c r="XT154">
        <v>127.61</v>
      </c>
      <c r="XU154">
        <v>127.68</v>
      </c>
      <c r="XV154">
        <v>127.75</v>
      </c>
      <c r="XW154">
        <v>127.83</v>
      </c>
      <c r="XX154">
        <v>127.89</v>
      </c>
      <c r="XY154">
        <v>127.96</v>
      </c>
      <c r="YA154">
        <v>128.04</v>
      </c>
      <c r="YI154">
        <v>128.47</v>
      </c>
      <c r="YJ154">
        <v>128.53</v>
      </c>
      <c r="YM154">
        <v>128.69</v>
      </c>
      <c r="YO154">
        <v>128.79</v>
      </c>
      <c r="YP154">
        <v>128.79</v>
      </c>
      <c r="YQ154">
        <v>128.84</v>
      </c>
      <c r="YR154">
        <v>128.88999999999999</v>
      </c>
      <c r="YS154">
        <v>128.94</v>
      </c>
      <c r="YT154">
        <v>128.97999999999999</v>
      </c>
      <c r="YV154">
        <v>129.02000000000001</v>
      </c>
      <c r="YW154">
        <v>129.08000000000001</v>
      </c>
      <c r="YX154">
        <v>129.12</v>
      </c>
      <c r="YY154">
        <v>129.19</v>
      </c>
      <c r="ZC154">
        <v>129.32</v>
      </c>
      <c r="ZJ154">
        <v>127.13</v>
      </c>
      <c r="ZM154">
        <v>127.26</v>
      </c>
      <c r="ZN154">
        <v>127.3</v>
      </c>
      <c r="ZP154">
        <v>127.34</v>
      </c>
      <c r="ZS154">
        <v>127.42</v>
      </c>
      <c r="ZT154">
        <v>127.47</v>
      </c>
      <c r="ZV154">
        <v>127.55</v>
      </c>
      <c r="ZX154">
        <v>127.6</v>
      </c>
      <c r="ZY154">
        <v>127.64</v>
      </c>
      <c r="AAA154">
        <v>127.67</v>
      </c>
      <c r="AAD154">
        <v>127.69</v>
      </c>
      <c r="AAE154">
        <v>127.74</v>
      </c>
      <c r="AAK154">
        <v>127.93</v>
      </c>
      <c r="AAL154">
        <v>127.97</v>
      </c>
      <c r="AAM154">
        <v>128.01</v>
      </c>
      <c r="AAN154">
        <v>128.04</v>
      </c>
      <c r="AAT154">
        <v>128.19</v>
      </c>
      <c r="AAU154">
        <v>128.22</v>
      </c>
      <c r="AAV154">
        <v>128.24</v>
      </c>
      <c r="ADU154">
        <v>141.49</v>
      </c>
      <c r="ADZ154">
        <v>141.53</v>
      </c>
    </row>
    <row r="155" spans="1:812">
      <c r="A155" s="1" t="s">
        <v>436</v>
      </c>
    </row>
    <row r="156" spans="1:812">
      <c r="A156" s="1" t="s">
        <v>103</v>
      </c>
      <c r="B156" t="s">
        <v>353</v>
      </c>
      <c r="DI156">
        <v>1.61</v>
      </c>
      <c r="DJ156">
        <v>1.71</v>
      </c>
      <c r="DK156">
        <v>1.83</v>
      </c>
      <c r="DM156">
        <v>1.97</v>
      </c>
      <c r="DN156">
        <v>2.0099999999999998</v>
      </c>
      <c r="DO156">
        <v>2.19</v>
      </c>
      <c r="DP156">
        <v>2.38</v>
      </c>
      <c r="DQ156">
        <v>2.6</v>
      </c>
      <c r="DR156">
        <v>2.81</v>
      </c>
      <c r="DS156">
        <v>2.99</v>
      </c>
      <c r="DT156">
        <v>3</v>
      </c>
      <c r="DU156">
        <v>3.02</v>
      </c>
      <c r="DV156">
        <v>3.17</v>
      </c>
      <c r="DW156">
        <v>3.31</v>
      </c>
      <c r="DX156">
        <v>3.41</v>
      </c>
      <c r="DY156">
        <v>3.49</v>
      </c>
      <c r="DZ156">
        <v>3.58</v>
      </c>
      <c r="EA156">
        <v>3.58</v>
      </c>
      <c r="EB156">
        <v>3.6</v>
      </c>
      <c r="EC156">
        <v>3.77</v>
      </c>
      <c r="EE156">
        <v>3.97</v>
      </c>
      <c r="EF156">
        <v>4.05</v>
      </c>
      <c r="EG156">
        <v>4.18</v>
      </c>
      <c r="EH156">
        <v>4.18</v>
      </c>
      <c r="ES156">
        <v>8.89</v>
      </c>
      <c r="EZ156">
        <v>9.15</v>
      </c>
      <c r="FB156">
        <v>9.15</v>
      </c>
      <c r="FD156">
        <v>9.16</v>
      </c>
      <c r="FE156">
        <v>9.1999999999999993</v>
      </c>
      <c r="FF156">
        <v>9.24</v>
      </c>
      <c r="FG156">
        <v>9.26</v>
      </c>
      <c r="FH156">
        <v>9.33</v>
      </c>
      <c r="FN156">
        <v>9.6</v>
      </c>
      <c r="FO156">
        <v>9.9600000000000009</v>
      </c>
      <c r="FQ156">
        <v>10.23</v>
      </c>
      <c r="FS156">
        <v>10.6</v>
      </c>
      <c r="FT156">
        <v>10.9</v>
      </c>
      <c r="FU156">
        <v>11.22</v>
      </c>
      <c r="FV156">
        <v>11.57</v>
      </c>
      <c r="FW156">
        <v>11.9</v>
      </c>
      <c r="FX156">
        <v>11.91</v>
      </c>
      <c r="GE156">
        <v>12.89</v>
      </c>
      <c r="GF156">
        <v>12.9</v>
      </c>
      <c r="GG156">
        <v>13.06</v>
      </c>
      <c r="GI156">
        <v>13.44</v>
      </c>
      <c r="GL156">
        <v>14.04</v>
      </c>
      <c r="GN156">
        <v>14.46</v>
      </c>
      <c r="GO156">
        <v>14.86</v>
      </c>
      <c r="GP156">
        <v>15.27</v>
      </c>
      <c r="GQ156">
        <v>15.69</v>
      </c>
      <c r="GR156">
        <v>16.079999999999998</v>
      </c>
      <c r="GS156">
        <v>16.12</v>
      </c>
      <c r="GT156">
        <v>16.16</v>
      </c>
      <c r="GU156">
        <v>16.5</v>
      </c>
      <c r="GV156">
        <v>16.79</v>
      </c>
      <c r="GW156">
        <v>17.02</v>
      </c>
      <c r="GX156">
        <v>17.22</v>
      </c>
      <c r="GY156">
        <v>17.399999999999999</v>
      </c>
      <c r="GZ156">
        <v>17.399999999999999</v>
      </c>
      <c r="HA156">
        <v>17.420000000000002</v>
      </c>
      <c r="HB156">
        <v>17.63</v>
      </c>
      <c r="HC156">
        <v>17.79</v>
      </c>
      <c r="HD156">
        <v>17.920000000000002</v>
      </c>
      <c r="HE156">
        <v>18.07</v>
      </c>
      <c r="HF156">
        <v>18.239999999999998</v>
      </c>
      <c r="HG156">
        <v>18.239999999999998</v>
      </c>
      <c r="HH156">
        <v>18.25</v>
      </c>
      <c r="HI156">
        <v>18.420000000000002</v>
      </c>
      <c r="HJ156">
        <v>18.57</v>
      </c>
      <c r="HL156">
        <v>18.79</v>
      </c>
      <c r="HM156">
        <v>18.940000000000001</v>
      </c>
      <c r="HN156">
        <v>18.940000000000001</v>
      </c>
      <c r="HO156">
        <v>19</v>
      </c>
      <c r="HR156">
        <v>19.11</v>
      </c>
      <c r="HT156">
        <v>19.13</v>
      </c>
      <c r="HV156">
        <v>19.16</v>
      </c>
      <c r="HW156">
        <v>19.28</v>
      </c>
      <c r="HX156">
        <v>19.37</v>
      </c>
      <c r="HY156">
        <v>19.5</v>
      </c>
      <c r="HZ156">
        <v>19.63</v>
      </c>
      <c r="IA156">
        <v>19.75</v>
      </c>
      <c r="IB156">
        <v>19.75</v>
      </c>
      <c r="IC156">
        <v>19.75</v>
      </c>
      <c r="ID156">
        <v>19.87</v>
      </c>
      <c r="IE156">
        <v>19.97</v>
      </c>
      <c r="IF156">
        <v>20.04</v>
      </c>
      <c r="IG156">
        <v>20.12</v>
      </c>
      <c r="IH156">
        <v>20.22</v>
      </c>
      <c r="II156">
        <v>20.22</v>
      </c>
      <c r="IJ156">
        <v>20.239999999999998</v>
      </c>
      <c r="IK156">
        <v>20.36</v>
      </c>
      <c r="IL156">
        <v>20.37</v>
      </c>
      <c r="IM156">
        <v>20.49</v>
      </c>
      <c r="IN156">
        <v>20.65</v>
      </c>
      <c r="IO156">
        <v>20.83</v>
      </c>
      <c r="IP156">
        <v>20.84</v>
      </c>
      <c r="IQ156">
        <v>20.9</v>
      </c>
      <c r="IR156">
        <v>21.14</v>
      </c>
      <c r="JE156">
        <v>24.81</v>
      </c>
      <c r="JF156">
        <v>25.67</v>
      </c>
      <c r="JG156">
        <v>26.66</v>
      </c>
      <c r="JM156">
        <v>30.78</v>
      </c>
      <c r="JN156">
        <v>31.17</v>
      </c>
      <c r="JO156">
        <v>31.61</v>
      </c>
      <c r="JP156">
        <v>32.049999999999997</v>
      </c>
      <c r="JV156">
        <v>34.11</v>
      </c>
      <c r="JW156">
        <v>34.659999999999997</v>
      </c>
      <c r="JZ156">
        <v>35.56</v>
      </c>
      <c r="KC156">
        <v>37.659999999999997</v>
      </c>
      <c r="KD156">
        <v>38.32</v>
      </c>
      <c r="KJ156">
        <v>40.78</v>
      </c>
      <c r="KK156">
        <v>41.27</v>
      </c>
      <c r="KN156">
        <v>42.03</v>
      </c>
      <c r="KR156">
        <v>43.58</v>
      </c>
      <c r="KU156">
        <v>44.07</v>
      </c>
      <c r="LM156">
        <v>48.9</v>
      </c>
      <c r="QL156">
        <v>69.12</v>
      </c>
      <c r="UG156">
        <v>71.47</v>
      </c>
    </row>
    <row r="157" spans="1:812">
      <c r="A157" s="1" t="s">
        <v>71</v>
      </c>
      <c r="B157" t="s">
        <v>282</v>
      </c>
      <c r="AQ157">
        <v>0</v>
      </c>
      <c r="AR157">
        <v>0.01</v>
      </c>
      <c r="AS157">
        <v>0.06</v>
      </c>
      <c r="AT157">
        <v>0.12</v>
      </c>
      <c r="AU157">
        <v>0.13</v>
      </c>
      <c r="AV157">
        <v>0.15</v>
      </c>
      <c r="AW157">
        <v>0.15</v>
      </c>
      <c r="AX157">
        <v>0.17</v>
      </c>
      <c r="AY157">
        <v>0.2</v>
      </c>
      <c r="AZ157">
        <v>0.2</v>
      </c>
      <c r="BA157">
        <v>0.2</v>
      </c>
      <c r="BB157">
        <v>0.2</v>
      </c>
      <c r="BC157">
        <v>0.2</v>
      </c>
      <c r="BD157">
        <v>0.24</v>
      </c>
      <c r="BE157">
        <v>0.28000000000000003</v>
      </c>
      <c r="BF157">
        <v>0.28999999999999998</v>
      </c>
      <c r="BG157">
        <v>0.28999999999999998</v>
      </c>
      <c r="BH157">
        <v>0.28999999999999998</v>
      </c>
      <c r="BI157">
        <v>0.28999999999999998</v>
      </c>
      <c r="BJ157">
        <v>0.28999999999999998</v>
      </c>
      <c r="BK157">
        <v>0.28999999999999998</v>
      </c>
      <c r="BL157">
        <v>0.28999999999999998</v>
      </c>
      <c r="BM157">
        <v>0.28999999999999998</v>
      </c>
      <c r="BN157">
        <v>0.28999999999999998</v>
      </c>
      <c r="BO157">
        <v>0.28999999999999998</v>
      </c>
      <c r="BP157">
        <v>0.28999999999999998</v>
      </c>
      <c r="BQ157">
        <v>0.28999999999999998</v>
      </c>
      <c r="BR157">
        <v>0.28999999999999998</v>
      </c>
      <c r="BS157">
        <v>0.28999999999999998</v>
      </c>
      <c r="BT157">
        <v>0.3</v>
      </c>
      <c r="BU157">
        <v>0.31</v>
      </c>
      <c r="BV157">
        <v>0.84</v>
      </c>
      <c r="BW157">
        <v>1.06</v>
      </c>
      <c r="BX157">
        <v>1.1100000000000001</v>
      </c>
      <c r="BY157">
        <v>1.3</v>
      </c>
      <c r="BZ157">
        <v>1.39</v>
      </c>
      <c r="CA157">
        <v>1.64</v>
      </c>
      <c r="CB157">
        <v>2.0699999999999998</v>
      </c>
      <c r="CC157">
        <v>2.4700000000000002</v>
      </c>
      <c r="CD157">
        <v>2.65</v>
      </c>
      <c r="CE157">
        <v>2.73</v>
      </c>
      <c r="CF157">
        <v>2.83</v>
      </c>
      <c r="CG157">
        <v>2.97</v>
      </c>
      <c r="CH157">
        <v>3.07</v>
      </c>
      <c r="CI157">
        <v>3.49</v>
      </c>
      <c r="CJ157">
        <v>3.87</v>
      </c>
      <c r="CK157">
        <v>4.51</v>
      </c>
      <c r="CL157">
        <v>4.83</v>
      </c>
      <c r="CM157">
        <v>4.91</v>
      </c>
      <c r="CN157">
        <v>4.97</v>
      </c>
      <c r="CO157">
        <v>5.21</v>
      </c>
      <c r="CP157">
        <v>5.41</v>
      </c>
      <c r="CQ157">
        <v>5.68</v>
      </c>
      <c r="CR157">
        <v>5.85</v>
      </c>
      <c r="CS157">
        <v>5.88</v>
      </c>
      <c r="CT157">
        <v>6.02</v>
      </c>
      <c r="CU157">
        <v>6.17</v>
      </c>
      <c r="CW157">
        <v>6.65</v>
      </c>
      <c r="CX157">
        <v>6.89</v>
      </c>
      <c r="CY157">
        <v>7.17</v>
      </c>
      <c r="CZ157">
        <v>7.18</v>
      </c>
      <c r="DA157">
        <v>7.19</v>
      </c>
      <c r="DB157">
        <v>7.25</v>
      </c>
      <c r="DC157">
        <v>7.42</v>
      </c>
      <c r="DD157">
        <v>7.64</v>
      </c>
      <c r="DE157">
        <v>7.94</v>
      </c>
      <c r="DF157">
        <v>8.18</v>
      </c>
      <c r="DG157">
        <v>8.2799999999999994</v>
      </c>
      <c r="DH157">
        <v>8.3000000000000007</v>
      </c>
      <c r="DI157">
        <v>8.44</v>
      </c>
      <c r="DJ157">
        <v>8.59</v>
      </c>
      <c r="DK157">
        <v>8.66</v>
      </c>
      <c r="DO157">
        <v>8.98</v>
      </c>
      <c r="DP157">
        <v>9.4700000000000006</v>
      </c>
      <c r="DQ157">
        <v>10.220000000000001</v>
      </c>
      <c r="DR157">
        <v>10.59</v>
      </c>
      <c r="DS157">
        <v>11.08</v>
      </c>
      <c r="DT157">
        <v>11.38</v>
      </c>
      <c r="DV157">
        <v>11.7</v>
      </c>
      <c r="DW157">
        <v>12.02</v>
      </c>
      <c r="DX157">
        <v>12.26</v>
      </c>
      <c r="DY157">
        <v>12.77</v>
      </c>
      <c r="DZ157">
        <v>12.92</v>
      </c>
      <c r="EA157">
        <v>12.99</v>
      </c>
      <c r="EB157">
        <v>13.09</v>
      </c>
      <c r="EC157">
        <v>13.11</v>
      </c>
      <c r="ED157">
        <v>13.19</v>
      </c>
      <c r="EE157">
        <v>13.31</v>
      </c>
      <c r="EF157">
        <v>13.69</v>
      </c>
      <c r="EG157">
        <v>13.81</v>
      </c>
      <c r="EH157">
        <v>14.11</v>
      </c>
      <c r="EI157">
        <v>14.35</v>
      </c>
      <c r="EJ157">
        <v>14.43</v>
      </c>
      <c r="EK157">
        <v>14.84</v>
      </c>
      <c r="EL157">
        <v>14.92</v>
      </c>
      <c r="EM157">
        <v>15.58</v>
      </c>
      <c r="EN157">
        <v>15.59</v>
      </c>
      <c r="EP157">
        <v>15.94</v>
      </c>
      <c r="EQ157">
        <v>16.059999999999999</v>
      </c>
      <c r="ER157">
        <v>16.13</v>
      </c>
      <c r="ES157">
        <v>16.37</v>
      </c>
      <c r="ET157">
        <v>16.95</v>
      </c>
      <c r="EU157">
        <v>17.579999999999998</v>
      </c>
      <c r="EV157">
        <v>17.84</v>
      </c>
      <c r="EW157">
        <v>17.86</v>
      </c>
      <c r="EX157">
        <v>17.98</v>
      </c>
      <c r="EY157">
        <v>18.04</v>
      </c>
      <c r="EZ157">
        <v>18.059999999999999</v>
      </c>
      <c r="FA157">
        <v>18.25</v>
      </c>
      <c r="FB157">
        <v>18.510000000000002</v>
      </c>
      <c r="FC157">
        <v>19.14</v>
      </c>
      <c r="FD157">
        <v>19.34</v>
      </c>
      <c r="FE157">
        <v>19.559999999999999</v>
      </c>
      <c r="FF157">
        <v>19.690000000000001</v>
      </c>
      <c r="FG157">
        <v>20.010000000000002</v>
      </c>
      <c r="FH157">
        <v>20.45</v>
      </c>
      <c r="FI157">
        <v>21.05</v>
      </c>
      <c r="FJ157">
        <v>21.78</v>
      </c>
      <c r="FK157">
        <v>21.93</v>
      </c>
      <c r="FL157">
        <v>22.1</v>
      </c>
      <c r="FM157">
        <v>22.45</v>
      </c>
      <c r="FN157">
        <v>22.89</v>
      </c>
      <c r="FQ157">
        <v>23.91</v>
      </c>
      <c r="FR157">
        <v>24.48</v>
      </c>
      <c r="FS157">
        <v>24.84</v>
      </c>
      <c r="FT157">
        <v>25.03</v>
      </c>
      <c r="FU157">
        <v>25.12</v>
      </c>
      <c r="FV157">
        <v>25.51</v>
      </c>
      <c r="FW157">
        <v>25.79</v>
      </c>
      <c r="FY157">
        <v>26.29</v>
      </c>
      <c r="FZ157">
        <v>26.49</v>
      </c>
      <c r="GA157">
        <v>26.55</v>
      </c>
      <c r="GB157">
        <v>26.99</v>
      </c>
      <c r="GC157">
        <v>27.55</v>
      </c>
      <c r="GD157">
        <v>28.28</v>
      </c>
      <c r="GE157">
        <v>28.59</v>
      </c>
      <c r="GF157">
        <v>29.7</v>
      </c>
      <c r="GG157">
        <v>30.01</v>
      </c>
      <c r="GH157">
        <v>30.78</v>
      </c>
      <c r="GI157">
        <v>31.14</v>
      </c>
      <c r="GJ157">
        <v>31.77</v>
      </c>
      <c r="GK157">
        <v>32.36</v>
      </c>
      <c r="GL157">
        <v>32.74</v>
      </c>
      <c r="GN157">
        <v>33.409999999999997</v>
      </c>
      <c r="GO157">
        <v>33.409999999999997</v>
      </c>
      <c r="GP157">
        <v>33.47</v>
      </c>
      <c r="GQ157">
        <v>34.049999999999997</v>
      </c>
      <c r="GR157">
        <v>34.42</v>
      </c>
      <c r="GT157">
        <v>34.799999999999997</v>
      </c>
      <c r="GU157">
        <v>35.18</v>
      </c>
      <c r="GV157">
        <v>35.56</v>
      </c>
      <c r="GW157">
        <v>36.01</v>
      </c>
      <c r="GX157">
        <v>36.450000000000003</v>
      </c>
      <c r="HA157">
        <v>37.090000000000003</v>
      </c>
      <c r="HB157">
        <v>37.43</v>
      </c>
      <c r="HC157">
        <v>38.17</v>
      </c>
      <c r="HD157">
        <v>38.57</v>
      </c>
      <c r="HE157">
        <v>39.130000000000003</v>
      </c>
      <c r="HF157">
        <v>39.97</v>
      </c>
      <c r="HH157">
        <v>40.24</v>
      </c>
      <c r="HI157">
        <v>40.549999999999997</v>
      </c>
      <c r="HJ157">
        <v>40.869999999999997</v>
      </c>
      <c r="HK157">
        <v>41.29</v>
      </c>
      <c r="HL157">
        <v>41.95</v>
      </c>
      <c r="HM157">
        <v>42.69</v>
      </c>
      <c r="HP157">
        <v>43.5</v>
      </c>
      <c r="HQ157">
        <v>43.81</v>
      </c>
      <c r="HR157">
        <v>44.3</v>
      </c>
      <c r="HS157">
        <v>45.78</v>
      </c>
      <c r="HT157">
        <v>47.9</v>
      </c>
      <c r="HU157">
        <v>50.26</v>
      </c>
      <c r="HV157">
        <v>52.19</v>
      </c>
      <c r="HY157">
        <v>53.93</v>
      </c>
      <c r="HZ157">
        <v>55.83</v>
      </c>
      <c r="IA157">
        <v>59.64</v>
      </c>
      <c r="IB157">
        <v>62.11</v>
      </c>
      <c r="IC157">
        <v>63.81</v>
      </c>
      <c r="ID157">
        <v>64.97</v>
      </c>
      <c r="IE157">
        <v>65.31</v>
      </c>
      <c r="IF157">
        <v>65.92</v>
      </c>
      <c r="IG157">
        <v>67.89</v>
      </c>
      <c r="IH157">
        <v>69.680000000000007</v>
      </c>
      <c r="II157">
        <v>71.680000000000007</v>
      </c>
      <c r="IJ157">
        <v>72.819999999999993</v>
      </c>
      <c r="IL157">
        <v>73.75</v>
      </c>
      <c r="IM157">
        <v>74.56</v>
      </c>
      <c r="IN157">
        <v>76.3</v>
      </c>
      <c r="IS157">
        <v>83.04</v>
      </c>
      <c r="IV157">
        <v>87.74</v>
      </c>
      <c r="IX157">
        <v>91.94</v>
      </c>
      <c r="IZ157">
        <v>92.96</v>
      </c>
      <c r="JA157">
        <v>94.13</v>
      </c>
      <c r="JB157">
        <v>96.46</v>
      </c>
      <c r="JE157">
        <v>97.59</v>
      </c>
      <c r="JF157">
        <v>99.4</v>
      </c>
      <c r="JG157">
        <v>99.51</v>
      </c>
      <c r="JH157">
        <v>100.49</v>
      </c>
      <c r="JI157">
        <v>101.94</v>
      </c>
      <c r="JJ157">
        <v>103.52</v>
      </c>
      <c r="JK157">
        <v>104.97</v>
      </c>
      <c r="JL157">
        <v>106.54</v>
      </c>
      <c r="JM157">
        <v>107.53</v>
      </c>
      <c r="JN157">
        <v>107.9</v>
      </c>
      <c r="JO157">
        <v>107.94</v>
      </c>
      <c r="JP157">
        <v>108.91</v>
      </c>
      <c r="JQ157">
        <v>109.99</v>
      </c>
      <c r="JR157">
        <v>111.03</v>
      </c>
      <c r="JS157">
        <v>111.95</v>
      </c>
      <c r="JT157">
        <v>112.91</v>
      </c>
      <c r="JU157">
        <v>113.09</v>
      </c>
      <c r="JV157">
        <v>113.3</v>
      </c>
      <c r="JW157">
        <v>114.03</v>
      </c>
      <c r="JX157">
        <v>115.09</v>
      </c>
      <c r="JY157">
        <v>115.09</v>
      </c>
      <c r="JZ157">
        <v>115.3</v>
      </c>
      <c r="KA157">
        <v>115.39</v>
      </c>
      <c r="KB157">
        <v>115.53</v>
      </c>
      <c r="KC157">
        <v>116.05</v>
      </c>
      <c r="KD157">
        <v>116.12</v>
      </c>
      <c r="KE157">
        <v>116.64</v>
      </c>
      <c r="KF157">
        <v>116.91</v>
      </c>
      <c r="KG157">
        <v>117.03</v>
      </c>
      <c r="KH157">
        <v>117.05</v>
      </c>
      <c r="KI157">
        <v>117.15</v>
      </c>
      <c r="KJ157">
        <v>117.28</v>
      </c>
      <c r="KK157">
        <v>117.69</v>
      </c>
      <c r="KM157">
        <v>117.78</v>
      </c>
      <c r="KN157">
        <v>119.02</v>
      </c>
      <c r="KO157">
        <v>119.1</v>
      </c>
      <c r="KP157">
        <v>119.19</v>
      </c>
      <c r="KQ157">
        <v>119.31</v>
      </c>
      <c r="KR157">
        <v>119.57</v>
      </c>
      <c r="KS157">
        <v>119.82</v>
      </c>
      <c r="KT157">
        <v>120.06</v>
      </c>
      <c r="KU157">
        <v>120.18</v>
      </c>
      <c r="KV157">
        <v>120.32</v>
      </c>
      <c r="KX157">
        <v>120.46</v>
      </c>
      <c r="KY157">
        <v>120.87</v>
      </c>
      <c r="KZ157">
        <v>121.3</v>
      </c>
      <c r="LA157">
        <v>121.76</v>
      </c>
      <c r="LB157">
        <v>121.76</v>
      </c>
      <c r="LC157">
        <v>121.83</v>
      </c>
      <c r="LD157">
        <v>122.02</v>
      </c>
      <c r="LE157">
        <v>122.42</v>
      </c>
      <c r="LF157">
        <v>122.56</v>
      </c>
      <c r="LG157">
        <v>122.87</v>
      </c>
      <c r="LH157">
        <v>123.17</v>
      </c>
      <c r="LI157">
        <v>123.32</v>
      </c>
      <c r="LJ157">
        <v>123.45</v>
      </c>
      <c r="LK157">
        <v>123.61</v>
      </c>
      <c r="LL157">
        <v>123.77</v>
      </c>
      <c r="LM157">
        <v>124.03</v>
      </c>
      <c r="LN157">
        <v>124.29</v>
      </c>
      <c r="LO157">
        <v>124.5</v>
      </c>
      <c r="LP157">
        <v>124.64</v>
      </c>
      <c r="LQ157">
        <v>124.72</v>
      </c>
      <c r="LR157">
        <v>124.79</v>
      </c>
      <c r="LS157">
        <v>124.81</v>
      </c>
      <c r="LT157">
        <v>124.82</v>
      </c>
      <c r="LV157">
        <v>124.82</v>
      </c>
      <c r="LW157">
        <v>124.83</v>
      </c>
      <c r="LX157">
        <v>124.83</v>
      </c>
      <c r="LY157">
        <v>124.92</v>
      </c>
      <c r="LZ157">
        <v>125.04</v>
      </c>
      <c r="MA157">
        <v>125.06</v>
      </c>
      <c r="MB157">
        <v>125.36</v>
      </c>
      <c r="MC157">
        <v>125.67</v>
      </c>
      <c r="MD157">
        <v>125.86</v>
      </c>
      <c r="ME157">
        <v>126.06</v>
      </c>
      <c r="MF157">
        <v>126.11</v>
      </c>
      <c r="MG157">
        <v>126.21</v>
      </c>
      <c r="MH157">
        <v>126.39</v>
      </c>
      <c r="MI157">
        <v>126.58</v>
      </c>
      <c r="MJ157">
        <v>126.77</v>
      </c>
      <c r="MK157">
        <v>126.84</v>
      </c>
      <c r="ML157">
        <v>127.05</v>
      </c>
      <c r="MM157">
        <v>127.06</v>
      </c>
      <c r="MN157">
        <v>127.34</v>
      </c>
      <c r="MO157">
        <v>127.6</v>
      </c>
      <c r="MP157">
        <v>127.85</v>
      </c>
      <c r="MQ157">
        <v>127.98</v>
      </c>
      <c r="MR157">
        <v>128.13</v>
      </c>
      <c r="MS157">
        <v>128.16</v>
      </c>
      <c r="MT157">
        <v>128.16</v>
      </c>
      <c r="MU157">
        <v>128.27000000000001</v>
      </c>
      <c r="MV157">
        <v>128.41999999999999</v>
      </c>
      <c r="MW157">
        <v>128.58000000000001</v>
      </c>
      <c r="MX157">
        <v>128.79</v>
      </c>
      <c r="MY157">
        <v>128.96</v>
      </c>
      <c r="MZ157">
        <v>129.07</v>
      </c>
      <c r="NA157">
        <v>129.16</v>
      </c>
      <c r="NB157">
        <v>129.24</v>
      </c>
      <c r="NC157">
        <v>129.24</v>
      </c>
      <c r="ND157">
        <v>129.41</v>
      </c>
      <c r="NE157">
        <v>129.72999999999999</v>
      </c>
      <c r="NF157">
        <v>129.72999999999999</v>
      </c>
      <c r="NG157">
        <v>129.76</v>
      </c>
      <c r="NH157">
        <v>130.05000000000001</v>
      </c>
      <c r="NI157">
        <v>130.13999999999999</v>
      </c>
      <c r="NJ157">
        <v>130.30000000000001</v>
      </c>
      <c r="NK157">
        <v>130.47999999999999</v>
      </c>
      <c r="NL157">
        <v>130.63999999999999</v>
      </c>
      <c r="NM157">
        <v>130.66</v>
      </c>
      <c r="NN157">
        <v>130.66</v>
      </c>
      <c r="NO157">
        <v>131</v>
      </c>
      <c r="NP157">
        <v>131.02000000000001</v>
      </c>
      <c r="NQ157">
        <v>131.38999999999999</v>
      </c>
      <c r="NR157">
        <v>131.79</v>
      </c>
      <c r="NS157">
        <v>131.84</v>
      </c>
      <c r="NU157">
        <v>131.84</v>
      </c>
      <c r="NV157">
        <v>132.4</v>
      </c>
      <c r="NW157">
        <v>133.94999999999999</v>
      </c>
      <c r="NY157">
        <v>134.47999999999999</v>
      </c>
      <c r="NZ157">
        <v>134.56</v>
      </c>
      <c r="OA157">
        <v>134.56</v>
      </c>
      <c r="OC157">
        <v>135.09</v>
      </c>
      <c r="OD157">
        <v>135.81</v>
      </c>
      <c r="OE157">
        <v>136.63</v>
      </c>
      <c r="OF157">
        <v>137.52000000000001</v>
      </c>
      <c r="OG157">
        <v>138.27000000000001</v>
      </c>
      <c r="OH157">
        <v>138.59</v>
      </c>
      <c r="OI157">
        <v>138.6</v>
      </c>
      <c r="OJ157">
        <v>139.01</v>
      </c>
      <c r="OK157">
        <v>139.55000000000001</v>
      </c>
      <c r="OL157">
        <v>140.97999999999999</v>
      </c>
      <c r="OM157">
        <v>141.41</v>
      </c>
      <c r="ON157">
        <v>142.36000000000001</v>
      </c>
      <c r="OO157">
        <v>142.62</v>
      </c>
      <c r="OP157">
        <v>142.71</v>
      </c>
      <c r="OQ157">
        <v>143.37</v>
      </c>
      <c r="OR157">
        <v>144.13999999999999</v>
      </c>
      <c r="OS157">
        <v>144.85</v>
      </c>
      <c r="OT157">
        <v>145.53</v>
      </c>
      <c r="OU157">
        <v>146.46</v>
      </c>
      <c r="OV157">
        <v>146.51</v>
      </c>
      <c r="OW157">
        <v>147.03</v>
      </c>
      <c r="OX157">
        <v>147.04</v>
      </c>
      <c r="OY157">
        <v>148.02000000000001</v>
      </c>
      <c r="OZ157">
        <v>148.03</v>
      </c>
      <c r="PA157">
        <v>148.66</v>
      </c>
      <c r="PB157">
        <v>149.27000000000001</v>
      </c>
      <c r="PC157">
        <v>149.6</v>
      </c>
      <c r="PD157">
        <v>149.72999999999999</v>
      </c>
      <c r="PE157">
        <v>149.97999999999999</v>
      </c>
      <c r="PF157">
        <v>150.27000000000001</v>
      </c>
      <c r="PG157">
        <v>150.68</v>
      </c>
      <c r="PH157">
        <v>151.16999999999999</v>
      </c>
      <c r="PI157">
        <v>151.68</v>
      </c>
      <c r="PJ157">
        <v>151.99</v>
      </c>
      <c r="PK157">
        <v>152.07</v>
      </c>
      <c r="PM157">
        <v>152.59</v>
      </c>
      <c r="PN157">
        <v>153.02000000000001</v>
      </c>
      <c r="PO157">
        <v>153.47</v>
      </c>
      <c r="PP157">
        <v>153.94</v>
      </c>
      <c r="PQ157">
        <v>154.15</v>
      </c>
      <c r="PR157">
        <v>154.26</v>
      </c>
      <c r="PS157">
        <v>154.44999999999999</v>
      </c>
      <c r="PT157">
        <v>154.71</v>
      </c>
      <c r="PU157">
        <v>155.11000000000001</v>
      </c>
      <c r="PV157">
        <v>155.51</v>
      </c>
      <c r="PW157">
        <v>155.9</v>
      </c>
      <c r="PX157">
        <v>156.1</v>
      </c>
      <c r="PY157">
        <v>156.19999999999999</v>
      </c>
      <c r="PZ157">
        <v>156.44</v>
      </c>
      <c r="QA157">
        <v>156.79</v>
      </c>
      <c r="QB157">
        <v>157.29</v>
      </c>
      <c r="QC157">
        <v>157.78</v>
      </c>
      <c r="QD157">
        <v>158.16999999999999</v>
      </c>
      <c r="QE157">
        <v>158.19999999999999</v>
      </c>
      <c r="QF157">
        <v>158.22999999999999</v>
      </c>
      <c r="QG157">
        <v>158.22999999999999</v>
      </c>
      <c r="QH157">
        <v>158.24</v>
      </c>
      <c r="QI157">
        <v>158.47</v>
      </c>
      <c r="QJ157">
        <v>158.94</v>
      </c>
      <c r="QK157">
        <v>159.51</v>
      </c>
      <c r="QL157">
        <v>159.80000000000001</v>
      </c>
      <c r="QM157">
        <v>159.88999999999999</v>
      </c>
      <c r="QN157">
        <v>160.04</v>
      </c>
      <c r="QP157">
        <v>176.47</v>
      </c>
      <c r="QQ157">
        <v>176.6</v>
      </c>
      <c r="QV157">
        <v>177.45</v>
      </c>
      <c r="QX157">
        <v>177.77</v>
      </c>
      <c r="RC157">
        <v>179.6</v>
      </c>
      <c r="RE157">
        <v>180.05</v>
      </c>
      <c r="RJ157">
        <v>181</v>
      </c>
      <c r="SA157">
        <v>182.86</v>
      </c>
      <c r="SH157">
        <v>183.9</v>
      </c>
      <c r="SO157">
        <v>184.39</v>
      </c>
      <c r="SV157">
        <v>185.73</v>
      </c>
      <c r="TC157">
        <v>186.41</v>
      </c>
      <c r="TJ157">
        <v>187.53</v>
      </c>
      <c r="TQ157">
        <v>188.12</v>
      </c>
      <c r="TV157">
        <v>188.97</v>
      </c>
      <c r="TX157">
        <v>189.17</v>
      </c>
      <c r="UC157">
        <v>189.9</v>
      </c>
      <c r="UE157">
        <v>190.04</v>
      </c>
      <c r="US157">
        <v>190.94</v>
      </c>
      <c r="UY157">
        <v>191.47</v>
      </c>
      <c r="UZ157">
        <v>192.08</v>
      </c>
      <c r="WA157">
        <v>195.41</v>
      </c>
      <c r="WO157">
        <v>196.22</v>
      </c>
      <c r="XC157">
        <v>196.57</v>
      </c>
      <c r="XJ157">
        <v>197.22</v>
      </c>
      <c r="YE157">
        <v>198.16</v>
      </c>
      <c r="YS157">
        <v>198.68</v>
      </c>
      <c r="ZG157">
        <v>196.3</v>
      </c>
      <c r="AAP157">
        <v>196.76</v>
      </c>
      <c r="AAW157">
        <v>196.76</v>
      </c>
      <c r="ABJ157">
        <v>197.08</v>
      </c>
      <c r="ABV157">
        <v>197.27</v>
      </c>
      <c r="ACM157">
        <v>197.46</v>
      </c>
      <c r="ACT157">
        <v>197.8</v>
      </c>
      <c r="ADA157">
        <v>198.02</v>
      </c>
      <c r="ADH157">
        <v>198.63</v>
      </c>
    </row>
    <row r="158" spans="1:812">
      <c r="A158" s="1" t="s">
        <v>203</v>
      </c>
      <c r="B158" t="s">
        <v>354</v>
      </c>
      <c r="DH158">
        <v>0</v>
      </c>
      <c r="DW158">
        <v>0</v>
      </c>
      <c r="ED158">
        <v>0.01</v>
      </c>
      <c r="EK158">
        <v>0.02</v>
      </c>
      <c r="ER158">
        <v>0.03</v>
      </c>
      <c r="EY158">
        <v>0.03</v>
      </c>
      <c r="FB158">
        <v>0.13</v>
      </c>
      <c r="FI158">
        <v>0.24</v>
      </c>
      <c r="FZ158">
        <v>0.43</v>
      </c>
      <c r="GH158">
        <v>0.46</v>
      </c>
      <c r="GN158">
        <v>0.5</v>
      </c>
      <c r="GR158">
        <v>0.56999999999999995</v>
      </c>
      <c r="HJ158">
        <v>0.74</v>
      </c>
      <c r="HX158">
        <v>0.93</v>
      </c>
      <c r="ID158">
        <v>1.1200000000000001</v>
      </c>
      <c r="IR158">
        <v>1.26</v>
      </c>
      <c r="JU158">
        <v>1.7</v>
      </c>
      <c r="KI158">
        <v>1.81</v>
      </c>
      <c r="KP158">
        <v>2.14</v>
      </c>
      <c r="LJ158">
        <v>3.19</v>
      </c>
      <c r="ML158">
        <v>4.78</v>
      </c>
      <c r="MT158">
        <v>5.12</v>
      </c>
      <c r="NG158">
        <v>5.47</v>
      </c>
      <c r="NN158">
        <v>5.53</v>
      </c>
      <c r="OC158">
        <v>5.6</v>
      </c>
      <c r="OJ158">
        <v>5.65</v>
      </c>
      <c r="OQ158">
        <v>5.66</v>
      </c>
      <c r="PD158">
        <v>5.73</v>
      </c>
      <c r="PK158">
        <v>5.82</v>
      </c>
      <c r="PR158">
        <v>5.86</v>
      </c>
      <c r="PY158">
        <v>5.95</v>
      </c>
      <c r="QF158">
        <v>6.01</v>
      </c>
      <c r="QM158">
        <v>6.15</v>
      </c>
      <c r="QT158">
        <v>6.16</v>
      </c>
      <c r="RW158">
        <v>6.43</v>
      </c>
      <c r="TF158">
        <v>6.44</v>
      </c>
      <c r="TT158">
        <v>6.6</v>
      </c>
      <c r="UO158">
        <v>6.75</v>
      </c>
      <c r="VC158">
        <v>6.23</v>
      </c>
      <c r="WD158">
        <v>6.48</v>
      </c>
      <c r="WY158">
        <v>6.55</v>
      </c>
      <c r="XM158">
        <v>6.65</v>
      </c>
      <c r="XT158">
        <v>6.67</v>
      </c>
      <c r="YA158">
        <v>6.76</v>
      </c>
      <c r="YV158">
        <v>6.8</v>
      </c>
      <c r="ZC158">
        <v>6.83</v>
      </c>
      <c r="ZJ158">
        <v>6.72</v>
      </c>
      <c r="ZQ158">
        <v>6.74</v>
      </c>
      <c r="ZX158">
        <v>6.78</v>
      </c>
      <c r="AAE158">
        <v>6.84</v>
      </c>
      <c r="AAL158">
        <v>6.89</v>
      </c>
      <c r="AAS158">
        <v>6.9</v>
      </c>
      <c r="ABW158">
        <v>7.02</v>
      </c>
      <c r="ACI158">
        <v>7.03</v>
      </c>
      <c r="ACX158">
        <v>7.05</v>
      </c>
      <c r="ADR158">
        <v>7.08</v>
      </c>
      <c r="ADY158">
        <v>7.1</v>
      </c>
      <c r="AEF158">
        <v>7.14</v>
      </c>
    </row>
    <row r="159" spans="1:812">
      <c r="A159" s="1" t="s">
        <v>120</v>
      </c>
      <c r="B159" t="s">
        <v>120</v>
      </c>
      <c r="BX159">
        <v>0</v>
      </c>
      <c r="BY159">
        <v>0</v>
      </c>
      <c r="BZ159">
        <v>0.01</v>
      </c>
      <c r="CA159">
        <v>0.01</v>
      </c>
      <c r="CB159">
        <v>0.02</v>
      </c>
      <c r="CC159">
        <v>0.02</v>
      </c>
      <c r="CG159">
        <v>0.02</v>
      </c>
      <c r="CH159">
        <v>0.02</v>
      </c>
      <c r="CI159">
        <v>0.02</v>
      </c>
      <c r="CL159">
        <v>0.02</v>
      </c>
      <c r="CM159">
        <v>0.03</v>
      </c>
      <c r="CN159">
        <v>0.03</v>
      </c>
      <c r="CO159">
        <v>0.04</v>
      </c>
      <c r="CP159">
        <v>7.0000000000000007E-2</v>
      </c>
      <c r="CQ159">
        <v>0.11</v>
      </c>
      <c r="CR159">
        <v>0.14000000000000001</v>
      </c>
      <c r="CS159">
        <v>0.16</v>
      </c>
      <c r="CT159">
        <v>0.17</v>
      </c>
      <c r="CU159">
        <v>0.18</v>
      </c>
      <c r="CV159">
        <v>0.2</v>
      </c>
      <c r="CW159">
        <v>0.2</v>
      </c>
      <c r="CX159">
        <v>0.21</v>
      </c>
      <c r="CY159">
        <v>0.21</v>
      </c>
      <c r="DA159">
        <v>0.21</v>
      </c>
      <c r="DB159">
        <v>0.26</v>
      </c>
      <c r="DC159">
        <v>0.34</v>
      </c>
      <c r="DD159">
        <v>0.42</v>
      </c>
      <c r="DE159">
        <v>0.49</v>
      </c>
      <c r="DF159">
        <v>0.52</v>
      </c>
      <c r="DG159">
        <v>0.54</v>
      </c>
      <c r="DH159">
        <v>0.57999999999999996</v>
      </c>
      <c r="DI159">
        <v>0.61</v>
      </c>
      <c r="DJ159">
        <v>0.64</v>
      </c>
      <c r="DK159">
        <v>0.65</v>
      </c>
      <c r="DM159">
        <v>0.65</v>
      </c>
      <c r="DN159">
        <v>0.65</v>
      </c>
      <c r="DO159">
        <v>0.66</v>
      </c>
      <c r="DP159">
        <v>0.67</v>
      </c>
      <c r="DQ159">
        <v>0.69</v>
      </c>
      <c r="DR159">
        <v>0.72</v>
      </c>
      <c r="DS159">
        <v>0.76</v>
      </c>
      <c r="DT159">
        <v>0.78</v>
      </c>
      <c r="DU159">
        <v>0.81</v>
      </c>
      <c r="DV159">
        <v>0.87</v>
      </c>
      <c r="DW159">
        <v>0.99</v>
      </c>
      <c r="DX159">
        <v>1.1000000000000001</v>
      </c>
      <c r="DY159">
        <v>1.2</v>
      </c>
      <c r="DZ159">
        <v>1.27</v>
      </c>
      <c r="EA159">
        <v>1.29</v>
      </c>
      <c r="EB159">
        <v>1.29</v>
      </c>
      <c r="EC159">
        <v>1.33</v>
      </c>
      <c r="ED159">
        <v>1.36</v>
      </c>
      <c r="EE159">
        <v>1.39</v>
      </c>
      <c r="EF159">
        <v>1.41</v>
      </c>
      <c r="EG159">
        <v>1.43</v>
      </c>
      <c r="EH159">
        <v>1.43</v>
      </c>
      <c r="EI159">
        <v>1.43</v>
      </c>
      <c r="EJ159">
        <v>1.45</v>
      </c>
      <c r="EK159">
        <v>1.52</v>
      </c>
      <c r="EL159">
        <v>1.62</v>
      </c>
      <c r="EM159">
        <v>1.75</v>
      </c>
      <c r="EN159">
        <v>1.86</v>
      </c>
      <c r="EO159">
        <v>1.89</v>
      </c>
      <c r="EP159">
        <v>1.89</v>
      </c>
      <c r="EQ159">
        <v>2</v>
      </c>
      <c r="ER159">
        <v>2.1</v>
      </c>
      <c r="ES159">
        <v>2.21</v>
      </c>
      <c r="ET159">
        <v>2.29</v>
      </c>
      <c r="EU159">
        <v>2.37</v>
      </c>
      <c r="EV159">
        <v>2.39</v>
      </c>
      <c r="EW159">
        <v>2.4</v>
      </c>
      <c r="EX159">
        <v>2.57</v>
      </c>
      <c r="EY159">
        <v>2.76</v>
      </c>
      <c r="EZ159">
        <v>2.97</v>
      </c>
      <c r="FA159">
        <v>3.22</v>
      </c>
      <c r="FB159">
        <v>3.35</v>
      </c>
      <c r="FC159">
        <v>3.37</v>
      </c>
      <c r="FD159">
        <v>3.4</v>
      </c>
      <c r="FE159">
        <v>3.57</v>
      </c>
      <c r="FF159">
        <v>3.85</v>
      </c>
      <c r="FG159">
        <v>4.12</v>
      </c>
      <c r="FH159">
        <v>4.3899999999999997</v>
      </c>
      <c r="FI159">
        <v>4.62</v>
      </c>
      <c r="FJ159">
        <v>4.74</v>
      </c>
      <c r="FK159">
        <v>4.74</v>
      </c>
      <c r="FL159">
        <v>4.8600000000000003</v>
      </c>
      <c r="FM159">
        <v>4.9400000000000004</v>
      </c>
      <c r="FN159">
        <v>5.01</v>
      </c>
      <c r="FO159">
        <v>5.08</v>
      </c>
      <c r="FP159">
        <v>5.16</v>
      </c>
      <c r="FQ159">
        <v>5.18</v>
      </c>
      <c r="FR159">
        <v>5.18</v>
      </c>
      <c r="FS159">
        <v>5.27</v>
      </c>
      <c r="FT159">
        <v>5.31</v>
      </c>
      <c r="FU159">
        <v>5.34</v>
      </c>
      <c r="FV159">
        <v>5.39</v>
      </c>
      <c r="FW159">
        <v>5.46</v>
      </c>
      <c r="FX159">
        <v>5.5</v>
      </c>
      <c r="FY159">
        <v>5.52</v>
      </c>
      <c r="FZ159">
        <v>5.67</v>
      </c>
      <c r="GA159">
        <v>5.78</v>
      </c>
      <c r="GB159">
        <v>5.9</v>
      </c>
      <c r="GC159">
        <v>6.07</v>
      </c>
      <c r="GD159">
        <v>6.25</v>
      </c>
      <c r="GE159">
        <v>6.57</v>
      </c>
      <c r="GF159">
        <v>6.89</v>
      </c>
      <c r="GG159">
        <v>7.21</v>
      </c>
      <c r="GH159">
        <v>7.5</v>
      </c>
      <c r="GI159">
        <v>7.74</v>
      </c>
      <c r="GJ159">
        <v>8.09</v>
      </c>
      <c r="GK159">
        <v>8.34</v>
      </c>
      <c r="GL159">
        <v>8.34</v>
      </c>
      <c r="GM159">
        <v>8.35</v>
      </c>
      <c r="GN159">
        <v>8.58</v>
      </c>
      <c r="GO159">
        <v>8.69</v>
      </c>
      <c r="GP159">
        <v>8.7799999999999994</v>
      </c>
      <c r="GQ159">
        <v>8.81</v>
      </c>
      <c r="GR159">
        <v>8.83</v>
      </c>
      <c r="GS159">
        <v>8.86</v>
      </c>
      <c r="GT159">
        <v>8.8800000000000008</v>
      </c>
      <c r="GU159">
        <v>9.06</v>
      </c>
      <c r="GV159">
        <v>9.2200000000000006</v>
      </c>
      <c r="GW159">
        <v>9.26</v>
      </c>
      <c r="GX159">
        <v>13.11</v>
      </c>
      <c r="GY159">
        <v>13.35</v>
      </c>
      <c r="GZ159">
        <v>13.77</v>
      </c>
      <c r="HA159">
        <v>14.25</v>
      </c>
      <c r="HB159">
        <v>14.75</v>
      </c>
      <c r="HC159">
        <v>15.36</v>
      </c>
      <c r="HD159">
        <v>16.04</v>
      </c>
      <c r="HE159">
        <v>16.25</v>
      </c>
      <c r="HF159">
        <v>16.47</v>
      </c>
      <c r="HG159">
        <v>16.48</v>
      </c>
      <c r="HH159">
        <v>16.48</v>
      </c>
      <c r="HI159">
        <v>17.8</v>
      </c>
      <c r="HJ159">
        <v>19.14</v>
      </c>
      <c r="HK159">
        <v>20.63</v>
      </c>
      <c r="HL159">
        <v>21.79</v>
      </c>
      <c r="HM159">
        <v>22.82</v>
      </c>
      <c r="HN159">
        <v>23.03</v>
      </c>
      <c r="HO159">
        <v>23.12</v>
      </c>
      <c r="HP159">
        <v>24.35</v>
      </c>
      <c r="HQ159">
        <v>25</v>
      </c>
      <c r="HR159">
        <v>26.66</v>
      </c>
      <c r="HS159">
        <v>28.35</v>
      </c>
      <c r="HT159">
        <v>29</v>
      </c>
      <c r="HU159">
        <v>29.58</v>
      </c>
      <c r="HV159">
        <v>29.78</v>
      </c>
      <c r="IS159">
        <v>45.96</v>
      </c>
      <c r="IV159">
        <v>52.42</v>
      </c>
      <c r="JC159">
        <v>54.41</v>
      </c>
      <c r="JJ159">
        <v>56.07</v>
      </c>
      <c r="JK159">
        <v>56.73</v>
      </c>
      <c r="JL159">
        <v>56.73</v>
      </c>
      <c r="JQ159">
        <v>59.16</v>
      </c>
      <c r="JX159">
        <v>60.96</v>
      </c>
      <c r="KE159">
        <v>62.02</v>
      </c>
      <c r="KF159">
        <v>62.17</v>
      </c>
      <c r="KL159">
        <v>64.28</v>
      </c>
      <c r="KS159">
        <v>67</v>
      </c>
      <c r="KZ159">
        <v>68.239999999999995</v>
      </c>
      <c r="LG159">
        <v>71.540000000000006</v>
      </c>
      <c r="LN159">
        <v>73.27</v>
      </c>
      <c r="LU159">
        <v>73.64</v>
      </c>
      <c r="MB159">
        <v>79.59</v>
      </c>
      <c r="MI159">
        <v>82.02</v>
      </c>
      <c r="MS159">
        <v>83.94</v>
      </c>
      <c r="MW159">
        <v>86.1</v>
      </c>
      <c r="ND159">
        <v>87.6</v>
      </c>
      <c r="NK159">
        <v>89.89</v>
      </c>
      <c r="NW159">
        <v>94.65</v>
      </c>
      <c r="OF159">
        <v>98.18</v>
      </c>
      <c r="OM159">
        <v>100.85</v>
      </c>
      <c r="OT159">
        <v>102.65</v>
      </c>
      <c r="PA159">
        <v>103.59</v>
      </c>
      <c r="PH159">
        <v>106.23</v>
      </c>
      <c r="PO159">
        <v>108.8</v>
      </c>
      <c r="PV159">
        <v>110.5</v>
      </c>
      <c r="QC159">
        <v>111.79</v>
      </c>
      <c r="QH159">
        <v>112.54</v>
      </c>
      <c r="QJ159">
        <v>113.35</v>
      </c>
      <c r="QQ159">
        <v>113.83</v>
      </c>
      <c r="QV159">
        <v>114.94</v>
      </c>
      <c r="QX159">
        <v>116.01</v>
      </c>
      <c r="RE159">
        <v>116.74</v>
      </c>
      <c r="SV159">
        <v>119.78</v>
      </c>
      <c r="TJ159">
        <v>121.41</v>
      </c>
      <c r="TV159">
        <v>121.87</v>
      </c>
      <c r="TX159">
        <v>122.42</v>
      </c>
      <c r="UR159">
        <v>123.53</v>
      </c>
      <c r="US159">
        <v>124</v>
      </c>
      <c r="VG159">
        <v>136.74</v>
      </c>
      <c r="VN159">
        <v>137.47</v>
      </c>
      <c r="WA159">
        <v>138.09</v>
      </c>
      <c r="WH159">
        <v>138.93</v>
      </c>
      <c r="XC159">
        <v>139.22</v>
      </c>
      <c r="XJ159">
        <v>140.01</v>
      </c>
      <c r="YL159">
        <v>140.19999999999999</v>
      </c>
      <c r="YS159">
        <v>140.33000000000001</v>
      </c>
      <c r="YZ159">
        <v>140.51</v>
      </c>
      <c r="AAB159">
        <v>139.5</v>
      </c>
      <c r="AAP159">
        <v>139.74</v>
      </c>
      <c r="AAW159">
        <v>139.83000000000001</v>
      </c>
      <c r="ABV159">
        <v>139.99</v>
      </c>
      <c r="ABY159">
        <v>140.19</v>
      </c>
      <c r="ACE159">
        <v>140.31</v>
      </c>
      <c r="ACF159">
        <v>140.46</v>
      </c>
      <c r="ACM159">
        <v>140.53</v>
      </c>
      <c r="ACT159">
        <v>140.66999999999999</v>
      </c>
      <c r="ADH159">
        <v>141.12</v>
      </c>
      <c r="AEC159">
        <v>141.62</v>
      </c>
    </row>
    <row r="160" spans="1:812">
      <c r="A160" s="1" t="s">
        <v>45</v>
      </c>
      <c r="B160" t="s">
        <v>355</v>
      </c>
      <c r="BL160">
        <v>0.01</v>
      </c>
      <c r="BM160">
        <v>0.06</v>
      </c>
      <c r="BN160">
        <v>0.16</v>
      </c>
      <c r="BO160">
        <v>0.26</v>
      </c>
      <c r="BP160">
        <v>0.32</v>
      </c>
      <c r="BQ160">
        <v>0.34</v>
      </c>
      <c r="BR160">
        <v>0.37</v>
      </c>
      <c r="BS160">
        <v>0.39</v>
      </c>
      <c r="BT160">
        <v>0.4</v>
      </c>
      <c r="BU160">
        <v>0.42</v>
      </c>
      <c r="BV160">
        <v>0.51</v>
      </c>
      <c r="BW160">
        <v>0.59</v>
      </c>
      <c r="BX160">
        <v>0.6</v>
      </c>
      <c r="BY160">
        <v>0.69</v>
      </c>
      <c r="BZ160">
        <v>0.77</v>
      </c>
      <c r="CA160">
        <v>0.83</v>
      </c>
      <c r="CB160">
        <v>0.88</v>
      </c>
      <c r="CC160">
        <v>0.93</v>
      </c>
      <c r="CD160">
        <v>0.95</v>
      </c>
      <c r="CE160">
        <v>0.95</v>
      </c>
      <c r="CF160">
        <v>0.98</v>
      </c>
      <c r="CG160">
        <v>1.01</v>
      </c>
      <c r="CH160">
        <v>1.06</v>
      </c>
      <c r="CI160">
        <v>1.1599999999999999</v>
      </c>
      <c r="CJ160">
        <v>1.26</v>
      </c>
      <c r="CK160">
        <v>1.32</v>
      </c>
      <c r="CL160">
        <v>1.32</v>
      </c>
      <c r="CM160">
        <v>1.41</v>
      </c>
      <c r="CN160">
        <v>1.48</v>
      </c>
      <c r="CO160">
        <v>1.53</v>
      </c>
      <c r="CP160">
        <v>1.57</v>
      </c>
      <c r="CQ160">
        <v>1.65</v>
      </c>
      <c r="CR160">
        <v>1.75</v>
      </c>
      <c r="CS160">
        <v>1.76</v>
      </c>
      <c r="CT160">
        <v>1.89</v>
      </c>
      <c r="CU160">
        <v>2.0099999999999998</v>
      </c>
      <c r="CV160">
        <v>2.14</v>
      </c>
      <c r="CW160">
        <v>2.2599999999999998</v>
      </c>
      <c r="CX160">
        <v>2.39</v>
      </c>
      <c r="CY160">
        <v>2.46</v>
      </c>
      <c r="CZ160">
        <v>2.46</v>
      </c>
      <c r="DA160">
        <v>2.5099999999999998</v>
      </c>
      <c r="DB160">
        <v>2.57</v>
      </c>
      <c r="DC160">
        <v>2.63</v>
      </c>
      <c r="DD160">
        <v>2.67</v>
      </c>
      <c r="DE160">
        <v>2.73</v>
      </c>
      <c r="DF160">
        <v>2.77</v>
      </c>
      <c r="DG160">
        <v>2.78</v>
      </c>
      <c r="DH160">
        <v>2.83</v>
      </c>
      <c r="DI160">
        <v>2.89</v>
      </c>
      <c r="DJ160">
        <v>2.95</v>
      </c>
      <c r="DK160">
        <v>3.13</v>
      </c>
      <c r="DL160">
        <v>3.15</v>
      </c>
      <c r="DM160">
        <v>3.17</v>
      </c>
      <c r="DN160">
        <v>3.17</v>
      </c>
      <c r="DO160">
        <v>3.22</v>
      </c>
      <c r="DP160">
        <v>3.31</v>
      </c>
      <c r="DQ160">
        <v>3.4</v>
      </c>
      <c r="DR160">
        <v>3.54</v>
      </c>
      <c r="DS160">
        <v>3.64</v>
      </c>
      <c r="DT160">
        <v>3.68</v>
      </c>
      <c r="DU160">
        <v>3.68</v>
      </c>
      <c r="DV160">
        <v>3.72</v>
      </c>
      <c r="DW160">
        <v>3.78</v>
      </c>
      <c r="DX160">
        <v>3.85</v>
      </c>
      <c r="DY160">
        <v>3.92</v>
      </c>
      <c r="DZ160">
        <v>4.05</v>
      </c>
      <c r="EA160">
        <v>4.18</v>
      </c>
      <c r="EB160">
        <v>4.2699999999999996</v>
      </c>
      <c r="EC160">
        <v>4.3099999999999996</v>
      </c>
      <c r="ED160">
        <v>4.3600000000000003</v>
      </c>
      <c r="EE160">
        <v>4.41</v>
      </c>
      <c r="EF160">
        <v>4.45</v>
      </c>
      <c r="EG160">
        <v>4.53</v>
      </c>
      <c r="EH160">
        <v>4.62</v>
      </c>
      <c r="EI160">
        <v>4.67</v>
      </c>
      <c r="EJ160">
        <v>4.72</v>
      </c>
      <c r="EK160">
        <v>4.8099999999999996</v>
      </c>
      <c r="EL160">
        <v>4.96</v>
      </c>
      <c r="EM160">
        <v>5.14</v>
      </c>
      <c r="EN160">
        <v>5.42</v>
      </c>
      <c r="EO160">
        <v>5.67</v>
      </c>
      <c r="EP160">
        <v>5.82</v>
      </c>
      <c r="EQ160">
        <v>6.01</v>
      </c>
      <c r="ER160">
        <v>6.09</v>
      </c>
      <c r="ES160">
        <v>6.16</v>
      </c>
      <c r="ET160">
        <v>6.29</v>
      </c>
      <c r="EU160">
        <v>6.43</v>
      </c>
      <c r="EV160">
        <v>6.68</v>
      </c>
      <c r="EW160">
        <v>6.86</v>
      </c>
      <c r="EX160">
        <v>7.03</v>
      </c>
      <c r="EY160">
        <v>7.2</v>
      </c>
      <c r="EZ160">
        <v>7.4</v>
      </c>
      <c r="FA160">
        <v>7.65</v>
      </c>
      <c r="FB160">
        <v>7.98</v>
      </c>
      <c r="FC160">
        <v>8.1999999999999993</v>
      </c>
      <c r="FD160">
        <v>8.32</v>
      </c>
      <c r="FE160">
        <v>8.5</v>
      </c>
      <c r="FF160">
        <v>8.6999999999999993</v>
      </c>
      <c r="FG160">
        <v>8.9499999999999993</v>
      </c>
      <c r="FH160">
        <v>9.2100000000000009</v>
      </c>
      <c r="FI160">
        <v>9.6999999999999993</v>
      </c>
      <c r="FJ160">
        <v>10.1</v>
      </c>
      <c r="FK160">
        <v>10.36</v>
      </c>
      <c r="FL160">
        <v>10.72</v>
      </c>
      <c r="FM160">
        <v>11.02</v>
      </c>
      <c r="FN160">
        <v>11.31</v>
      </c>
      <c r="FO160">
        <v>11.67</v>
      </c>
      <c r="FP160">
        <v>12.13</v>
      </c>
      <c r="FQ160">
        <v>12.52</v>
      </c>
      <c r="FR160">
        <v>12.72</v>
      </c>
      <c r="FS160">
        <v>13.05</v>
      </c>
      <c r="FT160">
        <v>13.39</v>
      </c>
      <c r="FU160">
        <v>13.73</v>
      </c>
      <c r="FV160">
        <v>13.93</v>
      </c>
      <c r="FW160">
        <v>14.04</v>
      </c>
      <c r="FX160">
        <v>14.1</v>
      </c>
      <c r="FY160">
        <v>14.11</v>
      </c>
      <c r="FZ160">
        <v>14.2</v>
      </c>
      <c r="GA160">
        <v>14.86</v>
      </c>
      <c r="GB160">
        <v>15.48</v>
      </c>
      <c r="GC160">
        <v>16.170000000000002</v>
      </c>
      <c r="GD160">
        <v>16.84</v>
      </c>
      <c r="GE160">
        <v>17.329999999999998</v>
      </c>
      <c r="GF160">
        <v>17.579999999999998</v>
      </c>
      <c r="GG160">
        <v>17.920000000000002</v>
      </c>
      <c r="GH160">
        <v>18.309999999999999</v>
      </c>
      <c r="GI160">
        <v>18.649999999999999</v>
      </c>
      <c r="GJ160">
        <v>19.07</v>
      </c>
      <c r="GK160">
        <v>19.59</v>
      </c>
      <c r="GL160">
        <v>19.93</v>
      </c>
      <c r="GM160">
        <v>20.02</v>
      </c>
      <c r="GN160">
        <v>20.34</v>
      </c>
      <c r="GO160">
        <v>20.75</v>
      </c>
      <c r="GP160">
        <v>21.12</v>
      </c>
      <c r="GQ160">
        <v>21.37</v>
      </c>
      <c r="GR160">
        <v>21.73</v>
      </c>
      <c r="GS160">
        <v>21.95</v>
      </c>
      <c r="GT160">
        <v>22.09</v>
      </c>
      <c r="GU160">
        <v>22.24</v>
      </c>
      <c r="GV160">
        <v>22.49</v>
      </c>
      <c r="GW160">
        <v>22.94</v>
      </c>
      <c r="GX160">
        <v>23.96</v>
      </c>
      <c r="GY160">
        <v>24.58</v>
      </c>
      <c r="GZ160">
        <v>25.17</v>
      </c>
      <c r="HA160">
        <v>25.57</v>
      </c>
      <c r="HB160">
        <v>26.14</v>
      </c>
      <c r="HC160">
        <v>26.78</v>
      </c>
      <c r="HD160">
        <v>27.3</v>
      </c>
      <c r="HE160">
        <v>27.77</v>
      </c>
      <c r="HF160">
        <v>28.26</v>
      </c>
      <c r="HG160">
        <v>29.07</v>
      </c>
      <c r="HH160">
        <v>29.61</v>
      </c>
      <c r="HI160">
        <v>29.93</v>
      </c>
      <c r="HJ160">
        <v>30.27</v>
      </c>
      <c r="HK160">
        <v>30.71</v>
      </c>
      <c r="HL160">
        <v>31.31</v>
      </c>
      <c r="HM160">
        <v>31.98</v>
      </c>
      <c r="HN160">
        <v>32.9</v>
      </c>
      <c r="HO160">
        <v>33.43</v>
      </c>
      <c r="HP160">
        <v>33.729999999999997</v>
      </c>
      <c r="HQ160">
        <v>34.03</v>
      </c>
      <c r="HR160">
        <v>34.49</v>
      </c>
      <c r="HS160">
        <v>35.04</v>
      </c>
      <c r="HT160">
        <v>35.74</v>
      </c>
      <c r="HU160">
        <v>36.85</v>
      </c>
      <c r="HV160">
        <v>37.81</v>
      </c>
      <c r="HW160">
        <v>38.020000000000003</v>
      </c>
      <c r="HX160">
        <v>38.75</v>
      </c>
      <c r="HY160">
        <v>39.07</v>
      </c>
      <c r="HZ160">
        <v>39.26</v>
      </c>
      <c r="IA160">
        <v>39.71</v>
      </c>
      <c r="IB160">
        <v>40.43</v>
      </c>
      <c r="IC160">
        <v>41.55</v>
      </c>
      <c r="ID160">
        <v>41.99</v>
      </c>
      <c r="IE160">
        <v>42.4</v>
      </c>
      <c r="IF160">
        <v>42.88</v>
      </c>
      <c r="IG160">
        <v>43.39</v>
      </c>
      <c r="IH160">
        <v>44.23</v>
      </c>
      <c r="II160">
        <v>45.7</v>
      </c>
      <c r="IJ160">
        <v>46.76</v>
      </c>
      <c r="IK160">
        <v>47.06</v>
      </c>
      <c r="IL160">
        <v>47.41</v>
      </c>
      <c r="IM160">
        <v>47.76</v>
      </c>
      <c r="IN160">
        <v>48.1</v>
      </c>
      <c r="IO160">
        <v>48.43</v>
      </c>
      <c r="IP160">
        <v>49.07</v>
      </c>
      <c r="IQ160">
        <v>49.7</v>
      </c>
      <c r="IR160">
        <v>49.92</v>
      </c>
      <c r="IS160">
        <v>50.2</v>
      </c>
      <c r="IT160">
        <v>50.44</v>
      </c>
      <c r="IU160">
        <v>50.69</v>
      </c>
      <c r="IV160">
        <v>50.79</v>
      </c>
      <c r="IW160">
        <v>51.69</v>
      </c>
      <c r="IX160">
        <v>52.33</v>
      </c>
      <c r="IY160">
        <v>52.54</v>
      </c>
      <c r="IZ160">
        <v>52.74</v>
      </c>
      <c r="JA160">
        <v>52.96</v>
      </c>
      <c r="JB160">
        <v>53.2</v>
      </c>
      <c r="JC160">
        <v>53.5</v>
      </c>
      <c r="JE160">
        <v>55.52</v>
      </c>
      <c r="JF160">
        <v>55.52</v>
      </c>
      <c r="JK160">
        <v>58.04</v>
      </c>
      <c r="JQ160">
        <v>61.9</v>
      </c>
      <c r="JT160">
        <v>63.2</v>
      </c>
      <c r="JV160">
        <v>63.76</v>
      </c>
      <c r="KC160">
        <v>74.11</v>
      </c>
      <c r="KD160">
        <v>74.47</v>
      </c>
      <c r="KE160">
        <v>74.86</v>
      </c>
      <c r="KF160">
        <v>75.53</v>
      </c>
      <c r="LN160">
        <v>103.27</v>
      </c>
      <c r="LO160">
        <v>103.83</v>
      </c>
      <c r="NH160">
        <v>136.87</v>
      </c>
      <c r="PH160">
        <v>168.46</v>
      </c>
      <c r="PI160">
        <v>168.62</v>
      </c>
      <c r="QD160">
        <v>183.25</v>
      </c>
      <c r="QH160">
        <v>185.46</v>
      </c>
      <c r="QK160">
        <v>187.15</v>
      </c>
      <c r="QS160">
        <v>190.82</v>
      </c>
      <c r="QV160">
        <v>192.31</v>
      </c>
      <c r="QY160">
        <v>193.57</v>
      </c>
      <c r="RF160">
        <v>196.5</v>
      </c>
      <c r="SI160">
        <v>216.16</v>
      </c>
      <c r="SV160">
        <v>220.35</v>
      </c>
      <c r="TC160">
        <v>222.57</v>
      </c>
      <c r="TD160">
        <v>222.8</v>
      </c>
      <c r="TE160">
        <v>222.91</v>
      </c>
      <c r="TJ160">
        <v>224.64</v>
      </c>
      <c r="TK160">
        <v>224.79</v>
      </c>
      <c r="VD160">
        <v>233.86</v>
      </c>
      <c r="VH160">
        <v>234.97</v>
      </c>
      <c r="VJ160">
        <v>235.56</v>
      </c>
      <c r="VL160">
        <v>237.08</v>
      </c>
      <c r="VM160">
        <v>237.36</v>
      </c>
      <c r="VN160">
        <v>237.61</v>
      </c>
      <c r="VO160">
        <v>237.77</v>
      </c>
      <c r="VP160">
        <v>237.77</v>
      </c>
      <c r="VU160">
        <v>239.45</v>
      </c>
      <c r="VV160">
        <v>239.55</v>
      </c>
      <c r="VY160">
        <v>240.18</v>
      </c>
      <c r="WC160">
        <v>241.02</v>
      </c>
      <c r="WQ160">
        <v>244.3</v>
      </c>
      <c r="WX160">
        <v>245.91</v>
      </c>
      <c r="XE160">
        <v>247.09</v>
      </c>
      <c r="XM160">
        <v>248.03</v>
      </c>
      <c r="YF160">
        <v>250.62</v>
      </c>
      <c r="YL160">
        <v>251</v>
      </c>
      <c r="YM160">
        <v>251.02</v>
      </c>
      <c r="YQ160">
        <v>251.35</v>
      </c>
      <c r="YR160">
        <v>251.4</v>
      </c>
      <c r="YS160">
        <v>251.44</v>
      </c>
      <c r="YT160">
        <v>251.46</v>
      </c>
      <c r="YZ160">
        <v>251.89</v>
      </c>
      <c r="ZA160">
        <v>251.9</v>
      </c>
      <c r="ZL160">
        <v>250.26</v>
      </c>
      <c r="ZM160">
        <v>250.29</v>
      </c>
      <c r="ZN160">
        <v>250.3</v>
      </c>
      <c r="ZU160">
        <v>250.8</v>
      </c>
      <c r="ZV160">
        <v>250.81</v>
      </c>
      <c r="AAA160">
        <v>251.38</v>
      </c>
      <c r="AAB160">
        <v>251.43</v>
      </c>
      <c r="AAC160">
        <v>251.45</v>
      </c>
      <c r="AAD160">
        <v>251.45</v>
      </c>
      <c r="AAG160">
        <v>251.96</v>
      </c>
      <c r="AAH160">
        <v>252.02</v>
      </c>
      <c r="AAI160">
        <v>252.07</v>
      </c>
      <c r="AAJ160">
        <v>252.09</v>
      </c>
      <c r="AAN160">
        <v>252.74</v>
      </c>
      <c r="AAO160">
        <v>252.79</v>
      </c>
      <c r="AAP160">
        <v>252.83</v>
      </c>
      <c r="AAQ160">
        <v>252.85</v>
      </c>
      <c r="AAS160">
        <v>253.16</v>
      </c>
      <c r="AAT160">
        <v>253.22</v>
      </c>
      <c r="AAU160">
        <v>253.26</v>
      </c>
      <c r="AAV160">
        <v>253.28</v>
      </c>
      <c r="AAW160">
        <v>253.3</v>
      </c>
      <c r="AAX160">
        <v>253.31</v>
      </c>
      <c r="AAY160">
        <v>253.31</v>
      </c>
      <c r="AAZ160">
        <v>253.67</v>
      </c>
      <c r="ABA160">
        <v>253.72</v>
      </c>
      <c r="ABB160">
        <v>253.76</v>
      </c>
      <c r="ABC160">
        <v>253.8</v>
      </c>
      <c r="ABD160">
        <v>253.84</v>
      </c>
      <c r="ABE160">
        <v>253.85</v>
      </c>
      <c r="ABG160">
        <v>254.21</v>
      </c>
      <c r="ABH160">
        <v>254.26</v>
      </c>
      <c r="ABI160">
        <v>254.3</v>
      </c>
      <c r="ABJ160">
        <v>254.34</v>
      </c>
      <c r="ABK160">
        <v>254.37</v>
      </c>
      <c r="ABL160">
        <v>254.38</v>
      </c>
      <c r="ABM160">
        <v>254.39</v>
      </c>
      <c r="ABN160">
        <v>254.42</v>
      </c>
      <c r="ABO160">
        <v>254.45</v>
      </c>
      <c r="ABP160">
        <v>254.47</v>
      </c>
      <c r="ABQ160">
        <v>254.48</v>
      </c>
      <c r="ABT160">
        <v>254.63</v>
      </c>
      <c r="ABU160">
        <v>254.65</v>
      </c>
      <c r="ABV160">
        <v>254.68</v>
      </c>
      <c r="ABW160">
        <v>254.71</v>
      </c>
      <c r="ABX160">
        <v>254.73</v>
      </c>
      <c r="ABY160">
        <v>254.76</v>
      </c>
      <c r="ABZ160">
        <v>254.77</v>
      </c>
      <c r="ACA160">
        <v>254.77</v>
      </c>
      <c r="ACC160">
        <v>254.95</v>
      </c>
      <c r="ACD160">
        <v>254.98</v>
      </c>
      <c r="ACE160">
        <v>255</v>
      </c>
      <c r="ACF160">
        <v>255.02</v>
      </c>
      <c r="ACG160">
        <v>255.03</v>
      </c>
      <c r="ACI160">
        <v>255.19</v>
      </c>
      <c r="ACJ160">
        <v>255.22</v>
      </c>
      <c r="ACK160">
        <v>255.25</v>
      </c>
      <c r="ACL160">
        <v>255.28</v>
      </c>
      <c r="ACM160">
        <v>255.29</v>
      </c>
      <c r="ACN160">
        <v>255.3</v>
      </c>
      <c r="ACP160">
        <v>255.49</v>
      </c>
      <c r="ACQ160">
        <v>255.53</v>
      </c>
      <c r="ACR160">
        <v>255.58</v>
      </c>
      <c r="ACS160">
        <v>255.61</v>
      </c>
      <c r="ACT160">
        <v>255.65</v>
      </c>
      <c r="ACU160">
        <v>255.68</v>
      </c>
      <c r="ACV160">
        <v>255.69</v>
      </c>
      <c r="ACW160">
        <v>255.72</v>
      </c>
      <c r="ACX160">
        <v>255.75</v>
      </c>
      <c r="ACY160">
        <v>255.76</v>
      </c>
      <c r="ACZ160">
        <v>255.77</v>
      </c>
      <c r="ADD160">
        <v>256</v>
      </c>
      <c r="ADE160">
        <v>256.04000000000002</v>
      </c>
      <c r="ADF160">
        <v>256.08</v>
      </c>
      <c r="ADG160">
        <v>256.11</v>
      </c>
      <c r="ADH160">
        <v>256.14999999999998</v>
      </c>
      <c r="ADI160">
        <v>256.17</v>
      </c>
      <c r="ADJ160">
        <v>256.18</v>
      </c>
      <c r="ADK160">
        <v>256.22000000000003</v>
      </c>
      <c r="ADL160">
        <v>256.24</v>
      </c>
      <c r="ADM160">
        <v>256.27</v>
      </c>
      <c r="ADN160">
        <v>256.29000000000002</v>
      </c>
      <c r="ADO160">
        <v>256.31</v>
      </c>
      <c r="ADP160">
        <v>256.32</v>
      </c>
      <c r="ADQ160">
        <v>256.32</v>
      </c>
      <c r="ADR160">
        <v>257.74</v>
      </c>
      <c r="ADS160">
        <v>257.79000000000002</v>
      </c>
      <c r="ADT160">
        <v>257.81</v>
      </c>
      <c r="ADZ160">
        <v>258.36</v>
      </c>
      <c r="AEA160">
        <v>258.39999999999998</v>
      </c>
      <c r="AEB160">
        <v>258.43</v>
      </c>
      <c r="AEC160">
        <v>258.45999999999998</v>
      </c>
      <c r="AED160">
        <v>258.48</v>
      </c>
      <c r="AEE160">
        <v>258.49</v>
      </c>
    </row>
    <row r="161" spans="1:811">
      <c r="A161" s="1" t="s">
        <v>59</v>
      </c>
      <c r="B161" t="s">
        <v>356</v>
      </c>
      <c r="CE161">
        <v>0</v>
      </c>
      <c r="CF161">
        <v>0</v>
      </c>
      <c r="CG161">
        <v>0</v>
      </c>
      <c r="CI161">
        <v>0.01</v>
      </c>
      <c r="CK161">
        <v>0.02</v>
      </c>
      <c r="CL161">
        <v>0.03</v>
      </c>
      <c r="CM161">
        <v>0.04</v>
      </c>
      <c r="CN161">
        <v>0.08</v>
      </c>
      <c r="CO161">
        <v>0.1</v>
      </c>
      <c r="CR161">
        <v>0.18</v>
      </c>
      <c r="CT161">
        <v>0.2</v>
      </c>
      <c r="CU161">
        <v>0.2</v>
      </c>
      <c r="CV161">
        <v>0.25</v>
      </c>
      <c r="CW161">
        <v>0.22</v>
      </c>
      <c r="CY161">
        <v>0.31</v>
      </c>
      <c r="DB161">
        <v>0.46</v>
      </c>
      <c r="DF161">
        <v>0.6</v>
      </c>
      <c r="DI161">
        <v>0.67</v>
      </c>
      <c r="DO161">
        <v>0.78</v>
      </c>
      <c r="DP161">
        <v>0.84</v>
      </c>
      <c r="DU161">
        <v>1.04</v>
      </c>
      <c r="DV161">
        <v>1.1000000000000001</v>
      </c>
      <c r="DW161">
        <v>1.1499999999999999</v>
      </c>
      <c r="EA161">
        <v>1.33</v>
      </c>
      <c r="EC161">
        <v>1.35</v>
      </c>
      <c r="ED161">
        <v>1.43</v>
      </c>
      <c r="EE161">
        <v>1.47</v>
      </c>
      <c r="EH161">
        <v>1.6</v>
      </c>
      <c r="EJ161">
        <v>1.61</v>
      </c>
      <c r="EK161">
        <v>1.65</v>
      </c>
      <c r="EM161">
        <v>1.72</v>
      </c>
      <c r="EN161">
        <v>1.75</v>
      </c>
      <c r="EO161">
        <v>1.77</v>
      </c>
      <c r="EQ161">
        <v>1.82</v>
      </c>
      <c r="ER161">
        <v>1.88</v>
      </c>
      <c r="ES161">
        <v>1.94</v>
      </c>
      <c r="EU161">
        <v>2.11</v>
      </c>
      <c r="EV161">
        <v>2.19</v>
      </c>
      <c r="EW161">
        <v>2.2000000000000002</v>
      </c>
      <c r="EY161">
        <v>2.3199999999999998</v>
      </c>
      <c r="FA161">
        <v>2.48</v>
      </c>
      <c r="FB161">
        <v>2.5499999999999998</v>
      </c>
      <c r="FC161">
        <v>2.67</v>
      </c>
      <c r="FD161">
        <v>2.74</v>
      </c>
      <c r="FF161">
        <v>3.01</v>
      </c>
      <c r="FH161">
        <v>3.39</v>
      </c>
      <c r="FI161">
        <v>3.61</v>
      </c>
      <c r="FJ161">
        <v>3.74</v>
      </c>
      <c r="FK161">
        <v>3.81</v>
      </c>
      <c r="FL161">
        <v>3.93</v>
      </c>
      <c r="FM161">
        <v>4.0999999999999996</v>
      </c>
      <c r="FN161">
        <v>4.26</v>
      </c>
      <c r="FO161">
        <v>4.4400000000000004</v>
      </c>
      <c r="FR161">
        <v>4.7300000000000004</v>
      </c>
      <c r="FT161">
        <v>4.91</v>
      </c>
      <c r="FU161">
        <v>5.04</v>
      </c>
      <c r="FW161">
        <v>5.32</v>
      </c>
      <c r="FX161">
        <v>5.39</v>
      </c>
      <c r="FY161">
        <v>5.44</v>
      </c>
      <c r="FZ161">
        <v>5.56</v>
      </c>
      <c r="GA161">
        <v>5.76</v>
      </c>
      <c r="GB161">
        <v>5.91</v>
      </c>
      <c r="GC161">
        <v>6.04</v>
      </c>
      <c r="GE161">
        <v>6.27</v>
      </c>
      <c r="GF161">
        <v>6.34</v>
      </c>
      <c r="GG161">
        <v>6.43</v>
      </c>
      <c r="GH161">
        <v>6.72</v>
      </c>
      <c r="GI161">
        <v>6.9</v>
      </c>
      <c r="GJ161">
        <v>7.16</v>
      </c>
      <c r="GK161">
        <v>7.35</v>
      </c>
      <c r="GL161">
        <v>7.5</v>
      </c>
      <c r="GM161">
        <v>7.67</v>
      </c>
      <c r="GN161">
        <v>7.84</v>
      </c>
      <c r="GR161">
        <v>8.7100000000000009</v>
      </c>
      <c r="GT161">
        <v>9.19</v>
      </c>
      <c r="GV161">
        <v>9.34</v>
      </c>
      <c r="GW161">
        <v>9.5299999999999994</v>
      </c>
      <c r="GX161">
        <v>9.77</v>
      </c>
      <c r="HA161">
        <v>10.68</v>
      </c>
      <c r="HC161">
        <v>10.92</v>
      </c>
      <c r="HD161">
        <v>11.11</v>
      </c>
      <c r="HE161">
        <v>11.4</v>
      </c>
      <c r="HG161">
        <v>11.81</v>
      </c>
      <c r="HH161">
        <v>11.97</v>
      </c>
      <c r="HI161">
        <v>12.04</v>
      </c>
      <c r="HJ161">
        <v>12.27</v>
      </c>
      <c r="HL161">
        <v>12.84</v>
      </c>
      <c r="HM161">
        <v>13.2</v>
      </c>
      <c r="HP161">
        <v>13.78</v>
      </c>
      <c r="HR161">
        <v>14.25</v>
      </c>
      <c r="HT161">
        <v>14.99</v>
      </c>
      <c r="HV161">
        <v>15.57</v>
      </c>
      <c r="HW161">
        <v>15.7</v>
      </c>
      <c r="HX161">
        <v>15.98</v>
      </c>
      <c r="HZ161">
        <v>17.670000000000002</v>
      </c>
      <c r="ID161">
        <v>19.04</v>
      </c>
      <c r="IE161">
        <v>20.52</v>
      </c>
      <c r="IG161">
        <v>21.17</v>
      </c>
      <c r="IJ161">
        <v>22.81</v>
      </c>
      <c r="IM161">
        <v>23.84</v>
      </c>
      <c r="IQ161">
        <v>25.38</v>
      </c>
      <c r="IR161">
        <v>25.83</v>
      </c>
      <c r="IT161">
        <v>26.58</v>
      </c>
      <c r="IX161">
        <v>27.37</v>
      </c>
      <c r="IY161">
        <v>27.64</v>
      </c>
      <c r="JA161">
        <v>28.31</v>
      </c>
      <c r="JE161">
        <v>29.81</v>
      </c>
      <c r="JG161">
        <v>30.35</v>
      </c>
      <c r="JH161">
        <v>30.72</v>
      </c>
      <c r="JL161">
        <v>32.270000000000003</v>
      </c>
      <c r="JM161">
        <v>32.409999999999997</v>
      </c>
      <c r="JO161">
        <v>33.479999999999997</v>
      </c>
      <c r="JP161">
        <v>33.97</v>
      </c>
      <c r="JS161">
        <v>34.89</v>
      </c>
      <c r="JT161">
        <v>35.25</v>
      </c>
      <c r="JU161">
        <v>35.6</v>
      </c>
      <c r="JV161">
        <v>36.049999999999997</v>
      </c>
      <c r="JW161">
        <v>36.49</v>
      </c>
      <c r="JZ161">
        <v>37.29</v>
      </c>
      <c r="KB161">
        <v>37.94</v>
      </c>
      <c r="KD161">
        <v>38.799999999999997</v>
      </c>
      <c r="KG161">
        <v>39.56</v>
      </c>
      <c r="KH161">
        <v>39.950000000000003</v>
      </c>
      <c r="KI161">
        <v>40.29</v>
      </c>
      <c r="KJ161">
        <v>40.659999999999997</v>
      </c>
      <c r="KK161">
        <v>41.06</v>
      </c>
      <c r="KN161">
        <v>41.77</v>
      </c>
      <c r="KO161">
        <v>42.13</v>
      </c>
      <c r="KP161">
        <v>43.03</v>
      </c>
      <c r="KQ161">
        <v>43.58</v>
      </c>
      <c r="KR161">
        <v>44.06</v>
      </c>
      <c r="KU161">
        <v>44.73</v>
      </c>
      <c r="KV161">
        <v>45.09</v>
      </c>
      <c r="KW161">
        <v>45.45</v>
      </c>
      <c r="KX161">
        <v>45.87</v>
      </c>
      <c r="KY161">
        <v>46.36</v>
      </c>
      <c r="LB161">
        <v>47.1</v>
      </c>
      <c r="LC161">
        <v>47.53</v>
      </c>
      <c r="LD161">
        <v>48.01</v>
      </c>
      <c r="LE161">
        <v>48.48</v>
      </c>
      <c r="LF161">
        <v>49.03</v>
      </c>
      <c r="LI161">
        <v>50.17</v>
      </c>
      <c r="LJ161">
        <v>50.66</v>
      </c>
      <c r="LK161">
        <v>51.13</v>
      </c>
      <c r="LL161">
        <v>51.77</v>
      </c>
      <c r="LM161">
        <v>52.42</v>
      </c>
      <c r="LP161">
        <v>53.42</v>
      </c>
      <c r="LQ161">
        <v>53.56</v>
      </c>
      <c r="LR161">
        <v>54.4</v>
      </c>
      <c r="LS161">
        <v>55.25</v>
      </c>
      <c r="LT161">
        <v>56.26</v>
      </c>
      <c r="LW161">
        <v>57.81</v>
      </c>
      <c r="LX161">
        <v>58.49</v>
      </c>
      <c r="LY161">
        <v>59.22</v>
      </c>
      <c r="LZ161">
        <v>60.17</v>
      </c>
      <c r="MA161">
        <v>60.98</v>
      </c>
      <c r="MD161">
        <v>62.78</v>
      </c>
      <c r="ME161">
        <v>63.65</v>
      </c>
      <c r="MF161">
        <v>64.55</v>
      </c>
      <c r="MG161">
        <v>65.52</v>
      </c>
      <c r="MK161">
        <v>68.08</v>
      </c>
      <c r="ML161">
        <v>68.91</v>
      </c>
      <c r="MM161">
        <v>69.84</v>
      </c>
      <c r="MN161">
        <v>70.72</v>
      </c>
      <c r="MT161">
        <v>77.819999999999993</v>
      </c>
      <c r="MU161">
        <v>80.209999999999994</v>
      </c>
      <c r="MV161">
        <v>81.239999999999995</v>
      </c>
      <c r="MY161">
        <v>82.65</v>
      </c>
      <c r="MZ161">
        <v>83.53</v>
      </c>
      <c r="NB161">
        <v>84.86</v>
      </c>
      <c r="NG161">
        <v>87.56</v>
      </c>
      <c r="NH161">
        <v>88.27</v>
      </c>
      <c r="NI161">
        <v>89.28</v>
      </c>
      <c r="NJ161">
        <v>90.06</v>
      </c>
      <c r="NM161">
        <v>90.87</v>
      </c>
      <c r="NN161">
        <v>91.54</v>
      </c>
      <c r="NT161">
        <v>94.93</v>
      </c>
      <c r="NU161">
        <v>95.72</v>
      </c>
      <c r="NV161">
        <v>96.61</v>
      </c>
      <c r="NX161">
        <v>97.74</v>
      </c>
      <c r="OC161">
        <v>99.14</v>
      </c>
      <c r="OD161">
        <v>99.85</v>
      </c>
      <c r="OE161">
        <v>100.78</v>
      </c>
      <c r="OH161">
        <v>102.09</v>
      </c>
      <c r="OI161">
        <v>102.88</v>
      </c>
      <c r="OJ161">
        <v>103.83</v>
      </c>
      <c r="OK161">
        <v>104.72</v>
      </c>
      <c r="OL161">
        <v>105.66</v>
      </c>
      <c r="OO161">
        <v>107.11</v>
      </c>
      <c r="OP161">
        <v>107.83</v>
      </c>
      <c r="OQ161">
        <v>108.64</v>
      </c>
      <c r="OR161">
        <v>109.41</v>
      </c>
      <c r="OS161">
        <v>110.15</v>
      </c>
      <c r="OV161">
        <v>111.09</v>
      </c>
      <c r="OY161">
        <v>112.65</v>
      </c>
      <c r="PD161">
        <v>114.32</v>
      </c>
      <c r="PE161">
        <v>114.51</v>
      </c>
      <c r="PF161">
        <v>114.88</v>
      </c>
      <c r="PH161">
        <v>115.7</v>
      </c>
      <c r="PK161">
        <v>116.28</v>
      </c>
      <c r="PR161">
        <v>118.88</v>
      </c>
      <c r="PU161">
        <v>119.98</v>
      </c>
      <c r="PY161">
        <v>120.97</v>
      </c>
      <c r="QE161">
        <v>127.84</v>
      </c>
      <c r="QU161">
        <v>131.22999999999999</v>
      </c>
      <c r="QZ161">
        <v>131.22999999999999</v>
      </c>
      <c r="RA161">
        <v>132.56</v>
      </c>
      <c r="RI161">
        <v>134</v>
      </c>
      <c r="RM161">
        <v>128.81</v>
      </c>
      <c r="RN161">
        <v>129.04</v>
      </c>
      <c r="RR161">
        <v>129.74</v>
      </c>
      <c r="RW161">
        <v>130.38</v>
      </c>
      <c r="SE161">
        <v>131.68</v>
      </c>
      <c r="SG161">
        <v>132.01</v>
      </c>
      <c r="ST161">
        <v>133.28</v>
      </c>
      <c r="TA161">
        <v>133.94999999999999</v>
      </c>
      <c r="TC161">
        <v>134.11000000000001</v>
      </c>
      <c r="TF161">
        <v>134.65</v>
      </c>
      <c r="TJ161">
        <v>136.36000000000001</v>
      </c>
      <c r="TL161">
        <v>136.56</v>
      </c>
      <c r="ADG161">
        <v>147.43</v>
      </c>
    </row>
    <row r="162" spans="1:811">
      <c r="A162" s="1" t="s">
        <v>425</v>
      </c>
      <c r="GH162">
        <v>100</v>
      </c>
      <c r="GN162">
        <v>100</v>
      </c>
      <c r="HX162">
        <v>163.83000000000001</v>
      </c>
      <c r="ID162">
        <v>176.6</v>
      </c>
      <c r="JN162">
        <v>200</v>
      </c>
      <c r="WY162">
        <v>248.94</v>
      </c>
    </row>
    <row r="163" spans="1:811">
      <c r="A163" s="1" t="s">
        <v>76</v>
      </c>
      <c r="B163" t="s">
        <v>283</v>
      </c>
      <c r="U163">
        <v>0.01</v>
      </c>
      <c r="V163">
        <v>0.02</v>
      </c>
      <c r="W163">
        <v>0.1</v>
      </c>
      <c r="X163">
        <v>0.13</v>
      </c>
      <c r="Z163">
        <v>0.13</v>
      </c>
      <c r="AA163">
        <v>0.13</v>
      </c>
      <c r="AB163">
        <v>0.24</v>
      </c>
      <c r="AC163">
        <v>0.37</v>
      </c>
      <c r="AD163">
        <v>0.42</v>
      </c>
      <c r="AE163">
        <v>0.5</v>
      </c>
      <c r="AF163">
        <v>0.53</v>
      </c>
      <c r="AG163">
        <v>0.53</v>
      </c>
      <c r="AH163">
        <v>0.54</v>
      </c>
      <c r="AI163">
        <v>0.68</v>
      </c>
      <c r="AJ163">
        <v>0.82</v>
      </c>
      <c r="AK163">
        <v>0.98</v>
      </c>
      <c r="AL163">
        <v>1.08</v>
      </c>
      <c r="AM163">
        <v>1.1499999999999999</v>
      </c>
      <c r="AN163">
        <v>1.21</v>
      </c>
      <c r="AO163">
        <v>1.24</v>
      </c>
      <c r="AP163">
        <v>1.31</v>
      </c>
      <c r="AQ163">
        <v>1.43</v>
      </c>
      <c r="AR163">
        <v>1.56</v>
      </c>
      <c r="AS163">
        <v>1.7</v>
      </c>
      <c r="AT163">
        <v>1.81</v>
      </c>
      <c r="AU163">
        <v>1.85</v>
      </c>
      <c r="AV163">
        <v>1.87</v>
      </c>
      <c r="AW163">
        <v>2.0499999999999998</v>
      </c>
      <c r="AX163">
        <v>2.39</v>
      </c>
      <c r="AY163">
        <v>2.66</v>
      </c>
      <c r="AZ163">
        <v>2.9</v>
      </c>
      <c r="BA163">
        <v>3.02</v>
      </c>
      <c r="BB163">
        <v>3.06</v>
      </c>
      <c r="BC163">
        <v>3.11</v>
      </c>
      <c r="BD163">
        <v>3.25</v>
      </c>
      <c r="BE163">
        <v>3.55</v>
      </c>
      <c r="BF163">
        <v>3.86</v>
      </c>
      <c r="BG163">
        <v>4.1399999999999997</v>
      </c>
      <c r="BH163">
        <v>4.2699999999999996</v>
      </c>
      <c r="BI163">
        <v>4.34</v>
      </c>
      <c r="BJ163">
        <v>4.38</v>
      </c>
      <c r="BL163">
        <v>4.6900000000000004</v>
      </c>
      <c r="BN163">
        <v>5.27</v>
      </c>
      <c r="BO163">
        <v>5.47</v>
      </c>
      <c r="BP163">
        <v>5.57</v>
      </c>
      <c r="BQ163">
        <v>5.61</v>
      </c>
      <c r="BR163">
        <v>5.7</v>
      </c>
      <c r="BS163">
        <v>5.89</v>
      </c>
      <c r="BT163">
        <v>6.3</v>
      </c>
      <c r="BU163">
        <v>6.76</v>
      </c>
      <c r="BV163">
        <v>7.03</v>
      </c>
      <c r="BW163">
        <v>7.13</v>
      </c>
      <c r="BX163">
        <v>7.17</v>
      </c>
      <c r="BY163">
        <v>7.29</v>
      </c>
      <c r="CA163">
        <v>7.9</v>
      </c>
      <c r="CC163">
        <v>8.64</v>
      </c>
      <c r="CE163">
        <v>8.82</v>
      </c>
      <c r="CF163">
        <v>8.94</v>
      </c>
      <c r="CH163">
        <v>9.56</v>
      </c>
      <c r="CI163">
        <v>10.02</v>
      </c>
      <c r="CK163">
        <v>10.44</v>
      </c>
      <c r="CM163">
        <v>10.58</v>
      </c>
      <c r="CN163">
        <v>10.8</v>
      </c>
      <c r="CP163">
        <v>11.6</v>
      </c>
      <c r="CQ163">
        <v>11.86</v>
      </c>
      <c r="CR163">
        <v>11.94</v>
      </c>
      <c r="CS163">
        <v>11.97</v>
      </c>
      <c r="CT163">
        <v>12.04</v>
      </c>
      <c r="CU163">
        <v>12.17</v>
      </c>
      <c r="CV163">
        <v>12.52</v>
      </c>
      <c r="CW163">
        <v>12.93</v>
      </c>
      <c r="CX163">
        <v>13.17</v>
      </c>
      <c r="CY163">
        <v>13.25</v>
      </c>
      <c r="CZ163">
        <v>13.28</v>
      </c>
      <c r="DA163">
        <v>13.42</v>
      </c>
      <c r="DB163">
        <v>13.72</v>
      </c>
      <c r="DC163">
        <v>14.22</v>
      </c>
      <c r="DE163">
        <v>15.21</v>
      </c>
      <c r="DG163">
        <v>15.54</v>
      </c>
      <c r="DI163">
        <v>16.07</v>
      </c>
      <c r="DJ163">
        <v>16.57</v>
      </c>
      <c r="DK163">
        <v>17.079999999999998</v>
      </c>
      <c r="DL163">
        <v>17.48</v>
      </c>
      <c r="DN163">
        <v>17.59</v>
      </c>
      <c r="DO163">
        <v>17.61</v>
      </c>
      <c r="DQ163">
        <v>18.489999999999998</v>
      </c>
      <c r="DR163">
        <v>19.190000000000001</v>
      </c>
      <c r="DT163">
        <v>20.170000000000002</v>
      </c>
      <c r="DU163">
        <v>20.309999999999999</v>
      </c>
      <c r="DV163">
        <v>20.57</v>
      </c>
      <c r="DW163">
        <v>21.06</v>
      </c>
      <c r="DY163">
        <v>22.42</v>
      </c>
      <c r="EC163">
        <v>23.8</v>
      </c>
      <c r="ED163">
        <v>24.34</v>
      </c>
      <c r="EE163">
        <v>25.09</v>
      </c>
      <c r="EF163">
        <v>25.91</v>
      </c>
      <c r="EG163">
        <v>26.61</v>
      </c>
      <c r="EI163">
        <v>27.33</v>
      </c>
      <c r="EK163">
        <v>28.38</v>
      </c>
      <c r="EL163">
        <v>29.28</v>
      </c>
      <c r="EM163">
        <v>30.31</v>
      </c>
      <c r="EO163">
        <v>31.38</v>
      </c>
      <c r="EQ163">
        <v>31.7</v>
      </c>
      <c r="ES163">
        <v>33.33</v>
      </c>
      <c r="ET163">
        <v>34.44</v>
      </c>
      <c r="EU163">
        <v>35.43</v>
      </c>
      <c r="EV163">
        <v>36.119999999999997</v>
      </c>
      <c r="EW163">
        <v>36.369999999999997</v>
      </c>
      <c r="EX163">
        <v>36.880000000000003</v>
      </c>
      <c r="EY163">
        <v>37.72</v>
      </c>
      <c r="FA163">
        <v>40.020000000000003</v>
      </c>
      <c r="FB163">
        <v>40.98</v>
      </c>
      <c r="FC163">
        <v>41.68</v>
      </c>
      <c r="FD163">
        <v>41.96</v>
      </c>
      <c r="FE163">
        <v>42.39</v>
      </c>
      <c r="FF163">
        <v>43.26</v>
      </c>
      <c r="FH163">
        <v>45.59</v>
      </c>
      <c r="FI163">
        <v>46.56</v>
      </c>
      <c r="FJ163">
        <v>47.21</v>
      </c>
      <c r="FK163">
        <v>47.4</v>
      </c>
      <c r="FL163">
        <v>47.79</v>
      </c>
      <c r="FM163">
        <v>48.59</v>
      </c>
      <c r="FN163">
        <v>49.64</v>
      </c>
      <c r="FO163">
        <v>50.67</v>
      </c>
      <c r="FP163">
        <v>51.59</v>
      </c>
      <c r="FQ163">
        <v>52.34</v>
      </c>
      <c r="FR163">
        <v>52.6</v>
      </c>
      <c r="FS163">
        <v>53.07</v>
      </c>
      <c r="FT163">
        <v>54.26</v>
      </c>
      <c r="FU163">
        <v>55.95</v>
      </c>
      <c r="FV163">
        <v>56.35</v>
      </c>
      <c r="FW163">
        <v>57.48</v>
      </c>
      <c r="FX163">
        <v>58.2</v>
      </c>
      <c r="FY163">
        <v>58.48</v>
      </c>
      <c r="FZ163">
        <v>59.03</v>
      </c>
      <c r="GA163">
        <v>60.08</v>
      </c>
      <c r="GB163">
        <v>61.41</v>
      </c>
      <c r="GC163">
        <v>62.43</v>
      </c>
      <c r="GD163">
        <v>63.53</v>
      </c>
      <c r="GE163">
        <v>64.37</v>
      </c>
      <c r="GF163">
        <v>64.66</v>
      </c>
      <c r="GG163">
        <v>65.23</v>
      </c>
      <c r="GI163">
        <v>67.33</v>
      </c>
      <c r="GJ163">
        <v>68.39</v>
      </c>
      <c r="GK163">
        <v>69.239999999999995</v>
      </c>
      <c r="GL163">
        <v>69.81</v>
      </c>
      <c r="GM163">
        <v>70.010000000000005</v>
      </c>
      <c r="GN163">
        <v>70.459999999999994</v>
      </c>
      <c r="GO163">
        <v>71.55</v>
      </c>
      <c r="GP163">
        <v>72.58</v>
      </c>
      <c r="GQ163">
        <v>72.98</v>
      </c>
      <c r="GS163">
        <v>74.92</v>
      </c>
      <c r="GT163">
        <v>75.16</v>
      </c>
      <c r="GU163">
        <v>75.569999999999993</v>
      </c>
      <c r="GV163">
        <v>76.33</v>
      </c>
      <c r="GW163">
        <v>77.27</v>
      </c>
      <c r="GX163">
        <v>78.06</v>
      </c>
      <c r="GY163">
        <v>78.72</v>
      </c>
      <c r="GZ163">
        <v>79.180000000000007</v>
      </c>
      <c r="HA163">
        <v>79.33</v>
      </c>
      <c r="HB163">
        <v>79.66</v>
      </c>
      <c r="HC163">
        <v>80.319999999999993</v>
      </c>
      <c r="HD163">
        <v>81.22</v>
      </c>
      <c r="HE163">
        <v>81.92</v>
      </c>
      <c r="HF163">
        <v>82.59</v>
      </c>
      <c r="HH163">
        <v>83.32</v>
      </c>
      <c r="HI163">
        <v>83.64</v>
      </c>
      <c r="HJ163">
        <v>84.19</v>
      </c>
      <c r="HK163">
        <v>84.97</v>
      </c>
      <c r="HL163">
        <v>85.64</v>
      </c>
      <c r="HN163">
        <v>86.63</v>
      </c>
      <c r="HP163">
        <v>86.99</v>
      </c>
      <c r="HQ163">
        <v>87.42</v>
      </c>
      <c r="HR163">
        <v>87.94</v>
      </c>
      <c r="HS163">
        <v>88.47</v>
      </c>
      <c r="HT163">
        <v>88.89</v>
      </c>
      <c r="HV163">
        <v>89.23</v>
      </c>
      <c r="HW163">
        <v>89.42</v>
      </c>
      <c r="HX163">
        <v>89.69</v>
      </c>
      <c r="HY163">
        <v>90.09</v>
      </c>
      <c r="HZ163">
        <v>90.42</v>
      </c>
      <c r="IA163">
        <v>90.72</v>
      </c>
      <c r="IB163">
        <v>90.97</v>
      </c>
      <c r="IC163">
        <v>91.06</v>
      </c>
      <c r="ID163">
        <v>91.21</v>
      </c>
      <c r="IE163">
        <v>91.42</v>
      </c>
      <c r="IF163">
        <v>91.69</v>
      </c>
      <c r="IG163">
        <v>91.97</v>
      </c>
      <c r="II163">
        <v>92.44</v>
      </c>
      <c r="IK163">
        <v>92.61</v>
      </c>
      <c r="IL163">
        <v>92.78</v>
      </c>
      <c r="IM163">
        <v>92.98</v>
      </c>
      <c r="IN163">
        <v>93.22</v>
      </c>
      <c r="IP163">
        <v>93.56</v>
      </c>
      <c r="IQ163">
        <v>93.62</v>
      </c>
      <c r="IR163">
        <v>93.73</v>
      </c>
      <c r="IS163">
        <v>93.88</v>
      </c>
      <c r="IT163">
        <v>94.12</v>
      </c>
      <c r="IU163">
        <v>94.3</v>
      </c>
      <c r="IV163">
        <v>94.62</v>
      </c>
      <c r="IW163">
        <v>94.73</v>
      </c>
      <c r="IX163">
        <v>94.78</v>
      </c>
      <c r="IZ163">
        <v>95.03</v>
      </c>
      <c r="JB163">
        <v>95.39</v>
      </c>
      <c r="JC163">
        <v>95.58</v>
      </c>
      <c r="JD163">
        <v>95.7</v>
      </c>
      <c r="JE163">
        <v>95.76</v>
      </c>
      <c r="JF163">
        <v>95.86</v>
      </c>
      <c r="JG163">
        <v>96</v>
      </c>
      <c r="JI163">
        <v>96.28</v>
      </c>
      <c r="JK163">
        <v>96.53</v>
      </c>
      <c r="JM163">
        <v>96.64</v>
      </c>
      <c r="JN163">
        <v>96.73</v>
      </c>
      <c r="JO163">
        <v>96.85</v>
      </c>
      <c r="JQ163">
        <v>97.12</v>
      </c>
      <c r="JR163">
        <v>97.2</v>
      </c>
      <c r="JS163">
        <v>97.23</v>
      </c>
      <c r="JU163">
        <v>97.37</v>
      </c>
      <c r="JV163">
        <v>97.47</v>
      </c>
      <c r="JW163">
        <v>97.57</v>
      </c>
      <c r="JX163">
        <v>97.69</v>
      </c>
      <c r="JZ163">
        <v>97.78</v>
      </c>
      <c r="KA163">
        <v>97.83</v>
      </c>
      <c r="KB163">
        <v>97.91</v>
      </c>
      <c r="KC163">
        <v>98.08</v>
      </c>
      <c r="KD163">
        <v>98.17</v>
      </c>
      <c r="KE163">
        <v>98.27</v>
      </c>
      <c r="KF163">
        <v>98.28</v>
      </c>
      <c r="KH163">
        <v>98.31</v>
      </c>
      <c r="KI163">
        <v>98.38</v>
      </c>
      <c r="KJ163">
        <v>98.45</v>
      </c>
      <c r="KL163">
        <v>98.73</v>
      </c>
      <c r="KM163">
        <v>98.77</v>
      </c>
      <c r="KN163">
        <v>98.89</v>
      </c>
      <c r="KO163">
        <v>99.65</v>
      </c>
      <c r="KW163">
        <v>100.65</v>
      </c>
      <c r="KZ163">
        <v>101.01</v>
      </c>
      <c r="LD163">
        <v>101.53</v>
      </c>
      <c r="LE163">
        <v>101.7</v>
      </c>
      <c r="LF163">
        <v>101.89</v>
      </c>
      <c r="LH163">
        <v>102.18</v>
      </c>
      <c r="LM163">
        <v>103.06</v>
      </c>
      <c r="LN163">
        <v>103.27</v>
      </c>
      <c r="LP163">
        <v>103.35</v>
      </c>
      <c r="MA163">
        <v>105.19</v>
      </c>
      <c r="MB163">
        <v>105.44</v>
      </c>
      <c r="MD163">
        <v>105.58</v>
      </c>
      <c r="MI163">
        <v>107.12</v>
      </c>
      <c r="MJ163">
        <v>107.34</v>
      </c>
      <c r="MK163">
        <v>107.38</v>
      </c>
      <c r="ML163">
        <v>107.65</v>
      </c>
      <c r="MM163">
        <v>108.02</v>
      </c>
      <c r="MQ163">
        <v>109.89</v>
      </c>
      <c r="MR163">
        <v>109.98</v>
      </c>
      <c r="MS163">
        <v>110.26</v>
      </c>
      <c r="MU163">
        <v>111.21</v>
      </c>
      <c r="MV163">
        <v>111.72</v>
      </c>
      <c r="MW163">
        <v>112.41</v>
      </c>
      <c r="MX163">
        <v>112.9</v>
      </c>
      <c r="NB163">
        <v>115.15</v>
      </c>
      <c r="ND163">
        <v>116.45</v>
      </c>
      <c r="NE163">
        <v>116.94</v>
      </c>
      <c r="NG163">
        <v>117.48</v>
      </c>
      <c r="NH163">
        <v>118.04</v>
      </c>
      <c r="NI163">
        <v>118.66</v>
      </c>
      <c r="NJ163">
        <v>119.27</v>
      </c>
      <c r="NK163">
        <v>119.94</v>
      </c>
      <c r="NL163">
        <v>120.41</v>
      </c>
      <c r="NM163">
        <v>120.52</v>
      </c>
      <c r="NN163">
        <v>120.98</v>
      </c>
      <c r="NV163">
        <v>123.16</v>
      </c>
      <c r="NX163">
        <v>124.25</v>
      </c>
      <c r="NY163">
        <v>124.32</v>
      </c>
      <c r="NZ163">
        <v>124.32</v>
      </c>
      <c r="OA163">
        <v>124.36</v>
      </c>
      <c r="OE163">
        <v>126.4</v>
      </c>
      <c r="OH163">
        <v>127.56</v>
      </c>
      <c r="OI163">
        <v>128.04</v>
      </c>
      <c r="OJ163">
        <v>128.69999999999999</v>
      </c>
      <c r="OL163">
        <v>129.94</v>
      </c>
      <c r="OM163">
        <v>130.6</v>
      </c>
      <c r="ON163">
        <v>131.06</v>
      </c>
      <c r="OO163">
        <v>131.12</v>
      </c>
      <c r="OS163">
        <v>133.08000000000001</v>
      </c>
      <c r="OT163">
        <v>133.61000000000001</v>
      </c>
      <c r="OU163">
        <v>133.94999999999999</v>
      </c>
      <c r="PC163">
        <v>136.41999999999999</v>
      </c>
      <c r="PD163">
        <v>136.66999999999999</v>
      </c>
      <c r="PE163">
        <v>136.97</v>
      </c>
      <c r="PF163">
        <v>137.28</v>
      </c>
      <c r="PG163">
        <v>137.57</v>
      </c>
      <c r="PH163">
        <v>137.88999999999999</v>
      </c>
      <c r="PI163">
        <v>138.1</v>
      </c>
      <c r="PV163">
        <v>140.22999999999999</v>
      </c>
      <c r="PW163">
        <v>140.34</v>
      </c>
      <c r="PZ163">
        <v>140.58000000000001</v>
      </c>
      <c r="QB163">
        <v>140.83000000000001</v>
      </c>
      <c r="QD163">
        <v>141.07</v>
      </c>
      <c r="QG163">
        <v>141.24</v>
      </c>
      <c r="QH163">
        <v>141.32</v>
      </c>
      <c r="QI163">
        <v>141.4</v>
      </c>
      <c r="QJ163">
        <v>141.51</v>
      </c>
      <c r="QK163">
        <v>141.56</v>
      </c>
      <c r="QM163">
        <v>141.62</v>
      </c>
      <c r="QP163">
        <v>141.80000000000001</v>
      </c>
      <c r="QQ163">
        <v>141.9</v>
      </c>
      <c r="QS163">
        <v>141.94999999999999</v>
      </c>
      <c r="QU163">
        <v>142.05000000000001</v>
      </c>
      <c r="QV163">
        <v>142.1</v>
      </c>
      <c r="QY163">
        <v>142.28</v>
      </c>
      <c r="QZ163">
        <v>142.28</v>
      </c>
      <c r="RA163">
        <v>142.32</v>
      </c>
      <c r="RB163">
        <v>142.36000000000001</v>
      </c>
      <c r="RC163">
        <v>142.41</v>
      </c>
      <c r="RD163">
        <v>142.46</v>
      </c>
      <c r="RE163">
        <v>142.53</v>
      </c>
      <c r="RF163">
        <v>142.55000000000001</v>
      </c>
      <c r="RG163">
        <v>142.56</v>
      </c>
      <c r="RI163">
        <v>142.63</v>
      </c>
      <c r="RJ163">
        <v>142.66999999999999</v>
      </c>
      <c r="RK163">
        <v>142.71</v>
      </c>
      <c r="RL163">
        <v>142.81</v>
      </c>
      <c r="RO163">
        <v>142.88999999999999</v>
      </c>
      <c r="RQ163">
        <v>142.99</v>
      </c>
      <c r="RR163">
        <v>143.02000000000001</v>
      </c>
      <c r="RT163">
        <v>143.08000000000001</v>
      </c>
      <c r="RU163">
        <v>143.11000000000001</v>
      </c>
      <c r="RV163">
        <v>143.15</v>
      </c>
      <c r="RW163">
        <v>143.16</v>
      </c>
      <c r="RY163">
        <v>143.22</v>
      </c>
      <c r="SA163">
        <v>143.31</v>
      </c>
      <c r="SE163">
        <v>143.4</v>
      </c>
      <c r="SG163">
        <v>143.47</v>
      </c>
      <c r="SH163">
        <v>143.53</v>
      </c>
      <c r="SI163">
        <v>143.58000000000001</v>
      </c>
      <c r="SJ163">
        <v>143.58000000000001</v>
      </c>
      <c r="SN163">
        <v>143.66999999999999</v>
      </c>
      <c r="SP163">
        <v>143.72999999999999</v>
      </c>
      <c r="ST163">
        <v>143.81</v>
      </c>
      <c r="SV163">
        <v>143.86000000000001</v>
      </c>
      <c r="SW163">
        <v>143.86000000000001</v>
      </c>
      <c r="SZ163">
        <v>143.94</v>
      </c>
      <c r="TC163">
        <v>144.02000000000001</v>
      </c>
      <c r="TD163">
        <v>144.03</v>
      </c>
      <c r="TE163">
        <v>144.03</v>
      </c>
      <c r="TF163">
        <v>144.04</v>
      </c>
      <c r="TG163">
        <v>144.08000000000001</v>
      </c>
      <c r="TH163">
        <v>144.11000000000001</v>
      </c>
      <c r="TJ163">
        <v>144.16</v>
      </c>
      <c r="TM163">
        <v>144.19</v>
      </c>
      <c r="TP163">
        <v>144.24</v>
      </c>
      <c r="TQ163">
        <v>144.26</v>
      </c>
      <c r="TR163">
        <v>144.26</v>
      </c>
      <c r="TS163">
        <v>144.27000000000001</v>
      </c>
      <c r="TU163">
        <v>144.29</v>
      </c>
      <c r="TV163">
        <v>144.30000000000001</v>
      </c>
      <c r="TW163">
        <v>144.31</v>
      </c>
      <c r="TX163">
        <v>144.32</v>
      </c>
      <c r="TY163">
        <v>144.33000000000001</v>
      </c>
      <c r="UB163">
        <v>144.34</v>
      </c>
      <c r="UD163">
        <v>144.35</v>
      </c>
      <c r="UE163">
        <v>144.36000000000001</v>
      </c>
      <c r="UF163">
        <v>144.36000000000001</v>
      </c>
      <c r="UG163">
        <v>144.36000000000001</v>
      </c>
      <c r="UH163">
        <v>144.37</v>
      </c>
      <c r="UI163">
        <v>144.38999999999999</v>
      </c>
      <c r="UJ163">
        <v>144.4</v>
      </c>
      <c r="UK163">
        <v>144.41</v>
      </c>
      <c r="UL163">
        <v>144.41999999999999</v>
      </c>
      <c r="UM163">
        <v>144.43</v>
      </c>
      <c r="UP163">
        <v>144.44</v>
      </c>
      <c r="UR163">
        <v>144.46</v>
      </c>
      <c r="US163">
        <v>144.47</v>
      </c>
      <c r="UT163">
        <v>144.47</v>
      </c>
      <c r="UU163">
        <v>144.47</v>
      </c>
      <c r="UV163">
        <v>144.47999999999999</v>
      </c>
      <c r="UW163">
        <v>144.49</v>
      </c>
      <c r="UZ163">
        <v>144.52000000000001</v>
      </c>
      <c r="VA163">
        <v>144.52000000000001</v>
      </c>
      <c r="VB163">
        <v>142.6</v>
      </c>
      <c r="VC163">
        <v>142.61000000000001</v>
      </c>
      <c r="VD163">
        <v>142.62</v>
      </c>
      <c r="VF163">
        <v>142.63999999999999</v>
      </c>
      <c r="VH163">
        <v>142.66</v>
      </c>
      <c r="VJ163">
        <v>142.66999999999999</v>
      </c>
      <c r="VL163">
        <v>142.68</v>
      </c>
      <c r="VM163">
        <v>142.72</v>
      </c>
      <c r="VN163">
        <v>142.77000000000001</v>
      </c>
      <c r="VO163">
        <v>142.79</v>
      </c>
      <c r="VQ163">
        <v>142.87</v>
      </c>
      <c r="VS163">
        <v>143.1</v>
      </c>
      <c r="VU163">
        <v>143.47</v>
      </c>
      <c r="VV163">
        <v>143.51</v>
      </c>
      <c r="VW163">
        <v>143.75</v>
      </c>
      <c r="XO163">
        <v>147.15</v>
      </c>
      <c r="YF163">
        <v>148.36000000000001</v>
      </c>
      <c r="YL163">
        <v>148.80000000000001</v>
      </c>
      <c r="YM163">
        <v>148.83000000000001</v>
      </c>
      <c r="YO163">
        <v>148.97</v>
      </c>
      <c r="YP163">
        <v>148.97</v>
      </c>
      <c r="YQ163">
        <v>149.05000000000001</v>
      </c>
      <c r="YR163">
        <v>149.12</v>
      </c>
      <c r="YS163">
        <v>149.22</v>
      </c>
      <c r="YT163">
        <v>149.24</v>
      </c>
      <c r="YZ163">
        <v>149.47999999999999</v>
      </c>
      <c r="ZA163">
        <v>149.5</v>
      </c>
      <c r="ZC163">
        <v>149.54</v>
      </c>
      <c r="ZE163">
        <v>143.86000000000001</v>
      </c>
      <c r="ZG163">
        <v>143.97</v>
      </c>
      <c r="ZJ163">
        <v>144.02000000000001</v>
      </c>
      <c r="ZL163">
        <v>144.05000000000001</v>
      </c>
      <c r="ZM163">
        <v>144.09</v>
      </c>
      <c r="ZN163">
        <v>144.15</v>
      </c>
      <c r="ZO163">
        <v>144.16999999999999</v>
      </c>
      <c r="ZS163">
        <v>144.27000000000001</v>
      </c>
      <c r="ZU163">
        <v>144.32</v>
      </c>
      <c r="ZV163">
        <v>144.33000000000001</v>
      </c>
      <c r="ZX163">
        <v>144.37</v>
      </c>
      <c r="ZY163">
        <v>144.38999999999999</v>
      </c>
      <c r="AAA163">
        <v>144.44999999999999</v>
      </c>
      <c r="AAB163">
        <v>144.49</v>
      </c>
      <c r="AAC163">
        <v>144.5</v>
      </c>
      <c r="AAD163">
        <v>144.5</v>
      </c>
      <c r="AAE163">
        <v>144.52000000000001</v>
      </c>
      <c r="AAG163">
        <v>144.55000000000001</v>
      </c>
      <c r="AAH163">
        <v>144.57</v>
      </c>
      <c r="AAI163">
        <v>144.6</v>
      </c>
      <c r="AAJ163">
        <v>144.61000000000001</v>
      </c>
      <c r="AAL163">
        <v>144.63</v>
      </c>
      <c r="AAN163">
        <v>144.66</v>
      </c>
      <c r="AAO163">
        <v>144.68</v>
      </c>
      <c r="AAQ163">
        <v>144.71</v>
      </c>
      <c r="AAS163">
        <v>144.72</v>
      </c>
      <c r="AAT163">
        <v>144.72999999999999</v>
      </c>
      <c r="AAU163">
        <v>144.74</v>
      </c>
      <c r="AAV163">
        <v>144.76</v>
      </c>
      <c r="AAW163">
        <v>144.78</v>
      </c>
      <c r="AAX163">
        <v>144.79</v>
      </c>
      <c r="AAZ163">
        <v>144.80000000000001</v>
      </c>
      <c r="ABA163">
        <v>144.81</v>
      </c>
      <c r="ABB163">
        <v>144.83000000000001</v>
      </c>
      <c r="ABC163">
        <v>144.84</v>
      </c>
      <c r="ABD163">
        <v>144.85</v>
      </c>
      <c r="ABE163">
        <v>144.86000000000001</v>
      </c>
      <c r="ABG163">
        <v>144.88</v>
      </c>
      <c r="ABH163">
        <v>144.88999999999999</v>
      </c>
      <c r="ABI163">
        <v>144.9</v>
      </c>
      <c r="ABJ163">
        <v>144.91</v>
      </c>
      <c r="ABK163">
        <v>144.91</v>
      </c>
      <c r="ABL163">
        <v>144.91</v>
      </c>
      <c r="ABM163">
        <v>144.91</v>
      </c>
      <c r="ABN163">
        <v>144.91</v>
      </c>
      <c r="ABO163">
        <v>144.93</v>
      </c>
      <c r="ABP163">
        <v>144.94999999999999</v>
      </c>
      <c r="ABQ163">
        <v>144.97</v>
      </c>
      <c r="ABR163">
        <v>144.97999999999999</v>
      </c>
      <c r="ABT163">
        <v>144.99</v>
      </c>
      <c r="ABU163">
        <v>145</v>
      </c>
      <c r="ABV163">
        <v>145.01</v>
      </c>
      <c r="ABW163">
        <v>145.03</v>
      </c>
      <c r="ABX163">
        <v>145.05000000000001</v>
      </c>
      <c r="ABY163">
        <v>145.05000000000001</v>
      </c>
      <c r="ABZ163">
        <v>145.05000000000001</v>
      </c>
      <c r="ACA163">
        <v>145.05000000000001</v>
      </c>
      <c r="ACC163">
        <v>145.08000000000001</v>
      </c>
      <c r="ACD163">
        <v>145.09</v>
      </c>
      <c r="ACE163">
        <v>145.1</v>
      </c>
      <c r="ACF163">
        <v>145.11000000000001</v>
      </c>
      <c r="ACG163">
        <v>145.12</v>
      </c>
      <c r="ACI163">
        <v>145.13</v>
      </c>
      <c r="ACJ163">
        <v>145.13</v>
      </c>
      <c r="ACK163">
        <v>145.13999999999999</v>
      </c>
      <c r="ACL163">
        <v>145.15</v>
      </c>
      <c r="ACM163">
        <v>145.16</v>
      </c>
      <c r="ACN163">
        <v>145.16</v>
      </c>
      <c r="ACP163">
        <v>145.16999999999999</v>
      </c>
      <c r="ACQ163">
        <v>145.18</v>
      </c>
      <c r="ACR163">
        <v>145.18</v>
      </c>
      <c r="ACS163">
        <v>145.19</v>
      </c>
      <c r="ACT163">
        <v>145.21</v>
      </c>
      <c r="ACU163">
        <v>145.21</v>
      </c>
      <c r="ACV163">
        <v>145.21</v>
      </c>
      <c r="ACW163">
        <v>145.22</v>
      </c>
      <c r="ACX163">
        <v>145.22</v>
      </c>
      <c r="ACY163">
        <v>145.22999999999999</v>
      </c>
      <c r="ACZ163">
        <v>145.22999999999999</v>
      </c>
      <c r="ADA163">
        <v>145.24</v>
      </c>
      <c r="ADB163">
        <v>145.24</v>
      </c>
      <c r="ADD163">
        <v>145.24</v>
      </c>
      <c r="ADE163">
        <v>145.25</v>
      </c>
      <c r="ADF163">
        <v>145.25</v>
      </c>
      <c r="ADG163">
        <v>145.25</v>
      </c>
      <c r="ADH163">
        <v>145.26</v>
      </c>
      <c r="ADI163">
        <v>145.26</v>
      </c>
      <c r="ADJ163">
        <v>145.26</v>
      </c>
      <c r="ADK163">
        <v>145.26</v>
      </c>
      <c r="ADL163">
        <v>145.26</v>
      </c>
      <c r="ADM163">
        <v>145.27000000000001</v>
      </c>
      <c r="ADN163">
        <v>145.27000000000001</v>
      </c>
      <c r="ADO163">
        <v>145.27000000000001</v>
      </c>
      <c r="ADP163">
        <v>145.27000000000001</v>
      </c>
      <c r="ADR163">
        <v>145.28</v>
      </c>
      <c r="ADS163">
        <v>145.28</v>
      </c>
      <c r="ADT163">
        <v>145.28</v>
      </c>
      <c r="ADU163">
        <v>145.29</v>
      </c>
      <c r="ADV163">
        <v>145.29</v>
      </c>
      <c r="ADW163">
        <v>145.29</v>
      </c>
      <c r="ADX163">
        <v>145.29</v>
      </c>
      <c r="ADZ163">
        <v>145.30000000000001</v>
      </c>
      <c r="AEA163">
        <v>145.30000000000001</v>
      </c>
      <c r="AEB163">
        <v>145.31</v>
      </c>
      <c r="AEC163">
        <v>145.31</v>
      </c>
      <c r="AED163">
        <v>145.31</v>
      </c>
      <c r="AEE163">
        <v>145.31</v>
      </c>
    </row>
    <row r="164" spans="1:811">
      <c r="A164" s="1" t="s">
        <v>75</v>
      </c>
      <c r="B164" t="s">
        <v>75</v>
      </c>
      <c r="T164">
        <v>0.05</v>
      </c>
      <c r="U164">
        <v>0.08</v>
      </c>
      <c r="V164">
        <v>0.2</v>
      </c>
      <c r="W164">
        <v>0.3</v>
      </c>
      <c r="X164">
        <v>0.32</v>
      </c>
      <c r="Y164">
        <v>0.32</v>
      </c>
      <c r="Z164">
        <v>0.32</v>
      </c>
      <c r="BK164">
        <v>5.49</v>
      </c>
      <c r="BR164">
        <v>6.95</v>
      </c>
      <c r="BY164">
        <v>8.84</v>
      </c>
      <c r="CF164">
        <v>8.75</v>
      </c>
      <c r="CG164">
        <v>8.91</v>
      </c>
      <c r="CH164">
        <v>9.06</v>
      </c>
      <c r="CI164">
        <v>9.34</v>
      </c>
      <c r="CJ164">
        <v>9.76</v>
      </c>
      <c r="CK164">
        <v>10.15</v>
      </c>
      <c r="CL164">
        <v>10.32</v>
      </c>
      <c r="CM164">
        <v>10.4</v>
      </c>
      <c r="CN164">
        <v>10.51</v>
      </c>
      <c r="CO164">
        <v>10.62</v>
      </c>
      <c r="CP164">
        <v>10.85</v>
      </c>
      <c r="CQ164">
        <v>11.2</v>
      </c>
      <c r="CR164">
        <v>11.53</v>
      </c>
      <c r="CS164">
        <v>11.69</v>
      </c>
      <c r="CT164">
        <v>11.8</v>
      </c>
      <c r="CU164">
        <v>12.05</v>
      </c>
      <c r="CV164">
        <v>12.12</v>
      </c>
      <c r="CW164">
        <v>12.46</v>
      </c>
      <c r="CX164">
        <v>12.9</v>
      </c>
      <c r="CY164">
        <v>13.34</v>
      </c>
      <c r="CZ164">
        <v>13.57</v>
      </c>
      <c r="DA164">
        <v>13.87</v>
      </c>
      <c r="DB164">
        <v>14.04</v>
      </c>
      <c r="DC164">
        <v>14.26</v>
      </c>
      <c r="DD164">
        <v>14.68</v>
      </c>
      <c r="DE164">
        <v>15.38</v>
      </c>
      <c r="DF164">
        <v>15.68</v>
      </c>
      <c r="DG164">
        <v>16.3</v>
      </c>
      <c r="DH164">
        <v>16.579999999999998</v>
      </c>
      <c r="DI164">
        <v>16.82</v>
      </c>
      <c r="DJ164">
        <v>17.12</v>
      </c>
      <c r="DK164">
        <v>17.43</v>
      </c>
      <c r="DL164">
        <v>18.25</v>
      </c>
      <c r="DM164">
        <v>18.600000000000001</v>
      </c>
      <c r="DN164">
        <v>18.77</v>
      </c>
      <c r="DO164">
        <v>18.84</v>
      </c>
      <c r="DP164">
        <v>19.16</v>
      </c>
      <c r="DQ164">
        <v>19.55</v>
      </c>
      <c r="DR164">
        <v>20.149999999999999</v>
      </c>
      <c r="DS164">
        <v>20.85</v>
      </c>
      <c r="DT164">
        <v>21.53</v>
      </c>
      <c r="DU164">
        <v>21.65</v>
      </c>
      <c r="DV164">
        <v>21.86</v>
      </c>
      <c r="DW164">
        <v>22.17</v>
      </c>
      <c r="DX164">
        <v>22.6</v>
      </c>
      <c r="DY164">
        <v>23.23</v>
      </c>
      <c r="DZ164">
        <v>23.91</v>
      </c>
      <c r="EA164">
        <v>24.57</v>
      </c>
      <c r="EB164">
        <v>25.74</v>
      </c>
      <c r="EC164">
        <v>26.55</v>
      </c>
      <c r="ED164">
        <v>26.86</v>
      </c>
      <c r="EE164">
        <v>27.24</v>
      </c>
      <c r="EF164">
        <v>27.77</v>
      </c>
      <c r="EG164">
        <v>28.43</v>
      </c>
      <c r="EH164">
        <v>29.19</v>
      </c>
      <c r="EI164">
        <v>29.62</v>
      </c>
      <c r="EJ164">
        <v>29.96</v>
      </c>
      <c r="EK164">
        <v>30.44</v>
      </c>
      <c r="EL164">
        <v>30.92</v>
      </c>
      <c r="EM164">
        <v>31.64</v>
      </c>
      <c r="EN164">
        <v>32.43</v>
      </c>
      <c r="EO164">
        <v>33.44</v>
      </c>
      <c r="EP164">
        <v>33.94</v>
      </c>
      <c r="EQ164">
        <v>34.380000000000003</v>
      </c>
      <c r="ER164">
        <v>35.020000000000003</v>
      </c>
      <c r="ES164">
        <v>35.770000000000003</v>
      </c>
      <c r="ET164">
        <v>36.659999999999997</v>
      </c>
      <c r="EU164">
        <v>37.65</v>
      </c>
      <c r="EV164">
        <v>38.68</v>
      </c>
      <c r="EW164">
        <v>39.49</v>
      </c>
      <c r="EX164">
        <v>40.14</v>
      </c>
      <c r="EY164">
        <v>40.909999999999997</v>
      </c>
      <c r="EZ164">
        <v>41.59</v>
      </c>
      <c r="FA164">
        <v>42.26</v>
      </c>
      <c r="FB164">
        <v>42.97</v>
      </c>
      <c r="FC164">
        <v>43.75</v>
      </c>
      <c r="FD164">
        <v>45.03</v>
      </c>
      <c r="FE164">
        <v>45.94</v>
      </c>
      <c r="FF164">
        <v>46.61</v>
      </c>
      <c r="FG164">
        <v>47.39</v>
      </c>
      <c r="FH164">
        <v>48.17</v>
      </c>
      <c r="FI164">
        <v>48.98</v>
      </c>
      <c r="FJ164">
        <v>49.82</v>
      </c>
      <c r="FK164">
        <v>50.52</v>
      </c>
      <c r="FL164">
        <v>51.06</v>
      </c>
      <c r="FM164">
        <v>51.73</v>
      </c>
      <c r="FN164">
        <v>52.4</v>
      </c>
      <c r="FO164">
        <v>53.26</v>
      </c>
      <c r="FP164">
        <v>54.23</v>
      </c>
      <c r="FQ164">
        <v>55.25</v>
      </c>
      <c r="FR164">
        <v>55.97</v>
      </c>
      <c r="FS164">
        <v>56.53</v>
      </c>
      <c r="FT164">
        <v>57.21</v>
      </c>
      <c r="FU164">
        <v>58.09</v>
      </c>
      <c r="FV164">
        <v>58.96</v>
      </c>
      <c r="FW164">
        <v>59.67</v>
      </c>
      <c r="FX164">
        <v>60.55</v>
      </c>
      <c r="FY164">
        <v>61.35</v>
      </c>
      <c r="FZ164">
        <v>62.06</v>
      </c>
      <c r="GA164">
        <v>63.08</v>
      </c>
      <c r="GB164">
        <v>64.02</v>
      </c>
      <c r="GC164">
        <v>64.989999999999995</v>
      </c>
      <c r="GD164">
        <v>66.099999999999994</v>
      </c>
      <c r="GE164">
        <v>66.650000000000006</v>
      </c>
      <c r="GF164">
        <v>67.349999999999994</v>
      </c>
      <c r="GG164">
        <v>67.98</v>
      </c>
      <c r="GH164">
        <v>68.89</v>
      </c>
      <c r="GI164">
        <v>69.900000000000006</v>
      </c>
      <c r="GJ164">
        <v>70.98</v>
      </c>
      <c r="GK164">
        <v>72.64</v>
      </c>
      <c r="GL164">
        <v>73.13</v>
      </c>
      <c r="GM164">
        <v>74.489999999999995</v>
      </c>
      <c r="GN164">
        <v>75.069999999999993</v>
      </c>
      <c r="GO164">
        <v>75.38</v>
      </c>
      <c r="GP164">
        <v>76.430000000000007</v>
      </c>
      <c r="GQ164">
        <v>77.510000000000005</v>
      </c>
      <c r="GR164">
        <v>78.599999999999994</v>
      </c>
      <c r="GS164">
        <v>79.680000000000007</v>
      </c>
      <c r="GT164">
        <v>80.64</v>
      </c>
      <c r="GU164">
        <v>82.04</v>
      </c>
      <c r="GV164">
        <v>83.17</v>
      </c>
      <c r="GW164">
        <v>85.31</v>
      </c>
      <c r="HB164">
        <v>90.41</v>
      </c>
      <c r="HC164">
        <v>91.85</v>
      </c>
      <c r="HD164">
        <v>93.4</v>
      </c>
      <c r="HI164">
        <v>100.68</v>
      </c>
      <c r="HJ164">
        <v>101.84</v>
      </c>
      <c r="HK164">
        <v>102.97</v>
      </c>
      <c r="HL164">
        <v>104.15</v>
      </c>
      <c r="HM164">
        <v>105.29</v>
      </c>
      <c r="HN164">
        <v>106.43</v>
      </c>
      <c r="HO164">
        <v>107.39</v>
      </c>
      <c r="HP164">
        <v>107.86</v>
      </c>
      <c r="HQ164">
        <v>108.84</v>
      </c>
      <c r="HR164">
        <v>109.81</v>
      </c>
      <c r="HS164">
        <v>110.75</v>
      </c>
      <c r="HT164">
        <v>111.76</v>
      </c>
      <c r="HU164">
        <v>112.76</v>
      </c>
      <c r="HV164">
        <v>113.68</v>
      </c>
      <c r="HW164">
        <v>114.65</v>
      </c>
      <c r="HX164">
        <v>115.5</v>
      </c>
      <c r="HY164">
        <v>116.34</v>
      </c>
      <c r="HZ164">
        <v>117.19</v>
      </c>
      <c r="IA164">
        <v>118.06</v>
      </c>
      <c r="IB164">
        <v>118.97</v>
      </c>
      <c r="ID164">
        <v>120.77</v>
      </c>
      <c r="IE164">
        <v>121.61</v>
      </c>
      <c r="IF164">
        <v>122.45</v>
      </c>
      <c r="IG164">
        <v>123.49</v>
      </c>
      <c r="IH164">
        <v>124.49</v>
      </c>
      <c r="II164">
        <v>125.48</v>
      </c>
      <c r="IJ164">
        <v>126.34</v>
      </c>
      <c r="IK164">
        <v>126.99</v>
      </c>
      <c r="IL164">
        <v>127.84</v>
      </c>
      <c r="IM164">
        <v>128.83000000000001</v>
      </c>
      <c r="IN164">
        <v>129.72999999999999</v>
      </c>
      <c r="IO164">
        <v>130.63</v>
      </c>
      <c r="IP164">
        <v>131.79</v>
      </c>
      <c r="IQ164">
        <v>132.81</v>
      </c>
      <c r="IR164">
        <v>133.49</v>
      </c>
      <c r="IS164">
        <v>134.46</v>
      </c>
      <c r="IT164">
        <v>135.25</v>
      </c>
      <c r="IU164">
        <v>136.03</v>
      </c>
      <c r="IV164">
        <v>137.22</v>
      </c>
      <c r="IW164">
        <v>138.01</v>
      </c>
      <c r="IX164">
        <v>139.28</v>
      </c>
      <c r="IY164">
        <v>139.82</v>
      </c>
      <c r="IZ164">
        <v>140.5</v>
      </c>
      <c r="JA164">
        <v>141.1</v>
      </c>
      <c r="JB164">
        <v>141.72999999999999</v>
      </c>
      <c r="JC164">
        <v>142.27000000000001</v>
      </c>
      <c r="JD164">
        <v>142.86000000000001</v>
      </c>
      <c r="JE164">
        <v>143.63999999999999</v>
      </c>
      <c r="JF164">
        <v>143.93</v>
      </c>
      <c r="JG164">
        <v>144.76</v>
      </c>
      <c r="JH164">
        <v>145.26</v>
      </c>
      <c r="JI164">
        <v>145.80000000000001</v>
      </c>
      <c r="JJ164">
        <v>146.28</v>
      </c>
      <c r="JL164">
        <v>147.88999999999999</v>
      </c>
      <c r="JM164">
        <v>148.55000000000001</v>
      </c>
      <c r="JN164">
        <v>149.01</v>
      </c>
      <c r="JO164">
        <v>149.41999999999999</v>
      </c>
      <c r="JP164">
        <v>149.82</v>
      </c>
      <c r="JQ164">
        <v>150.22999999999999</v>
      </c>
      <c r="JR164">
        <v>150.63999999999999</v>
      </c>
      <c r="JS164">
        <v>151.87</v>
      </c>
      <c r="JT164">
        <v>152.24</v>
      </c>
      <c r="JU164">
        <v>152.79</v>
      </c>
      <c r="KA164">
        <v>155.47999999999999</v>
      </c>
      <c r="KB164">
        <v>155.82</v>
      </c>
      <c r="KC164">
        <v>156.07</v>
      </c>
      <c r="KD164">
        <v>156.26</v>
      </c>
      <c r="KE164">
        <v>156.41999999999999</v>
      </c>
      <c r="KG164">
        <v>156.81</v>
      </c>
      <c r="KH164">
        <v>156.87</v>
      </c>
      <c r="MY164">
        <v>175.67</v>
      </c>
      <c r="ND164">
        <v>179.06</v>
      </c>
      <c r="NE164">
        <v>179.7</v>
      </c>
      <c r="NF164">
        <v>180.37</v>
      </c>
      <c r="NG164">
        <v>181.08</v>
      </c>
      <c r="NH164">
        <v>181.63</v>
      </c>
      <c r="NJ164">
        <v>182.65</v>
      </c>
      <c r="NK164">
        <v>183.19</v>
      </c>
      <c r="NN164">
        <v>184.96</v>
      </c>
      <c r="NP164">
        <v>186.34</v>
      </c>
      <c r="NR164">
        <v>187.41</v>
      </c>
      <c r="NV164">
        <v>188.21</v>
      </c>
      <c r="NW164">
        <v>189.12</v>
      </c>
      <c r="NY164">
        <v>190.6</v>
      </c>
      <c r="OB164">
        <v>190.72</v>
      </c>
      <c r="OC164">
        <v>191.55</v>
      </c>
      <c r="OD164">
        <v>192.36</v>
      </c>
      <c r="OG164">
        <v>195.05</v>
      </c>
      <c r="OH164">
        <v>195.44</v>
      </c>
      <c r="OL164">
        <v>198.31</v>
      </c>
      <c r="OM164">
        <v>199.13</v>
      </c>
      <c r="ON164">
        <v>199.79</v>
      </c>
      <c r="OO164">
        <v>200.4</v>
      </c>
      <c r="OP164">
        <v>201.11</v>
      </c>
      <c r="OQ164">
        <v>201.83</v>
      </c>
      <c r="OR164">
        <v>202.23</v>
      </c>
      <c r="OS164">
        <v>203.03</v>
      </c>
      <c r="OT164">
        <v>203.77</v>
      </c>
      <c r="OU164">
        <v>204.59</v>
      </c>
      <c r="OV164">
        <v>205.59</v>
      </c>
      <c r="OW164">
        <v>206.4</v>
      </c>
      <c r="OX164">
        <v>207.11</v>
      </c>
      <c r="OZ164">
        <v>208.98</v>
      </c>
      <c r="PA164">
        <v>209.76</v>
      </c>
      <c r="PB164">
        <v>210.51</v>
      </c>
      <c r="PC164">
        <v>211.36</v>
      </c>
      <c r="PD164">
        <v>212.03</v>
      </c>
      <c r="PF164">
        <v>213.58</v>
      </c>
      <c r="PG164">
        <v>214.26</v>
      </c>
      <c r="PH164">
        <v>214.92</v>
      </c>
      <c r="PI164">
        <v>215.62</v>
      </c>
      <c r="PJ164">
        <v>216.3</v>
      </c>
      <c r="PL164">
        <v>217.47</v>
      </c>
      <c r="PM164">
        <v>218.06</v>
      </c>
      <c r="PO164">
        <v>219.04</v>
      </c>
      <c r="PQ164">
        <v>220.12</v>
      </c>
      <c r="PR164">
        <v>221.37</v>
      </c>
      <c r="PS164">
        <v>221.66</v>
      </c>
      <c r="PT164">
        <v>221.92</v>
      </c>
      <c r="PU164">
        <v>222.18</v>
      </c>
      <c r="PV164">
        <v>222.42</v>
      </c>
      <c r="PW164">
        <v>222.65</v>
      </c>
      <c r="PY164">
        <v>223.14</v>
      </c>
      <c r="PZ164">
        <v>223.29</v>
      </c>
      <c r="QA164">
        <v>223.43</v>
      </c>
      <c r="QB164">
        <v>223.54</v>
      </c>
      <c r="QC164">
        <v>223.67</v>
      </c>
      <c r="QD164">
        <v>223.85</v>
      </c>
      <c r="QE164">
        <v>224.61</v>
      </c>
      <c r="QF164">
        <v>224.85</v>
      </c>
      <c r="QG164">
        <v>224.9</v>
      </c>
      <c r="QH164">
        <v>224.94</v>
      </c>
      <c r="QI164">
        <v>225</v>
      </c>
      <c r="QJ164">
        <v>225.08</v>
      </c>
      <c r="QK164">
        <v>225.16</v>
      </c>
      <c r="QN164">
        <v>225.35</v>
      </c>
      <c r="QO164">
        <v>225.4</v>
      </c>
      <c r="QP164">
        <v>225.45</v>
      </c>
      <c r="VN164">
        <v>240.75</v>
      </c>
      <c r="AAP164">
        <v>267.19</v>
      </c>
      <c r="AAW164">
        <v>269.32</v>
      </c>
      <c r="ACT164">
        <v>273.25</v>
      </c>
      <c r="ADH164">
        <v>273.64999999999998</v>
      </c>
    </row>
    <row r="165" spans="1:811">
      <c r="A165" s="1" t="s">
        <v>58</v>
      </c>
      <c r="B165" t="s">
        <v>357</v>
      </c>
      <c r="O165">
        <v>0</v>
      </c>
      <c r="AZ165">
        <v>1.74</v>
      </c>
      <c r="BU165">
        <v>4.8600000000000003</v>
      </c>
      <c r="CL165">
        <v>11.35</v>
      </c>
      <c r="CO165">
        <v>13.19</v>
      </c>
      <c r="CU165">
        <v>17.7</v>
      </c>
      <c r="CZ165">
        <v>20.64</v>
      </c>
      <c r="DA165">
        <v>21.37</v>
      </c>
      <c r="DB165">
        <v>22.13</v>
      </c>
      <c r="DC165">
        <v>22.85</v>
      </c>
      <c r="DD165">
        <v>23.58</v>
      </c>
      <c r="DE165">
        <v>24.36</v>
      </c>
      <c r="DF165">
        <v>25.03</v>
      </c>
      <c r="DG165">
        <v>25.7</v>
      </c>
      <c r="DH165">
        <v>26.56</v>
      </c>
      <c r="DI165">
        <v>27.44</v>
      </c>
      <c r="DJ165">
        <v>28.34</v>
      </c>
      <c r="DK165">
        <v>29.23</v>
      </c>
      <c r="DL165">
        <v>30.1</v>
      </c>
      <c r="DM165">
        <v>30.86</v>
      </c>
      <c r="DN165">
        <v>31.62</v>
      </c>
      <c r="DO165">
        <v>32.450000000000003</v>
      </c>
      <c r="DP165">
        <v>33.380000000000003</v>
      </c>
      <c r="DQ165">
        <v>34.28</v>
      </c>
      <c r="DR165">
        <v>35.15</v>
      </c>
      <c r="DS165">
        <v>36.15</v>
      </c>
      <c r="DT165">
        <v>36.869999999999997</v>
      </c>
      <c r="DU165">
        <v>37.479999999999997</v>
      </c>
      <c r="DV165">
        <v>38.340000000000003</v>
      </c>
      <c r="DW165">
        <v>39.28</v>
      </c>
      <c r="DX165">
        <v>40.24</v>
      </c>
      <c r="DY165">
        <v>41.07</v>
      </c>
      <c r="DZ165">
        <v>41.99</v>
      </c>
      <c r="EA165">
        <v>42.52</v>
      </c>
      <c r="EB165">
        <v>43.33</v>
      </c>
      <c r="EC165">
        <v>44.13</v>
      </c>
      <c r="ED165">
        <v>45</v>
      </c>
      <c r="EE165">
        <v>45.85</v>
      </c>
      <c r="EF165">
        <v>46.7</v>
      </c>
      <c r="EG165">
        <v>47.64</v>
      </c>
      <c r="EH165">
        <v>48.41</v>
      </c>
      <c r="EI165">
        <v>49.14</v>
      </c>
      <c r="EJ165">
        <v>50.08</v>
      </c>
      <c r="EK165">
        <v>51.01</v>
      </c>
      <c r="EL165">
        <v>51.95</v>
      </c>
      <c r="EM165">
        <v>52.99</v>
      </c>
      <c r="EN165">
        <v>54.01</v>
      </c>
      <c r="EO165">
        <v>54.81</v>
      </c>
      <c r="EP165">
        <v>55.67</v>
      </c>
      <c r="EQ165">
        <v>56.76</v>
      </c>
      <c r="ER165">
        <v>58</v>
      </c>
      <c r="ES165">
        <v>59.07</v>
      </c>
      <c r="ET165">
        <v>60.13</v>
      </c>
      <c r="EU165">
        <v>61.18</v>
      </c>
      <c r="EV165">
        <v>62.03</v>
      </c>
      <c r="EW165">
        <v>62.94</v>
      </c>
      <c r="EX165">
        <v>64.03</v>
      </c>
      <c r="EY165">
        <v>65.12</v>
      </c>
      <c r="EZ165">
        <v>66.349999999999994</v>
      </c>
      <c r="FA165">
        <v>67.5</v>
      </c>
      <c r="FB165">
        <v>68.61</v>
      </c>
      <c r="FC165">
        <v>69.489999999999995</v>
      </c>
      <c r="FD165">
        <v>70.650000000000006</v>
      </c>
      <c r="FE165">
        <v>71.959999999999994</v>
      </c>
      <c r="FF165">
        <v>73.239999999999995</v>
      </c>
      <c r="FG165">
        <v>74.650000000000006</v>
      </c>
      <c r="FH165">
        <v>76.040000000000006</v>
      </c>
      <c r="FI165">
        <v>77.53</v>
      </c>
      <c r="FK165">
        <v>79.599999999999994</v>
      </c>
      <c r="FL165">
        <v>80.849999999999994</v>
      </c>
      <c r="FM165">
        <v>82.11</v>
      </c>
      <c r="FN165">
        <v>83.41</v>
      </c>
      <c r="FO165">
        <v>84.72</v>
      </c>
      <c r="FP165">
        <v>85.93</v>
      </c>
      <c r="FQ165">
        <v>86.48</v>
      </c>
      <c r="FR165">
        <v>87.28</v>
      </c>
      <c r="FS165">
        <v>88.34</v>
      </c>
      <c r="FT165">
        <v>89.37</v>
      </c>
      <c r="FU165">
        <v>90.26</v>
      </c>
      <c r="FV165">
        <v>91.02</v>
      </c>
      <c r="FW165">
        <v>91.76</v>
      </c>
      <c r="FX165">
        <v>92.21</v>
      </c>
      <c r="FY165">
        <v>92.89</v>
      </c>
      <c r="FZ165">
        <v>93.75</v>
      </c>
      <c r="GA165">
        <v>94.29</v>
      </c>
      <c r="GB165">
        <v>94.74</v>
      </c>
      <c r="GC165">
        <v>95.4</v>
      </c>
      <c r="GD165">
        <v>96.08</v>
      </c>
      <c r="GE165">
        <v>96.52</v>
      </c>
      <c r="GF165">
        <v>97.02</v>
      </c>
      <c r="GG165">
        <v>97.64</v>
      </c>
      <c r="GH165">
        <v>98.37</v>
      </c>
      <c r="GI165">
        <v>98.77</v>
      </c>
      <c r="GJ165">
        <v>99.14</v>
      </c>
      <c r="GK165">
        <v>99.55</v>
      </c>
      <c r="GL165">
        <v>99.84</v>
      </c>
      <c r="GM165">
        <v>100.18</v>
      </c>
      <c r="GN165">
        <v>100.62</v>
      </c>
      <c r="GO165">
        <v>100.97</v>
      </c>
      <c r="GP165">
        <v>101.56</v>
      </c>
      <c r="GQ165">
        <v>102.6</v>
      </c>
      <c r="GR165">
        <v>103.76</v>
      </c>
      <c r="GS165">
        <v>104.43</v>
      </c>
      <c r="GT165">
        <v>105.57</v>
      </c>
      <c r="GU165">
        <v>106.74</v>
      </c>
      <c r="GV165">
        <v>107.91</v>
      </c>
      <c r="GW165">
        <v>109.16</v>
      </c>
      <c r="GX165">
        <v>110.3</v>
      </c>
      <c r="GY165">
        <v>111.46</v>
      </c>
      <c r="GZ165">
        <v>111.98</v>
      </c>
      <c r="HA165">
        <v>112.78</v>
      </c>
      <c r="HB165">
        <v>113.72</v>
      </c>
      <c r="HC165">
        <v>114.68</v>
      </c>
      <c r="HD165">
        <v>115.69</v>
      </c>
      <c r="HE165">
        <v>116.94</v>
      </c>
      <c r="HF165">
        <v>117.45</v>
      </c>
      <c r="HG165">
        <v>117.68</v>
      </c>
      <c r="HH165">
        <v>117.91</v>
      </c>
      <c r="HI165">
        <v>118.3</v>
      </c>
      <c r="HJ165">
        <v>119.01</v>
      </c>
      <c r="HK165">
        <v>119.83</v>
      </c>
      <c r="HL165">
        <v>120.61</v>
      </c>
      <c r="HM165">
        <v>121.4</v>
      </c>
      <c r="HN165">
        <v>121.59</v>
      </c>
      <c r="HO165">
        <v>122.28</v>
      </c>
      <c r="HP165">
        <v>123.54</v>
      </c>
      <c r="HQ165">
        <v>124.29</v>
      </c>
      <c r="HR165">
        <v>124.53</v>
      </c>
      <c r="HS165">
        <v>125.47</v>
      </c>
      <c r="HT165">
        <v>126.21</v>
      </c>
      <c r="HU165">
        <v>126.41</v>
      </c>
      <c r="HW165">
        <v>127.92</v>
      </c>
      <c r="HX165">
        <v>128.72</v>
      </c>
      <c r="HY165">
        <v>129.5</v>
      </c>
      <c r="HZ165">
        <v>130.24</v>
      </c>
      <c r="IA165">
        <v>131.05000000000001</v>
      </c>
      <c r="IB165">
        <v>131.22</v>
      </c>
      <c r="IC165">
        <v>132.05000000000001</v>
      </c>
      <c r="ID165">
        <v>133</v>
      </c>
      <c r="IE165">
        <v>133.94999999999999</v>
      </c>
      <c r="IF165">
        <v>134.43</v>
      </c>
      <c r="IG165">
        <v>135.94999999999999</v>
      </c>
      <c r="IH165">
        <v>136.71</v>
      </c>
      <c r="II165">
        <v>136.83000000000001</v>
      </c>
      <c r="IJ165">
        <v>137.16</v>
      </c>
      <c r="IK165">
        <v>138.52000000000001</v>
      </c>
      <c r="IL165">
        <v>139.27000000000001</v>
      </c>
      <c r="IM165">
        <v>140.18</v>
      </c>
      <c r="IO165">
        <v>141.16999999999999</v>
      </c>
      <c r="IP165">
        <v>141.5</v>
      </c>
      <c r="IQ165">
        <v>142.02000000000001</v>
      </c>
      <c r="IR165">
        <v>143.53</v>
      </c>
      <c r="IS165">
        <v>144.49</v>
      </c>
      <c r="IT165">
        <v>145.06</v>
      </c>
      <c r="IU165">
        <v>145.87</v>
      </c>
      <c r="IV165">
        <v>144.28</v>
      </c>
      <c r="IW165">
        <v>144.41</v>
      </c>
      <c r="IX165">
        <v>145.11000000000001</v>
      </c>
      <c r="IY165">
        <v>145.65</v>
      </c>
      <c r="IZ165">
        <v>146.32</v>
      </c>
      <c r="JA165">
        <v>147.24</v>
      </c>
      <c r="JB165">
        <v>147.88</v>
      </c>
      <c r="JC165">
        <v>148.91</v>
      </c>
      <c r="JD165">
        <v>149.11000000000001</v>
      </c>
      <c r="JE165">
        <v>150.6</v>
      </c>
      <c r="JG165">
        <v>152</v>
      </c>
      <c r="JI165">
        <v>153.6</v>
      </c>
      <c r="JK165">
        <v>153.71</v>
      </c>
      <c r="JL165">
        <v>154.09</v>
      </c>
      <c r="JM165">
        <v>154.78</v>
      </c>
      <c r="JO165">
        <v>155.29</v>
      </c>
      <c r="JP165">
        <v>155.66</v>
      </c>
      <c r="JR165">
        <v>156.24</v>
      </c>
      <c r="JS165">
        <v>156.54</v>
      </c>
      <c r="JT165">
        <v>157.16999999999999</v>
      </c>
      <c r="JU165">
        <v>157.5</v>
      </c>
      <c r="JV165">
        <v>157.79</v>
      </c>
      <c r="JW165">
        <v>158.13</v>
      </c>
      <c r="JX165">
        <v>158.59</v>
      </c>
      <c r="JY165">
        <v>158.78</v>
      </c>
      <c r="KB165">
        <v>159.56</v>
      </c>
      <c r="KD165">
        <v>159.91999999999999</v>
      </c>
      <c r="KF165">
        <v>160.04</v>
      </c>
      <c r="KG165">
        <v>160.27000000000001</v>
      </c>
      <c r="KI165">
        <v>160.47</v>
      </c>
      <c r="KJ165">
        <v>160.68</v>
      </c>
      <c r="KK165">
        <v>160.82</v>
      </c>
      <c r="KL165">
        <v>161.07</v>
      </c>
      <c r="KM165">
        <v>161.13999999999999</v>
      </c>
      <c r="KN165">
        <v>161.22999999999999</v>
      </c>
      <c r="KO165">
        <v>161.57</v>
      </c>
      <c r="KP165">
        <v>161.75</v>
      </c>
      <c r="KQ165">
        <v>161.88</v>
      </c>
      <c r="KR165">
        <v>162.04</v>
      </c>
      <c r="KS165">
        <v>162.25</v>
      </c>
      <c r="KT165">
        <v>162.46</v>
      </c>
      <c r="KW165">
        <v>162.84</v>
      </c>
      <c r="KX165">
        <v>162.99</v>
      </c>
      <c r="KY165">
        <v>163.13999999999999</v>
      </c>
      <c r="KZ165">
        <v>163.31</v>
      </c>
      <c r="LA165">
        <v>163.36000000000001</v>
      </c>
      <c r="LB165">
        <v>163.46</v>
      </c>
      <c r="LC165">
        <v>163.58000000000001</v>
      </c>
      <c r="LD165">
        <v>163.68</v>
      </c>
      <c r="LF165">
        <v>163.87</v>
      </c>
      <c r="LG165">
        <v>164</v>
      </c>
      <c r="LH165">
        <v>164.04</v>
      </c>
      <c r="LI165">
        <v>164.19</v>
      </c>
      <c r="LJ165">
        <v>164.32</v>
      </c>
      <c r="LK165">
        <v>164.44</v>
      </c>
      <c r="LL165">
        <v>164.53</v>
      </c>
      <c r="LM165">
        <v>164.7</v>
      </c>
      <c r="LN165">
        <v>164.84</v>
      </c>
      <c r="LO165">
        <v>164.89</v>
      </c>
      <c r="LP165">
        <v>164.98</v>
      </c>
      <c r="LQ165">
        <v>165.11</v>
      </c>
      <c r="LR165">
        <v>165.23</v>
      </c>
      <c r="LS165">
        <v>165.35</v>
      </c>
      <c r="LT165">
        <v>165.46</v>
      </c>
      <c r="LU165">
        <v>165.6</v>
      </c>
      <c r="LV165">
        <v>165.65</v>
      </c>
      <c r="LW165">
        <v>165.72</v>
      </c>
      <c r="LX165">
        <v>165.84</v>
      </c>
      <c r="LY165">
        <v>165.96</v>
      </c>
      <c r="LZ165">
        <v>166.07</v>
      </c>
      <c r="MA165">
        <v>166.21</v>
      </c>
      <c r="MB165">
        <v>166.41</v>
      </c>
      <c r="MD165">
        <v>166.47</v>
      </c>
      <c r="ME165">
        <v>166.66</v>
      </c>
      <c r="MF165">
        <v>166.85</v>
      </c>
      <c r="MG165">
        <v>167.03</v>
      </c>
      <c r="MH165">
        <v>167.24</v>
      </c>
      <c r="MJ165">
        <v>167.6</v>
      </c>
      <c r="MK165">
        <v>167.96</v>
      </c>
      <c r="MM165">
        <v>168.46</v>
      </c>
      <c r="MO165">
        <v>168.78</v>
      </c>
      <c r="MQ165">
        <v>169.18</v>
      </c>
      <c r="MR165">
        <v>169.32</v>
      </c>
      <c r="MS165">
        <v>169.64</v>
      </c>
      <c r="MT165">
        <v>169.93</v>
      </c>
      <c r="MU165">
        <v>170.26</v>
      </c>
      <c r="MV165">
        <v>170.5</v>
      </c>
      <c r="MW165">
        <v>170.78</v>
      </c>
      <c r="MX165">
        <v>171.01</v>
      </c>
      <c r="MZ165">
        <v>171.26</v>
      </c>
      <c r="NA165">
        <v>171.58</v>
      </c>
      <c r="NB165">
        <v>171.83</v>
      </c>
      <c r="NC165">
        <v>172.1</v>
      </c>
      <c r="ND165">
        <v>172.39</v>
      </c>
      <c r="NE165">
        <v>172.63</v>
      </c>
      <c r="NG165">
        <v>173.25</v>
      </c>
      <c r="NH165">
        <v>173.65</v>
      </c>
      <c r="NI165">
        <v>173.96</v>
      </c>
      <c r="NK165">
        <v>174.23</v>
      </c>
      <c r="NL165">
        <v>174.33</v>
      </c>
      <c r="NM165">
        <v>174.51</v>
      </c>
      <c r="NN165">
        <v>174.67</v>
      </c>
      <c r="NP165">
        <v>175.15</v>
      </c>
      <c r="NQ165">
        <v>175.44</v>
      </c>
      <c r="NR165">
        <v>175.71</v>
      </c>
      <c r="NT165">
        <v>175.93</v>
      </c>
      <c r="NU165">
        <v>176.2</v>
      </c>
      <c r="NV165">
        <v>176.51</v>
      </c>
      <c r="NX165">
        <v>177.22</v>
      </c>
      <c r="NY165">
        <v>177.64</v>
      </c>
      <c r="NZ165">
        <v>177.77</v>
      </c>
      <c r="OA165">
        <v>177.92</v>
      </c>
      <c r="OB165">
        <v>178.26</v>
      </c>
      <c r="OC165">
        <v>178.65</v>
      </c>
      <c r="OD165">
        <v>179</v>
      </c>
      <c r="OE165">
        <v>179.78</v>
      </c>
      <c r="OG165">
        <v>180.02</v>
      </c>
      <c r="OI165">
        <v>180.75</v>
      </c>
      <c r="OK165">
        <v>182.37</v>
      </c>
      <c r="OM165">
        <v>184.38</v>
      </c>
      <c r="ON165">
        <v>184.58</v>
      </c>
      <c r="OO165">
        <v>184.7</v>
      </c>
      <c r="OP165">
        <v>185.88</v>
      </c>
      <c r="OQ165">
        <v>186.97</v>
      </c>
      <c r="OR165">
        <v>188.16</v>
      </c>
      <c r="OS165">
        <v>189.18</v>
      </c>
      <c r="OT165">
        <v>190.53</v>
      </c>
      <c r="OU165">
        <v>190.72</v>
      </c>
      <c r="OW165">
        <v>191.82</v>
      </c>
      <c r="OX165">
        <v>192.98</v>
      </c>
      <c r="OY165">
        <v>194.26</v>
      </c>
      <c r="OZ165">
        <v>195.57</v>
      </c>
      <c r="PA165">
        <v>197.05</v>
      </c>
      <c r="PB165">
        <v>197.15</v>
      </c>
      <c r="PC165">
        <v>197.36</v>
      </c>
      <c r="PD165">
        <v>198.57</v>
      </c>
      <c r="PE165">
        <v>199.63</v>
      </c>
      <c r="PF165">
        <v>200.59</v>
      </c>
      <c r="PG165">
        <v>201.53</v>
      </c>
      <c r="PH165">
        <v>202.99</v>
      </c>
      <c r="PI165">
        <v>203.32</v>
      </c>
      <c r="PK165">
        <v>204.22</v>
      </c>
      <c r="PM165">
        <v>205.32</v>
      </c>
      <c r="PN165">
        <v>206.03</v>
      </c>
      <c r="PO165">
        <v>207.03</v>
      </c>
      <c r="PP165">
        <v>207.19</v>
      </c>
      <c r="PQ165">
        <v>207.62</v>
      </c>
      <c r="PR165">
        <v>208.33</v>
      </c>
      <c r="PS165">
        <v>208.96</v>
      </c>
      <c r="PT165">
        <v>209.62</v>
      </c>
      <c r="PU165">
        <v>210.25</v>
      </c>
      <c r="PW165">
        <v>211.51</v>
      </c>
      <c r="PX165">
        <v>211.61</v>
      </c>
      <c r="PY165">
        <v>212.35</v>
      </c>
      <c r="PZ165">
        <v>212.99</v>
      </c>
      <c r="QA165">
        <v>213.71</v>
      </c>
      <c r="QB165">
        <v>214.19</v>
      </c>
      <c r="QC165">
        <v>215.01</v>
      </c>
      <c r="QD165">
        <v>215.1</v>
      </c>
      <c r="QE165">
        <v>215.21</v>
      </c>
      <c r="QF165">
        <v>215.86</v>
      </c>
      <c r="QG165">
        <v>216.39</v>
      </c>
      <c r="QH165">
        <v>216.86</v>
      </c>
      <c r="QI165">
        <v>217.31</v>
      </c>
      <c r="QJ165">
        <v>218.23</v>
      </c>
      <c r="QK165">
        <v>218.29</v>
      </c>
      <c r="QL165">
        <v>218.35</v>
      </c>
      <c r="QM165">
        <v>218.87</v>
      </c>
      <c r="QN165">
        <v>219.33</v>
      </c>
      <c r="QO165">
        <v>219.72</v>
      </c>
      <c r="QP165">
        <v>220.86</v>
      </c>
      <c r="QR165">
        <v>220.93</v>
      </c>
      <c r="QS165">
        <v>220.99</v>
      </c>
      <c r="QT165">
        <v>221.16</v>
      </c>
      <c r="QU165">
        <v>221.33</v>
      </c>
      <c r="QV165">
        <v>221.88</v>
      </c>
      <c r="QW165">
        <v>222.3</v>
      </c>
      <c r="QX165">
        <v>223.07</v>
      </c>
      <c r="QY165">
        <v>223.12</v>
      </c>
      <c r="QZ165">
        <v>223.3</v>
      </c>
      <c r="RA165">
        <v>223.44</v>
      </c>
      <c r="RB165">
        <v>223.57</v>
      </c>
      <c r="RC165">
        <v>224.36</v>
      </c>
      <c r="RD165">
        <v>224.36</v>
      </c>
      <c r="RE165">
        <v>225.02</v>
      </c>
      <c r="RF165">
        <v>225.13</v>
      </c>
      <c r="RG165">
        <v>225.13</v>
      </c>
      <c r="RH165">
        <v>225.32</v>
      </c>
      <c r="RI165">
        <v>225.46</v>
      </c>
      <c r="RJ165">
        <v>225.87</v>
      </c>
      <c r="RK165">
        <v>226.24</v>
      </c>
      <c r="RL165">
        <v>226.99</v>
      </c>
      <c r="RM165">
        <v>227.05</v>
      </c>
      <c r="RN165">
        <v>227.15</v>
      </c>
      <c r="RO165">
        <v>227.32</v>
      </c>
      <c r="RP165">
        <v>227.47</v>
      </c>
      <c r="RQ165">
        <v>227.83</v>
      </c>
      <c r="RR165">
        <v>228.03</v>
      </c>
      <c r="RS165">
        <v>228.03</v>
      </c>
      <c r="RT165">
        <v>228.2</v>
      </c>
      <c r="RV165">
        <v>228.77</v>
      </c>
      <c r="RX165">
        <v>228.89</v>
      </c>
      <c r="RY165">
        <v>229.1</v>
      </c>
      <c r="RZ165">
        <v>229.54</v>
      </c>
      <c r="SA165">
        <v>229.88</v>
      </c>
      <c r="SC165">
        <v>229.92</v>
      </c>
      <c r="SD165">
        <v>230.01</v>
      </c>
      <c r="SE165">
        <v>230.09</v>
      </c>
      <c r="SG165">
        <v>230.44</v>
      </c>
      <c r="SH165">
        <v>230.69</v>
      </c>
      <c r="SI165">
        <v>230.72</v>
      </c>
      <c r="SJ165">
        <v>230.74</v>
      </c>
      <c r="SK165">
        <v>230.78</v>
      </c>
      <c r="SL165">
        <v>230.8</v>
      </c>
      <c r="SM165">
        <v>230.87</v>
      </c>
      <c r="SO165">
        <v>231.09</v>
      </c>
      <c r="SP165">
        <v>231.12</v>
      </c>
      <c r="SQ165">
        <v>231.16</v>
      </c>
      <c r="SR165">
        <v>231.23</v>
      </c>
      <c r="SS165">
        <v>231.3</v>
      </c>
      <c r="ST165">
        <v>231.56</v>
      </c>
      <c r="SU165">
        <v>231.8</v>
      </c>
      <c r="SV165">
        <v>232.24</v>
      </c>
      <c r="SW165">
        <v>232.28</v>
      </c>
      <c r="SX165">
        <v>232.44</v>
      </c>
      <c r="SY165">
        <v>232.54</v>
      </c>
      <c r="TA165">
        <v>233.14</v>
      </c>
      <c r="TB165">
        <v>233.35</v>
      </c>
      <c r="TC165">
        <v>233.76</v>
      </c>
      <c r="TD165">
        <v>233.78</v>
      </c>
      <c r="TE165">
        <v>233.84</v>
      </c>
      <c r="TF165">
        <v>233.94</v>
      </c>
      <c r="TG165">
        <v>234.04</v>
      </c>
      <c r="TH165">
        <v>234.25</v>
      </c>
      <c r="TI165">
        <v>234.43</v>
      </c>
      <c r="TJ165">
        <v>234.75</v>
      </c>
      <c r="TK165">
        <v>234.78</v>
      </c>
      <c r="TL165">
        <v>234.81</v>
      </c>
      <c r="TM165">
        <v>234.9</v>
      </c>
      <c r="TN165">
        <v>234.97</v>
      </c>
      <c r="TO165">
        <v>235.14</v>
      </c>
      <c r="TP165">
        <v>235.3</v>
      </c>
      <c r="TQ165">
        <v>235.57</v>
      </c>
      <c r="TS165">
        <v>235.6</v>
      </c>
      <c r="TT165">
        <v>235.69</v>
      </c>
      <c r="TU165">
        <v>235.77</v>
      </c>
      <c r="TV165">
        <v>235.93</v>
      </c>
      <c r="UB165">
        <v>236.6</v>
      </c>
      <c r="UI165">
        <v>237.41</v>
      </c>
      <c r="UR165">
        <v>238.24</v>
      </c>
      <c r="AAZ165">
        <v>281.95999999999998</v>
      </c>
      <c r="ABJ165">
        <v>282.04000000000002</v>
      </c>
      <c r="ACV165">
        <v>282.19</v>
      </c>
      <c r="ADE165">
        <v>282.20999999999998</v>
      </c>
      <c r="ADL165">
        <v>282.23</v>
      </c>
    </row>
    <row r="166" spans="1:811">
      <c r="A166" s="1" t="s">
        <v>73</v>
      </c>
      <c r="B166" t="s">
        <v>284</v>
      </c>
      <c r="T166">
        <v>0.01</v>
      </c>
      <c r="U166">
        <v>0.01</v>
      </c>
      <c r="V166">
        <v>0.01</v>
      </c>
      <c r="W166">
        <v>0.03</v>
      </c>
      <c r="X166">
        <v>0.05</v>
      </c>
      <c r="Y166">
        <v>0.06</v>
      </c>
      <c r="Z166">
        <v>7.0000000000000007E-2</v>
      </c>
      <c r="AA166">
        <v>7.0000000000000007E-2</v>
      </c>
      <c r="AB166">
        <v>0.13</v>
      </c>
      <c r="AC166">
        <v>0.22</v>
      </c>
      <c r="AD166">
        <v>0.3</v>
      </c>
      <c r="AE166">
        <v>0.4</v>
      </c>
      <c r="AF166">
        <v>0.48</v>
      </c>
      <c r="AG166">
        <v>0.53</v>
      </c>
      <c r="AH166">
        <v>0.56000000000000005</v>
      </c>
      <c r="AI166">
        <v>0.65</v>
      </c>
      <c r="AJ166">
        <v>0.73</v>
      </c>
      <c r="AK166">
        <v>0.8</v>
      </c>
      <c r="AL166">
        <v>0.8</v>
      </c>
      <c r="AM166">
        <v>0.95</v>
      </c>
      <c r="AN166">
        <v>1.02</v>
      </c>
      <c r="AO166">
        <v>1.06</v>
      </c>
      <c r="AP166">
        <v>1.22</v>
      </c>
      <c r="AQ166">
        <v>1.4</v>
      </c>
      <c r="AR166">
        <v>1.6</v>
      </c>
      <c r="AS166">
        <v>1.81</v>
      </c>
      <c r="AT166">
        <v>2.0099999999999998</v>
      </c>
      <c r="AU166">
        <v>2.1800000000000002</v>
      </c>
      <c r="AV166">
        <v>2.3199999999999998</v>
      </c>
      <c r="AW166">
        <v>2.52</v>
      </c>
      <c r="AX166">
        <v>2.75</v>
      </c>
      <c r="AY166">
        <v>2.97</v>
      </c>
      <c r="AZ166">
        <v>3.17</v>
      </c>
      <c r="BA166">
        <v>3.36</v>
      </c>
      <c r="BB166">
        <v>3.5</v>
      </c>
      <c r="BC166">
        <v>3.59</v>
      </c>
      <c r="BD166">
        <v>3.75</v>
      </c>
      <c r="BE166">
        <v>3.89</v>
      </c>
      <c r="BF166">
        <v>4.01</v>
      </c>
      <c r="BG166">
        <v>4.13</v>
      </c>
      <c r="BH166">
        <v>4.2699999999999996</v>
      </c>
      <c r="BI166">
        <v>4.37</v>
      </c>
      <c r="BJ166">
        <v>4.45</v>
      </c>
      <c r="BK166">
        <v>4.63</v>
      </c>
      <c r="BL166">
        <v>4.84</v>
      </c>
      <c r="BM166">
        <v>5.05</v>
      </c>
      <c r="BN166">
        <v>5.25</v>
      </c>
      <c r="BO166">
        <v>5.45</v>
      </c>
      <c r="BP166">
        <v>5.64</v>
      </c>
      <c r="BQ166">
        <v>5.79</v>
      </c>
      <c r="BR166">
        <v>5.98</v>
      </c>
      <c r="BS166">
        <v>6.22</v>
      </c>
      <c r="BT166">
        <v>6.45</v>
      </c>
      <c r="BU166">
        <v>6.65</v>
      </c>
      <c r="BV166">
        <v>6.85</v>
      </c>
      <c r="BW166">
        <v>7.02</v>
      </c>
      <c r="BX166">
        <v>7.17</v>
      </c>
      <c r="BY166">
        <v>7.32</v>
      </c>
      <c r="BZ166">
        <v>7.48</v>
      </c>
      <c r="CA166">
        <v>7.62</v>
      </c>
      <c r="CB166">
        <v>7.73</v>
      </c>
      <c r="CC166">
        <v>7.83</v>
      </c>
      <c r="CD166">
        <v>7.91</v>
      </c>
      <c r="CE166">
        <v>7.97</v>
      </c>
      <c r="CF166">
        <v>8.14</v>
      </c>
      <c r="CG166">
        <v>8.33</v>
      </c>
      <c r="CH166">
        <v>8.5299999999999994</v>
      </c>
      <c r="CI166">
        <v>8.76</v>
      </c>
      <c r="CJ166">
        <v>9.01</v>
      </c>
      <c r="CK166">
        <v>9.26</v>
      </c>
      <c r="CL166">
        <v>9.5</v>
      </c>
      <c r="CM166">
        <v>9.7200000000000006</v>
      </c>
      <c r="CN166">
        <v>9.9700000000000006</v>
      </c>
      <c r="CO166">
        <v>10.24</v>
      </c>
      <c r="CP166">
        <v>10.5</v>
      </c>
      <c r="CQ166">
        <v>10.76</v>
      </c>
      <c r="CR166">
        <v>11.01</v>
      </c>
      <c r="CS166">
        <v>11.23</v>
      </c>
      <c r="CT166">
        <v>11.49</v>
      </c>
      <c r="CU166">
        <v>11.8</v>
      </c>
      <c r="CV166">
        <v>12.08</v>
      </c>
      <c r="CW166">
        <v>12.35</v>
      </c>
      <c r="CX166">
        <v>12.61</v>
      </c>
      <c r="CY166">
        <v>12.88</v>
      </c>
      <c r="CZ166">
        <v>13.11</v>
      </c>
      <c r="DA166">
        <v>13.35</v>
      </c>
      <c r="DB166">
        <v>13.65</v>
      </c>
      <c r="DC166">
        <v>13.96</v>
      </c>
      <c r="DD166">
        <v>14.27</v>
      </c>
      <c r="DE166">
        <v>14.55</v>
      </c>
      <c r="DF166">
        <v>14.86</v>
      </c>
      <c r="DG166">
        <v>15.14</v>
      </c>
      <c r="DH166">
        <v>15.42</v>
      </c>
      <c r="DI166">
        <v>15.75</v>
      </c>
      <c r="DJ166">
        <v>16.05</v>
      </c>
      <c r="DK166">
        <v>16.350000000000001</v>
      </c>
      <c r="DL166">
        <v>16.649999999999999</v>
      </c>
      <c r="DM166">
        <v>16.940000000000001</v>
      </c>
      <c r="DN166">
        <v>17.190000000000001</v>
      </c>
      <c r="DO166">
        <v>17.46</v>
      </c>
      <c r="DP166">
        <v>17.75</v>
      </c>
      <c r="DQ166">
        <v>18.03</v>
      </c>
      <c r="DR166">
        <v>18.329999999999998</v>
      </c>
      <c r="DS166">
        <v>18.61</v>
      </c>
      <c r="DT166">
        <v>18.93</v>
      </c>
      <c r="DU166">
        <v>19.23</v>
      </c>
      <c r="DV166">
        <v>19.559999999999999</v>
      </c>
      <c r="DW166">
        <v>19.95</v>
      </c>
      <c r="DX166">
        <v>20.37</v>
      </c>
      <c r="DY166">
        <v>20.79</v>
      </c>
      <c r="DZ166">
        <v>21.2</v>
      </c>
      <c r="EA166">
        <v>21.62</v>
      </c>
      <c r="EB166">
        <v>22</v>
      </c>
      <c r="EC166">
        <v>22.39</v>
      </c>
      <c r="ED166">
        <v>22.85</v>
      </c>
      <c r="EE166">
        <v>23.33</v>
      </c>
      <c r="EF166">
        <v>23.78</v>
      </c>
      <c r="EG166">
        <v>24.25</v>
      </c>
      <c r="EH166">
        <v>24.72</v>
      </c>
      <c r="EI166">
        <v>25.12</v>
      </c>
      <c r="EJ166">
        <v>25.54</v>
      </c>
      <c r="EK166">
        <v>25.98</v>
      </c>
      <c r="EL166">
        <v>26.41</v>
      </c>
      <c r="EM166">
        <v>26.83</v>
      </c>
      <c r="EN166">
        <v>27.24</v>
      </c>
      <c r="EO166">
        <v>27.55</v>
      </c>
      <c r="EP166">
        <v>27.77</v>
      </c>
      <c r="EQ166">
        <v>28.11</v>
      </c>
      <c r="ER166">
        <v>28.56</v>
      </c>
      <c r="ES166">
        <v>29.05</v>
      </c>
      <c r="ET166">
        <v>29.57</v>
      </c>
      <c r="EU166">
        <v>30.05</v>
      </c>
      <c r="EV166">
        <v>30.63</v>
      </c>
      <c r="EW166">
        <v>31.17</v>
      </c>
      <c r="EX166">
        <v>31.68</v>
      </c>
      <c r="EY166">
        <v>32.229999999999997</v>
      </c>
      <c r="EZ166">
        <v>32.78</v>
      </c>
      <c r="FA166">
        <v>33.32</v>
      </c>
      <c r="FB166">
        <v>33.89</v>
      </c>
      <c r="FC166">
        <v>34.51</v>
      </c>
      <c r="FD166">
        <v>35.04</v>
      </c>
      <c r="FE166">
        <v>35.53</v>
      </c>
      <c r="FF166">
        <v>36.03</v>
      </c>
      <c r="FG166">
        <v>36.520000000000003</v>
      </c>
      <c r="FH166">
        <v>36.979999999999997</v>
      </c>
      <c r="FI166">
        <v>37.42</v>
      </c>
      <c r="FJ166">
        <v>37.81</v>
      </c>
      <c r="FK166">
        <v>38.090000000000003</v>
      </c>
      <c r="FL166">
        <v>38.39</v>
      </c>
      <c r="FM166">
        <v>38.75</v>
      </c>
      <c r="FN166">
        <v>39.119999999999997</v>
      </c>
      <c r="FO166">
        <v>39.47</v>
      </c>
      <c r="FP166">
        <v>39.840000000000003</v>
      </c>
      <c r="FQ166">
        <v>40.24</v>
      </c>
      <c r="FR166">
        <v>40.590000000000003</v>
      </c>
      <c r="FS166">
        <v>40.93</v>
      </c>
      <c r="FT166">
        <v>41.2</v>
      </c>
      <c r="FU166">
        <v>41.49</v>
      </c>
      <c r="FV166">
        <v>41.81</v>
      </c>
      <c r="FW166">
        <v>42.16</v>
      </c>
      <c r="FX166">
        <v>42.53</v>
      </c>
      <c r="FY166">
        <v>42.83</v>
      </c>
      <c r="FZ166">
        <v>43.08</v>
      </c>
      <c r="GA166">
        <v>43.34</v>
      </c>
      <c r="GB166">
        <v>43.58</v>
      </c>
      <c r="GC166">
        <v>43.8</v>
      </c>
      <c r="GD166">
        <v>44.01</v>
      </c>
      <c r="GE166">
        <v>44.21</v>
      </c>
      <c r="GF166">
        <v>44.38</v>
      </c>
      <c r="GG166">
        <v>44.54</v>
      </c>
      <c r="GH166">
        <v>44.71</v>
      </c>
      <c r="GI166">
        <v>44.87</v>
      </c>
      <c r="GJ166">
        <v>45.02</v>
      </c>
      <c r="GK166">
        <v>45.18</v>
      </c>
      <c r="GL166">
        <v>45.31</v>
      </c>
      <c r="GM166">
        <v>45.41</v>
      </c>
      <c r="GN166">
        <v>45.52</v>
      </c>
      <c r="GO166">
        <v>45.64</v>
      </c>
      <c r="GP166">
        <v>45.78</v>
      </c>
      <c r="GT166">
        <v>46.16</v>
      </c>
      <c r="GU166">
        <v>46.35</v>
      </c>
      <c r="GV166">
        <v>46.46</v>
      </c>
      <c r="GW166">
        <v>46.57</v>
      </c>
      <c r="GX166">
        <v>46.66</v>
      </c>
      <c r="GZ166">
        <v>46.77</v>
      </c>
      <c r="HA166">
        <v>46.92</v>
      </c>
      <c r="HB166">
        <v>47</v>
      </c>
      <c r="HC166">
        <v>47.09</v>
      </c>
      <c r="HD166">
        <v>47.18</v>
      </c>
      <c r="HE166">
        <v>47.26</v>
      </c>
      <c r="HF166">
        <v>47.35</v>
      </c>
      <c r="HG166">
        <v>47.41</v>
      </c>
      <c r="HH166">
        <v>47.45</v>
      </c>
      <c r="HI166">
        <v>47.52</v>
      </c>
      <c r="HJ166">
        <v>47.59</v>
      </c>
      <c r="HK166">
        <v>47.67</v>
      </c>
      <c r="HL166">
        <v>47.75</v>
      </c>
      <c r="HM166">
        <v>47.83</v>
      </c>
      <c r="HP166">
        <v>47.93</v>
      </c>
      <c r="HQ166">
        <v>48.09</v>
      </c>
      <c r="HR166">
        <v>48.16</v>
      </c>
      <c r="HS166">
        <v>48.25</v>
      </c>
      <c r="HT166">
        <v>48.33</v>
      </c>
      <c r="HU166">
        <v>48.4</v>
      </c>
      <c r="HV166">
        <v>48.44</v>
      </c>
      <c r="HW166">
        <v>48.51</v>
      </c>
      <c r="HY166">
        <v>48.6</v>
      </c>
      <c r="HZ166">
        <v>48.75</v>
      </c>
      <c r="IA166">
        <v>48.84</v>
      </c>
      <c r="IB166">
        <v>48.89</v>
      </c>
      <c r="IC166">
        <v>48.93</v>
      </c>
      <c r="ID166">
        <v>49</v>
      </c>
      <c r="IE166">
        <v>49.08</v>
      </c>
      <c r="IF166">
        <v>49.16</v>
      </c>
      <c r="IG166">
        <v>49.24</v>
      </c>
      <c r="IH166">
        <v>49.32</v>
      </c>
      <c r="II166">
        <v>49.37</v>
      </c>
      <c r="IK166">
        <v>49.4</v>
      </c>
      <c r="IL166">
        <v>49.54</v>
      </c>
      <c r="IM166">
        <v>49.62</v>
      </c>
      <c r="IN166">
        <v>49.69</v>
      </c>
      <c r="IO166">
        <v>49.76</v>
      </c>
      <c r="IP166">
        <v>49.81</v>
      </c>
      <c r="IQ166">
        <v>49.84</v>
      </c>
      <c r="IR166">
        <v>49.9</v>
      </c>
      <c r="IS166">
        <v>49.97</v>
      </c>
      <c r="IT166">
        <v>50.05</v>
      </c>
      <c r="IU166">
        <v>50.11</v>
      </c>
      <c r="IV166">
        <v>50.47</v>
      </c>
      <c r="IW166">
        <v>50.52</v>
      </c>
      <c r="IX166">
        <v>50.55</v>
      </c>
      <c r="IY166">
        <v>50.61</v>
      </c>
      <c r="IZ166">
        <v>50.68</v>
      </c>
      <c r="JA166">
        <v>50.75</v>
      </c>
      <c r="JB166">
        <v>50.82</v>
      </c>
      <c r="JC166">
        <v>50.89</v>
      </c>
      <c r="JD166">
        <v>50.94</v>
      </c>
      <c r="JE166">
        <v>50.97</v>
      </c>
      <c r="JF166">
        <v>51.02</v>
      </c>
      <c r="JG166">
        <v>51.08</v>
      </c>
      <c r="JI166">
        <v>51.2</v>
      </c>
      <c r="JK166">
        <v>51.29</v>
      </c>
      <c r="JM166">
        <v>51.35</v>
      </c>
      <c r="JN166">
        <v>51.4</v>
      </c>
      <c r="JO166">
        <v>51.45</v>
      </c>
      <c r="JQ166">
        <v>51.55</v>
      </c>
      <c r="JS166">
        <v>51.61</v>
      </c>
      <c r="JT166">
        <v>51.65</v>
      </c>
      <c r="JU166">
        <v>51.71</v>
      </c>
      <c r="JV166">
        <v>51.76</v>
      </c>
      <c r="JW166">
        <v>51.82</v>
      </c>
      <c r="JX166">
        <v>51.89</v>
      </c>
      <c r="JZ166">
        <v>51.97</v>
      </c>
      <c r="KA166">
        <v>52.05</v>
      </c>
      <c r="KB166">
        <v>52.13</v>
      </c>
      <c r="KC166">
        <v>52.22</v>
      </c>
      <c r="KE166">
        <v>52.31</v>
      </c>
      <c r="KF166">
        <v>52.5</v>
      </c>
      <c r="KG166">
        <v>52.56</v>
      </c>
      <c r="KI166">
        <v>52.88</v>
      </c>
      <c r="KT166">
        <v>56.09</v>
      </c>
      <c r="LK166">
        <v>63.41</v>
      </c>
      <c r="LN166">
        <v>65.489999999999995</v>
      </c>
      <c r="LO166">
        <v>65.959999999999994</v>
      </c>
      <c r="MB166">
        <v>71.16</v>
      </c>
      <c r="MK166">
        <v>75.22</v>
      </c>
      <c r="ML166">
        <v>75.56</v>
      </c>
      <c r="MM166">
        <v>75.91</v>
      </c>
      <c r="ND166">
        <v>80.209999999999994</v>
      </c>
      <c r="NE166">
        <v>80.41</v>
      </c>
      <c r="NG166">
        <v>80.72</v>
      </c>
      <c r="NH166">
        <v>80.900000000000006</v>
      </c>
      <c r="NK166">
        <v>81.44</v>
      </c>
      <c r="OE166">
        <v>83.53</v>
      </c>
      <c r="OU166">
        <v>85.21</v>
      </c>
      <c r="PH166">
        <v>86.24</v>
      </c>
      <c r="PI166">
        <v>86.31</v>
      </c>
      <c r="PV166">
        <v>86.9</v>
      </c>
      <c r="PW166">
        <v>86.94</v>
      </c>
      <c r="PZ166">
        <v>86.94</v>
      </c>
      <c r="QB166">
        <v>87</v>
      </c>
      <c r="QD166">
        <v>87.06</v>
      </c>
      <c r="QF166">
        <v>87.1</v>
      </c>
      <c r="QH166">
        <v>87.15</v>
      </c>
      <c r="QJ166">
        <v>87.28</v>
      </c>
      <c r="QK166">
        <v>87.3</v>
      </c>
      <c r="QO166">
        <v>87.36</v>
      </c>
      <c r="QP166">
        <v>87.37</v>
      </c>
      <c r="QQ166">
        <v>87.39</v>
      </c>
      <c r="QS166">
        <v>87.41</v>
      </c>
      <c r="QU166">
        <v>87.42</v>
      </c>
      <c r="QV166">
        <v>87.42</v>
      </c>
      <c r="QY166">
        <v>87.44</v>
      </c>
      <c r="RF166">
        <v>87.49</v>
      </c>
      <c r="RO166">
        <v>87.56</v>
      </c>
      <c r="RR166">
        <v>87.59</v>
      </c>
      <c r="RU166">
        <v>87.6</v>
      </c>
      <c r="RW166">
        <v>87.63</v>
      </c>
      <c r="RY166">
        <v>87.65</v>
      </c>
      <c r="SA166">
        <v>87.66</v>
      </c>
      <c r="SC166">
        <v>87.67</v>
      </c>
      <c r="SE166">
        <v>87.68</v>
      </c>
      <c r="SH166">
        <v>87.7</v>
      </c>
      <c r="SI166">
        <v>87.71</v>
      </c>
      <c r="SJ166">
        <v>87.72</v>
      </c>
      <c r="SN166">
        <v>87.74</v>
      </c>
      <c r="SP166">
        <v>87.75</v>
      </c>
      <c r="ST166">
        <v>87.78</v>
      </c>
      <c r="SV166">
        <v>87.79</v>
      </c>
      <c r="SW166">
        <v>87.8</v>
      </c>
      <c r="SZ166">
        <v>87.82</v>
      </c>
      <c r="TC166">
        <v>87.84</v>
      </c>
      <c r="TD166">
        <v>87.84</v>
      </c>
      <c r="TE166">
        <v>87.85</v>
      </c>
      <c r="TF166">
        <v>87.85</v>
      </c>
      <c r="TG166">
        <v>87.86</v>
      </c>
      <c r="TH166">
        <v>87.87</v>
      </c>
      <c r="TJ166">
        <v>87.88</v>
      </c>
      <c r="TK166">
        <v>87.89</v>
      </c>
      <c r="TM166">
        <v>87.9</v>
      </c>
      <c r="TP166">
        <v>87.92</v>
      </c>
      <c r="TQ166">
        <v>87.92</v>
      </c>
      <c r="TR166">
        <v>87.93</v>
      </c>
      <c r="TS166">
        <v>87.94</v>
      </c>
      <c r="TU166">
        <v>87.95</v>
      </c>
      <c r="TV166">
        <v>87.96</v>
      </c>
      <c r="TW166">
        <v>87.96</v>
      </c>
      <c r="TX166">
        <v>87.97</v>
      </c>
      <c r="TY166">
        <v>87.97</v>
      </c>
    </row>
    <row r="167" spans="1:811">
      <c r="A167" s="1" t="s">
        <v>42</v>
      </c>
      <c r="B167" t="s">
        <v>285</v>
      </c>
      <c r="H167">
        <v>0.02</v>
      </c>
      <c r="O167">
        <v>0.04</v>
      </c>
      <c r="Z167">
        <v>0.55000000000000004</v>
      </c>
      <c r="AK167">
        <v>0.69</v>
      </c>
      <c r="BM167">
        <v>2.67</v>
      </c>
      <c r="CF167">
        <v>3.59</v>
      </c>
      <c r="CG167">
        <v>3.6</v>
      </c>
      <c r="CH167">
        <v>3.76</v>
      </c>
      <c r="CI167">
        <v>4.12</v>
      </c>
      <c r="CJ167">
        <v>4.32</v>
      </c>
      <c r="CK167">
        <v>4.51</v>
      </c>
      <c r="CL167">
        <v>4.5599999999999996</v>
      </c>
      <c r="CM167">
        <v>4.57</v>
      </c>
      <c r="CN167">
        <v>4.59</v>
      </c>
      <c r="CO167">
        <v>4.83</v>
      </c>
      <c r="CP167">
        <v>4.9800000000000004</v>
      </c>
      <c r="CQ167">
        <v>5.0999999999999996</v>
      </c>
      <c r="CR167">
        <v>5.23</v>
      </c>
      <c r="CS167">
        <v>5.28</v>
      </c>
      <c r="CV167">
        <v>5.36</v>
      </c>
      <c r="CW167">
        <v>5.42</v>
      </c>
      <c r="CX167">
        <v>5.61</v>
      </c>
      <c r="CY167">
        <v>5.69</v>
      </c>
      <c r="CZ167">
        <v>5.73</v>
      </c>
      <c r="DH167">
        <v>7.62</v>
      </c>
      <c r="DI167">
        <v>7.66</v>
      </c>
      <c r="DJ167">
        <v>7.79</v>
      </c>
      <c r="DK167">
        <v>7.98</v>
      </c>
      <c r="DL167">
        <v>8.07</v>
      </c>
      <c r="DM167">
        <v>8.25</v>
      </c>
      <c r="DN167">
        <v>8.31</v>
      </c>
      <c r="DO167">
        <v>8.3699999999999992</v>
      </c>
      <c r="DP167">
        <v>8.5500000000000007</v>
      </c>
      <c r="DQ167">
        <v>8.94</v>
      </c>
      <c r="DR167">
        <v>9.15</v>
      </c>
      <c r="DS167">
        <v>9.34</v>
      </c>
      <c r="DT167">
        <v>9.58</v>
      </c>
      <c r="DU167">
        <v>9.67</v>
      </c>
      <c r="DV167">
        <v>9.7799999999999994</v>
      </c>
      <c r="DW167">
        <v>9.99</v>
      </c>
      <c r="DX167">
        <v>10.26</v>
      </c>
      <c r="DY167">
        <v>10.39</v>
      </c>
      <c r="DZ167">
        <v>10.6</v>
      </c>
      <c r="EA167">
        <v>10.76</v>
      </c>
      <c r="EB167">
        <v>11.08</v>
      </c>
      <c r="EC167">
        <v>11.13</v>
      </c>
      <c r="ED167">
        <v>11.35</v>
      </c>
      <c r="EE167">
        <v>11.53</v>
      </c>
      <c r="EF167">
        <v>11.8</v>
      </c>
      <c r="EG167">
        <v>12.02</v>
      </c>
      <c r="EH167">
        <v>12.39</v>
      </c>
      <c r="EI167">
        <v>12.44</v>
      </c>
      <c r="EJ167">
        <v>12.55</v>
      </c>
      <c r="EK167">
        <v>12.72</v>
      </c>
      <c r="EL167">
        <v>13.05</v>
      </c>
      <c r="EM167">
        <v>13.38</v>
      </c>
      <c r="EN167">
        <v>13.59</v>
      </c>
      <c r="EO167">
        <v>13.66</v>
      </c>
      <c r="EP167">
        <v>13.75</v>
      </c>
      <c r="EQ167">
        <v>13.78</v>
      </c>
      <c r="ER167">
        <v>13.82</v>
      </c>
      <c r="ES167">
        <v>14.2</v>
      </c>
      <c r="ET167">
        <v>14.51</v>
      </c>
      <c r="EU167">
        <v>14.59</v>
      </c>
      <c r="EV167">
        <v>14.8</v>
      </c>
      <c r="EX167">
        <v>14.93</v>
      </c>
      <c r="EY167">
        <v>14.97</v>
      </c>
      <c r="EZ167">
        <v>15.47</v>
      </c>
      <c r="FA167">
        <v>15.61</v>
      </c>
      <c r="FB167">
        <v>15.96</v>
      </c>
      <c r="FC167">
        <v>16.350000000000001</v>
      </c>
      <c r="FD167">
        <v>16.43</v>
      </c>
      <c r="FE167">
        <v>16.510000000000002</v>
      </c>
      <c r="FF167">
        <v>16.8</v>
      </c>
      <c r="FG167">
        <v>17.04</v>
      </c>
      <c r="FH167">
        <v>17.25</v>
      </c>
      <c r="FI167">
        <v>17.45</v>
      </c>
      <c r="FJ167">
        <v>18.100000000000001</v>
      </c>
      <c r="FK167">
        <v>18.14</v>
      </c>
      <c r="FL167">
        <v>18.37</v>
      </c>
      <c r="FM167">
        <v>18.52</v>
      </c>
      <c r="FN167">
        <v>18.920000000000002</v>
      </c>
      <c r="FO167">
        <v>19.010000000000002</v>
      </c>
      <c r="FP167">
        <v>19.260000000000002</v>
      </c>
      <c r="FQ167">
        <v>19.440000000000001</v>
      </c>
      <c r="FR167">
        <v>19.489999999999998</v>
      </c>
      <c r="FS167">
        <v>19.53</v>
      </c>
      <c r="FT167">
        <v>20.09</v>
      </c>
      <c r="FU167">
        <v>20.420000000000002</v>
      </c>
      <c r="FV167">
        <v>20.56</v>
      </c>
      <c r="FW167">
        <v>20.9</v>
      </c>
      <c r="FX167">
        <v>20.97</v>
      </c>
      <c r="FY167">
        <v>21.04</v>
      </c>
      <c r="FZ167">
        <v>21.28</v>
      </c>
      <c r="GA167">
        <v>21.45</v>
      </c>
      <c r="GB167">
        <v>21.66</v>
      </c>
      <c r="GC167">
        <v>21.9</v>
      </c>
      <c r="GD167">
        <v>22.11</v>
      </c>
      <c r="GE167">
        <v>22.43</v>
      </c>
      <c r="GF167">
        <v>22.5</v>
      </c>
      <c r="GG167">
        <v>22.52</v>
      </c>
      <c r="GH167">
        <v>22.55</v>
      </c>
      <c r="GI167">
        <v>22.76</v>
      </c>
      <c r="GJ167">
        <v>23.25</v>
      </c>
      <c r="GK167">
        <v>23.53</v>
      </c>
      <c r="GL167">
        <v>23.83</v>
      </c>
      <c r="GM167">
        <v>23.92</v>
      </c>
      <c r="GN167">
        <v>24.15</v>
      </c>
      <c r="GO167">
        <v>24.66</v>
      </c>
      <c r="GP167">
        <v>24.7</v>
      </c>
      <c r="GQ167">
        <v>25.33</v>
      </c>
      <c r="GR167">
        <v>25.77</v>
      </c>
      <c r="GS167">
        <v>26.11</v>
      </c>
      <c r="GT167">
        <v>26.34</v>
      </c>
      <c r="GU167">
        <v>26.57</v>
      </c>
      <c r="GV167">
        <v>26.95</v>
      </c>
      <c r="GW167">
        <v>27.43</v>
      </c>
      <c r="GX167">
        <v>28.01</v>
      </c>
      <c r="GY167">
        <v>28.66</v>
      </c>
      <c r="GZ167">
        <v>29.09</v>
      </c>
      <c r="HA167">
        <v>29.35</v>
      </c>
      <c r="HB167">
        <v>29.49</v>
      </c>
      <c r="HC167">
        <v>30.37</v>
      </c>
      <c r="HD167">
        <v>30.88</v>
      </c>
      <c r="HE167">
        <v>31.23</v>
      </c>
      <c r="HF167">
        <v>31.95</v>
      </c>
      <c r="HG167">
        <v>32.44</v>
      </c>
      <c r="HH167">
        <v>32.6</v>
      </c>
      <c r="HI167">
        <v>32.76</v>
      </c>
      <c r="HJ167">
        <v>33.369999999999997</v>
      </c>
      <c r="HK167">
        <v>34.1</v>
      </c>
      <c r="HL167">
        <v>34.520000000000003</v>
      </c>
      <c r="HM167">
        <v>35.86</v>
      </c>
      <c r="HN167">
        <v>35.96</v>
      </c>
      <c r="HO167">
        <v>36.17</v>
      </c>
      <c r="HP167">
        <v>36.270000000000003</v>
      </c>
      <c r="HQ167">
        <v>37.53</v>
      </c>
      <c r="HR167">
        <v>37.880000000000003</v>
      </c>
      <c r="HS167">
        <v>38.26</v>
      </c>
      <c r="HT167">
        <v>39.14</v>
      </c>
      <c r="HU167">
        <v>39.270000000000003</v>
      </c>
      <c r="HV167">
        <v>39.4</v>
      </c>
      <c r="HW167">
        <v>39.56</v>
      </c>
      <c r="HX167">
        <v>40.17</v>
      </c>
      <c r="HY167">
        <v>40.58</v>
      </c>
      <c r="HZ167">
        <v>41.17</v>
      </c>
      <c r="IA167">
        <v>41.8</v>
      </c>
      <c r="IB167">
        <v>42.42</v>
      </c>
      <c r="IC167">
        <v>42.64</v>
      </c>
      <c r="ID167">
        <v>42.74</v>
      </c>
      <c r="IE167">
        <v>43.24</v>
      </c>
      <c r="IF167">
        <v>44.04</v>
      </c>
      <c r="IG167">
        <v>44.28</v>
      </c>
      <c r="IH167">
        <v>44.6</v>
      </c>
      <c r="II167">
        <v>45.15</v>
      </c>
      <c r="IJ167">
        <v>45.39</v>
      </c>
      <c r="IK167">
        <v>45.48</v>
      </c>
      <c r="IL167">
        <v>46.14</v>
      </c>
      <c r="IM167">
        <v>46.6</v>
      </c>
      <c r="IN167">
        <v>47.04</v>
      </c>
      <c r="IO167">
        <v>48.67</v>
      </c>
      <c r="IP167">
        <v>49.95</v>
      </c>
      <c r="IQ167">
        <v>50.13</v>
      </c>
      <c r="IR167">
        <v>50.37</v>
      </c>
      <c r="IS167">
        <v>50.71</v>
      </c>
      <c r="IT167">
        <v>51</v>
      </c>
      <c r="IU167">
        <v>51.42</v>
      </c>
      <c r="IV167">
        <v>51.87</v>
      </c>
      <c r="IW167">
        <v>52.4</v>
      </c>
      <c r="IX167">
        <v>52.64</v>
      </c>
      <c r="IY167">
        <v>52.74</v>
      </c>
      <c r="IZ167">
        <v>53.17</v>
      </c>
      <c r="JA167">
        <v>53.49</v>
      </c>
      <c r="JB167">
        <v>53.75</v>
      </c>
      <c r="JC167">
        <v>54.23</v>
      </c>
      <c r="JD167">
        <v>54.48</v>
      </c>
      <c r="JE167">
        <v>54.63</v>
      </c>
      <c r="JF167">
        <v>54.84</v>
      </c>
      <c r="JG167">
        <v>55</v>
      </c>
      <c r="JH167">
        <v>55.67</v>
      </c>
      <c r="JI167">
        <v>55.93</v>
      </c>
      <c r="JJ167">
        <v>56.42</v>
      </c>
      <c r="JK167">
        <v>56.58</v>
      </c>
      <c r="JL167">
        <v>56.75</v>
      </c>
      <c r="JM167">
        <v>56.83</v>
      </c>
      <c r="JN167">
        <v>57.32</v>
      </c>
      <c r="JO167">
        <v>57.44</v>
      </c>
      <c r="JP167">
        <v>57.78</v>
      </c>
      <c r="JQ167">
        <v>58.2</v>
      </c>
      <c r="JR167">
        <v>58.33</v>
      </c>
      <c r="JS167">
        <v>58.45</v>
      </c>
      <c r="JT167">
        <v>58.92</v>
      </c>
      <c r="JU167">
        <v>58.99</v>
      </c>
      <c r="JV167">
        <v>59.33</v>
      </c>
      <c r="JW167">
        <v>59.59</v>
      </c>
      <c r="JX167">
        <v>59.81</v>
      </c>
      <c r="JZ167">
        <v>60.13</v>
      </c>
      <c r="KA167">
        <v>60.24</v>
      </c>
      <c r="KB167">
        <v>60.41</v>
      </c>
      <c r="KC167">
        <v>60.7</v>
      </c>
      <c r="KE167">
        <v>61.02</v>
      </c>
      <c r="KF167">
        <v>61.14</v>
      </c>
      <c r="KG167">
        <v>61.2</v>
      </c>
      <c r="KH167">
        <v>61.43</v>
      </c>
      <c r="KI167">
        <v>61.48</v>
      </c>
      <c r="KJ167">
        <v>61.69</v>
      </c>
      <c r="KK167">
        <v>61.89</v>
      </c>
      <c r="KL167">
        <v>62.14</v>
      </c>
      <c r="KM167">
        <v>62.38</v>
      </c>
      <c r="KN167">
        <v>62.47</v>
      </c>
      <c r="KO167">
        <v>62.53</v>
      </c>
      <c r="KP167">
        <v>62.71</v>
      </c>
      <c r="KQ167">
        <v>63.18</v>
      </c>
      <c r="KR167">
        <v>64.349999999999994</v>
      </c>
      <c r="KS167">
        <v>64.5</v>
      </c>
      <c r="KT167">
        <v>64.62</v>
      </c>
      <c r="KU167">
        <v>64.760000000000005</v>
      </c>
      <c r="KV167">
        <v>64.88</v>
      </c>
      <c r="KW167">
        <v>64.959999999999994</v>
      </c>
      <c r="KX167">
        <v>65.209999999999994</v>
      </c>
      <c r="KY167">
        <v>65.34</v>
      </c>
      <c r="KZ167">
        <v>65.709999999999994</v>
      </c>
      <c r="LA167">
        <v>67.569999999999993</v>
      </c>
      <c r="LC167">
        <v>67.650000000000006</v>
      </c>
      <c r="LE167">
        <v>68.11</v>
      </c>
      <c r="LF167">
        <v>68.150000000000006</v>
      </c>
      <c r="LG167">
        <v>68.56</v>
      </c>
      <c r="LH167">
        <v>69.06</v>
      </c>
      <c r="LM167">
        <v>70.2</v>
      </c>
      <c r="LN167">
        <v>70.739999999999995</v>
      </c>
      <c r="LO167">
        <v>71.319999999999993</v>
      </c>
      <c r="LP167">
        <v>71.59</v>
      </c>
      <c r="LQ167">
        <v>71.81</v>
      </c>
      <c r="LR167">
        <v>72.36</v>
      </c>
      <c r="LS167">
        <v>73</v>
      </c>
      <c r="LT167">
        <v>74.349999999999994</v>
      </c>
      <c r="LW167">
        <v>74.59</v>
      </c>
      <c r="LX167">
        <v>74.709999999999994</v>
      </c>
      <c r="LY167">
        <v>75.400000000000006</v>
      </c>
      <c r="LZ167">
        <v>75.760000000000005</v>
      </c>
      <c r="MA167">
        <v>76.42</v>
      </c>
      <c r="MB167">
        <v>76.97</v>
      </c>
      <c r="MC167">
        <v>77.569999999999993</v>
      </c>
      <c r="MD167">
        <v>78.13</v>
      </c>
      <c r="ME167">
        <v>78.510000000000005</v>
      </c>
      <c r="MF167">
        <v>79.069999999999993</v>
      </c>
      <c r="MG167">
        <v>79.930000000000007</v>
      </c>
      <c r="MH167">
        <v>80.430000000000007</v>
      </c>
      <c r="MI167">
        <v>80.92</v>
      </c>
      <c r="MJ167">
        <v>82.08</v>
      </c>
      <c r="ML167">
        <v>82.66</v>
      </c>
      <c r="MM167">
        <v>82.92</v>
      </c>
      <c r="MN167">
        <v>83.64</v>
      </c>
      <c r="MO167">
        <v>84.33</v>
      </c>
      <c r="MP167">
        <v>85.26</v>
      </c>
      <c r="MQ167">
        <v>85.73</v>
      </c>
      <c r="MR167">
        <v>86.08</v>
      </c>
      <c r="MS167">
        <v>86.28</v>
      </c>
      <c r="MT167">
        <v>86.91</v>
      </c>
      <c r="MU167">
        <v>87.41</v>
      </c>
      <c r="MV167">
        <v>88.03</v>
      </c>
      <c r="MW167">
        <v>88.4</v>
      </c>
      <c r="MX167">
        <v>89.28</v>
      </c>
      <c r="MY167">
        <v>89.53</v>
      </c>
      <c r="MZ167">
        <v>89.66</v>
      </c>
      <c r="NA167">
        <v>90.2</v>
      </c>
      <c r="NB167">
        <v>90.83</v>
      </c>
      <c r="NC167">
        <v>91.27</v>
      </c>
      <c r="ND167">
        <v>91.51</v>
      </c>
      <c r="NE167">
        <v>92.63</v>
      </c>
      <c r="NF167">
        <v>93.11</v>
      </c>
      <c r="NG167">
        <v>93.27</v>
      </c>
      <c r="NH167">
        <v>93.87</v>
      </c>
      <c r="NI167">
        <v>94.11</v>
      </c>
      <c r="NJ167">
        <v>94.19</v>
      </c>
      <c r="NK167">
        <v>94.93</v>
      </c>
      <c r="NL167">
        <v>95.65</v>
      </c>
      <c r="NM167">
        <v>96.06</v>
      </c>
      <c r="NN167">
        <v>96.12</v>
      </c>
      <c r="NO167">
        <v>97.33</v>
      </c>
      <c r="NP167">
        <v>97.46</v>
      </c>
      <c r="NQ167">
        <v>97.83</v>
      </c>
      <c r="NR167">
        <v>98.03</v>
      </c>
      <c r="NS167">
        <v>98.48</v>
      </c>
      <c r="NU167">
        <v>98.6</v>
      </c>
      <c r="NV167">
        <v>98.98</v>
      </c>
      <c r="NW167">
        <v>100.17</v>
      </c>
      <c r="NY167">
        <v>100.31</v>
      </c>
      <c r="NZ167">
        <v>100.56</v>
      </c>
      <c r="OB167">
        <v>100.56</v>
      </c>
      <c r="OE167">
        <v>100.58</v>
      </c>
      <c r="OF167">
        <v>100.85</v>
      </c>
      <c r="OG167">
        <v>100.88</v>
      </c>
      <c r="OH167">
        <v>101.01</v>
      </c>
      <c r="OI167">
        <v>101.13</v>
      </c>
      <c r="OJ167">
        <v>101.65</v>
      </c>
      <c r="OK167">
        <v>101.98</v>
      </c>
      <c r="OL167">
        <v>102.54</v>
      </c>
      <c r="OM167">
        <v>102.56</v>
      </c>
      <c r="ON167">
        <v>102.64</v>
      </c>
      <c r="OO167">
        <v>102.79</v>
      </c>
      <c r="OP167">
        <v>102.87</v>
      </c>
      <c r="OQ167">
        <v>103.34</v>
      </c>
      <c r="OT167">
        <v>103.62</v>
      </c>
      <c r="OU167">
        <v>104.1</v>
      </c>
      <c r="OV167">
        <v>104.13</v>
      </c>
      <c r="OW167">
        <v>104.49</v>
      </c>
      <c r="OX167">
        <v>104.52</v>
      </c>
      <c r="OY167">
        <v>104.8</v>
      </c>
      <c r="PA167">
        <v>105.14</v>
      </c>
      <c r="PB167">
        <v>105.31</v>
      </c>
      <c r="PC167">
        <v>105.6</v>
      </c>
      <c r="PD167">
        <v>105.8</v>
      </c>
      <c r="PE167">
        <v>106.04</v>
      </c>
      <c r="PF167">
        <v>106.16</v>
      </c>
      <c r="PG167">
        <v>106.27</v>
      </c>
      <c r="PH167">
        <v>106.49</v>
      </c>
      <c r="PI167">
        <v>106.67</v>
      </c>
      <c r="PJ167">
        <v>106.74</v>
      </c>
      <c r="PK167">
        <v>106.76</v>
      </c>
      <c r="PL167">
        <v>107.21</v>
      </c>
      <c r="PM167">
        <v>107.43</v>
      </c>
      <c r="PN167">
        <v>107.63</v>
      </c>
      <c r="PO167">
        <v>107.88</v>
      </c>
      <c r="PP167">
        <v>108.05</v>
      </c>
      <c r="PQ167">
        <v>108.18</v>
      </c>
      <c r="PR167">
        <v>108.37</v>
      </c>
      <c r="PS167">
        <v>108.57</v>
      </c>
      <c r="PT167">
        <v>109.11</v>
      </c>
      <c r="PU167">
        <v>110.22</v>
      </c>
      <c r="QI167">
        <v>110.29</v>
      </c>
      <c r="QJ167">
        <v>110.31</v>
      </c>
      <c r="QK167">
        <v>110.47</v>
      </c>
      <c r="QL167">
        <v>110.51</v>
      </c>
      <c r="QM167">
        <v>110.51</v>
      </c>
      <c r="QO167">
        <v>110.55</v>
      </c>
      <c r="QP167">
        <v>110.63</v>
      </c>
      <c r="QQ167">
        <v>110.67</v>
      </c>
      <c r="QR167">
        <v>110.67</v>
      </c>
      <c r="QT167">
        <v>110.84</v>
      </c>
      <c r="QU167">
        <v>110.89</v>
      </c>
      <c r="QV167">
        <v>110.91</v>
      </c>
      <c r="QW167">
        <v>110.92</v>
      </c>
      <c r="QX167">
        <v>110.92</v>
      </c>
      <c r="QY167">
        <v>110.92</v>
      </c>
      <c r="QZ167">
        <v>111.06</v>
      </c>
      <c r="RA167">
        <v>111.19</v>
      </c>
      <c r="RB167">
        <v>111.33</v>
      </c>
      <c r="RC167">
        <v>111.51</v>
      </c>
      <c r="RD167">
        <v>111.74</v>
      </c>
      <c r="RE167">
        <v>111.76</v>
      </c>
      <c r="RF167">
        <v>112.04</v>
      </c>
      <c r="RG167">
        <v>112.05</v>
      </c>
      <c r="RH167">
        <v>112.06</v>
      </c>
      <c r="RI167">
        <v>112.12</v>
      </c>
      <c r="RJ167">
        <v>112.14</v>
      </c>
      <c r="RM167">
        <v>112.47</v>
      </c>
      <c r="RN167">
        <v>112.54</v>
      </c>
      <c r="RO167">
        <v>112.57</v>
      </c>
      <c r="RP167">
        <v>112.85</v>
      </c>
      <c r="RR167">
        <v>112.93</v>
      </c>
      <c r="RT167">
        <v>112.96</v>
      </c>
      <c r="RU167">
        <v>113.08</v>
      </c>
      <c r="RW167">
        <v>113.18</v>
      </c>
      <c r="RX167">
        <v>113.34</v>
      </c>
      <c r="RY167">
        <v>113.39</v>
      </c>
      <c r="RZ167">
        <v>113.72</v>
      </c>
      <c r="SA167">
        <v>113.76</v>
      </c>
      <c r="SE167">
        <v>113.82</v>
      </c>
      <c r="SH167">
        <v>114.02</v>
      </c>
      <c r="SI167">
        <v>114.03</v>
      </c>
      <c r="SK167">
        <v>114.08</v>
      </c>
      <c r="SL167">
        <v>114.08</v>
      </c>
      <c r="SM167">
        <v>114.11</v>
      </c>
      <c r="SO167">
        <v>114.13</v>
      </c>
      <c r="TB167">
        <v>114.23</v>
      </c>
      <c r="TD167">
        <v>114.23</v>
      </c>
      <c r="TG167">
        <v>114.25</v>
      </c>
      <c r="TH167">
        <v>114.31</v>
      </c>
      <c r="TI167">
        <v>114.33</v>
      </c>
      <c r="TJ167">
        <v>114.34</v>
      </c>
      <c r="TK167">
        <v>114.34</v>
      </c>
      <c r="TL167">
        <v>114.34</v>
      </c>
      <c r="TN167">
        <v>114.54</v>
      </c>
      <c r="TP167">
        <v>114.58</v>
      </c>
      <c r="TR167">
        <v>114.6</v>
      </c>
      <c r="TU167">
        <v>114.6</v>
      </c>
      <c r="TV167">
        <v>114.6</v>
      </c>
      <c r="TX167">
        <v>114.61</v>
      </c>
      <c r="TY167">
        <v>114.61</v>
      </c>
      <c r="TZ167">
        <v>114.64</v>
      </c>
      <c r="UE167">
        <v>115</v>
      </c>
      <c r="UF167">
        <v>115.25</v>
      </c>
      <c r="UI167">
        <v>115.31</v>
      </c>
      <c r="UJ167">
        <v>115.31</v>
      </c>
      <c r="UL167">
        <v>115.33</v>
      </c>
      <c r="UO167">
        <v>115.74</v>
      </c>
      <c r="UQ167">
        <v>115.78</v>
      </c>
      <c r="UV167">
        <v>115.82</v>
      </c>
      <c r="VB167">
        <v>116.49</v>
      </c>
      <c r="VC167">
        <v>116.57</v>
      </c>
      <c r="VJ167">
        <v>116.71</v>
      </c>
      <c r="VK167">
        <v>116.93</v>
      </c>
      <c r="VP167">
        <v>116.98</v>
      </c>
      <c r="VR167">
        <v>117.28</v>
      </c>
      <c r="VS167">
        <v>117.37</v>
      </c>
      <c r="VX167">
        <v>117.81</v>
      </c>
      <c r="WA167">
        <v>118.17</v>
      </c>
      <c r="WD167">
        <v>118.24</v>
      </c>
      <c r="WE167">
        <v>118.24</v>
      </c>
      <c r="WF167">
        <v>118.26</v>
      </c>
      <c r="WO167">
        <v>118.78</v>
      </c>
      <c r="WR167">
        <v>119.07</v>
      </c>
      <c r="WT167">
        <v>119.4</v>
      </c>
      <c r="WU167">
        <v>119.54</v>
      </c>
      <c r="WV167">
        <v>119.54</v>
      </c>
      <c r="WY167">
        <v>119.67</v>
      </c>
      <c r="WZ167">
        <v>120.1</v>
      </c>
      <c r="XC167">
        <v>120.66</v>
      </c>
      <c r="XM167">
        <v>120.78</v>
      </c>
      <c r="XN167">
        <v>121.09</v>
      </c>
      <c r="XP167">
        <v>121.26</v>
      </c>
      <c r="XQ167">
        <v>121.28</v>
      </c>
      <c r="XT167">
        <v>121.57</v>
      </c>
      <c r="XU167">
        <v>121.8</v>
      </c>
      <c r="XV167">
        <v>121.87</v>
      </c>
      <c r="XW167">
        <v>121.97</v>
      </c>
      <c r="YA167">
        <v>122.47</v>
      </c>
      <c r="YC167">
        <v>122.55</v>
      </c>
      <c r="YD167">
        <v>122.61</v>
      </c>
      <c r="YH167">
        <v>122.89</v>
      </c>
      <c r="YI167">
        <v>123.15</v>
      </c>
      <c r="YJ167">
        <v>123.25</v>
      </c>
      <c r="YL167">
        <v>123.26</v>
      </c>
      <c r="YQ167">
        <v>123.32</v>
      </c>
      <c r="YR167">
        <v>123.5</v>
      </c>
      <c r="YV167">
        <v>123.83</v>
      </c>
      <c r="YZ167">
        <v>123.89</v>
      </c>
      <c r="ZC167">
        <v>123.91</v>
      </c>
      <c r="ZF167">
        <v>124.51</v>
      </c>
      <c r="ZJ167">
        <v>124.63</v>
      </c>
      <c r="ZM167">
        <v>124.73</v>
      </c>
      <c r="ZU167">
        <v>125.12</v>
      </c>
      <c r="AAB167">
        <v>125.16</v>
      </c>
      <c r="AAG167">
        <v>125.69</v>
      </c>
      <c r="AAJ167">
        <v>126.34</v>
      </c>
      <c r="AAY167">
        <v>126.33</v>
      </c>
      <c r="ABB167">
        <v>126.7</v>
      </c>
      <c r="ABD167">
        <v>126.7</v>
      </c>
      <c r="ABF167">
        <v>126.7</v>
      </c>
      <c r="ABH167">
        <v>126.7</v>
      </c>
      <c r="ABJ167">
        <v>126.7</v>
      </c>
      <c r="ABL167">
        <v>126.7</v>
      </c>
      <c r="ABN167">
        <v>126.7</v>
      </c>
      <c r="ABO167">
        <v>127.05</v>
      </c>
      <c r="ABS167">
        <v>127.07</v>
      </c>
      <c r="ABW167">
        <v>127.07</v>
      </c>
      <c r="ABY167">
        <v>127.07</v>
      </c>
      <c r="ACA167">
        <v>127.07</v>
      </c>
      <c r="ACC167">
        <v>127.07</v>
      </c>
      <c r="ACD167">
        <v>127.29</v>
      </c>
      <c r="ACG167">
        <v>127.3</v>
      </c>
      <c r="ACL167">
        <v>127.38</v>
      </c>
      <c r="ACT167">
        <v>127.45</v>
      </c>
      <c r="ACZ167">
        <v>127.53</v>
      </c>
      <c r="ADD167">
        <v>127.91</v>
      </c>
      <c r="ADK167">
        <v>128.22999999999999</v>
      </c>
      <c r="ADN167">
        <v>128.27000000000001</v>
      </c>
      <c r="ADQ167">
        <v>128.28</v>
      </c>
      <c r="ADV167">
        <v>128.30000000000001</v>
      </c>
      <c r="AEB167">
        <v>128.32</v>
      </c>
      <c r="AED167">
        <v>128.36000000000001</v>
      </c>
    </row>
    <row r="168" spans="1:811">
      <c r="A168" s="1" t="s">
        <v>149</v>
      </c>
      <c r="B168" t="s">
        <v>358</v>
      </c>
      <c r="BR168">
        <v>0</v>
      </c>
      <c r="CJ168">
        <v>0.57999999999999996</v>
      </c>
      <c r="CK168">
        <v>1.23</v>
      </c>
      <c r="CL168">
        <v>1.53</v>
      </c>
      <c r="CM168">
        <v>1.61</v>
      </c>
      <c r="CN168">
        <v>1.7</v>
      </c>
      <c r="CO168">
        <v>1.77</v>
      </c>
      <c r="CP168">
        <v>1.84</v>
      </c>
      <c r="CQ168">
        <v>1.92</v>
      </c>
      <c r="CR168">
        <v>1.96</v>
      </c>
      <c r="CS168">
        <v>1.99</v>
      </c>
      <c r="CT168">
        <v>2.42</v>
      </c>
      <c r="CU168">
        <v>2.4500000000000002</v>
      </c>
      <c r="CV168">
        <v>2.48</v>
      </c>
      <c r="CW168">
        <v>2.5</v>
      </c>
      <c r="CX168">
        <v>2.54</v>
      </c>
      <c r="CY168">
        <v>2.57</v>
      </c>
      <c r="CZ168">
        <v>2.58</v>
      </c>
      <c r="DA168">
        <v>2.61</v>
      </c>
      <c r="DB168">
        <v>2.65</v>
      </c>
      <c r="DC168">
        <v>2.69</v>
      </c>
      <c r="DD168">
        <v>2.69</v>
      </c>
      <c r="DY168">
        <v>2.7</v>
      </c>
      <c r="DZ168">
        <v>2.7</v>
      </c>
      <c r="EN168">
        <v>2.7</v>
      </c>
      <c r="EO168">
        <v>2.7</v>
      </c>
      <c r="EV168">
        <v>3.09</v>
      </c>
      <c r="FY168">
        <v>4.47</v>
      </c>
      <c r="HC168">
        <v>4.97</v>
      </c>
      <c r="HF168">
        <v>4.99</v>
      </c>
      <c r="HG168">
        <v>4.99</v>
      </c>
      <c r="IN168">
        <v>8.2899999999999991</v>
      </c>
      <c r="IU168">
        <v>10.38</v>
      </c>
      <c r="IV168">
        <v>10.54</v>
      </c>
      <c r="IX168">
        <v>11.1</v>
      </c>
      <c r="JA168">
        <v>12.98</v>
      </c>
      <c r="JE168">
        <v>16.38</v>
      </c>
      <c r="JM168">
        <v>19.36</v>
      </c>
      <c r="JQ168">
        <v>19.920000000000002</v>
      </c>
      <c r="JT168">
        <v>21.26</v>
      </c>
      <c r="JV168">
        <v>21.71</v>
      </c>
      <c r="JZ168">
        <v>25.16</v>
      </c>
      <c r="KC168">
        <v>25.68</v>
      </c>
      <c r="KI168">
        <v>28.32</v>
      </c>
      <c r="KK168">
        <v>28.47</v>
      </c>
      <c r="KY168">
        <v>33.49</v>
      </c>
      <c r="LF168">
        <v>39.01</v>
      </c>
      <c r="LH168">
        <v>40.630000000000003</v>
      </c>
      <c r="LT168">
        <v>45.2</v>
      </c>
      <c r="LZ168">
        <v>50.96</v>
      </c>
      <c r="MH168">
        <v>60.89</v>
      </c>
      <c r="MN168">
        <v>65.89</v>
      </c>
      <c r="MV168">
        <v>71.11</v>
      </c>
      <c r="NC168">
        <v>77.34</v>
      </c>
      <c r="NI168">
        <v>83.08</v>
      </c>
      <c r="NQ168">
        <v>92.77</v>
      </c>
      <c r="NX168">
        <v>98.92</v>
      </c>
      <c r="OE168">
        <v>101.29</v>
      </c>
      <c r="OK168">
        <v>104.64</v>
      </c>
    </row>
    <row r="169" spans="1:811">
      <c r="A169" s="1" t="s">
        <v>299</v>
      </c>
      <c r="B169" t="s">
        <v>286</v>
      </c>
      <c r="BF169">
        <v>1.76</v>
      </c>
      <c r="CT169">
        <v>51.18</v>
      </c>
      <c r="CW169">
        <v>54.36</v>
      </c>
      <c r="DD169">
        <v>60.17</v>
      </c>
      <c r="DS169">
        <v>75.31</v>
      </c>
      <c r="ES169">
        <v>130</v>
      </c>
    </row>
    <row r="170" spans="1:811">
      <c r="A170" s="1" t="s">
        <v>215</v>
      </c>
      <c r="B170" t="s">
        <v>359</v>
      </c>
      <c r="BY170">
        <v>0</v>
      </c>
      <c r="CU170">
        <v>12.98</v>
      </c>
      <c r="CX170">
        <v>14.25</v>
      </c>
      <c r="DF170">
        <v>16.12</v>
      </c>
      <c r="DT170">
        <v>19.66</v>
      </c>
      <c r="DX170">
        <v>20.97</v>
      </c>
      <c r="DY170">
        <v>21.53</v>
      </c>
      <c r="EE170">
        <v>22.27</v>
      </c>
      <c r="ER170">
        <v>24.57</v>
      </c>
      <c r="EZ170">
        <v>29.27</v>
      </c>
      <c r="FF170">
        <v>35.15</v>
      </c>
      <c r="FJ170">
        <v>40.340000000000003</v>
      </c>
      <c r="FO170">
        <v>47.65</v>
      </c>
      <c r="FT170">
        <v>52.17</v>
      </c>
      <c r="FX170">
        <v>55.7</v>
      </c>
      <c r="GC170">
        <v>58.38</v>
      </c>
      <c r="GH170">
        <v>60.94</v>
      </c>
      <c r="GN170">
        <v>63.89</v>
      </c>
      <c r="GO170">
        <v>71.45</v>
      </c>
      <c r="GV170">
        <v>76.36</v>
      </c>
      <c r="GW170">
        <v>78.680000000000007</v>
      </c>
      <c r="HE170">
        <v>78.88</v>
      </c>
      <c r="HJ170">
        <v>79.430000000000007</v>
      </c>
      <c r="HK170">
        <v>79.61</v>
      </c>
      <c r="HL170">
        <v>79.77</v>
      </c>
      <c r="HQ170">
        <v>80.53</v>
      </c>
      <c r="HS170">
        <v>80.84</v>
      </c>
      <c r="HT170">
        <v>81.2</v>
      </c>
      <c r="HW170">
        <v>81.400000000000006</v>
      </c>
      <c r="HY170">
        <v>81.62</v>
      </c>
      <c r="IB170">
        <v>82.04</v>
      </c>
      <c r="IG170">
        <v>82.2</v>
      </c>
      <c r="II170">
        <v>82.48</v>
      </c>
      <c r="IL170">
        <v>82.66</v>
      </c>
      <c r="IN170">
        <v>82.95</v>
      </c>
      <c r="IO170">
        <v>84.13</v>
      </c>
      <c r="IZ170">
        <v>84.22</v>
      </c>
      <c r="JC170">
        <v>84.65</v>
      </c>
      <c r="JF170">
        <v>85.87</v>
      </c>
      <c r="JJ170">
        <v>86.36</v>
      </c>
      <c r="JM170">
        <v>86.6</v>
      </c>
      <c r="JQ170">
        <v>87</v>
      </c>
      <c r="JT170">
        <v>87.24</v>
      </c>
      <c r="JX170">
        <v>87.56</v>
      </c>
      <c r="KC170">
        <v>87.96</v>
      </c>
      <c r="KL170">
        <v>89.75</v>
      </c>
      <c r="KS170">
        <v>91.05</v>
      </c>
      <c r="KZ170">
        <v>92.1</v>
      </c>
      <c r="LG170">
        <v>93.04</v>
      </c>
      <c r="LN170">
        <v>93.75</v>
      </c>
      <c r="LU170">
        <v>94.51</v>
      </c>
      <c r="MB170">
        <v>95.01</v>
      </c>
      <c r="MI170">
        <v>96.02</v>
      </c>
      <c r="MS170">
        <v>97.83</v>
      </c>
      <c r="MW170">
        <v>98.84</v>
      </c>
      <c r="NB170">
        <v>99.7</v>
      </c>
      <c r="ND170">
        <v>99.89</v>
      </c>
      <c r="NI170">
        <v>100.55</v>
      </c>
      <c r="NK170">
        <v>100.99</v>
      </c>
      <c r="NP170">
        <v>101.32</v>
      </c>
      <c r="NW170">
        <v>102.47</v>
      </c>
      <c r="OD170">
        <v>103.24</v>
      </c>
      <c r="OF170">
        <v>103.82</v>
      </c>
      <c r="OK170">
        <v>104.29</v>
      </c>
      <c r="OR170">
        <v>105.18</v>
      </c>
      <c r="OT170">
        <v>105.35</v>
      </c>
      <c r="OY170">
        <v>105.57</v>
      </c>
      <c r="PA170">
        <v>105.89</v>
      </c>
      <c r="PF170">
        <v>106.11</v>
      </c>
      <c r="PV170">
        <v>112.69</v>
      </c>
      <c r="QC170">
        <v>112.93</v>
      </c>
      <c r="WA170">
        <v>134.91</v>
      </c>
      <c r="AAP170">
        <v>134.85</v>
      </c>
      <c r="AAW170">
        <v>134.85</v>
      </c>
      <c r="ABV170">
        <v>134.85</v>
      </c>
      <c r="ACE170">
        <v>134.85</v>
      </c>
      <c r="ACM170">
        <v>134.85</v>
      </c>
      <c r="ADA170">
        <v>134.85</v>
      </c>
    </row>
    <row r="171" spans="1:811">
      <c r="A171" s="1" t="s">
        <v>210</v>
      </c>
      <c r="B171" t="s">
        <v>360</v>
      </c>
      <c r="BS171">
        <v>0</v>
      </c>
      <c r="CI171">
        <v>1.1399999999999999</v>
      </c>
      <c r="CQ171">
        <v>9.4700000000000006</v>
      </c>
      <c r="CX171">
        <v>11.03</v>
      </c>
      <c r="DG171">
        <v>11.71</v>
      </c>
      <c r="DI171">
        <v>11.99</v>
      </c>
      <c r="DJ171">
        <v>12.18</v>
      </c>
      <c r="DK171">
        <v>12.28</v>
      </c>
      <c r="DQ171">
        <v>12.44</v>
      </c>
      <c r="DR171">
        <v>12.49</v>
      </c>
      <c r="DS171">
        <v>12.61</v>
      </c>
      <c r="DT171">
        <v>12.67</v>
      </c>
      <c r="DX171">
        <v>12.71</v>
      </c>
      <c r="DZ171">
        <v>12.84</v>
      </c>
      <c r="EA171">
        <v>12.89</v>
      </c>
      <c r="EC171">
        <v>12.9</v>
      </c>
      <c r="EE171">
        <v>12.98</v>
      </c>
      <c r="EG171">
        <v>12.99</v>
      </c>
      <c r="EH171">
        <v>13.04</v>
      </c>
      <c r="EK171">
        <v>13.08</v>
      </c>
      <c r="EL171">
        <v>13.14</v>
      </c>
      <c r="EM171">
        <v>13.2</v>
      </c>
      <c r="EN171">
        <v>13.21</v>
      </c>
      <c r="EO171">
        <v>13.3</v>
      </c>
      <c r="FG171">
        <v>24.07</v>
      </c>
      <c r="FH171">
        <v>24.16</v>
      </c>
      <c r="FI171">
        <v>24.43</v>
      </c>
      <c r="FJ171">
        <v>24.67</v>
      </c>
      <c r="FM171">
        <v>24.77</v>
      </c>
      <c r="FN171">
        <v>24.91</v>
      </c>
      <c r="FO171">
        <v>25.04</v>
      </c>
      <c r="FQ171">
        <v>25.36</v>
      </c>
      <c r="FR171">
        <v>25.47</v>
      </c>
      <c r="FT171">
        <v>25.66</v>
      </c>
      <c r="FU171">
        <v>25.89</v>
      </c>
      <c r="FV171">
        <v>26.05</v>
      </c>
      <c r="FZ171">
        <v>26.28</v>
      </c>
      <c r="GA171">
        <v>26.5</v>
      </c>
      <c r="GB171">
        <v>26.72</v>
      </c>
      <c r="GC171">
        <v>26.89</v>
      </c>
      <c r="GD171">
        <v>27.08</v>
      </c>
      <c r="GE171">
        <v>27.3</v>
      </c>
      <c r="GG171">
        <v>27.36</v>
      </c>
      <c r="GI171">
        <v>27.61</v>
      </c>
      <c r="GJ171">
        <v>27.7</v>
      </c>
      <c r="GK171">
        <v>27.81</v>
      </c>
      <c r="GL171">
        <v>27.87</v>
      </c>
      <c r="GO171">
        <v>27.96</v>
      </c>
      <c r="GP171">
        <v>28.08</v>
      </c>
      <c r="GR171">
        <v>28.33</v>
      </c>
      <c r="GT171">
        <v>28.51</v>
      </c>
      <c r="GV171">
        <v>28.64</v>
      </c>
      <c r="GW171">
        <v>28.74</v>
      </c>
      <c r="GX171">
        <v>28.82</v>
      </c>
      <c r="HB171">
        <v>28.91</v>
      </c>
      <c r="HC171">
        <v>28.97</v>
      </c>
      <c r="HD171">
        <v>29.04</v>
      </c>
      <c r="HE171">
        <v>29.14</v>
      </c>
      <c r="HF171">
        <v>29.24</v>
      </c>
      <c r="HI171">
        <v>29.33</v>
      </c>
      <c r="HJ171">
        <v>29.4</v>
      </c>
      <c r="HK171">
        <v>29.49</v>
      </c>
      <c r="HL171">
        <v>29.6</v>
      </c>
      <c r="HM171">
        <v>29.79</v>
      </c>
      <c r="HO171">
        <v>29.88</v>
      </c>
      <c r="HQ171">
        <v>29.98</v>
      </c>
      <c r="HR171">
        <v>30.39</v>
      </c>
      <c r="HU171">
        <v>30.46</v>
      </c>
      <c r="HX171">
        <v>30.52</v>
      </c>
      <c r="HY171">
        <v>30.63</v>
      </c>
      <c r="HZ171">
        <v>30.8</v>
      </c>
      <c r="IA171">
        <v>30.95</v>
      </c>
      <c r="IB171">
        <v>31.08</v>
      </c>
      <c r="IG171">
        <v>31.32</v>
      </c>
      <c r="IH171">
        <v>31.51</v>
      </c>
      <c r="II171">
        <v>31.75</v>
      </c>
      <c r="IK171">
        <v>31.78</v>
      </c>
      <c r="IL171">
        <v>31.9</v>
      </c>
      <c r="IM171">
        <v>32.159999999999997</v>
      </c>
      <c r="IN171">
        <v>32.299999999999997</v>
      </c>
      <c r="IO171">
        <v>32.42</v>
      </c>
      <c r="IS171">
        <v>32.69</v>
      </c>
      <c r="IU171">
        <v>33.229999999999997</v>
      </c>
      <c r="IV171">
        <v>33.39</v>
      </c>
      <c r="IW171">
        <v>33.53</v>
      </c>
      <c r="IX171">
        <v>33.54</v>
      </c>
      <c r="IZ171">
        <v>33.71</v>
      </c>
      <c r="JB171">
        <v>34.31</v>
      </c>
      <c r="JC171">
        <v>34.64</v>
      </c>
      <c r="JD171">
        <v>34.909999999999997</v>
      </c>
      <c r="JF171">
        <v>34.99</v>
      </c>
      <c r="JV171">
        <v>38.46</v>
      </c>
      <c r="JW171">
        <v>38.78</v>
      </c>
      <c r="JY171">
        <v>39.25</v>
      </c>
      <c r="JZ171">
        <v>39.36</v>
      </c>
      <c r="KB171">
        <v>39.56</v>
      </c>
      <c r="KC171">
        <v>39.99</v>
      </c>
      <c r="KD171">
        <v>40.4</v>
      </c>
      <c r="KE171">
        <v>40.67</v>
      </c>
      <c r="KF171">
        <v>41.12</v>
      </c>
      <c r="KH171">
        <v>41.34</v>
      </c>
      <c r="KJ171">
        <v>41.6</v>
      </c>
      <c r="KK171">
        <v>42.58</v>
      </c>
      <c r="KM171">
        <v>43.43</v>
      </c>
      <c r="KN171">
        <v>43.56</v>
      </c>
      <c r="KQ171">
        <v>44.03</v>
      </c>
      <c r="KR171">
        <v>44.5</v>
      </c>
      <c r="KS171">
        <v>44.72</v>
      </c>
      <c r="KT171">
        <v>45.25</v>
      </c>
      <c r="KW171">
        <v>45.72</v>
      </c>
      <c r="KX171">
        <v>45.99</v>
      </c>
      <c r="KZ171">
        <v>46.62</v>
      </c>
      <c r="LC171">
        <v>47.19</v>
      </c>
      <c r="LD171">
        <v>47.42</v>
      </c>
      <c r="LS171">
        <v>50.87</v>
      </c>
      <c r="LU171">
        <v>51.24</v>
      </c>
      <c r="LY171">
        <v>51.85</v>
      </c>
      <c r="LZ171">
        <v>51.91</v>
      </c>
      <c r="MA171">
        <v>51.96</v>
      </c>
      <c r="MB171">
        <v>52.16</v>
      </c>
      <c r="MD171">
        <v>52.56</v>
      </c>
      <c r="MF171">
        <v>52.7</v>
      </c>
      <c r="MH171">
        <v>53.21</v>
      </c>
      <c r="MJ171">
        <v>53.62</v>
      </c>
      <c r="MK171">
        <v>53.75</v>
      </c>
      <c r="MM171">
        <v>53.87</v>
      </c>
      <c r="MP171">
        <v>54.32</v>
      </c>
      <c r="MR171">
        <v>54.57</v>
      </c>
      <c r="MT171">
        <v>54.65</v>
      </c>
      <c r="MU171">
        <v>54.8</v>
      </c>
      <c r="MV171">
        <v>54.96</v>
      </c>
      <c r="MW171">
        <v>55.05</v>
      </c>
      <c r="MY171">
        <v>55.35</v>
      </c>
      <c r="NA171">
        <v>55.41</v>
      </c>
      <c r="NB171">
        <v>55.51</v>
      </c>
      <c r="ND171">
        <v>55.69</v>
      </c>
      <c r="NI171">
        <v>56.01</v>
      </c>
      <c r="NJ171">
        <v>56.13</v>
      </c>
      <c r="NM171">
        <v>56.29</v>
      </c>
      <c r="NN171">
        <v>56.38</v>
      </c>
      <c r="NO171">
        <v>56.44</v>
      </c>
      <c r="NQ171">
        <v>56.62</v>
      </c>
      <c r="NR171">
        <v>56.65</v>
      </c>
      <c r="NX171">
        <v>56.87</v>
      </c>
      <c r="NY171">
        <v>56.94</v>
      </c>
      <c r="OA171">
        <v>57.05</v>
      </c>
      <c r="OD171">
        <v>57.16</v>
      </c>
      <c r="OF171">
        <v>57.32</v>
      </c>
      <c r="OH171">
        <v>57.45</v>
      </c>
      <c r="OJ171">
        <v>57.58</v>
      </c>
      <c r="OL171">
        <v>57.76</v>
      </c>
      <c r="OM171">
        <v>57.8</v>
      </c>
      <c r="OO171">
        <v>57.98</v>
      </c>
      <c r="OR171">
        <v>58.15</v>
      </c>
      <c r="OS171">
        <v>58.22</v>
      </c>
      <c r="OU171">
        <v>58.32</v>
      </c>
      <c r="OV171">
        <v>58.34</v>
      </c>
      <c r="PA171">
        <v>58.5</v>
      </c>
      <c r="PD171">
        <v>58.62</v>
      </c>
      <c r="PH171">
        <v>58.81</v>
      </c>
      <c r="PK171">
        <v>58.87</v>
      </c>
      <c r="PL171">
        <v>58.93</v>
      </c>
      <c r="PM171">
        <v>58.99</v>
      </c>
      <c r="PO171">
        <v>59.05</v>
      </c>
      <c r="PP171">
        <v>59.12</v>
      </c>
      <c r="PQ171">
        <v>59.13</v>
      </c>
      <c r="PT171">
        <v>59.25</v>
      </c>
      <c r="PU171">
        <v>59.29</v>
      </c>
      <c r="PY171">
        <v>59.38</v>
      </c>
      <c r="QA171">
        <v>59.4</v>
      </c>
      <c r="QH171">
        <v>63.05</v>
      </c>
      <c r="QO171">
        <v>63.25</v>
      </c>
      <c r="QQ171">
        <v>63.39</v>
      </c>
      <c r="QV171">
        <v>63.54</v>
      </c>
      <c r="QX171">
        <v>63.64</v>
      </c>
      <c r="RC171">
        <v>63.8</v>
      </c>
      <c r="RE171">
        <v>63.85</v>
      </c>
      <c r="RJ171">
        <v>63.92</v>
      </c>
      <c r="SA171">
        <v>64.77</v>
      </c>
      <c r="SH171">
        <v>64.86</v>
      </c>
      <c r="SO171">
        <v>64.959999999999994</v>
      </c>
      <c r="SV171">
        <v>65.099999999999994</v>
      </c>
      <c r="TC171">
        <v>65.260000000000005</v>
      </c>
      <c r="TJ171">
        <v>65.42</v>
      </c>
      <c r="TQ171">
        <v>65.55</v>
      </c>
      <c r="TV171">
        <v>65.569999999999993</v>
      </c>
      <c r="TX171">
        <v>65.61</v>
      </c>
      <c r="UC171">
        <v>65.69</v>
      </c>
      <c r="UJ171">
        <v>65.760000000000005</v>
      </c>
      <c r="UL171">
        <v>65.83</v>
      </c>
      <c r="UR171">
        <v>65.87</v>
      </c>
      <c r="US171">
        <v>65.900000000000006</v>
      </c>
      <c r="UY171">
        <v>65.95</v>
      </c>
      <c r="UZ171">
        <v>65.98</v>
      </c>
      <c r="VE171">
        <v>67.77</v>
      </c>
      <c r="VG171">
        <v>67.8</v>
      </c>
      <c r="VS171">
        <v>67.88</v>
      </c>
      <c r="VY171">
        <v>67.959999999999994</v>
      </c>
      <c r="WA171">
        <v>68.010000000000005</v>
      </c>
      <c r="WO171">
        <v>68.14</v>
      </c>
      <c r="WT171">
        <v>68.16</v>
      </c>
      <c r="XC171">
        <v>68.209999999999994</v>
      </c>
      <c r="XJ171">
        <v>68.22</v>
      </c>
      <c r="YL171">
        <v>74.19</v>
      </c>
      <c r="AAP171">
        <v>68.37</v>
      </c>
      <c r="AAW171">
        <v>68.37</v>
      </c>
      <c r="ABV171">
        <v>68.37</v>
      </c>
      <c r="ACE171">
        <v>68.37</v>
      </c>
      <c r="ACM171">
        <v>68.37</v>
      </c>
      <c r="ADA171">
        <v>68.37</v>
      </c>
    </row>
    <row r="172" spans="1:811">
      <c r="A172" s="1" t="s">
        <v>309</v>
      </c>
      <c r="B172" t="s">
        <v>361</v>
      </c>
      <c r="CV172">
        <v>8.07</v>
      </c>
      <c r="CX172">
        <v>8.4600000000000009</v>
      </c>
      <c r="DE172">
        <v>9.48</v>
      </c>
      <c r="DT172">
        <v>10.93</v>
      </c>
      <c r="EA172">
        <v>11.5</v>
      </c>
      <c r="EH172">
        <v>12.49</v>
      </c>
      <c r="EJ172">
        <v>12.5</v>
      </c>
      <c r="EK172">
        <v>12.62</v>
      </c>
      <c r="EL172">
        <v>12.74</v>
      </c>
      <c r="EN172">
        <v>13.08</v>
      </c>
      <c r="EO172">
        <v>13.09</v>
      </c>
      <c r="EZ172">
        <v>15.08</v>
      </c>
      <c r="FF172">
        <v>16.13</v>
      </c>
      <c r="FG172">
        <v>16.600000000000001</v>
      </c>
      <c r="FN172">
        <v>17.54</v>
      </c>
      <c r="FQ172">
        <v>18.72</v>
      </c>
      <c r="FV172">
        <v>19.309999999999999</v>
      </c>
      <c r="GC172">
        <v>20.5</v>
      </c>
      <c r="GH172">
        <v>20.81</v>
      </c>
      <c r="GN172">
        <v>21.31</v>
      </c>
      <c r="GS172">
        <v>22.23</v>
      </c>
      <c r="GU172">
        <v>22.3</v>
      </c>
      <c r="GY172">
        <v>22.54</v>
      </c>
      <c r="HA172">
        <v>22.54</v>
      </c>
      <c r="HB172">
        <v>22.99</v>
      </c>
      <c r="HQ172">
        <v>23.07</v>
      </c>
      <c r="HT172">
        <v>23.08</v>
      </c>
      <c r="IA172">
        <v>23.11</v>
      </c>
      <c r="ID172">
        <v>23.14</v>
      </c>
      <c r="IF172">
        <v>23.22</v>
      </c>
      <c r="II172">
        <v>23.24</v>
      </c>
      <c r="IL172">
        <v>23.25</v>
      </c>
      <c r="IN172">
        <v>23.28</v>
      </c>
      <c r="IU172">
        <v>24.06</v>
      </c>
      <c r="JK172">
        <v>27.82</v>
      </c>
      <c r="JS172">
        <v>28.87</v>
      </c>
      <c r="KC172">
        <v>29.73</v>
      </c>
      <c r="MN172">
        <v>47.4</v>
      </c>
      <c r="MY172">
        <v>50.28</v>
      </c>
      <c r="NA172">
        <v>51.08</v>
      </c>
      <c r="QK172">
        <v>61.16</v>
      </c>
      <c r="QO172">
        <v>61.89</v>
      </c>
      <c r="QQ172">
        <v>62.13</v>
      </c>
      <c r="SC172">
        <v>62.94</v>
      </c>
      <c r="ADH172">
        <v>70.58</v>
      </c>
    </row>
    <row r="173" spans="1:811">
      <c r="A173" s="1" t="s">
        <v>250</v>
      </c>
      <c r="B173" t="s">
        <v>250</v>
      </c>
      <c r="ER173">
        <v>3.74</v>
      </c>
      <c r="EY173">
        <v>6.02</v>
      </c>
      <c r="FF173">
        <v>10.36</v>
      </c>
      <c r="FM173">
        <v>14.34</v>
      </c>
      <c r="FT173">
        <v>16.440000000000001</v>
      </c>
      <c r="GA173">
        <v>19.329999999999998</v>
      </c>
      <c r="GH173">
        <v>20.28</v>
      </c>
      <c r="GN173">
        <v>22.77</v>
      </c>
      <c r="GV173">
        <v>27.55</v>
      </c>
      <c r="HC173">
        <v>31.33</v>
      </c>
      <c r="HQ173">
        <v>35.64</v>
      </c>
      <c r="HX173">
        <v>40.880000000000003</v>
      </c>
      <c r="ID173">
        <v>46.58</v>
      </c>
      <c r="IK173">
        <v>50.71</v>
      </c>
      <c r="IR173">
        <v>56.07</v>
      </c>
      <c r="IY173">
        <v>62.44</v>
      </c>
      <c r="JN173">
        <v>68.930000000000007</v>
      </c>
      <c r="JU173">
        <v>71.23</v>
      </c>
      <c r="KB173">
        <v>74.66</v>
      </c>
      <c r="KI173">
        <v>86.1</v>
      </c>
      <c r="LC173">
        <v>94.26</v>
      </c>
      <c r="LJ173">
        <v>97</v>
      </c>
      <c r="LQ173">
        <v>101.69</v>
      </c>
      <c r="LX173">
        <v>108.78</v>
      </c>
      <c r="ME173">
        <v>111.67</v>
      </c>
      <c r="MT173">
        <v>124.28</v>
      </c>
      <c r="NG173">
        <v>131.35</v>
      </c>
      <c r="NN173">
        <v>131.5</v>
      </c>
      <c r="OJ173">
        <v>132.12</v>
      </c>
      <c r="OQ173">
        <v>132.62</v>
      </c>
      <c r="PR173">
        <v>137.62</v>
      </c>
      <c r="PY173">
        <v>138.04</v>
      </c>
      <c r="RA173">
        <v>152.34</v>
      </c>
      <c r="RM173">
        <v>169.48</v>
      </c>
      <c r="RR173">
        <v>185.54</v>
      </c>
      <c r="SD173">
        <v>197.58</v>
      </c>
      <c r="SK173">
        <v>205.92</v>
      </c>
      <c r="SR173">
        <v>235.2</v>
      </c>
      <c r="SY173">
        <v>238.51</v>
      </c>
      <c r="TF173">
        <v>241.21</v>
      </c>
      <c r="TT173">
        <v>247.16</v>
      </c>
      <c r="VC173">
        <v>226.47</v>
      </c>
      <c r="WD173">
        <v>229.93</v>
      </c>
      <c r="WY173">
        <v>229.96</v>
      </c>
      <c r="XM173">
        <v>236.21</v>
      </c>
      <c r="XT173">
        <v>204.66</v>
      </c>
      <c r="YA173">
        <v>204.79</v>
      </c>
      <c r="YI173">
        <v>204.91</v>
      </c>
      <c r="YV173">
        <v>205.09</v>
      </c>
      <c r="ZQ173">
        <v>201.8</v>
      </c>
      <c r="AAS173">
        <v>236.87</v>
      </c>
      <c r="ACB173">
        <v>202.09</v>
      </c>
      <c r="ACP173">
        <v>202.11</v>
      </c>
      <c r="ACX173">
        <v>202.17</v>
      </c>
      <c r="ADK173">
        <v>203.48</v>
      </c>
    </row>
    <row r="174" spans="1:811">
      <c r="A174" s="1" t="s">
        <v>178</v>
      </c>
      <c r="B174" t="s">
        <v>178</v>
      </c>
      <c r="CD174">
        <v>0.1</v>
      </c>
      <c r="CF174">
        <v>0.81</v>
      </c>
      <c r="CG174">
        <v>1.71</v>
      </c>
      <c r="CH174">
        <v>2.6</v>
      </c>
      <c r="CI174">
        <v>4.08</v>
      </c>
      <c r="CJ174">
        <v>5.54</v>
      </c>
      <c r="CK174">
        <v>6.89</v>
      </c>
      <c r="CM174">
        <v>7.96</v>
      </c>
      <c r="CN174">
        <v>9.0299999999999994</v>
      </c>
      <c r="CO174">
        <v>10.81</v>
      </c>
      <c r="CP174">
        <v>12.62</v>
      </c>
      <c r="CQ174">
        <v>14.16</v>
      </c>
      <c r="CR174">
        <v>14.24</v>
      </c>
      <c r="CS174">
        <v>15.12</v>
      </c>
      <c r="CT174">
        <v>16</v>
      </c>
      <c r="CU174">
        <v>17.940000000000001</v>
      </c>
      <c r="CV174">
        <v>19.850000000000001</v>
      </c>
      <c r="CW174">
        <v>21.59</v>
      </c>
      <c r="CX174">
        <v>23.35</v>
      </c>
      <c r="DA174">
        <v>25.2</v>
      </c>
      <c r="DB174">
        <v>26.77</v>
      </c>
      <c r="DC174">
        <v>27.88</v>
      </c>
      <c r="DE174">
        <v>30.37</v>
      </c>
      <c r="DI174">
        <v>34.65</v>
      </c>
      <c r="DJ174">
        <v>36.36</v>
      </c>
      <c r="DL174">
        <v>38.159999999999997</v>
      </c>
      <c r="DM174">
        <v>39.700000000000003</v>
      </c>
      <c r="DP174">
        <v>41.55</v>
      </c>
      <c r="DQ174">
        <v>43.6</v>
      </c>
      <c r="DR174">
        <v>46.18</v>
      </c>
      <c r="DS174">
        <v>48.34</v>
      </c>
      <c r="DT174">
        <v>49.76</v>
      </c>
      <c r="DW174">
        <v>55.5</v>
      </c>
      <c r="DY174">
        <v>60.18</v>
      </c>
      <c r="DZ174">
        <v>63.01</v>
      </c>
      <c r="EA174">
        <v>63.03</v>
      </c>
      <c r="EB174">
        <v>64.540000000000006</v>
      </c>
      <c r="ED174">
        <v>68.569999999999993</v>
      </c>
      <c r="EE174">
        <v>71.489999999999995</v>
      </c>
      <c r="EF174">
        <v>74.08</v>
      </c>
      <c r="EG174">
        <v>76.680000000000007</v>
      </c>
      <c r="EJ174">
        <v>79.25</v>
      </c>
      <c r="EK174">
        <v>81.77</v>
      </c>
      <c r="EM174">
        <v>85.36</v>
      </c>
      <c r="EP174">
        <v>88.22</v>
      </c>
      <c r="ER174">
        <v>91.24</v>
      </c>
      <c r="ES174">
        <v>93.95</v>
      </c>
      <c r="EU174">
        <v>100.22</v>
      </c>
      <c r="FK174">
        <v>123.95</v>
      </c>
      <c r="FL174">
        <v>124.31</v>
      </c>
      <c r="FM174">
        <v>125.07</v>
      </c>
      <c r="FN174">
        <v>125.08</v>
      </c>
      <c r="FO174">
        <v>125.16</v>
      </c>
      <c r="FR174">
        <v>125.31</v>
      </c>
      <c r="FS174">
        <v>126.51</v>
      </c>
      <c r="FT174">
        <v>126.51</v>
      </c>
      <c r="FV174">
        <v>126.51</v>
      </c>
      <c r="FY174">
        <v>126.59</v>
      </c>
      <c r="FZ174">
        <v>127.27</v>
      </c>
      <c r="GC174">
        <v>128.09</v>
      </c>
      <c r="GF174">
        <v>128.19</v>
      </c>
      <c r="GG174">
        <v>128.62</v>
      </c>
      <c r="GH174">
        <v>128.68</v>
      </c>
      <c r="GI174">
        <v>128.68</v>
      </c>
      <c r="GM174">
        <v>129.84</v>
      </c>
      <c r="GN174">
        <v>130.76</v>
      </c>
      <c r="GO174">
        <v>130.79</v>
      </c>
      <c r="GP174">
        <v>130.79</v>
      </c>
      <c r="GR174">
        <v>130.91999999999999</v>
      </c>
      <c r="GV174">
        <v>130.91999999999999</v>
      </c>
      <c r="GW174">
        <v>131.16999999999999</v>
      </c>
      <c r="GY174">
        <v>131.58000000000001</v>
      </c>
      <c r="HB174">
        <v>131.59</v>
      </c>
      <c r="HI174">
        <v>132.74</v>
      </c>
      <c r="HP174">
        <v>132.85</v>
      </c>
      <c r="HS174">
        <v>133.19999999999999</v>
      </c>
      <c r="HY174">
        <v>133.19999999999999</v>
      </c>
      <c r="HZ174">
        <v>134.31</v>
      </c>
      <c r="IE174">
        <v>135.30000000000001</v>
      </c>
      <c r="IF174">
        <v>135.34</v>
      </c>
      <c r="IG174">
        <v>135.36000000000001</v>
      </c>
      <c r="IL174">
        <v>135.4</v>
      </c>
      <c r="IN174">
        <v>135.71</v>
      </c>
      <c r="IR174">
        <v>135.74</v>
      </c>
      <c r="IS174">
        <v>135.74</v>
      </c>
      <c r="IT174">
        <v>135.76</v>
      </c>
      <c r="IZ174">
        <v>136.65</v>
      </c>
      <c r="JA174">
        <v>136.68</v>
      </c>
      <c r="JE174">
        <v>136.68</v>
      </c>
      <c r="JT174">
        <v>137.94999999999999</v>
      </c>
      <c r="KA174">
        <v>138.27000000000001</v>
      </c>
      <c r="KB174">
        <v>138.44</v>
      </c>
      <c r="KC174">
        <v>138.44</v>
      </c>
    </row>
    <row r="175" spans="1:811">
      <c r="A175" s="1" t="s">
        <v>173</v>
      </c>
      <c r="B175" t="s">
        <v>362</v>
      </c>
      <c r="CT175">
        <v>0</v>
      </c>
      <c r="DA175">
        <v>1.81</v>
      </c>
      <c r="DH175">
        <v>4.4400000000000004</v>
      </c>
      <c r="FF175">
        <v>5.65</v>
      </c>
      <c r="FN175">
        <v>6.62</v>
      </c>
      <c r="FS175">
        <v>8.6199999999999992</v>
      </c>
      <c r="GA175">
        <v>10.51</v>
      </c>
      <c r="GC175">
        <v>10.79</v>
      </c>
      <c r="GG175">
        <v>10.91</v>
      </c>
      <c r="GQ175">
        <v>11.37</v>
      </c>
      <c r="GU175">
        <v>12.77</v>
      </c>
      <c r="HB175">
        <v>15.51</v>
      </c>
      <c r="HI175">
        <v>17.21</v>
      </c>
      <c r="HP175">
        <v>18.91</v>
      </c>
      <c r="HU175">
        <v>20.05</v>
      </c>
      <c r="HW175">
        <v>20.059999999999999</v>
      </c>
      <c r="IE175">
        <v>20.07</v>
      </c>
      <c r="IR175">
        <v>20.07</v>
      </c>
      <c r="JH175">
        <v>20.75</v>
      </c>
      <c r="JM175">
        <v>22.78</v>
      </c>
      <c r="LN175">
        <v>48.58</v>
      </c>
      <c r="OP175">
        <v>67.62</v>
      </c>
    </row>
    <row r="176" spans="1:811">
      <c r="A176" s="1" t="s">
        <v>49</v>
      </c>
      <c r="B176" t="s">
        <v>287</v>
      </c>
      <c r="AD176">
        <v>0.28999999999999998</v>
      </c>
      <c r="AE176">
        <v>0.4</v>
      </c>
      <c r="AI176">
        <v>0.51</v>
      </c>
      <c r="AO176">
        <v>0.85</v>
      </c>
      <c r="BA176">
        <v>1.1200000000000001</v>
      </c>
      <c r="BD176">
        <v>1.27</v>
      </c>
      <c r="BJ176">
        <v>1.27</v>
      </c>
      <c r="BN176">
        <v>1.28</v>
      </c>
      <c r="BQ176">
        <v>1.28</v>
      </c>
      <c r="BS176">
        <v>1.33</v>
      </c>
      <c r="BU176">
        <v>1.44</v>
      </c>
      <c r="CA176">
        <v>1.73</v>
      </c>
      <c r="CB176">
        <v>1.84</v>
      </c>
      <c r="CC176">
        <v>1.84</v>
      </c>
      <c r="CE176">
        <v>2.2400000000000002</v>
      </c>
      <c r="CG176">
        <v>2.54</v>
      </c>
      <c r="CH176">
        <v>2.88</v>
      </c>
      <c r="CI176">
        <v>3.43</v>
      </c>
      <c r="CJ176">
        <v>3.63</v>
      </c>
      <c r="CL176">
        <v>3.83</v>
      </c>
      <c r="CM176">
        <v>4.2699999999999996</v>
      </c>
      <c r="CN176">
        <v>4.71</v>
      </c>
      <c r="CO176">
        <v>4.84</v>
      </c>
      <c r="CP176">
        <v>5.24</v>
      </c>
      <c r="CQ176">
        <v>5.77</v>
      </c>
      <c r="CR176">
        <v>5.98</v>
      </c>
      <c r="CS176">
        <v>6.41</v>
      </c>
      <c r="CT176">
        <v>6.71</v>
      </c>
      <c r="CU176">
        <v>7.04</v>
      </c>
      <c r="CV176">
        <v>7.4</v>
      </c>
      <c r="CW176">
        <v>7.73</v>
      </c>
      <c r="CX176">
        <v>7.9</v>
      </c>
      <c r="CY176">
        <v>8.6199999999999992</v>
      </c>
      <c r="CZ176">
        <v>9.16</v>
      </c>
      <c r="DA176">
        <v>9.57</v>
      </c>
      <c r="DB176">
        <v>10.039999999999999</v>
      </c>
      <c r="DC176">
        <v>10.48</v>
      </c>
      <c r="DD176">
        <v>10.92</v>
      </c>
      <c r="DE176">
        <v>11.17</v>
      </c>
      <c r="DF176">
        <v>11.48</v>
      </c>
      <c r="DG176">
        <v>11.85</v>
      </c>
      <c r="DH176">
        <v>12.18</v>
      </c>
      <c r="DI176">
        <v>12.41</v>
      </c>
      <c r="DJ176">
        <v>12.68</v>
      </c>
      <c r="DK176">
        <v>13.17</v>
      </c>
      <c r="DL176">
        <v>13.58</v>
      </c>
      <c r="DM176">
        <v>14.01</v>
      </c>
      <c r="DN176">
        <v>14.36</v>
      </c>
      <c r="DO176">
        <v>14.7</v>
      </c>
      <c r="DP176">
        <v>15.35</v>
      </c>
      <c r="DQ176">
        <v>16.02</v>
      </c>
      <c r="DR176">
        <v>16.79</v>
      </c>
      <c r="DS176">
        <v>17.2</v>
      </c>
      <c r="DT176">
        <v>17.61</v>
      </c>
      <c r="DU176">
        <v>18.059999999999999</v>
      </c>
      <c r="DV176">
        <v>18.420000000000002</v>
      </c>
      <c r="DW176">
        <v>18.75</v>
      </c>
      <c r="DX176">
        <v>18.91</v>
      </c>
      <c r="DY176">
        <v>19.309999999999999</v>
      </c>
      <c r="DZ176">
        <v>19.62</v>
      </c>
      <c r="EA176">
        <v>20.079999999999998</v>
      </c>
      <c r="EB176">
        <v>20.65</v>
      </c>
      <c r="EC176">
        <v>21.04</v>
      </c>
      <c r="ED176">
        <v>21.43</v>
      </c>
      <c r="EE176">
        <v>21.98</v>
      </c>
      <c r="EF176">
        <v>22.43</v>
      </c>
      <c r="EG176">
        <v>22.82</v>
      </c>
      <c r="EH176">
        <v>23.15</v>
      </c>
      <c r="EI176">
        <v>23.74</v>
      </c>
      <c r="EJ176">
        <v>24.38</v>
      </c>
      <c r="EK176">
        <v>24.97</v>
      </c>
      <c r="EL176">
        <v>25.51</v>
      </c>
      <c r="EM176">
        <v>25.95</v>
      </c>
      <c r="EN176">
        <v>26.84</v>
      </c>
      <c r="EO176">
        <v>27.26</v>
      </c>
      <c r="EP176">
        <v>27.73</v>
      </c>
      <c r="EQ176">
        <v>28.07</v>
      </c>
      <c r="ER176">
        <v>28.26</v>
      </c>
      <c r="ES176">
        <v>28.58</v>
      </c>
      <c r="ET176">
        <v>29.04</v>
      </c>
      <c r="EU176">
        <v>29.5</v>
      </c>
      <c r="EV176">
        <v>29.99</v>
      </c>
      <c r="EW176">
        <v>30.53</v>
      </c>
      <c r="EX176">
        <v>30.9</v>
      </c>
      <c r="EY176">
        <v>31.48</v>
      </c>
      <c r="EZ176">
        <v>31.88</v>
      </c>
      <c r="FA176">
        <v>32.159999999999997</v>
      </c>
      <c r="FB176">
        <v>32.49</v>
      </c>
      <c r="FC176">
        <v>33</v>
      </c>
      <c r="FD176">
        <v>33.520000000000003</v>
      </c>
      <c r="FE176">
        <v>33.979999999999997</v>
      </c>
      <c r="FF176">
        <v>34.53</v>
      </c>
      <c r="FG176">
        <v>35.119999999999997</v>
      </c>
      <c r="FH176">
        <v>35.72</v>
      </c>
      <c r="FI176">
        <v>36.24</v>
      </c>
      <c r="FJ176">
        <v>36.74</v>
      </c>
      <c r="FK176">
        <v>37</v>
      </c>
      <c r="FL176">
        <v>37.380000000000003</v>
      </c>
      <c r="FM176">
        <v>37.869999999999997</v>
      </c>
      <c r="FN176">
        <v>38.49</v>
      </c>
      <c r="FO176">
        <v>39.020000000000003</v>
      </c>
      <c r="FP176">
        <v>39.42</v>
      </c>
      <c r="FQ176">
        <v>39.72</v>
      </c>
      <c r="FR176">
        <v>40.340000000000003</v>
      </c>
      <c r="FS176">
        <v>40.81</v>
      </c>
      <c r="FT176">
        <v>41.17</v>
      </c>
      <c r="FU176">
        <v>41.69</v>
      </c>
      <c r="FV176">
        <v>42.02</v>
      </c>
      <c r="FW176">
        <v>42.31</v>
      </c>
      <c r="FX176">
        <v>42.64</v>
      </c>
      <c r="FY176">
        <v>43.02</v>
      </c>
      <c r="FZ176">
        <v>43.37</v>
      </c>
      <c r="GA176">
        <v>43.72</v>
      </c>
      <c r="GB176">
        <v>44.12</v>
      </c>
      <c r="GC176">
        <v>44.51</v>
      </c>
      <c r="GD176">
        <v>44.83</v>
      </c>
      <c r="GE176">
        <v>45.12</v>
      </c>
      <c r="GF176">
        <v>45.49</v>
      </c>
      <c r="GG176">
        <v>45.91</v>
      </c>
      <c r="GH176">
        <v>46.27</v>
      </c>
      <c r="GI176">
        <v>46.61</v>
      </c>
      <c r="GJ176">
        <v>47</v>
      </c>
      <c r="GK176">
        <v>47.27</v>
      </c>
      <c r="GL176">
        <v>47.53</v>
      </c>
      <c r="GM176">
        <v>47.82</v>
      </c>
      <c r="GN176">
        <v>48.07</v>
      </c>
      <c r="GO176">
        <v>48.39</v>
      </c>
      <c r="GP176">
        <v>48.64</v>
      </c>
      <c r="GQ176">
        <v>48.93</v>
      </c>
      <c r="GR176">
        <v>49.14</v>
      </c>
      <c r="GS176">
        <v>49.45</v>
      </c>
      <c r="GT176">
        <v>49.81</v>
      </c>
      <c r="GU176">
        <v>50.23</v>
      </c>
      <c r="GV176">
        <v>50.76</v>
      </c>
      <c r="GW176">
        <v>51.36</v>
      </c>
      <c r="GX176">
        <v>51.76</v>
      </c>
      <c r="GY176">
        <v>52.27</v>
      </c>
      <c r="GZ176">
        <v>52.62</v>
      </c>
      <c r="HA176">
        <v>53.03</v>
      </c>
      <c r="HB176">
        <v>53.71</v>
      </c>
      <c r="HC176">
        <v>54.27</v>
      </c>
      <c r="HD176">
        <v>54.76</v>
      </c>
      <c r="HE176">
        <v>55.33</v>
      </c>
      <c r="HF176">
        <v>55.72</v>
      </c>
      <c r="HG176">
        <v>56.26</v>
      </c>
      <c r="HH176">
        <v>56.95</v>
      </c>
      <c r="HI176">
        <v>58.1</v>
      </c>
      <c r="HJ176">
        <v>59.16</v>
      </c>
      <c r="HK176">
        <v>60.59</v>
      </c>
      <c r="HL176">
        <v>61.92</v>
      </c>
      <c r="HM176">
        <v>62.99</v>
      </c>
      <c r="HN176">
        <v>63.95</v>
      </c>
      <c r="HO176">
        <v>65.05</v>
      </c>
      <c r="HP176">
        <v>65.69</v>
      </c>
      <c r="HQ176">
        <v>66.290000000000006</v>
      </c>
      <c r="HR176">
        <v>67.17</v>
      </c>
      <c r="HS176">
        <v>68.150000000000006</v>
      </c>
      <c r="HT176">
        <v>68.959999999999994</v>
      </c>
      <c r="HU176">
        <v>69.84</v>
      </c>
      <c r="HV176">
        <v>70.92</v>
      </c>
      <c r="HW176">
        <v>71.989999999999995</v>
      </c>
      <c r="HX176">
        <v>73.14</v>
      </c>
      <c r="HY176">
        <v>74.319999999999993</v>
      </c>
      <c r="HZ176">
        <v>75.48</v>
      </c>
      <c r="IA176">
        <v>76.31</v>
      </c>
      <c r="IB176">
        <v>77.180000000000007</v>
      </c>
      <c r="IC176">
        <v>78.48</v>
      </c>
      <c r="ID176">
        <v>79.88</v>
      </c>
      <c r="IE176">
        <v>81.17</v>
      </c>
      <c r="IF176">
        <v>82.1</v>
      </c>
      <c r="IG176">
        <v>83.57</v>
      </c>
      <c r="IH176">
        <v>84.23</v>
      </c>
      <c r="II176">
        <v>85.03</v>
      </c>
      <c r="IJ176">
        <v>86.03</v>
      </c>
      <c r="IK176">
        <v>86.81</v>
      </c>
      <c r="IL176">
        <v>87.74</v>
      </c>
      <c r="IM176">
        <v>88.76</v>
      </c>
      <c r="IN176">
        <v>89.84</v>
      </c>
      <c r="IO176">
        <v>90.34</v>
      </c>
      <c r="IP176">
        <v>90.92</v>
      </c>
      <c r="IQ176">
        <v>91.82</v>
      </c>
      <c r="IR176">
        <v>92.73</v>
      </c>
      <c r="IS176">
        <v>93.68</v>
      </c>
      <c r="IT176">
        <v>94.62</v>
      </c>
      <c r="IU176">
        <v>95.57</v>
      </c>
      <c r="IV176">
        <v>94.76</v>
      </c>
      <c r="IW176">
        <v>95.46</v>
      </c>
      <c r="IX176">
        <v>96.5</v>
      </c>
      <c r="IY176">
        <v>97.54</v>
      </c>
      <c r="IZ176">
        <v>98.56</v>
      </c>
      <c r="JA176">
        <v>99.51</v>
      </c>
      <c r="JB176">
        <v>100.52</v>
      </c>
      <c r="JC176">
        <v>101.15</v>
      </c>
      <c r="JD176">
        <v>101.94</v>
      </c>
      <c r="JE176">
        <v>103.33</v>
      </c>
      <c r="JF176">
        <v>104.23</v>
      </c>
      <c r="JG176">
        <v>105.07</v>
      </c>
      <c r="JH176">
        <v>105.69</v>
      </c>
      <c r="JI176">
        <v>106.37</v>
      </c>
      <c r="JJ176">
        <v>106.68</v>
      </c>
      <c r="JK176">
        <v>107.06</v>
      </c>
      <c r="JL176">
        <v>107.72</v>
      </c>
      <c r="JM176">
        <v>108.28</v>
      </c>
      <c r="JN176">
        <v>108.92</v>
      </c>
      <c r="JO176">
        <v>109.62</v>
      </c>
      <c r="JP176">
        <v>110.38</v>
      </c>
      <c r="JQ176">
        <v>110.82</v>
      </c>
      <c r="JR176">
        <v>111.35</v>
      </c>
      <c r="JS176">
        <v>112.07</v>
      </c>
      <c r="JT176">
        <v>112.73</v>
      </c>
      <c r="JU176">
        <v>113.28</v>
      </c>
      <c r="JV176">
        <v>113.82</v>
      </c>
      <c r="JW176">
        <v>114.54</v>
      </c>
      <c r="JX176">
        <v>114.81</v>
      </c>
      <c r="JY176">
        <v>115.16</v>
      </c>
      <c r="JZ176">
        <v>115.7</v>
      </c>
      <c r="KA176">
        <v>116.11</v>
      </c>
      <c r="KB176">
        <v>116.51</v>
      </c>
      <c r="KC176">
        <v>116.84</v>
      </c>
      <c r="KD176">
        <v>117.03</v>
      </c>
      <c r="KE176">
        <v>117.16</v>
      </c>
      <c r="KF176">
        <v>117.4</v>
      </c>
      <c r="KG176">
        <v>117.83</v>
      </c>
      <c r="KH176">
        <v>118.19</v>
      </c>
      <c r="KI176">
        <v>118.52</v>
      </c>
      <c r="KJ176">
        <v>118.82</v>
      </c>
      <c r="KK176">
        <v>119.15</v>
      </c>
      <c r="KL176">
        <v>119.31</v>
      </c>
      <c r="KM176">
        <v>119.59</v>
      </c>
      <c r="KN176">
        <v>120.08</v>
      </c>
      <c r="KO176">
        <v>120.54</v>
      </c>
      <c r="KP176">
        <v>120.96</v>
      </c>
      <c r="KQ176">
        <v>121.43</v>
      </c>
      <c r="KR176">
        <v>121.95</v>
      </c>
      <c r="KS176">
        <v>122.22</v>
      </c>
      <c r="KT176">
        <v>122.62</v>
      </c>
      <c r="KU176">
        <v>123.41</v>
      </c>
      <c r="KV176">
        <v>124.09</v>
      </c>
      <c r="KW176">
        <v>124.65</v>
      </c>
      <c r="KX176">
        <v>125.12</v>
      </c>
      <c r="KY176">
        <v>125.56</v>
      </c>
      <c r="KZ176">
        <v>125.75</v>
      </c>
      <c r="LA176">
        <v>125.98</v>
      </c>
      <c r="LB176">
        <v>126.35</v>
      </c>
      <c r="LC176">
        <v>126.48</v>
      </c>
      <c r="LD176">
        <v>126.94</v>
      </c>
      <c r="LE176">
        <v>127.19</v>
      </c>
      <c r="LF176">
        <v>127.45</v>
      </c>
      <c r="LG176">
        <v>127.59</v>
      </c>
      <c r="LH176">
        <v>127.82</v>
      </c>
      <c r="LI176">
        <v>128.09</v>
      </c>
      <c r="LJ176">
        <v>128.33000000000001</v>
      </c>
      <c r="LK176">
        <v>128.54</v>
      </c>
      <c r="LL176">
        <v>128.74</v>
      </c>
      <c r="LM176">
        <v>128.93</v>
      </c>
      <c r="LN176">
        <v>129.02000000000001</v>
      </c>
      <c r="LO176">
        <v>129.15</v>
      </c>
      <c r="LP176">
        <v>129.37</v>
      </c>
      <c r="LQ176">
        <v>129.55000000000001</v>
      </c>
      <c r="LR176">
        <v>130.5</v>
      </c>
      <c r="LS176">
        <v>130.66</v>
      </c>
      <c r="LT176">
        <v>130.80000000000001</v>
      </c>
      <c r="LU176">
        <v>130.93</v>
      </c>
      <c r="LV176">
        <v>130.97999999999999</v>
      </c>
      <c r="LY176">
        <v>131.54</v>
      </c>
      <c r="LZ176">
        <v>131.71</v>
      </c>
      <c r="MA176">
        <v>131.88999999999999</v>
      </c>
      <c r="MB176">
        <v>131.96</v>
      </c>
      <c r="MC176">
        <v>132.06</v>
      </c>
      <c r="MD176">
        <v>132.27000000000001</v>
      </c>
      <c r="ME176">
        <v>132.44</v>
      </c>
      <c r="MF176">
        <v>132.51</v>
      </c>
      <c r="MG176">
        <v>132.74</v>
      </c>
      <c r="MH176">
        <v>132.88</v>
      </c>
      <c r="MI176">
        <v>132.93</v>
      </c>
      <c r="MJ176">
        <v>133.03</v>
      </c>
      <c r="MK176">
        <v>133.16</v>
      </c>
      <c r="ML176">
        <v>133.31</v>
      </c>
      <c r="MM176">
        <v>133.43</v>
      </c>
      <c r="MN176">
        <v>133.56</v>
      </c>
      <c r="MO176">
        <v>133.68</v>
      </c>
      <c r="MP176">
        <v>133.74</v>
      </c>
      <c r="MQ176">
        <v>133.82</v>
      </c>
      <c r="MR176">
        <v>133.87</v>
      </c>
      <c r="MS176">
        <v>134.1</v>
      </c>
      <c r="MT176">
        <v>134.25</v>
      </c>
      <c r="MU176">
        <v>134.26</v>
      </c>
      <c r="MW176">
        <v>134.51</v>
      </c>
      <c r="MX176">
        <v>134.77000000000001</v>
      </c>
      <c r="MY176">
        <v>134.97</v>
      </c>
      <c r="MZ176">
        <v>135.16</v>
      </c>
      <c r="NA176">
        <v>135.34</v>
      </c>
      <c r="NB176">
        <v>135.53</v>
      </c>
      <c r="NC176">
        <v>135.69999999999999</v>
      </c>
      <c r="ND176">
        <v>135.78</v>
      </c>
      <c r="NE176">
        <v>135.88999999999999</v>
      </c>
      <c r="NF176">
        <v>136.07</v>
      </c>
      <c r="NG176">
        <v>136.12</v>
      </c>
      <c r="NH176">
        <v>136.35</v>
      </c>
      <c r="NI176">
        <v>136.47999999999999</v>
      </c>
      <c r="NJ176">
        <v>136.6</v>
      </c>
      <c r="NK176">
        <v>136.65</v>
      </c>
      <c r="NL176">
        <v>136.72999999999999</v>
      </c>
      <c r="NM176">
        <v>136.9</v>
      </c>
      <c r="NN176">
        <v>137.16999999999999</v>
      </c>
      <c r="NO176">
        <v>137.65</v>
      </c>
      <c r="NP176">
        <v>138.27000000000001</v>
      </c>
      <c r="NQ176">
        <v>138.97</v>
      </c>
      <c r="NR176">
        <v>139.37</v>
      </c>
      <c r="NS176">
        <v>139.85</v>
      </c>
      <c r="NT176">
        <v>140.63</v>
      </c>
      <c r="NU176">
        <v>141.35</v>
      </c>
      <c r="NV176">
        <v>142.09</v>
      </c>
      <c r="NW176">
        <v>142.83000000000001</v>
      </c>
      <c r="NX176">
        <v>143.62</v>
      </c>
      <c r="NY176">
        <v>144.01</v>
      </c>
      <c r="NZ176">
        <v>144.4</v>
      </c>
      <c r="OA176">
        <v>145.05000000000001</v>
      </c>
      <c r="OB176">
        <v>145.71</v>
      </c>
      <c r="OC176">
        <v>146.38</v>
      </c>
      <c r="OD176">
        <v>147.04</v>
      </c>
      <c r="OE176">
        <v>147.75</v>
      </c>
      <c r="OF176">
        <v>148.07</v>
      </c>
      <c r="OG176">
        <v>148.46</v>
      </c>
      <c r="OH176">
        <v>149.09</v>
      </c>
      <c r="OI176">
        <v>149.69</v>
      </c>
      <c r="OJ176">
        <v>150.25</v>
      </c>
      <c r="OK176">
        <v>150.86000000000001</v>
      </c>
      <c r="OL176">
        <v>151.47999999999999</v>
      </c>
      <c r="OM176">
        <v>151.83000000000001</v>
      </c>
      <c r="ON176">
        <v>152.24</v>
      </c>
      <c r="OO176">
        <v>152.77000000000001</v>
      </c>
      <c r="OP176">
        <v>153.34</v>
      </c>
      <c r="OQ176">
        <v>153.83000000000001</v>
      </c>
      <c r="OR176">
        <v>154.49</v>
      </c>
      <c r="OS176">
        <v>155.26</v>
      </c>
      <c r="OT176">
        <v>155.18</v>
      </c>
      <c r="OV176">
        <v>156.9</v>
      </c>
      <c r="OW176">
        <v>157.79</v>
      </c>
      <c r="OX176">
        <v>158.49</v>
      </c>
      <c r="OY176">
        <v>159.19</v>
      </c>
      <c r="OZ176">
        <v>159.93</v>
      </c>
      <c r="PA176">
        <v>160.33000000000001</v>
      </c>
      <c r="PB176">
        <v>160.46</v>
      </c>
      <c r="PD176">
        <v>162.22</v>
      </c>
      <c r="PE176">
        <v>162.94999999999999</v>
      </c>
      <c r="PF176">
        <v>163.69999999999999</v>
      </c>
      <c r="PG176">
        <v>164.39</v>
      </c>
      <c r="PH176">
        <v>164.76</v>
      </c>
      <c r="PI176">
        <v>165.2</v>
      </c>
      <c r="PJ176">
        <v>165.72</v>
      </c>
      <c r="PK176">
        <v>166.19</v>
      </c>
      <c r="PL176">
        <v>166.59</v>
      </c>
      <c r="PM176">
        <v>166.98</v>
      </c>
      <c r="PN176">
        <v>167.46</v>
      </c>
      <c r="PO176">
        <v>167.69</v>
      </c>
      <c r="PP176">
        <v>167.97</v>
      </c>
      <c r="PQ176">
        <v>168.38</v>
      </c>
      <c r="PR176">
        <v>168.76</v>
      </c>
      <c r="PS176">
        <v>168.82</v>
      </c>
      <c r="RM176">
        <v>178.84</v>
      </c>
      <c r="RU176">
        <v>180.99</v>
      </c>
      <c r="RW176">
        <v>180.59</v>
      </c>
      <c r="SE176">
        <v>181.69</v>
      </c>
      <c r="SN176">
        <v>182.22</v>
      </c>
      <c r="TF176">
        <v>184.95</v>
      </c>
      <c r="UC176">
        <v>188.4</v>
      </c>
      <c r="UI176">
        <v>188.74</v>
      </c>
      <c r="ADZ176">
        <v>187.87</v>
      </c>
    </row>
    <row r="177" spans="1:800">
      <c r="A177" s="1" t="s">
        <v>109</v>
      </c>
      <c r="B177" t="s">
        <v>109</v>
      </c>
      <c r="BY177">
        <v>0</v>
      </c>
      <c r="BZ177">
        <v>0</v>
      </c>
      <c r="CA177">
        <v>0.02</v>
      </c>
      <c r="CB177">
        <v>7.0000000000000007E-2</v>
      </c>
      <c r="CC177">
        <v>0.13</v>
      </c>
      <c r="CD177">
        <v>0.15</v>
      </c>
      <c r="CE177">
        <v>0.16</v>
      </c>
      <c r="CF177">
        <v>0.21</v>
      </c>
      <c r="CG177">
        <v>0.24</v>
      </c>
      <c r="CH177">
        <v>0.27</v>
      </c>
      <c r="CI177">
        <v>0.31</v>
      </c>
      <c r="CJ177">
        <v>0.37</v>
      </c>
      <c r="CK177">
        <v>0.38</v>
      </c>
      <c r="CL177">
        <v>0.39</v>
      </c>
      <c r="CM177">
        <v>0.4</v>
      </c>
      <c r="CN177">
        <v>0.41</v>
      </c>
      <c r="CO177">
        <v>0.41</v>
      </c>
      <c r="CR177">
        <v>0.78</v>
      </c>
      <c r="CS177">
        <v>0.78</v>
      </c>
      <c r="CT177">
        <v>0.83</v>
      </c>
      <c r="CU177">
        <v>0.86</v>
      </c>
      <c r="CV177">
        <v>0.87</v>
      </c>
      <c r="CW177">
        <v>0.89</v>
      </c>
      <c r="CX177">
        <v>0.9</v>
      </c>
      <c r="CY177">
        <v>0.95</v>
      </c>
      <c r="CZ177">
        <v>0.95</v>
      </c>
      <c r="DA177">
        <v>1.01</v>
      </c>
      <c r="DB177">
        <v>1.08</v>
      </c>
      <c r="DC177">
        <v>1.18</v>
      </c>
      <c r="DD177">
        <v>1.26</v>
      </c>
      <c r="DE177">
        <v>1.35</v>
      </c>
      <c r="DF177">
        <v>1.38</v>
      </c>
      <c r="DH177">
        <v>1.4</v>
      </c>
      <c r="DI177">
        <v>1.48</v>
      </c>
      <c r="DJ177">
        <v>1.56</v>
      </c>
      <c r="DK177">
        <v>1.64</v>
      </c>
      <c r="DL177">
        <v>1.72</v>
      </c>
      <c r="DM177">
        <v>1.79</v>
      </c>
      <c r="DN177">
        <v>1.81</v>
      </c>
      <c r="DO177">
        <v>1.82</v>
      </c>
      <c r="DP177">
        <v>1.84</v>
      </c>
      <c r="DR177">
        <v>1.95</v>
      </c>
      <c r="DS177">
        <v>2</v>
      </c>
      <c r="DT177">
        <v>2.0499999999999998</v>
      </c>
      <c r="DU177">
        <v>2.08</v>
      </c>
      <c r="DV177">
        <v>2.1</v>
      </c>
      <c r="DW177">
        <v>2.16</v>
      </c>
      <c r="DX177">
        <v>2.21</v>
      </c>
      <c r="DY177">
        <v>2.25</v>
      </c>
      <c r="DZ177">
        <v>2.27</v>
      </c>
      <c r="EA177">
        <v>2.27</v>
      </c>
      <c r="EF177">
        <v>2.34</v>
      </c>
      <c r="EG177">
        <v>2.36</v>
      </c>
      <c r="EH177">
        <v>2.38</v>
      </c>
      <c r="EI177">
        <v>2.38</v>
      </c>
      <c r="EJ177">
        <v>2.39</v>
      </c>
      <c r="EK177">
        <v>2.41</v>
      </c>
      <c r="EL177">
        <v>2.4300000000000002</v>
      </c>
      <c r="EM177">
        <v>2.4500000000000002</v>
      </c>
      <c r="EN177">
        <v>2.46</v>
      </c>
      <c r="EO177">
        <v>2.4700000000000002</v>
      </c>
      <c r="EQ177">
        <v>2.4700000000000002</v>
      </c>
      <c r="ER177">
        <v>2.4900000000000002</v>
      </c>
      <c r="ES177">
        <v>2.5</v>
      </c>
      <c r="ET177">
        <v>2.52</v>
      </c>
      <c r="EU177">
        <v>2.5299999999999998</v>
      </c>
      <c r="EV177">
        <v>2.5499999999999998</v>
      </c>
      <c r="EY177">
        <v>2.56</v>
      </c>
      <c r="EZ177">
        <v>2.58</v>
      </c>
      <c r="FA177">
        <v>2.58</v>
      </c>
      <c r="FI177">
        <v>3.02</v>
      </c>
      <c r="FL177">
        <v>3.05</v>
      </c>
      <c r="FN177">
        <v>3.07</v>
      </c>
      <c r="FS177">
        <v>3.12</v>
      </c>
      <c r="GA177">
        <v>3.21</v>
      </c>
      <c r="GC177">
        <v>3.26</v>
      </c>
      <c r="GG177">
        <v>3.74</v>
      </c>
      <c r="GH177">
        <v>3.78</v>
      </c>
      <c r="GU177">
        <v>3.97</v>
      </c>
      <c r="HB177">
        <v>4.49</v>
      </c>
      <c r="HI177">
        <v>4.88</v>
      </c>
      <c r="HJ177">
        <v>4.92</v>
      </c>
      <c r="HP177">
        <v>5.2</v>
      </c>
      <c r="HU177">
        <v>5.31</v>
      </c>
      <c r="HW177">
        <v>5.41</v>
      </c>
      <c r="IE177">
        <v>7.19</v>
      </c>
      <c r="IK177">
        <v>8.1199999999999992</v>
      </c>
      <c r="IR177">
        <v>8.67</v>
      </c>
      <c r="IU177">
        <v>10.09</v>
      </c>
      <c r="JA177">
        <v>9.9600000000000009</v>
      </c>
      <c r="JH177">
        <v>10.07</v>
      </c>
      <c r="JP177">
        <v>10.14</v>
      </c>
      <c r="JV177">
        <v>10.28</v>
      </c>
      <c r="KC177">
        <v>10.38</v>
      </c>
      <c r="KK177">
        <v>10.54</v>
      </c>
      <c r="KR177">
        <v>10.64</v>
      </c>
      <c r="KY177">
        <v>10.68</v>
      </c>
      <c r="LC177">
        <v>11.39</v>
      </c>
      <c r="NC177">
        <v>11.21</v>
      </c>
      <c r="NI177">
        <v>13.2</v>
      </c>
      <c r="NX177">
        <v>13.35</v>
      </c>
      <c r="OE177">
        <v>13.72</v>
      </c>
      <c r="PF177">
        <v>11.89</v>
      </c>
    </row>
    <row r="178" spans="1:800">
      <c r="A178" s="1" t="s">
        <v>87</v>
      </c>
      <c r="B178" t="s">
        <v>87</v>
      </c>
      <c r="AF178">
        <v>0.1</v>
      </c>
      <c r="AH178">
        <v>0.14000000000000001</v>
      </c>
      <c r="AL178">
        <v>0.27</v>
      </c>
      <c r="AR178">
        <v>0.66</v>
      </c>
      <c r="AS178">
        <v>1.25</v>
      </c>
      <c r="AT178">
        <v>1.76</v>
      </c>
      <c r="AU178">
        <v>2.4</v>
      </c>
      <c r="AV178">
        <v>3.2</v>
      </c>
      <c r="AW178">
        <v>3.77</v>
      </c>
      <c r="AX178">
        <v>4.7</v>
      </c>
      <c r="AY178">
        <v>5.32</v>
      </c>
      <c r="AZ178">
        <v>5.9</v>
      </c>
      <c r="BA178">
        <v>6.33</v>
      </c>
      <c r="BB178">
        <v>6.43</v>
      </c>
      <c r="BE178">
        <v>7.29</v>
      </c>
      <c r="BF178">
        <v>7.55</v>
      </c>
      <c r="BG178">
        <v>7.74</v>
      </c>
      <c r="BH178">
        <v>7.91</v>
      </c>
      <c r="BJ178">
        <v>8</v>
      </c>
      <c r="BM178">
        <v>9.41</v>
      </c>
      <c r="BO178">
        <v>12.29</v>
      </c>
      <c r="BQ178">
        <v>14.5</v>
      </c>
      <c r="BZ178">
        <v>19.11</v>
      </c>
      <c r="CA178">
        <v>19.75</v>
      </c>
      <c r="CB178">
        <v>20.22</v>
      </c>
      <c r="CC178">
        <v>20.47</v>
      </c>
      <c r="CD178">
        <v>21.06</v>
      </c>
      <c r="CE178">
        <v>21.11</v>
      </c>
      <c r="CF178">
        <v>21.61</v>
      </c>
      <c r="CG178">
        <v>22.07</v>
      </c>
      <c r="CH178">
        <v>22.56</v>
      </c>
      <c r="CI178">
        <v>23.18</v>
      </c>
      <c r="CJ178">
        <v>23.79</v>
      </c>
      <c r="CK178">
        <v>24.25</v>
      </c>
      <c r="CL178">
        <v>24.27</v>
      </c>
      <c r="CM178">
        <v>25.05</v>
      </c>
      <c r="CN178">
        <v>25.73</v>
      </c>
      <c r="CO178">
        <v>26.35</v>
      </c>
      <c r="CP178">
        <v>26.85</v>
      </c>
      <c r="CQ178">
        <v>27.88</v>
      </c>
      <c r="CR178">
        <v>28.76</v>
      </c>
      <c r="CS178">
        <v>29.5</v>
      </c>
      <c r="CT178">
        <v>29.98</v>
      </c>
      <c r="CU178">
        <v>30.16</v>
      </c>
      <c r="CV178">
        <v>30.53</v>
      </c>
      <c r="CW178">
        <v>31.04</v>
      </c>
      <c r="CX178">
        <v>31.77</v>
      </c>
      <c r="CY178">
        <v>31.8</v>
      </c>
      <c r="CZ178">
        <v>31.89</v>
      </c>
      <c r="DA178">
        <v>32.020000000000003</v>
      </c>
      <c r="DB178">
        <v>32.43</v>
      </c>
      <c r="DC178">
        <v>32.94</v>
      </c>
      <c r="DE178">
        <v>33.549999999999997</v>
      </c>
      <c r="DG178">
        <v>34.15</v>
      </c>
      <c r="DI178">
        <v>35.58</v>
      </c>
      <c r="DJ178">
        <v>35.92</v>
      </c>
      <c r="DK178">
        <v>36.57</v>
      </c>
      <c r="DL178">
        <v>37.06</v>
      </c>
      <c r="DN178">
        <v>37.729999999999997</v>
      </c>
      <c r="DO178">
        <v>38.119999999999997</v>
      </c>
      <c r="DP178">
        <v>38.590000000000003</v>
      </c>
      <c r="DQ178">
        <v>39.49</v>
      </c>
      <c r="DS178">
        <v>41.68</v>
      </c>
      <c r="DT178">
        <v>42.37</v>
      </c>
      <c r="DX178">
        <v>43.83</v>
      </c>
      <c r="DY178">
        <v>44.39</v>
      </c>
      <c r="DZ178">
        <v>44.7</v>
      </c>
      <c r="EA178">
        <v>44.9</v>
      </c>
      <c r="EB178">
        <v>45.1</v>
      </c>
      <c r="EE178">
        <v>46.09</v>
      </c>
      <c r="EF178">
        <v>46.69</v>
      </c>
      <c r="EG178">
        <v>46.92</v>
      </c>
      <c r="EH178">
        <v>47.81</v>
      </c>
      <c r="EJ178">
        <v>48.13</v>
      </c>
      <c r="EL178">
        <v>50.12</v>
      </c>
      <c r="EN178">
        <v>51.65</v>
      </c>
      <c r="EO178">
        <v>51.82</v>
      </c>
      <c r="EP178">
        <v>51.83</v>
      </c>
      <c r="ES178">
        <v>54.26</v>
      </c>
      <c r="ET178">
        <v>54.6</v>
      </c>
      <c r="EU178">
        <v>55.21</v>
      </c>
      <c r="EV178">
        <v>55.64</v>
      </c>
      <c r="EW178">
        <v>55.83</v>
      </c>
      <c r="EX178">
        <v>56.23</v>
      </c>
      <c r="EZ178">
        <v>57.55</v>
      </c>
      <c r="FC178">
        <v>59.1</v>
      </c>
      <c r="FD178">
        <v>59.35</v>
      </c>
      <c r="FE178">
        <v>59.91</v>
      </c>
      <c r="FF178">
        <v>60.67</v>
      </c>
      <c r="FG178">
        <v>61.5</v>
      </c>
      <c r="FI178">
        <v>62.34</v>
      </c>
      <c r="FK178">
        <v>62.75</v>
      </c>
      <c r="FL178">
        <v>63.38</v>
      </c>
      <c r="FM178">
        <v>64</v>
      </c>
      <c r="FO178">
        <v>65.22</v>
      </c>
      <c r="FR178">
        <v>66.91</v>
      </c>
      <c r="FU178">
        <v>68.599999999999994</v>
      </c>
      <c r="FV178">
        <v>69.37</v>
      </c>
      <c r="FX178">
        <v>70.11</v>
      </c>
      <c r="GB178">
        <v>71.75</v>
      </c>
      <c r="GE178">
        <v>72.83</v>
      </c>
      <c r="GJ178">
        <v>74.52</v>
      </c>
      <c r="GM178">
        <v>75.63</v>
      </c>
      <c r="HB178">
        <v>78.17</v>
      </c>
      <c r="HK178">
        <v>79.489999999999995</v>
      </c>
      <c r="HM178">
        <v>79.73</v>
      </c>
      <c r="HP178">
        <v>80</v>
      </c>
      <c r="HS178">
        <v>80.39</v>
      </c>
      <c r="HT178">
        <v>80.52</v>
      </c>
      <c r="HW178">
        <v>80.650000000000006</v>
      </c>
      <c r="HY178">
        <v>80.900000000000006</v>
      </c>
      <c r="HZ178">
        <v>81.040000000000006</v>
      </c>
      <c r="IA178">
        <v>81.28</v>
      </c>
      <c r="IB178">
        <v>81.36</v>
      </c>
      <c r="IE178">
        <v>81.53</v>
      </c>
      <c r="IF178">
        <v>81.62</v>
      </c>
      <c r="IG178">
        <v>81.739999999999995</v>
      </c>
      <c r="IH178">
        <v>81.83</v>
      </c>
      <c r="II178">
        <v>81.95</v>
      </c>
      <c r="IJ178">
        <v>82.05</v>
      </c>
      <c r="IK178">
        <v>82.19</v>
      </c>
      <c r="IL178">
        <v>82.31</v>
      </c>
      <c r="IM178">
        <v>82.43</v>
      </c>
      <c r="IN178">
        <v>82.56</v>
      </c>
      <c r="IO178">
        <v>82.68</v>
      </c>
      <c r="IQ178">
        <v>82.78</v>
      </c>
      <c r="IR178">
        <v>82.89</v>
      </c>
      <c r="IS178">
        <v>83.02</v>
      </c>
      <c r="IT178">
        <v>83.13</v>
      </c>
      <c r="IU178">
        <v>83.33</v>
      </c>
      <c r="IX178">
        <v>83.83</v>
      </c>
      <c r="IY178">
        <v>84.19</v>
      </c>
      <c r="IZ178">
        <v>84.56</v>
      </c>
      <c r="JA178">
        <v>84.93</v>
      </c>
      <c r="JB178">
        <v>85.31</v>
      </c>
      <c r="JD178">
        <v>85.91</v>
      </c>
      <c r="JE178">
        <v>85.99</v>
      </c>
      <c r="JF178">
        <v>86.46</v>
      </c>
      <c r="JI178">
        <v>87.55</v>
      </c>
      <c r="JM178">
        <v>88.51</v>
      </c>
      <c r="JN178">
        <v>88.87</v>
      </c>
      <c r="JO178">
        <v>89.2</v>
      </c>
      <c r="JS178">
        <v>90.07</v>
      </c>
      <c r="JU178">
        <v>90.92</v>
      </c>
      <c r="JW178">
        <v>91.68</v>
      </c>
      <c r="JZ178">
        <v>92.31</v>
      </c>
      <c r="KB178">
        <v>93.06</v>
      </c>
      <c r="KC178">
        <v>93.36</v>
      </c>
      <c r="KD178">
        <v>93.64</v>
      </c>
      <c r="KE178">
        <v>93.95</v>
      </c>
      <c r="KG178">
        <v>94.19</v>
      </c>
      <c r="KI178">
        <v>94.89</v>
      </c>
      <c r="KM178">
        <v>96.12</v>
      </c>
      <c r="KP178">
        <v>95.62</v>
      </c>
      <c r="KW178">
        <v>96.67</v>
      </c>
      <c r="LN178">
        <v>102.57</v>
      </c>
      <c r="LO178">
        <v>102.84</v>
      </c>
      <c r="MI178">
        <v>111.48</v>
      </c>
      <c r="ML178">
        <v>112.39</v>
      </c>
      <c r="MM178">
        <v>112.82</v>
      </c>
      <c r="NH178">
        <v>117.88</v>
      </c>
      <c r="OM178">
        <v>121.14</v>
      </c>
      <c r="PC178">
        <v>122.22</v>
      </c>
      <c r="PF178">
        <v>122.4</v>
      </c>
      <c r="QF178">
        <v>123.3</v>
      </c>
      <c r="QO178">
        <v>123.46</v>
      </c>
      <c r="QP178">
        <v>123.53</v>
      </c>
      <c r="RA178">
        <v>123.61</v>
      </c>
      <c r="SZ178">
        <v>124.09</v>
      </c>
      <c r="TA178">
        <v>124.09</v>
      </c>
      <c r="TG178">
        <v>124.12</v>
      </c>
      <c r="TH178">
        <v>124.12</v>
      </c>
      <c r="TI178">
        <v>124.12</v>
      </c>
      <c r="TO178">
        <v>124.14</v>
      </c>
      <c r="TP178">
        <v>124.15</v>
      </c>
      <c r="TT178">
        <v>124.16</v>
      </c>
      <c r="TW178">
        <v>124.17</v>
      </c>
      <c r="UB178">
        <v>124.18</v>
      </c>
      <c r="UK178">
        <v>124.2</v>
      </c>
    </row>
    <row r="179" spans="1:800">
      <c r="A179" s="1" t="s">
        <v>202</v>
      </c>
      <c r="B179" t="s">
        <v>202</v>
      </c>
      <c r="AG179">
        <v>0</v>
      </c>
      <c r="AK179">
        <v>2.0299999999999998</v>
      </c>
      <c r="AM179">
        <v>4.07</v>
      </c>
      <c r="AN179">
        <v>7.12</v>
      </c>
      <c r="AQ179">
        <v>11.16</v>
      </c>
      <c r="AR179">
        <v>13.39</v>
      </c>
      <c r="AT179">
        <v>17.18</v>
      </c>
      <c r="AU179">
        <v>18.66</v>
      </c>
      <c r="AW179">
        <v>20.22</v>
      </c>
      <c r="AX179">
        <v>23.1</v>
      </c>
      <c r="AY179">
        <v>26.02</v>
      </c>
      <c r="AZ179">
        <v>29.26</v>
      </c>
      <c r="BA179">
        <v>31.38</v>
      </c>
      <c r="BD179">
        <v>35.67</v>
      </c>
      <c r="BE179">
        <v>36.9</v>
      </c>
      <c r="BF179">
        <v>37.72</v>
      </c>
      <c r="BI179">
        <v>39.840000000000003</v>
      </c>
      <c r="BK179">
        <v>42.4</v>
      </c>
      <c r="BL179">
        <v>45.17</v>
      </c>
      <c r="BM179">
        <v>48.87</v>
      </c>
      <c r="BN179">
        <v>52.69</v>
      </c>
      <c r="BP179">
        <v>56.92</v>
      </c>
      <c r="BR179">
        <v>59.23</v>
      </c>
      <c r="BS179">
        <v>61</v>
      </c>
      <c r="BT179">
        <v>62.39</v>
      </c>
      <c r="BU179">
        <v>64.349999999999994</v>
      </c>
      <c r="BV179">
        <v>66.16</v>
      </c>
      <c r="BX179">
        <v>66.680000000000007</v>
      </c>
      <c r="BZ179">
        <v>71.760000000000005</v>
      </c>
      <c r="CB179">
        <v>76.36</v>
      </c>
      <c r="CD179">
        <v>80.78</v>
      </c>
      <c r="CF179">
        <v>81.48</v>
      </c>
      <c r="CH179">
        <v>82.23</v>
      </c>
      <c r="CI179">
        <v>83.09</v>
      </c>
      <c r="CM179">
        <v>85.89</v>
      </c>
      <c r="CO179">
        <v>88.81</v>
      </c>
      <c r="CP179">
        <v>89.59</v>
      </c>
      <c r="CT179">
        <v>91.02</v>
      </c>
      <c r="CW179">
        <v>91.67</v>
      </c>
      <c r="DB179">
        <v>96.07</v>
      </c>
      <c r="DC179">
        <v>98.15</v>
      </c>
      <c r="DI179">
        <v>102.25</v>
      </c>
      <c r="DK179">
        <v>103.8</v>
      </c>
      <c r="DP179">
        <v>105.72</v>
      </c>
      <c r="DT179">
        <v>110.58</v>
      </c>
      <c r="DW179">
        <v>114.09</v>
      </c>
      <c r="EC179">
        <v>118.93</v>
      </c>
      <c r="EG179">
        <v>123.21</v>
      </c>
      <c r="EJ179">
        <v>125.92</v>
      </c>
      <c r="EL179">
        <v>127.66</v>
      </c>
      <c r="EM179">
        <v>128.97999999999999</v>
      </c>
      <c r="EQ179">
        <v>129.88</v>
      </c>
      <c r="ES179">
        <v>131.1</v>
      </c>
      <c r="EZ179">
        <v>133.28</v>
      </c>
      <c r="FC179">
        <v>133.77000000000001</v>
      </c>
      <c r="FF179">
        <v>134.38999999999999</v>
      </c>
      <c r="FM179">
        <v>136.74</v>
      </c>
      <c r="FU179">
        <v>138.83000000000001</v>
      </c>
      <c r="GC179">
        <v>139.51</v>
      </c>
      <c r="GK179">
        <v>140</v>
      </c>
      <c r="GQ179">
        <v>140.31</v>
      </c>
      <c r="GW179">
        <v>140.91999999999999</v>
      </c>
      <c r="HB179">
        <v>141.97999999999999</v>
      </c>
      <c r="HS179">
        <v>143.82</v>
      </c>
      <c r="IK179">
        <v>145.91</v>
      </c>
      <c r="LJ179">
        <v>167.03</v>
      </c>
      <c r="LX179">
        <v>172.41</v>
      </c>
      <c r="ME179">
        <v>175.55</v>
      </c>
      <c r="NV179">
        <v>185.49</v>
      </c>
      <c r="QX179">
        <v>201.66</v>
      </c>
    </row>
    <row r="180" spans="1:800">
      <c r="A180" s="1" t="s">
        <v>154</v>
      </c>
      <c r="B180" t="s">
        <v>363</v>
      </c>
      <c r="CS180">
        <v>0</v>
      </c>
      <c r="DD180">
        <v>0.13</v>
      </c>
      <c r="DI180">
        <v>0.32</v>
      </c>
      <c r="DJ180">
        <v>0.4</v>
      </c>
      <c r="DT180">
        <v>0.47</v>
      </c>
      <c r="DX180">
        <v>0.53</v>
      </c>
      <c r="DY180">
        <v>0.56000000000000005</v>
      </c>
      <c r="EI180">
        <v>0.72</v>
      </c>
      <c r="EK180">
        <v>0.74</v>
      </c>
      <c r="EM180">
        <v>0.75</v>
      </c>
      <c r="EO180">
        <v>0.77</v>
      </c>
      <c r="EV180">
        <v>0.81</v>
      </c>
      <c r="FS180">
        <v>1</v>
      </c>
      <c r="GA180">
        <v>1.05</v>
      </c>
      <c r="GC180">
        <v>1.1100000000000001</v>
      </c>
      <c r="GG180">
        <v>1.1499999999999999</v>
      </c>
      <c r="GM180">
        <v>1.22</v>
      </c>
      <c r="HB180">
        <v>2.83</v>
      </c>
      <c r="JT180">
        <v>2.72</v>
      </c>
      <c r="KH180">
        <v>2.85</v>
      </c>
      <c r="LC180">
        <v>4.87</v>
      </c>
      <c r="LT180">
        <v>7.59</v>
      </c>
      <c r="NB180">
        <v>11.35</v>
      </c>
    </row>
    <row r="181" spans="1:800">
      <c r="A181" s="1" t="s">
        <v>74</v>
      </c>
      <c r="B181" t="s">
        <v>288</v>
      </c>
      <c r="AI181">
        <v>0.06</v>
      </c>
      <c r="AJ181">
        <v>0.11</v>
      </c>
      <c r="AT181">
        <v>1.03</v>
      </c>
      <c r="AY181">
        <v>1.93</v>
      </c>
      <c r="BC181">
        <v>2.65</v>
      </c>
      <c r="BE181">
        <v>3.09</v>
      </c>
      <c r="BM181">
        <v>4.38</v>
      </c>
      <c r="BU181">
        <v>6.15</v>
      </c>
      <c r="CF181">
        <v>8.9700000000000006</v>
      </c>
      <c r="CI181">
        <v>9.66</v>
      </c>
      <c r="CL181">
        <v>10.19</v>
      </c>
      <c r="CM181">
        <v>10.45</v>
      </c>
      <c r="CT181">
        <v>13.54</v>
      </c>
      <c r="DA181">
        <v>18.32</v>
      </c>
      <c r="DB181">
        <v>18.96</v>
      </c>
      <c r="DH181">
        <v>22.54</v>
      </c>
      <c r="DM181">
        <v>25.95</v>
      </c>
      <c r="DP181">
        <v>28.5</v>
      </c>
      <c r="EB181">
        <v>37.840000000000003</v>
      </c>
      <c r="EX181">
        <v>53.63</v>
      </c>
      <c r="FA181">
        <v>54.7</v>
      </c>
      <c r="FE181">
        <v>58.24</v>
      </c>
      <c r="FL181">
        <v>63.74</v>
      </c>
      <c r="FS181">
        <v>69.19</v>
      </c>
      <c r="FZ181">
        <v>75.069999999999993</v>
      </c>
      <c r="GG181">
        <v>80.19</v>
      </c>
      <c r="GN181">
        <v>85.96</v>
      </c>
      <c r="GU181">
        <v>91.72</v>
      </c>
      <c r="GY181">
        <v>94.89</v>
      </c>
      <c r="GZ181">
        <v>97.55</v>
      </c>
      <c r="HA181">
        <v>98.81</v>
      </c>
      <c r="HB181">
        <v>100.14</v>
      </c>
      <c r="HC181">
        <v>101.42</v>
      </c>
      <c r="HF181">
        <v>105.35</v>
      </c>
      <c r="HI181">
        <v>109.02</v>
      </c>
      <c r="HJ181">
        <v>110.09</v>
      </c>
      <c r="HM181">
        <v>113.68</v>
      </c>
      <c r="HN181">
        <v>114.98</v>
      </c>
      <c r="HO181">
        <v>116.14</v>
      </c>
      <c r="HP181">
        <v>116.87</v>
      </c>
      <c r="HQ181">
        <v>116.87</v>
      </c>
      <c r="HS181">
        <v>119.28</v>
      </c>
      <c r="HT181">
        <v>120.69</v>
      </c>
      <c r="HU181">
        <v>121.89</v>
      </c>
      <c r="HV181">
        <v>122.94</v>
      </c>
      <c r="HW181">
        <v>124.03</v>
      </c>
      <c r="HX181">
        <v>124.87</v>
      </c>
      <c r="HZ181">
        <v>127</v>
      </c>
      <c r="IA181">
        <v>128.28</v>
      </c>
      <c r="IB181">
        <v>129.51</v>
      </c>
      <c r="IC181">
        <v>130.56</v>
      </c>
      <c r="ID181">
        <v>131.68</v>
      </c>
      <c r="IE181">
        <v>132.77000000000001</v>
      </c>
      <c r="IF181">
        <v>133.86000000000001</v>
      </c>
      <c r="IH181">
        <v>136.26</v>
      </c>
      <c r="II181">
        <v>137.47</v>
      </c>
      <c r="IJ181">
        <v>138.52000000000001</v>
      </c>
      <c r="IK181">
        <v>139.22999999999999</v>
      </c>
      <c r="IM181">
        <v>142.41999999999999</v>
      </c>
      <c r="IN181">
        <v>144.08000000000001</v>
      </c>
      <c r="IP181">
        <v>146.1</v>
      </c>
      <c r="IU181">
        <v>148.38999999999999</v>
      </c>
      <c r="IV181">
        <v>147.69999999999999</v>
      </c>
      <c r="IW181">
        <v>148.13</v>
      </c>
      <c r="IX181">
        <v>148.35</v>
      </c>
      <c r="IY181">
        <v>148.66</v>
      </c>
      <c r="IZ181">
        <v>148.91999999999999</v>
      </c>
      <c r="JA181">
        <v>149.16999999999999</v>
      </c>
      <c r="JB181">
        <v>149.41999999999999</v>
      </c>
      <c r="JC181">
        <v>149.77000000000001</v>
      </c>
      <c r="JD181">
        <v>150.09</v>
      </c>
      <c r="JE181">
        <v>150.27000000000001</v>
      </c>
      <c r="JF181">
        <v>150.53</v>
      </c>
      <c r="JG181">
        <v>150.77000000000001</v>
      </c>
      <c r="JK181">
        <v>151.84</v>
      </c>
      <c r="JM181">
        <v>152.22999999999999</v>
      </c>
      <c r="JS181">
        <v>153.37</v>
      </c>
      <c r="JT181">
        <v>153.52000000000001</v>
      </c>
      <c r="JU181">
        <v>153.65</v>
      </c>
      <c r="JV181">
        <v>153.86000000000001</v>
      </c>
      <c r="JW181">
        <v>154.06</v>
      </c>
      <c r="JX181">
        <v>154.4</v>
      </c>
      <c r="JZ181">
        <v>155.01</v>
      </c>
      <c r="KA181">
        <v>155.36000000000001</v>
      </c>
      <c r="KB181">
        <v>155.63</v>
      </c>
      <c r="KC181">
        <v>156.01</v>
      </c>
      <c r="KD181">
        <v>156.41</v>
      </c>
      <c r="KE181">
        <v>156.99</v>
      </c>
      <c r="KF181">
        <v>157.5</v>
      </c>
      <c r="KI181">
        <v>158.62</v>
      </c>
      <c r="MA181">
        <v>185.1</v>
      </c>
      <c r="QF181">
        <v>248.88</v>
      </c>
      <c r="QM181">
        <v>250.32</v>
      </c>
      <c r="RA181">
        <v>252.69</v>
      </c>
      <c r="RR181">
        <v>254.91</v>
      </c>
      <c r="RW181">
        <v>255.47</v>
      </c>
      <c r="TF181">
        <v>258.33999999999997</v>
      </c>
      <c r="TM181">
        <v>258.95999999999998</v>
      </c>
      <c r="UG181">
        <v>260.3</v>
      </c>
      <c r="UH181">
        <v>260.36</v>
      </c>
      <c r="UT181">
        <v>261.10000000000002</v>
      </c>
      <c r="UU181">
        <v>261.11</v>
      </c>
      <c r="UV181">
        <v>261.14999999999998</v>
      </c>
      <c r="VB181">
        <v>261.32</v>
      </c>
      <c r="VC181">
        <v>261.32</v>
      </c>
      <c r="VQ181">
        <v>261.70999999999998</v>
      </c>
    </row>
    <row r="182" spans="1:800">
      <c r="A182" s="1" t="s">
        <v>413</v>
      </c>
      <c r="B182" t="s">
        <v>419</v>
      </c>
      <c r="EU182">
        <v>57.45</v>
      </c>
      <c r="FB182">
        <v>60.91</v>
      </c>
      <c r="FI182">
        <v>63.63</v>
      </c>
      <c r="FP182">
        <v>67.760000000000005</v>
      </c>
      <c r="FW182">
        <v>74.680000000000007</v>
      </c>
      <c r="GD182">
        <v>79.38</v>
      </c>
      <c r="GK182">
        <v>84.44</v>
      </c>
      <c r="GR182">
        <v>89.29</v>
      </c>
      <c r="GY182">
        <v>92.02</v>
      </c>
      <c r="HF182">
        <v>96.99</v>
      </c>
      <c r="HM182">
        <v>100.67</v>
      </c>
      <c r="HT182">
        <v>102.71</v>
      </c>
      <c r="IA182">
        <v>105.75</v>
      </c>
      <c r="IH182">
        <v>108.43</v>
      </c>
      <c r="IK182">
        <v>108.71</v>
      </c>
      <c r="IO182">
        <v>109.8</v>
      </c>
      <c r="IV182">
        <v>109.71</v>
      </c>
    </row>
    <row r="183" spans="1:800">
      <c r="A183" s="1" t="s">
        <v>144</v>
      </c>
      <c r="B183" t="s">
        <v>289</v>
      </c>
      <c r="AB183">
        <v>0</v>
      </c>
      <c r="AC183">
        <v>0.01</v>
      </c>
      <c r="AD183">
        <v>0.12</v>
      </c>
      <c r="AE183">
        <v>0.25</v>
      </c>
      <c r="AF183">
        <v>0.38</v>
      </c>
      <c r="AG183">
        <v>0.41</v>
      </c>
      <c r="AH183">
        <v>0.46</v>
      </c>
      <c r="AI183">
        <v>0.54</v>
      </c>
      <c r="AJ183">
        <v>0.73</v>
      </c>
      <c r="AK183">
        <v>0.86</v>
      </c>
      <c r="AL183">
        <v>0.99</v>
      </c>
      <c r="AM183">
        <v>1.1399999999999999</v>
      </c>
      <c r="AN183">
        <v>1.1599999999999999</v>
      </c>
      <c r="AO183">
        <v>1.1599999999999999</v>
      </c>
      <c r="AP183">
        <v>1.33</v>
      </c>
      <c r="AQ183">
        <v>1.47</v>
      </c>
      <c r="AR183">
        <v>1.62</v>
      </c>
      <c r="AS183">
        <v>1.75</v>
      </c>
      <c r="AT183">
        <v>1.87</v>
      </c>
      <c r="AU183">
        <v>1.88</v>
      </c>
      <c r="AV183">
        <v>1.88</v>
      </c>
      <c r="AW183">
        <v>2.04</v>
      </c>
      <c r="AX183">
        <v>2.1800000000000002</v>
      </c>
      <c r="AY183">
        <v>2.31</v>
      </c>
      <c r="AZ183">
        <v>2.4900000000000002</v>
      </c>
      <c r="BA183">
        <v>2.7</v>
      </c>
      <c r="BB183">
        <v>2.73</v>
      </c>
      <c r="BC183">
        <v>2.73</v>
      </c>
      <c r="BD183">
        <v>2.95</v>
      </c>
      <c r="BE183">
        <v>3.17</v>
      </c>
      <c r="BF183">
        <v>3.39</v>
      </c>
      <c r="BG183">
        <v>3.65</v>
      </c>
      <c r="BH183">
        <v>3.93</v>
      </c>
      <c r="BI183">
        <v>3.98</v>
      </c>
      <c r="BJ183">
        <v>3.98</v>
      </c>
      <c r="BK183">
        <v>4.1900000000000004</v>
      </c>
      <c r="BL183">
        <v>4.46</v>
      </c>
      <c r="BM183">
        <v>4.7</v>
      </c>
      <c r="BN183">
        <v>4.95</v>
      </c>
      <c r="BO183">
        <v>5.21</v>
      </c>
      <c r="BP183">
        <v>5.29</v>
      </c>
      <c r="BQ183">
        <v>5.49</v>
      </c>
      <c r="BR183">
        <v>5.73</v>
      </c>
      <c r="BS183">
        <v>5.94</v>
      </c>
      <c r="BT183">
        <v>6.15</v>
      </c>
      <c r="BU183">
        <v>6.36</v>
      </c>
      <c r="BV183">
        <v>6.6</v>
      </c>
      <c r="BW183">
        <v>6.72</v>
      </c>
      <c r="BX183">
        <v>6.84</v>
      </c>
      <c r="BY183">
        <v>7.07</v>
      </c>
      <c r="BZ183">
        <v>7.3</v>
      </c>
      <c r="CA183">
        <v>7.54</v>
      </c>
      <c r="CB183">
        <v>7.74</v>
      </c>
      <c r="CC183">
        <v>7.98</v>
      </c>
      <c r="CD183">
        <v>8.16</v>
      </c>
      <c r="CE183">
        <v>8.26</v>
      </c>
      <c r="CF183">
        <v>8.5399999999999991</v>
      </c>
      <c r="CG183">
        <v>8.82</v>
      </c>
      <c r="CH183">
        <v>9.06</v>
      </c>
      <c r="CI183">
        <v>9.3000000000000007</v>
      </c>
      <c r="CJ183">
        <v>9.5299999999999994</v>
      </c>
      <c r="CK183">
        <v>9.92</v>
      </c>
      <c r="CL183">
        <v>10.15</v>
      </c>
      <c r="CM183">
        <v>10.4</v>
      </c>
      <c r="CN183">
        <v>10.58</v>
      </c>
      <c r="CO183">
        <v>10.78</v>
      </c>
      <c r="CP183">
        <v>11.12</v>
      </c>
      <c r="CQ183">
        <v>11.47</v>
      </c>
      <c r="CR183">
        <v>11.91</v>
      </c>
      <c r="CS183">
        <v>12.21</v>
      </c>
      <c r="CT183">
        <v>12.53</v>
      </c>
      <c r="CU183">
        <v>12.88</v>
      </c>
      <c r="CV183">
        <v>13.23</v>
      </c>
      <c r="CW183">
        <v>13.6</v>
      </c>
      <c r="CX183">
        <v>13.94</v>
      </c>
      <c r="CY183">
        <v>14.31</v>
      </c>
      <c r="CZ183">
        <v>14.6</v>
      </c>
      <c r="DA183">
        <v>14.99</v>
      </c>
      <c r="DB183">
        <v>15.4</v>
      </c>
      <c r="DC183">
        <v>15.79</v>
      </c>
      <c r="DD183">
        <v>16.13</v>
      </c>
      <c r="DE183">
        <v>16.47</v>
      </c>
      <c r="DF183">
        <v>16.739999999999998</v>
      </c>
      <c r="DG183">
        <v>16.91</v>
      </c>
      <c r="DH183">
        <v>17.260000000000002</v>
      </c>
      <c r="DI183">
        <v>17.649999999999999</v>
      </c>
      <c r="DJ183">
        <v>18.059999999999999</v>
      </c>
      <c r="DK183">
        <v>18.43</v>
      </c>
      <c r="DL183">
        <v>18.510000000000002</v>
      </c>
      <c r="DM183">
        <v>18.72</v>
      </c>
      <c r="DN183">
        <v>18.79</v>
      </c>
      <c r="DO183">
        <v>18.8</v>
      </c>
      <c r="DP183">
        <v>19.170000000000002</v>
      </c>
      <c r="DQ183">
        <v>19.59</v>
      </c>
      <c r="DR183">
        <v>20.02</v>
      </c>
      <c r="DS183">
        <v>20.5</v>
      </c>
      <c r="DT183">
        <v>20.89</v>
      </c>
      <c r="DU183">
        <v>21.27</v>
      </c>
      <c r="DV183">
        <v>21.68</v>
      </c>
      <c r="DW183">
        <v>22.08</v>
      </c>
      <c r="DX183">
        <v>22.47</v>
      </c>
      <c r="DY183">
        <v>22.9</v>
      </c>
      <c r="DZ183">
        <v>23.41</v>
      </c>
      <c r="EA183">
        <v>23.9</v>
      </c>
      <c r="EB183">
        <v>24.13</v>
      </c>
      <c r="EC183">
        <v>24.51</v>
      </c>
      <c r="ED183">
        <v>24.92</v>
      </c>
      <c r="EE183">
        <v>25.32</v>
      </c>
      <c r="EF183">
        <v>25.73</v>
      </c>
      <c r="EG183">
        <v>26.16</v>
      </c>
      <c r="EH183">
        <v>26.56</v>
      </c>
      <c r="EI183">
        <v>26.9</v>
      </c>
      <c r="EJ183">
        <v>27.36</v>
      </c>
      <c r="EK183">
        <v>27.76</v>
      </c>
      <c r="EL183">
        <v>28.16</v>
      </c>
      <c r="EM183">
        <v>28.61</v>
      </c>
      <c r="EN183">
        <v>29.12</v>
      </c>
      <c r="EO183">
        <v>29.63</v>
      </c>
      <c r="EP183">
        <v>30.01</v>
      </c>
      <c r="EQ183">
        <v>30.43</v>
      </c>
      <c r="ER183">
        <v>30.88</v>
      </c>
      <c r="ES183">
        <v>31.32</v>
      </c>
      <c r="ET183">
        <v>31.8</v>
      </c>
      <c r="EU183">
        <v>32.340000000000003</v>
      </c>
      <c r="EV183">
        <v>33.15</v>
      </c>
      <c r="EW183">
        <v>33.74</v>
      </c>
      <c r="EX183">
        <v>34.32</v>
      </c>
      <c r="EY183">
        <v>34.9</v>
      </c>
      <c r="EZ183">
        <v>35.46</v>
      </c>
      <c r="FA183">
        <v>36.090000000000003</v>
      </c>
      <c r="FB183">
        <v>36.75</v>
      </c>
      <c r="FC183">
        <v>37.56</v>
      </c>
      <c r="FD183">
        <v>38.15</v>
      </c>
      <c r="FE183">
        <v>38.770000000000003</v>
      </c>
      <c r="FF183">
        <v>39.33</v>
      </c>
      <c r="FG183">
        <v>39.89</v>
      </c>
      <c r="FH183">
        <v>40.54</v>
      </c>
      <c r="FI183">
        <v>41.25</v>
      </c>
      <c r="FJ183">
        <v>42.13</v>
      </c>
      <c r="FK183">
        <v>42.74</v>
      </c>
      <c r="FL183">
        <v>43.35</v>
      </c>
      <c r="FM183">
        <v>43.91</v>
      </c>
      <c r="FN183">
        <v>44.45</v>
      </c>
      <c r="FO183">
        <v>45.11</v>
      </c>
      <c r="FP183">
        <v>45.75</v>
      </c>
      <c r="FQ183">
        <v>46.66</v>
      </c>
      <c r="FR183">
        <v>47.34</v>
      </c>
      <c r="FS183">
        <v>47.98</v>
      </c>
      <c r="FT183">
        <v>48.51</v>
      </c>
      <c r="FU183">
        <v>49.02</v>
      </c>
      <c r="FV183">
        <v>49.63</v>
      </c>
      <c r="FW183">
        <v>50.26</v>
      </c>
      <c r="FX183">
        <v>51.13</v>
      </c>
      <c r="FY183">
        <v>51.78</v>
      </c>
      <c r="FZ183">
        <v>52.41</v>
      </c>
      <c r="GA183">
        <v>52.96</v>
      </c>
      <c r="GB183">
        <v>53.48</v>
      </c>
      <c r="GC183">
        <v>54.12</v>
      </c>
      <c r="GD183">
        <v>54.77</v>
      </c>
      <c r="GE183">
        <v>55.54</v>
      </c>
      <c r="GF183">
        <v>56.18</v>
      </c>
      <c r="GG183">
        <v>56.73</v>
      </c>
      <c r="GH183">
        <v>57.26</v>
      </c>
      <c r="GI183">
        <v>57.78</v>
      </c>
      <c r="GJ183">
        <v>58.44</v>
      </c>
      <c r="GK183">
        <v>59.13</v>
      </c>
      <c r="GL183">
        <v>60.03</v>
      </c>
      <c r="GM183">
        <v>60.7</v>
      </c>
      <c r="GN183">
        <v>61.31</v>
      </c>
      <c r="GO183">
        <v>61.91</v>
      </c>
      <c r="GP183">
        <v>62.45</v>
      </c>
      <c r="GQ183">
        <v>63.12</v>
      </c>
      <c r="GR183">
        <v>63.8</v>
      </c>
      <c r="GS183">
        <v>64.56</v>
      </c>
      <c r="GT183">
        <v>65.12</v>
      </c>
      <c r="GU183">
        <v>65.540000000000006</v>
      </c>
      <c r="GV183">
        <v>66.040000000000006</v>
      </c>
      <c r="GW183">
        <v>66.53</v>
      </c>
      <c r="GX183">
        <v>66.989999999999995</v>
      </c>
      <c r="GY183">
        <v>67.58</v>
      </c>
      <c r="GZ183">
        <v>68.349999999999994</v>
      </c>
      <c r="HA183">
        <v>68.83</v>
      </c>
      <c r="HB183">
        <v>68.98</v>
      </c>
      <c r="HC183">
        <v>69.5</v>
      </c>
      <c r="HD183">
        <v>69.95</v>
      </c>
      <c r="HE183">
        <v>70.400000000000006</v>
      </c>
      <c r="HF183">
        <v>70.94</v>
      </c>
      <c r="HG183">
        <v>71.489999999999995</v>
      </c>
      <c r="HH183">
        <v>72.040000000000006</v>
      </c>
      <c r="HI183">
        <v>72.510000000000005</v>
      </c>
      <c r="HJ183">
        <v>72.87</v>
      </c>
      <c r="HK183">
        <v>73.22</v>
      </c>
      <c r="HL183">
        <v>73.569999999999993</v>
      </c>
      <c r="HM183">
        <v>73.959999999999994</v>
      </c>
      <c r="HN183">
        <v>74.33</v>
      </c>
      <c r="HO183">
        <v>74.52</v>
      </c>
      <c r="HP183">
        <v>74.75</v>
      </c>
      <c r="HQ183">
        <v>74.989999999999995</v>
      </c>
      <c r="HR183">
        <v>75.209999999999994</v>
      </c>
      <c r="HS183">
        <v>75.430000000000007</v>
      </c>
      <c r="HT183">
        <v>75.73</v>
      </c>
      <c r="HU183">
        <v>75.94</v>
      </c>
      <c r="HV183">
        <v>76.73</v>
      </c>
      <c r="HW183">
        <v>76.89</v>
      </c>
      <c r="HX183">
        <v>77.09</v>
      </c>
      <c r="HY183">
        <v>77.31</v>
      </c>
      <c r="HZ183">
        <v>77.56</v>
      </c>
      <c r="IA183">
        <v>77.849999999999994</v>
      </c>
      <c r="IB183">
        <v>78.09</v>
      </c>
      <c r="IC183">
        <v>77.97</v>
      </c>
      <c r="ID183">
        <v>78.180000000000007</v>
      </c>
      <c r="IE183">
        <v>78.38</v>
      </c>
      <c r="IF183">
        <v>78.64</v>
      </c>
      <c r="IG183">
        <v>78.91</v>
      </c>
      <c r="IH183">
        <v>79.19</v>
      </c>
      <c r="II183">
        <v>79.47</v>
      </c>
      <c r="IJ183">
        <v>79.61</v>
      </c>
      <c r="IK183">
        <v>79.819999999999993</v>
      </c>
      <c r="IL183">
        <v>80.03</v>
      </c>
      <c r="IM183">
        <v>80.28</v>
      </c>
      <c r="IN183">
        <v>80.510000000000005</v>
      </c>
      <c r="IO183">
        <v>80.75</v>
      </c>
      <c r="IP183">
        <v>80.87</v>
      </c>
      <c r="IQ183">
        <v>80.959999999999994</v>
      </c>
      <c r="IR183">
        <v>81.14</v>
      </c>
      <c r="IS183">
        <v>81.28</v>
      </c>
      <c r="IT183">
        <v>81.47</v>
      </c>
      <c r="IU183">
        <v>81.61</v>
      </c>
      <c r="IV183">
        <v>81.92</v>
      </c>
      <c r="IW183">
        <v>81.99</v>
      </c>
      <c r="IX183">
        <v>82.08</v>
      </c>
      <c r="IY183">
        <v>82.22</v>
      </c>
      <c r="IZ183">
        <v>82.34</v>
      </c>
      <c r="JA183">
        <v>82.5</v>
      </c>
      <c r="JB183">
        <v>82.62</v>
      </c>
      <c r="JC183">
        <v>82.62</v>
      </c>
      <c r="JE183">
        <v>83.07</v>
      </c>
      <c r="JF183">
        <v>83.7</v>
      </c>
      <c r="JG183">
        <v>83.7</v>
      </c>
      <c r="JM183">
        <v>83.92</v>
      </c>
      <c r="JN183">
        <v>83.99</v>
      </c>
      <c r="JO183">
        <v>83.99</v>
      </c>
      <c r="JP183">
        <v>84.12</v>
      </c>
      <c r="JQ183">
        <v>84.28</v>
      </c>
      <c r="JS183">
        <v>84.46</v>
      </c>
      <c r="JT183">
        <v>84.61</v>
      </c>
      <c r="JU183">
        <v>84.61</v>
      </c>
      <c r="JV183">
        <v>84.76</v>
      </c>
      <c r="JW183">
        <v>84.9</v>
      </c>
      <c r="JX183">
        <v>84.9</v>
      </c>
      <c r="JZ183">
        <v>85.11</v>
      </c>
      <c r="KA183">
        <v>85.16</v>
      </c>
      <c r="KB183">
        <v>85.34</v>
      </c>
      <c r="KC183">
        <v>85.5</v>
      </c>
      <c r="KD183">
        <v>85.62</v>
      </c>
      <c r="KE183">
        <v>85.78</v>
      </c>
      <c r="KF183">
        <v>85.79</v>
      </c>
      <c r="KG183">
        <v>85.81</v>
      </c>
      <c r="KH183">
        <v>85.92</v>
      </c>
      <c r="KI183">
        <v>86</v>
      </c>
      <c r="KJ183">
        <v>86.07</v>
      </c>
      <c r="KK183">
        <v>86.07</v>
      </c>
      <c r="KO183">
        <v>86.39</v>
      </c>
      <c r="KP183">
        <v>86.5</v>
      </c>
      <c r="KQ183">
        <v>86.55</v>
      </c>
      <c r="KR183">
        <v>86.68</v>
      </c>
      <c r="KS183">
        <v>86.68</v>
      </c>
      <c r="KU183">
        <v>86.84</v>
      </c>
      <c r="KV183">
        <v>86.9</v>
      </c>
      <c r="KW183">
        <v>86.9</v>
      </c>
      <c r="LC183">
        <v>87.25</v>
      </c>
      <c r="LD183">
        <v>87.32</v>
      </c>
      <c r="LE183">
        <v>87.43</v>
      </c>
      <c r="LF183">
        <v>87.46</v>
      </c>
      <c r="LG183">
        <v>87.46</v>
      </c>
      <c r="LI183">
        <v>87.62</v>
      </c>
      <c r="LJ183">
        <v>87.62</v>
      </c>
      <c r="LK183">
        <v>87.66</v>
      </c>
      <c r="LL183">
        <v>87.75</v>
      </c>
      <c r="LM183">
        <v>87.89</v>
      </c>
      <c r="LN183">
        <v>87.89</v>
      </c>
      <c r="LR183">
        <v>88.04</v>
      </c>
      <c r="LS183">
        <v>88.16</v>
      </c>
      <c r="LT183">
        <v>88.33</v>
      </c>
      <c r="LX183">
        <v>88.58</v>
      </c>
      <c r="LY183">
        <v>88.63</v>
      </c>
      <c r="LZ183">
        <v>88.73</v>
      </c>
      <c r="ME183">
        <v>89.22</v>
      </c>
      <c r="MF183">
        <v>89.32</v>
      </c>
      <c r="MH183">
        <v>89.48</v>
      </c>
      <c r="MI183">
        <v>89.65</v>
      </c>
      <c r="MK183">
        <v>90.01</v>
      </c>
      <c r="ML183">
        <v>90.24</v>
      </c>
      <c r="MM183">
        <v>90.49</v>
      </c>
      <c r="MN183">
        <v>90.49</v>
      </c>
      <c r="MO183">
        <v>90.83</v>
      </c>
      <c r="MP183">
        <v>90.83</v>
      </c>
      <c r="MS183">
        <v>91.13</v>
      </c>
      <c r="MT183">
        <v>91.26</v>
      </c>
      <c r="MU183">
        <v>91.38</v>
      </c>
      <c r="MV183">
        <v>91.59</v>
      </c>
      <c r="MW183">
        <v>91.59</v>
      </c>
      <c r="NA183">
        <v>92.05</v>
      </c>
      <c r="NB183">
        <v>92.13</v>
      </c>
      <c r="NC183">
        <v>92.21</v>
      </c>
      <c r="ND183">
        <v>92.36</v>
      </c>
      <c r="NG183">
        <v>92.72</v>
      </c>
      <c r="NH183">
        <v>92.72</v>
      </c>
      <c r="NJ183">
        <v>93.07</v>
      </c>
      <c r="NK183">
        <v>93.07</v>
      </c>
      <c r="NM183">
        <v>93.35</v>
      </c>
      <c r="NN183">
        <v>107.52</v>
      </c>
      <c r="NO183">
        <v>108.42</v>
      </c>
      <c r="NP183">
        <v>109.06</v>
      </c>
      <c r="NQ183">
        <v>109.65</v>
      </c>
      <c r="NV183">
        <v>110.69</v>
      </c>
      <c r="NW183">
        <v>111.22</v>
      </c>
      <c r="NX183">
        <v>112.36</v>
      </c>
      <c r="NY183">
        <v>112.37</v>
      </c>
      <c r="OC183">
        <v>113.24</v>
      </c>
      <c r="OH183">
        <v>115.52</v>
      </c>
      <c r="OI183">
        <v>116.16</v>
      </c>
      <c r="OJ183">
        <v>116.54</v>
      </c>
      <c r="OP183">
        <v>118.9</v>
      </c>
      <c r="PC183">
        <v>124.47</v>
      </c>
      <c r="QS183">
        <v>129.22999999999999</v>
      </c>
      <c r="RQ183">
        <v>129.56</v>
      </c>
      <c r="UG183">
        <v>129.84</v>
      </c>
    </row>
    <row r="184" spans="1:800">
      <c r="A184" s="1" t="s">
        <v>146</v>
      </c>
      <c r="B184" t="s">
        <v>290</v>
      </c>
      <c r="T184">
        <v>0.28000000000000003</v>
      </c>
      <c r="U184">
        <v>0.36</v>
      </c>
      <c r="V184">
        <v>0.41</v>
      </c>
      <c r="W184">
        <v>0.43</v>
      </c>
      <c r="X184">
        <v>0.52</v>
      </c>
      <c r="Y184">
        <v>0.53</v>
      </c>
      <c r="Z184">
        <v>0.55000000000000004</v>
      </c>
      <c r="AA184">
        <v>0.57999999999999996</v>
      </c>
      <c r="AB184">
        <v>0.64</v>
      </c>
      <c r="AC184">
        <v>0.75</v>
      </c>
      <c r="AD184">
        <v>1.01</v>
      </c>
      <c r="AE184">
        <v>1.27</v>
      </c>
      <c r="AF184">
        <v>1.42</v>
      </c>
      <c r="AG184">
        <v>1.44</v>
      </c>
      <c r="AH184">
        <v>1.44</v>
      </c>
      <c r="AI184">
        <v>1.46</v>
      </c>
      <c r="AJ184">
        <v>1.55</v>
      </c>
      <c r="AK184">
        <v>1.77</v>
      </c>
      <c r="AL184">
        <v>2.09</v>
      </c>
      <c r="AM184">
        <v>2.33</v>
      </c>
      <c r="AN184">
        <v>2.34</v>
      </c>
      <c r="AO184">
        <v>2.34</v>
      </c>
      <c r="AP184">
        <v>2.36</v>
      </c>
      <c r="AQ184">
        <v>2.46</v>
      </c>
      <c r="AR184">
        <v>2.68</v>
      </c>
      <c r="AS184">
        <v>2.91</v>
      </c>
      <c r="AT184">
        <v>3.01</v>
      </c>
      <c r="AU184">
        <v>3.05</v>
      </c>
      <c r="AV184">
        <v>3.05</v>
      </c>
      <c r="AW184">
        <v>3.05</v>
      </c>
      <c r="AX184">
        <v>3.14</v>
      </c>
      <c r="AY184">
        <v>3.38</v>
      </c>
      <c r="AZ184">
        <v>3.68</v>
      </c>
      <c r="BA184">
        <v>3.9</v>
      </c>
      <c r="BB184">
        <v>3.9</v>
      </c>
      <c r="BC184">
        <v>3.9</v>
      </c>
      <c r="BD184">
        <v>3.9</v>
      </c>
      <c r="BE184">
        <v>3.96</v>
      </c>
      <c r="BF184">
        <v>4.1900000000000004</v>
      </c>
      <c r="BG184">
        <v>4.54</v>
      </c>
      <c r="BH184">
        <v>4.82</v>
      </c>
      <c r="BI184">
        <v>4.84</v>
      </c>
      <c r="BJ184">
        <v>4.84</v>
      </c>
      <c r="BK184">
        <v>4.8600000000000003</v>
      </c>
      <c r="BL184">
        <v>4.87</v>
      </c>
      <c r="BM184">
        <v>5.0199999999999996</v>
      </c>
      <c r="BN184">
        <v>5.43</v>
      </c>
      <c r="BO184">
        <v>5.85</v>
      </c>
      <c r="BP184">
        <v>5.89</v>
      </c>
      <c r="BQ184">
        <v>5.89</v>
      </c>
      <c r="BR184">
        <v>5.9</v>
      </c>
      <c r="BS184">
        <v>5.95</v>
      </c>
      <c r="BT184">
        <v>6.22</v>
      </c>
      <c r="BU184">
        <v>6.65</v>
      </c>
      <c r="BV184">
        <v>6.98</v>
      </c>
      <c r="BW184">
        <v>7.1</v>
      </c>
      <c r="BX184">
        <v>7.1</v>
      </c>
      <c r="BY184">
        <v>7.12</v>
      </c>
      <c r="BZ184">
        <v>7.19</v>
      </c>
      <c r="CA184">
        <v>7.53</v>
      </c>
      <c r="CB184">
        <v>8.0500000000000007</v>
      </c>
      <c r="CC184">
        <v>8.43</v>
      </c>
      <c r="CD184">
        <v>8.4700000000000006</v>
      </c>
      <c r="CE184">
        <v>8.4700000000000006</v>
      </c>
      <c r="CF184">
        <v>8.5399999999999991</v>
      </c>
      <c r="CG184">
        <v>8.64</v>
      </c>
      <c r="CH184">
        <v>9</v>
      </c>
      <c r="CI184">
        <v>9.5399999999999991</v>
      </c>
      <c r="CJ184">
        <v>10.039999999999999</v>
      </c>
      <c r="CK184">
        <v>10.130000000000001</v>
      </c>
      <c r="CL184">
        <v>10.130000000000001</v>
      </c>
      <c r="CM184">
        <v>10.220000000000001</v>
      </c>
      <c r="CN184">
        <v>10.42</v>
      </c>
      <c r="CO184">
        <v>10.88</v>
      </c>
      <c r="CP184">
        <v>11.55</v>
      </c>
      <c r="CQ184">
        <v>12.2</v>
      </c>
      <c r="CR184">
        <v>12.6</v>
      </c>
      <c r="CS184">
        <v>12.6</v>
      </c>
      <c r="CT184">
        <v>12.68</v>
      </c>
      <c r="CU184">
        <v>12.73</v>
      </c>
      <c r="CV184">
        <v>13.03</v>
      </c>
      <c r="CW184">
        <v>13.51</v>
      </c>
      <c r="CX184">
        <v>13.87</v>
      </c>
      <c r="CY184">
        <v>14.07</v>
      </c>
      <c r="CZ184">
        <v>14.07</v>
      </c>
      <c r="DA184">
        <v>14.13</v>
      </c>
      <c r="DB184">
        <v>14.33</v>
      </c>
      <c r="DC184">
        <v>14.81</v>
      </c>
      <c r="DD184">
        <v>15.5</v>
      </c>
      <c r="DE184">
        <v>16.27</v>
      </c>
      <c r="DF184">
        <v>16.62</v>
      </c>
      <c r="DG184">
        <v>16.68</v>
      </c>
      <c r="DH184">
        <v>16.73</v>
      </c>
      <c r="DI184">
        <v>17.11</v>
      </c>
      <c r="DJ184">
        <v>17.809999999999999</v>
      </c>
      <c r="DK184">
        <v>18.760000000000002</v>
      </c>
      <c r="DL184">
        <v>19.329999999999998</v>
      </c>
      <c r="DM184">
        <v>19.48</v>
      </c>
      <c r="DN184">
        <v>19.55</v>
      </c>
      <c r="DO184">
        <v>19.55</v>
      </c>
      <c r="DP184">
        <v>19.690000000000001</v>
      </c>
      <c r="DQ184">
        <v>19.98</v>
      </c>
      <c r="DR184">
        <v>20.72</v>
      </c>
      <c r="DS184">
        <v>21.69</v>
      </c>
      <c r="DT184">
        <v>22.13</v>
      </c>
      <c r="DU184">
        <v>22.21</v>
      </c>
      <c r="DV184">
        <v>22.3</v>
      </c>
      <c r="DW184">
        <v>22.48</v>
      </c>
      <c r="DX184">
        <v>23.04</v>
      </c>
      <c r="DY184">
        <v>23.97</v>
      </c>
      <c r="DZ184">
        <v>24.65</v>
      </c>
      <c r="EA184">
        <v>24.94</v>
      </c>
      <c r="EB184">
        <v>25.01</v>
      </c>
      <c r="EC184">
        <v>25.14</v>
      </c>
      <c r="ED184">
        <v>25.46</v>
      </c>
      <c r="EE184">
        <v>26.26</v>
      </c>
      <c r="EF184">
        <v>27.22</v>
      </c>
      <c r="EG184">
        <v>28.06</v>
      </c>
      <c r="EH184">
        <v>28.2</v>
      </c>
      <c r="EI184">
        <v>28.23</v>
      </c>
      <c r="EJ184">
        <v>28.25</v>
      </c>
      <c r="EK184">
        <v>28.27</v>
      </c>
      <c r="EL184">
        <v>28.65</v>
      </c>
      <c r="EM184">
        <v>29.56</v>
      </c>
      <c r="EN184">
        <v>30.57</v>
      </c>
      <c r="EO184">
        <v>31</v>
      </c>
      <c r="EP184">
        <v>31.16</v>
      </c>
      <c r="EQ184">
        <v>31.55</v>
      </c>
      <c r="ER184">
        <v>32.020000000000003</v>
      </c>
      <c r="ES184">
        <v>32.89</v>
      </c>
      <c r="ET184">
        <v>34.22</v>
      </c>
      <c r="EU184">
        <v>35.28</v>
      </c>
      <c r="EV184">
        <v>35.79</v>
      </c>
      <c r="EW184">
        <v>35.880000000000003</v>
      </c>
      <c r="EX184">
        <v>36.06</v>
      </c>
      <c r="EY184">
        <v>36.549999999999997</v>
      </c>
      <c r="EZ184">
        <v>37.619999999999997</v>
      </c>
      <c r="FA184">
        <v>39.01</v>
      </c>
      <c r="FB184">
        <v>40.24</v>
      </c>
      <c r="FC184">
        <v>40.770000000000003</v>
      </c>
      <c r="FD184">
        <v>40.93</v>
      </c>
      <c r="FE184">
        <v>41.33</v>
      </c>
      <c r="FF184">
        <v>41.99</v>
      </c>
      <c r="FG184">
        <v>43.12</v>
      </c>
      <c r="FH184">
        <v>44.56</v>
      </c>
      <c r="FI184">
        <v>45.88</v>
      </c>
      <c r="FJ184">
        <v>46.4</v>
      </c>
      <c r="FK184">
        <v>46.55</v>
      </c>
      <c r="FL184">
        <v>46.86</v>
      </c>
      <c r="FM184">
        <v>47.37</v>
      </c>
      <c r="FN184">
        <v>48.43</v>
      </c>
      <c r="FO184">
        <v>49.84</v>
      </c>
      <c r="FP184">
        <v>50.91</v>
      </c>
      <c r="FQ184">
        <v>51.42</v>
      </c>
      <c r="FR184">
        <v>51.42</v>
      </c>
      <c r="FS184">
        <v>51.75</v>
      </c>
      <c r="FT184">
        <v>52.53</v>
      </c>
      <c r="FU184">
        <v>53.95</v>
      </c>
      <c r="FV184">
        <v>55.72</v>
      </c>
      <c r="FW184">
        <v>57.2</v>
      </c>
      <c r="FX184">
        <v>57.83</v>
      </c>
      <c r="FY184">
        <v>58.13</v>
      </c>
      <c r="FZ184">
        <v>58.49</v>
      </c>
      <c r="GA184">
        <v>59.19</v>
      </c>
      <c r="GB184">
        <v>60.29</v>
      </c>
      <c r="GC184">
        <v>61.86</v>
      </c>
      <c r="GD184">
        <v>63.03</v>
      </c>
      <c r="GE184">
        <v>63.55</v>
      </c>
      <c r="GF184">
        <v>63.7</v>
      </c>
      <c r="GG184">
        <v>64.010000000000005</v>
      </c>
      <c r="GH184">
        <v>64.5</v>
      </c>
      <c r="GI184">
        <v>65.319999999999993</v>
      </c>
      <c r="GJ184">
        <v>66.319999999999993</v>
      </c>
      <c r="GK184">
        <v>67</v>
      </c>
      <c r="GL184">
        <v>67.12</v>
      </c>
      <c r="GM184">
        <v>67.19</v>
      </c>
      <c r="GN184">
        <v>67.47</v>
      </c>
      <c r="GO184">
        <v>67.959999999999994</v>
      </c>
      <c r="GP184">
        <v>68.91</v>
      </c>
      <c r="GQ184">
        <v>70.13</v>
      </c>
      <c r="GR184">
        <v>70.13</v>
      </c>
      <c r="GS184">
        <v>70.33</v>
      </c>
      <c r="GT184">
        <v>70.33</v>
      </c>
      <c r="GU184">
        <v>70.63</v>
      </c>
      <c r="GV184">
        <v>71.180000000000007</v>
      </c>
      <c r="GW184">
        <v>71.87</v>
      </c>
      <c r="GX184">
        <v>72.959999999999994</v>
      </c>
      <c r="GY184">
        <v>73.64</v>
      </c>
      <c r="GZ184">
        <v>73.72</v>
      </c>
      <c r="HA184">
        <v>73.72</v>
      </c>
      <c r="HB184">
        <v>74.040000000000006</v>
      </c>
      <c r="HC184">
        <v>74.44</v>
      </c>
      <c r="HD184">
        <v>75.069999999999993</v>
      </c>
      <c r="HE184">
        <v>75.84</v>
      </c>
      <c r="HF184">
        <v>76.42</v>
      </c>
      <c r="HG184">
        <v>76.48</v>
      </c>
      <c r="HH184">
        <v>76.489999999999995</v>
      </c>
      <c r="HI184">
        <v>76.8</v>
      </c>
      <c r="HJ184">
        <v>77.12</v>
      </c>
      <c r="HK184">
        <v>77.66</v>
      </c>
      <c r="HL184">
        <v>78.349999999999994</v>
      </c>
      <c r="HM184">
        <v>78.88</v>
      </c>
      <c r="HN184">
        <v>78.98</v>
      </c>
      <c r="HO184">
        <v>78.98</v>
      </c>
      <c r="HP184">
        <v>79.25</v>
      </c>
      <c r="HQ184">
        <v>79.540000000000006</v>
      </c>
      <c r="HR184">
        <v>80.05</v>
      </c>
      <c r="HS184">
        <v>80.61</v>
      </c>
      <c r="HT184">
        <v>81.099999999999994</v>
      </c>
      <c r="HU184">
        <v>81.17</v>
      </c>
      <c r="HV184">
        <v>81.19</v>
      </c>
      <c r="HW184">
        <v>81.45</v>
      </c>
      <c r="HX184">
        <v>81.790000000000006</v>
      </c>
      <c r="HY184">
        <v>82.25</v>
      </c>
      <c r="HZ184">
        <v>82.78</v>
      </c>
      <c r="IA184">
        <v>83.19</v>
      </c>
      <c r="IB184">
        <v>83.3</v>
      </c>
      <c r="IC184">
        <v>83.35</v>
      </c>
      <c r="ID184">
        <v>83.59</v>
      </c>
      <c r="IE184">
        <v>83.87</v>
      </c>
      <c r="IF184">
        <v>84.28</v>
      </c>
      <c r="IG184">
        <v>84.78</v>
      </c>
      <c r="IH184">
        <v>85.16</v>
      </c>
      <c r="II184">
        <v>85.2</v>
      </c>
      <c r="IJ184">
        <v>85.23</v>
      </c>
      <c r="IK184">
        <v>85.43</v>
      </c>
      <c r="IL184">
        <v>85.67</v>
      </c>
      <c r="IM184">
        <v>86.02</v>
      </c>
      <c r="IN184">
        <v>86.47</v>
      </c>
      <c r="IO184">
        <v>86.85</v>
      </c>
      <c r="IP184">
        <v>86.89</v>
      </c>
      <c r="IQ184">
        <v>87.16</v>
      </c>
      <c r="IR184">
        <v>87.43</v>
      </c>
      <c r="IS184">
        <v>87.75</v>
      </c>
      <c r="IT184">
        <v>88.14</v>
      </c>
      <c r="IU184">
        <v>88.58</v>
      </c>
      <c r="IV184">
        <v>88.98</v>
      </c>
      <c r="IW184">
        <v>89.03</v>
      </c>
      <c r="IX184">
        <v>89.03</v>
      </c>
      <c r="IY184">
        <v>89.26</v>
      </c>
      <c r="IZ184">
        <v>89.58</v>
      </c>
      <c r="JA184">
        <v>89.93</v>
      </c>
      <c r="JB184">
        <v>90.38</v>
      </c>
      <c r="JC184">
        <v>90.72</v>
      </c>
      <c r="JD184">
        <v>90.76</v>
      </c>
      <c r="JE184">
        <v>90.81</v>
      </c>
      <c r="JF184">
        <v>91.03</v>
      </c>
      <c r="JG184">
        <v>91.29</v>
      </c>
      <c r="JH184">
        <v>91.54</v>
      </c>
      <c r="JI184">
        <v>91.92</v>
      </c>
      <c r="JJ184">
        <v>92.24</v>
      </c>
      <c r="JK184">
        <v>92.28</v>
      </c>
      <c r="JL184">
        <v>92.28</v>
      </c>
      <c r="JM184">
        <v>92.51</v>
      </c>
      <c r="JN184">
        <v>92.88</v>
      </c>
      <c r="JO184">
        <v>93.28</v>
      </c>
      <c r="JP184">
        <v>93.82</v>
      </c>
      <c r="JQ184">
        <v>94.28</v>
      </c>
      <c r="JR184">
        <v>94.35</v>
      </c>
      <c r="JS184">
        <v>94.36</v>
      </c>
      <c r="JT184">
        <v>94.84</v>
      </c>
      <c r="JU184">
        <v>95.64</v>
      </c>
      <c r="JV184">
        <v>96.43</v>
      </c>
      <c r="JW184">
        <v>97.52</v>
      </c>
      <c r="JX184">
        <v>98.38</v>
      </c>
      <c r="JY184">
        <v>98.77</v>
      </c>
      <c r="JZ184">
        <v>98.97</v>
      </c>
      <c r="KA184">
        <v>99.3</v>
      </c>
      <c r="KB184">
        <v>99.67</v>
      </c>
      <c r="KC184">
        <v>99.91</v>
      </c>
      <c r="KD184">
        <v>100.53</v>
      </c>
      <c r="KE184">
        <v>101.08</v>
      </c>
      <c r="KF184">
        <v>101.19</v>
      </c>
      <c r="KG184">
        <v>101.23</v>
      </c>
      <c r="KH184">
        <v>101.5</v>
      </c>
      <c r="KI184">
        <v>101.81</v>
      </c>
      <c r="KJ184">
        <v>102.13</v>
      </c>
      <c r="KK184">
        <v>102.49</v>
      </c>
      <c r="KL184">
        <v>102.76</v>
      </c>
      <c r="KM184">
        <v>102.8</v>
      </c>
      <c r="KN184">
        <v>102.8</v>
      </c>
      <c r="KO184">
        <v>103.02</v>
      </c>
      <c r="KP184">
        <v>103.34</v>
      </c>
      <c r="KQ184">
        <v>103.68</v>
      </c>
      <c r="KR184">
        <v>104.24</v>
      </c>
      <c r="KS184">
        <v>104.66</v>
      </c>
      <c r="KT184">
        <v>104.75</v>
      </c>
      <c r="KU184">
        <v>104.76</v>
      </c>
      <c r="KV184">
        <v>105.01</v>
      </c>
      <c r="KW184">
        <v>105.24</v>
      </c>
      <c r="KX184">
        <v>105.48</v>
      </c>
      <c r="KY184">
        <v>105.79</v>
      </c>
      <c r="KZ184">
        <v>106.01</v>
      </c>
      <c r="LA184">
        <v>106.03</v>
      </c>
      <c r="LB184">
        <v>106.04</v>
      </c>
      <c r="LC184">
        <v>106.16</v>
      </c>
      <c r="LD184">
        <v>106.25</v>
      </c>
      <c r="LF184">
        <v>110.24</v>
      </c>
      <c r="LH184">
        <v>110.38</v>
      </c>
      <c r="LI184">
        <v>110.39</v>
      </c>
      <c r="LJ184">
        <v>110.5</v>
      </c>
      <c r="LM184">
        <v>110.9</v>
      </c>
      <c r="LN184">
        <v>111.01</v>
      </c>
      <c r="LO184">
        <v>111.02</v>
      </c>
      <c r="LP184">
        <v>111.02</v>
      </c>
      <c r="LR184">
        <v>111.16</v>
      </c>
      <c r="MA184">
        <v>112.26</v>
      </c>
      <c r="MB184">
        <v>112.46</v>
      </c>
      <c r="MC184">
        <v>112.52</v>
      </c>
      <c r="MD184">
        <v>112.52</v>
      </c>
      <c r="ME184">
        <v>112.68</v>
      </c>
      <c r="MF184">
        <v>112.85</v>
      </c>
      <c r="MG184">
        <v>113.04</v>
      </c>
      <c r="MI184">
        <v>113.44</v>
      </c>
      <c r="MJ184">
        <v>113.51</v>
      </c>
      <c r="MK184">
        <v>113.53</v>
      </c>
      <c r="ML184">
        <v>113.61</v>
      </c>
      <c r="MM184">
        <v>113.74</v>
      </c>
      <c r="MN184">
        <v>113.88</v>
      </c>
      <c r="MO184">
        <v>127.12</v>
      </c>
      <c r="MQ184">
        <v>127.97</v>
      </c>
      <c r="MR184">
        <v>128.01</v>
      </c>
      <c r="MS184">
        <v>128.37</v>
      </c>
      <c r="MT184">
        <v>128.79</v>
      </c>
      <c r="MU184">
        <v>129.32</v>
      </c>
      <c r="MV184">
        <v>129.91999999999999</v>
      </c>
      <c r="MW184">
        <v>130.44</v>
      </c>
      <c r="MX184">
        <v>130.55000000000001</v>
      </c>
      <c r="MY184">
        <v>130.57</v>
      </c>
      <c r="MZ184">
        <v>130.87</v>
      </c>
      <c r="NB184">
        <v>131.65</v>
      </c>
      <c r="ND184">
        <v>132.55000000000001</v>
      </c>
      <c r="NE184">
        <v>132.63</v>
      </c>
      <c r="NF184">
        <v>132.63999999999999</v>
      </c>
      <c r="NG184">
        <v>132.87</v>
      </c>
      <c r="NH184">
        <v>133.19</v>
      </c>
      <c r="NI184">
        <v>133.6</v>
      </c>
      <c r="NJ184">
        <v>134.09</v>
      </c>
      <c r="NK184">
        <v>134.53</v>
      </c>
      <c r="NL184">
        <v>134.61000000000001</v>
      </c>
      <c r="NM184">
        <v>134.97999999999999</v>
      </c>
      <c r="NV184">
        <v>139.22</v>
      </c>
      <c r="NX184">
        <v>139.80000000000001</v>
      </c>
      <c r="NY184">
        <v>139.86000000000001</v>
      </c>
      <c r="NZ184">
        <v>139.86000000000001</v>
      </c>
      <c r="OA184">
        <v>139.87</v>
      </c>
      <c r="OB184">
        <v>140.11000000000001</v>
      </c>
      <c r="OC184">
        <v>133.43</v>
      </c>
      <c r="OD184">
        <v>133.94999999999999</v>
      </c>
      <c r="OE184">
        <v>134.52000000000001</v>
      </c>
      <c r="OG184">
        <v>135.07</v>
      </c>
      <c r="OH184">
        <v>135.07</v>
      </c>
      <c r="OI184">
        <v>135.07</v>
      </c>
      <c r="OJ184">
        <v>135.79</v>
      </c>
      <c r="OK184">
        <v>136.12</v>
      </c>
      <c r="OL184">
        <v>136.91</v>
      </c>
      <c r="OM184">
        <v>137.69999999999999</v>
      </c>
      <c r="ON184">
        <v>138.16</v>
      </c>
      <c r="OO184">
        <v>138.16999999999999</v>
      </c>
      <c r="OP184">
        <v>138.16999999999999</v>
      </c>
      <c r="OQ184">
        <v>138.47999999999999</v>
      </c>
      <c r="OR184">
        <v>138.47999999999999</v>
      </c>
      <c r="OS184">
        <v>138.91999999999999</v>
      </c>
      <c r="OT184">
        <v>139.16</v>
      </c>
      <c r="OU184">
        <v>139.16999999999999</v>
      </c>
      <c r="OV184">
        <v>139.16999999999999</v>
      </c>
      <c r="OW184">
        <v>139.18</v>
      </c>
      <c r="OX184">
        <v>139.30000000000001</v>
      </c>
      <c r="OY184">
        <v>139.44</v>
      </c>
      <c r="OZ184">
        <v>139.62</v>
      </c>
      <c r="PA184">
        <v>139.84</v>
      </c>
      <c r="PB184">
        <v>140.06</v>
      </c>
      <c r="PC184">
        <v>140.1</v>
      </c>
      <c r="PD184">
        <v>140.22</v>
      </c>
      <c r="PE184">
        <v>140.37</v>
      </c>
      <c r="PF184">
        <v>140.61000000000001</v>
      </c>
      <c r="PG184">
        <v>140.87</v>
      </c>
      <c r="PH184">
        <v>141.09</v>
      </c>
      <c r="PI184">
        <v>141.13</v>
      </c>
      <c r="PJ184">
        <v>141.13</v>
      </c>
      <c r="PK184">
        <v>141.13999999999999</v>
      </c>
      <c r="PL184">
        <v>141.24</v>
      </c>
      <c r="PM184">
        <v>141.24</v>
      </c>
      <c r="PN184">
        <v>141.38</v>
      </c>
      <c r="PO184">
        <v>141.59</v>
      </c>
      <c r="PP184">
        <v>141.75</v>
      </c>
      <c r="PQ184">
        <v>141.78</v>
      </c>
      <c r="PR184">
        <v>141.79</v>
      </c>
      <c r="PS184">
        <v>141.85</v>
      </c>
      <c r="PT184">
        <v>141.94999999999999</v>
      </c>
      <c r="PU184">
        <v>142.15</v>
      </c>
      <c r="PV184">
        <v>142.27000000000001</v>
      </c>
      <c r="PW184">
        <v>142.28</v>
      </c>
      <c r="PX184">
        <v>142.28</v>
      </c>
      <c r="PY184">
        <v>142.31</v>
      </c>
      <c r="PZ184">
        <v>142.35</v>
      </c>
      <c r="QA184">
        <v>142.35</v>
      </c>
      <c r="QB184">
        <v>142.44</v>
      </c>
      <c r="QC184">
        <v>142.44</v>
      </c>
      <c r="QD184">
        <v>142.52000000000001</v>
      </c>
      <c r="QE184">
        <v>142.52000000000001</v>
      </c>
      <c r="QF184">
        <v>142.54</v>
      </c>
      <c r="QG184">
        <v>142.54</v>
      </c>
      <c r="QH184">
        <v>142.59</v>
      </c>
      <c r="QI184">
        <v>142.63</v>
      </c>
      <c r="QJ184">
        <v>142.66999999999999</v>
      </c>
      <c r="QK184">
        <v>142.66999999999999</v>
      </c>
      <c r="QL184">
        <v>142.66999999999999</v>
      </c>
      <c r="QM184">
        <v>142.69</v>
      </c>
      <c r="QN184">
        <v>142.71</v>
      </c>
      <c r="QO184">
        <v>142.75</v>
      </c>
      <c r="QP184">
        <v>142.78</v>
      </c>
      <c r="QQ184">
        <v>142.82</v>
      </c>
      <c r="QR184">
        <v>142.82</v>
      </c>
      <c r="QS184">
        <v>142.83000000000001</v>
      </c>
      <c r="QT184">
        <v>142.84</v>
      </c>
      <c r="QU184">
        <v>142.86000000000001</v>
      </c>
      <c r="QV184">
        <v>142.91</v>
      </c>
      <c r="QW184">
        <v>142.94999999999999</v>
      </c>
      <c r="QX184">
        <v>142.99</v>
      </c>
      <c r="QY184">
        <v>142.99</v>
      </c>
      <c r="QZ184">
        <v>143</v>
      </c>
      <c r="RA184">
        <v>143.02000000000001</v>
      </c>
      <c r="RB184">
        <v>143.04</v>
      </c>
      <c r="RC184">
        <v>143.09</v>
      </c>
      <c r="RD184">
        <v>143.13</v>
      </c>
      <c r="RE184">
        <v>143.16999999999999</v>
      </c>
      <c r="RF184">
        <v>143.16999999999999</v>
      </c>
      <c r="RG184">
        <v>143.16999999999999</v>
      </c>
      <c r="RH184">
        <v>143.16999999999999</v>
      </c>
      <c r="RI184">
        <v>143.21</v>
      </c>
      <c r="RJ184">
        <v>143.25</v>
      </c>
      <c r="RK184">
        <v>143.26</v>
      </c>
      <c r="RL184">
        <v>143.26</v>
      </c>
      <c r="RM184">
        <v>143.26</v>
      </c>
      <c r="RN184">
        <v>143.26</v>
      </c>
      <c r="RO184">
        <v>143.26</v>
      </c>
      <c r="RP184">
        <v>143.26</v>
      </c>
      <c r="RQ184">
        <v>143.49</v>
      </c>
      <c r="RR184">
        <v>143.51</v>
      </c>
      <c r="RT184">
        <v>143.56</v>
      </c>
      <c r="RU184">
        <v>143.6</v>
      </c>
      <c r="RV184">
        <v>143.63</v>
      </c>
      <c r="RW184">
        <v>143.63</v>
      </c>
      <c r="RX184">
        <v>143.63</v>
      </c>
      <c r="RY184">
        <v>143.66999999999999</v>
      </c>
      <c r="RZ184">
        <v>143.66999999999999</v>
      </c>
      <c r="SA184">
        <v>143.72</v>
      </c>
      <c r="SB184">
        <v>143.72</v>
      </c>
      <c r="SC184">
        <v>143.72</v>
      </c>
      <c r="SD184">
        <v>143.72</v>
      </c>
      <c r="SE184">
        <v>143.75</v>
      </c>
      <c r="SF184">
        <v>143.75</v>
      </c>
      <c r="SG184">
        <v>143.76</v>
      </c>
      <c r="SH184">
        <v>143.78</v>
      </c>
      <c r="SI184">
        <v>143.78</v>
      </c>
      <c r="SJ184">
        <v>143.78</v>
      </c>
      <c r="SK184">
        <v>143.78</v>
      </c>
      <c r="SL184">
        <v>143.78</v>
      </c>
      <c r="SM184">
        <v>143.79</v>
      </c>
      <c r="SN184">
        <v>143.83000000000001</v>
      </c>
      <c r="SO184">
        <v>143.83000000000001</v>
      </c>
      <c r="SP184">
        <v>143.86000000000001</v>
      </c>
      <c r="SQ184">
        <v>143.86000000000001</v>
      </c>
      <c r="SR184">
        <v>143.86000000000001</v>
      </c>
      <c r="SS184">
        <v>143.86000000000001</v>
      </c>
      <c r="ST184">
        <v>143.88999999999999</v>
      </c>
      <c r="SU184">
        <v>143.88999999999999</v>
      </c>
      <c r="SV184">
        <v>143.91999999999999</v>
      </c>
      <c r="SW184">
        <v>143.91999999999999</v>
      </c>
      <c r="SX184">
        <v>143.91999999999999</v>
      </c>
      <c r="SY184">
        <v>143.91999999999999</v>
      </c>
      <c r="SZ184">
        <v>143.93</v>
      </c>
      <c r="TA184">
        <v>143.93</v>
      </c>
      <c r="TB184">
        <v>143.94999999999999</v>
      </c>
      <c r="TC184">
        <v>143.97</v>
      </c>
      <c r="TD184">
        <v>143.97</v>
      </c>
      <c r="TF184">
        <v>143.97999999999999</v>
      </c>
      <c r="TG184">
        <v>143.97999999999999</v>
      </c>
      <c r="TH184">
        <v>143.99</v>
      </c>
      <c r="TI184">
        <v>143.99</v>
      </c>
      <c r="TL184">
        <v>144.01</v>
      </c>
      <c r="TM184">
        <v>144.02000000000001</v>
      </c>
      <c r="TN184">
        <v>144.02000000000001</v>
      </c>
      <c r="TO184">
        <v>144.03</v>
      </c>
      <c r="TP184">
        <v>144.04</v>
      </c>
      <c r="TT184">
        <v>144.02000000000001</v>
      </c>
      <c r="TU184">
        <v>144.04</v>
      </c>
      <c r="TV184">
        <v>144.04</v>
      </c>
      <c r="TW184">
        <v>144.05000000000001</v>
      </c>
      <c r="TX184">
        <v>144.06</v>
      </c>
      <c r="TZ184">
        <v>144.06</v>
      </c>
      <c r="UA184">
        <v>144.06</v>
      </c>
      <c r="UB184">
        <v>144.06</v>
      </c>
      <c r="UC184">
        <v>144.07</v>
      </c>
      <c r="UD184">
        <v>144.08000000000001</v>
      </c>
      <c r="UE184">
        <v>144.08000000000001</v>
      </c>
      <c r="UH184">
        <v>144.09</v>
      </c>
      <c r="UI184">
        <v>144.09</v>
      </c>
      <c r="UJ184">
        <v>144.1</v>
      </c>
      <c r="UK184">
        <v>144.11000000000001</v>
      </c>
      <c r="UL184">
        <v>144.12</v>
      </c>
      <c r="UN184">
        <v>144.12</v>
      </c>
      <c r="UO184">
        <v>144.12</v>
      </c>
      <c r="UP184">
        <v>144.13</v>
      </c>
      <c r="UQ184">
        <v>144.13</v>
      </c>
      <c r="UR184">
        <v>144.15</v>
      </c>
      <c r="US184">
        <v>144.15</v>
      </c>
      <c r="UV184">
        <v>144.15</v>
      </c>
      <c r="UW184">
        <v>144.16</v>
      </c>
      <c r="UX184">
        <v>144.16</v>
      </c>
    </row>
    <row r="185" spans="1:800">
      <c r="A185" s="1" t="s">
        <v>245</v>
      </c>
      <c r="B185" t="s">
        <v>364</v>
      </c>
      <c r="DB185">
        <v>0</v>
      </c>
      <c r="DJ185">
        <v>0.28999999999999998</v>
      </c>
      <c r="DW185">
        <v>0.38</v>
      </c>
      <c r="ED185">
        <v>0.51</v>
      </c>
      <c r="EK185">
        <v>1.02</v>
      </c>
      <c r="ER185">
        <v>1.1299999999999999</v>
      </c>
      <c r="EY185">
        <v>1.87</v>
      </c>
      <c r="FF185">
        <v>2.08</v>
      </c>
      <c r="FM185">
        <v>2.41</v>
      </c>
      <c r="GV185">
        <v>3.17</v>
      </c>
      <c r="HJ185">
        <v>3.73</v>
      </c>
      <c r="HQ185">
        <v>4.05</v>
      </c>
      <c r="HX185">
        <v>5.73</v>
      </c>
      <c r="ID185">
        <v>5.88</v>
      </c>
      <c r="IK185">
        <v>8.24</v>
      </c>
      <c r="IR185">
        <v>9.2200000000000006</v>
      </c>
      <c r="JU185">
        <v>13.88</v>
      </c>
      <c r="KP185">
        <v>18.5</v>
      </c>
      <c r="KW185">
        <v>20.16</v>
      </c>
      <c r="LJ185">
        <v>21.71</v>
      </c>
      <c r="LX185">
        <v>24.37</v>
      </c>
      <c r="ML185">
        <v>27.53</v>
      </c>
      <c r="MT185">
        <v>29.55</v>
      </c>
      <c r="NG185">
        <v>32.520000000000003</v>
      </c>
      <c r="NN185">
        <v>33.51</v>
      </c>
      <c r="OC185">
        <v>34.96</v>
      </c>
      <c r="OQ185">
        <v>36.47</v>
      </c>
      <c r="PD185">
        <v>38.5</v>
      </c>
      <c r="PK185">
        <v>39.46</v>
      </c>
      <c r="PY185">
        <v>40.51</v>
      </c>
      <c r="QF185">
        <v>42.79</v>
      </c>
      <c r="QM185">
        <v>44.79</v>
      </c>
      <c r="RA185">
        <v>48.69</v>
      </c>
      <c r="RM185">
        <v>50.98</v>
      </c>
      <c r="RR185">
        <v>54.09</v>
      </c>
      <c r="RW185">
        <v>55.81</v>
      </c>
      <c r="SD185">
        <v>60.38</v>
      </c>
      <c r="SK185">
        <v>61.65</v>
      </c>
      <c r="TF185">
        <v>64.209999999999994</v>
      </c>
      <c r="UA185">
        <v>65.12</v>
      </c>
      <c r="UH185">
        <v>65.86</v>
      </c>
      <c r="VC185">
        <v>66.27</v>
      </c>
      <c r="WD185">
        <v>71.349999999999994</v>
      </c>
      <c r="WR185">
        <v>72.569999999999993</v>
      </c>
      <c r="WY185">
        <v>73.5</v>
      </c>
      <c r="XM185">
        <v>73.989999999999995</v>
      </c>
      <c r="YA185">
        <v>74.87</v>
      </c>
      <c r="YI185">
        <v>75.97</v>
      </c>
      <c r="YV185">
        <v>76.709999999999994</v>
      </c>
      <c r="ZC185">
        <v>77.150000000000006</v>
      </c>
      <c r="ZJ185">
        <v>86.43</v>
      </c>
    </row>
    <row r="186" spans="1:800">
      <c r="A186" s="1" t="s">
        <v>136</v>
      </c>
      <c r="B186" t="s">
        <v>136</v>
      </c>
      <c r="EA186">
        <v>0.74</v>
      </c>
      <c r="EP186">
        <v>0.78</v>
      </c>
      <c r="FD186">
        <v>0.78</v>
      </c>
      <c r="FL186">
        <v>0.79</v>
      </c>
      <c r="FM186">
        <v>0.79</v>
      </c>
      <c r="FO186">
        <v>0.81</v>
      </c>
      <c r="FS186">
        <v>0.84</v>
      </c>
      <c r="FU186">
        <v>0.87</v>
      </c>
      <c r="GA186">
        <v>0.89</v>
      </c>
      <c r="GB186">
        <v>0.9</v>
      </c>
      <c r="GE186">
        <v>0.98</v>
      </c>
      <c r="GG186">
        <v>0.98</v>
      </c>
      <c r="GJ186">
        <v>1</v>
      </c>
      <c r="GK186">
        <v>1.01</v>
      </c>
      <c r="GM186">
        <v>1.03</v>
      </c>
      <c r="GO186">
        <v>1.1200000000000001</v>
      </c>
      <c r="GP186">
        <v>1.2</v>
      </c>
      <c r="GU186">
        <v>1.28</v>
      </c>
      <c r="GV186">
        <v>1.31</v>
      </c>
      <c r="HC186">
        <v>1.47</v>
      </c>
      <c r="HE186">
        <v>1.48</v>
      </c>
      <c r="HH186">
        <v>1.57</v>
      </c>
      <c r="ID186">
        <v>1.76</v>
      </c>
      <c r="IW186">
        <v>1.73</v>
      </c>
      <c r="JF186">
        <v>1.78</v>
      </c>
      <c r="JH186">
        <v>1.8</v>
      </c>
      <c r="JM186">
        <v>1.89</v>
      </c>
      <c r="JV186">
        <v>2.15</v>
      </c>
      <c r="KA186">
        <v>2.38</v>
      </c>
      <c r="KD186">
        <v>2.63</v>
      </c>
      <c r="KI186">
        <v>2.92</v>
      </c>
      <c r="KY186">
        <v>3.67</v>
      </c>
      <c r="NC186">
        <v>7.02</v>
      </c>
      <c r="NN186">
        <v>8.3699999999999992</v>
      </c>
      <c r="NQ186">
        <v>8.89</v>
      </c>
      <c r="QD186">
        <v>10.97</v>
      </c>
      <c r="RM186">
        <v>15.14</v>
      </c>
      <c r="SE186">
        <v>16.21</v>
      </c>
      <c r="UG186">
        <v>18.89</v>
      </c>
      <c r="ABJ186">
        <v>48.42</v>
      </c>
    </row>
    <row r="187" spans="1:800">
      <c r="A187" s="1" t="s">
        <v>43</v>
      </c>
      <c r="B187" t="s">
        <v>365</v>
      </c>
      <c r="BS187">
        <v>0</v>
      </c>
      <c r="BU187">
        <v>0</v>
      </c>
      <c r="BV187">
        <v>0.01</v>
      </c>
      <c r="BW187">
        <v>0.02</v>
      </c>
      <c r="BX187">
        <v>0.03</v>
      </c>
      <c r="BY187">
        <v>0.04</v>
      </c>
      <c r="BZ187">
        <v>0.05</v>
      </c>
      <c r="CA187">
        <v>7.0000000000000007E-2</v>
      </c>
      <c r="CB187">
        <v>0.09</v>
      </c>
      <c r="CC187">
        <v>0.11</v>
      </c>
      <c r="CD187">
        <v>0.11</v>
      </c>
      <c r="CE187">
        <v>0.12</v>
      </c>
      <c r="CF187">
        <v>0.12</v>
      </c>
      <c r="CG187">
        <v>0.13</v>
      </c>
      <c r="CH187">
        <v>0.14000000000000001</v>
      </c>
      <c r="CI187">
        <v>0.16</v>
      </c>
      <c r="CJ187">
        <v>0.17</v>
      </c>
      <c r="CK187">
        <v>0.17</v>
      </c>
      <c r="CL187">
        <v>0.17</v>
      </c>
      <c r="CM187">
        <v>0.17</v>
      </c>
      <c r="CN187">
        <v>0.18</v>
      </c>
      <c r="CO187">
        <v>0.22</v>
      </c>
      <c r="CP187">
        <v>0.23</v>
      </c>
      <c r="CQ187">
        <v>0.24</v>
      </c>
      <c r="CR187">
        <v>0.25</v>
      </c>
      <c r="CT187">
        <v>0.25</v>
      </c>
      <c r="CU187">
        <v>0.27</v>
      </c>
      <c r="CV187">
        <v>0.28000000000000003</v>
      </c>
      <c r="CW187">
        <v>0.3</v>
      </c>
      <c r="CX187">
        <v>0.31</v>
      </c>
      <c r="DB187">
        <v>0.33</v>
      </c>
      <c r="DC187">
        <v>0.35</v>
      </c>
      <c r="DD187">
        <v>0.37</v>
      </c>
      <c r="DE187">
        <v>0.39</v>
      </c>
      <c r="DF187">
        <v>0.39</v>
      </c>
      <c r="DH187">
        <v>0.4</v>
      </c>
      <c r="DI187">
        <v>0.42</v>
      </c>
      <c r="DJ187">
        <v>0.44</v>
      </c>
      <c r="DK187">
        <v>0.45</v>
      </c>
      <c r="DP187">
        <v>0.46</v>
      </c>
      <c r="DQ187">
        <v>0.47</v>
      </c>
      <c r="DR187">
        <v>0.48</v>
      </c>
      <c r="DS187">
        <v>0.49</v>
      </c>
      <c r="DT187">
        <v>0.49</v>
      </c>
      <c r="DV187">
        <v>0.49</v>
      </c>
      <c r="DW187">
        <v>0.49</v>
      </c>
      <c r="EL187">
        <v>0.5</v>
      </c>
      <c r="EM187">
        <v>0.52</v>
      </c>
      <c r="EN187">
        <v>0.54</v>
      </c>
      <c r="EO187">
        <v>0.54</v>
      </c>
      <c r="EQ187">
        <v>0.55000000000000004</v>
      </c>
      <c r="ER187">
        <v>0.6</v>
      </c>
      <c r="ES187">
        <v>0.62</v>
      </c>
      <c r="EU187">
        <v>0.64</v>
      </c>
      <c r="EV187">
        <v>0.64</v>
      </c>
      <c r="EX187">
        <v>0.67</v>
      </c>
      <c r="EY187">
        <v>0.7</v>
      </c>
      <c r="EZ187">
        <v>0.73</v>
      </c>
      <c r="FA187">
        <v>0.77</v>
      </c>
      <c r="FB187">
        <v>0.8</v>
      </c>
      <c r="FC187">
        <v>0.81</v>
      </c>
      <c r="FD187">
        <v>0.81</v>
      </c>
      <c r="FE187">
        <v>0.81</v>
      </c>
      <c r="FF187">
        <v>0.88</v>
      </c>
      <c r="FG187">
        <v>0.94</v>
      </c>
      <c r="FH187">
        <v>1.01</v>
      </c>
      <c r="FI187">
        <v>1.08</v>
      </c>
      <c r="FJ187">
        <v>1.0900000000000001</v>
      </c>
      <c r="FK187">
        <v>1.1000000000000001</v>
      </c>
      <c r="FL187">
        <v>1.18</v>
      </c>
      <c r="FM187">
        <v>1.28</v>
      </c>
      <c r="FN187">
        <v>1.4</v>
      </c>
      <c r="FO187">
        <v>1.52</v>
      </c>
      <c r="FP187">
        <v>1.63</v>
      </c>
      <c r="FQ187">
        <v>1.63</v>
      </c>
      <c r="FR187">
        <v>1.64</v>
      </c>
      <c r="FS187">
        <v>1.76</v>
      </c>
      <c r="FT187">
        <v>1.88</v>
      </c>
      <c r="FU187">
        <v>2.0099999999999998</v>
      </c>
      <c r="FV187">
        <v>2.14</v>
      </c>
      <c r="FW187">
        <v>2.25</v>
      </c>
      <c r="FX187">
        <v>2.27</v>
      </c>
      <c r="FY187">
        <v>2.2799999999999998</v>
      </c>
      <c r="FZ187">
        <v>2.42</v>
      </c>
      <c r="GA187">
        <v>2.57</v>
      </c>
      <c r="GB187">
        <v>2.73</v>
      </c>
      <c r="GC187">
        <v>2.85</v>
      </c>
      <c r="GD187">
        <v>2.98</v>
      </c>
      <c r="GE187">
        <v>2.99</v>
      </c>
      <c r="GF187">
        <v>3</v>
      </c>
      <c r="GG187">
        <v>3.16</v>
      </c>
      <c r="GH187">
        <v>3.31</v>
      </c>
      <c r="GI187">
        <v>3.33</v>
      </c>
      <c r="GJ187">
        <v>3.49</v>
      </c>
      <c r="GK187">
        <v>3.6</v>
      </c>
      <c r="GL187">
        <v>3.61</v>
      </c>
      <c r="GN187">
        <v>3.76</v>
      </c>
      <c r="GQ187">
        <v>4.3</v>
      </c>
      <c r="GR187">
        <v>4.49</v>
      </c>
      <c r="GS187">
        <v>4.5199999999999996</v>
      </c>
      <c r="GT187">
        <v>4.6900000000000004</v>
      </c>
      <c r="GU187">
        <v>4.7</v>
      </c>
      <c r="GV187">
        <v>4.8899999999999997</v>
      </c>
      <c r="GW187">
        <v>5.0999999999999996</v>
      </c>
      <c r="GX187">
        <v>5.32</v>
      </c>
      <c r="GZ187">
        <v>5.58</v>
      </c>
      <c r="HA187">
        <v>5.59</v>
      </c>
      <c r="HB187">
        <v>5.84</v>
      </c>
      <c r="HC187">
        <v>6.12</v>
      </c>
      <c r="HE187">
        <v>6.77</v>
      </c>
      <c r="HF187">
        <v>7.09</v>
      </c>
      <c r="HG187">
        <v>7.14</v>
      </c>
      <c r="HI187">
        <v>7.4</v>
      </c>
      <c r="HJ187">
        <v>7.65</v>
      </c>
      <c r="HL187">
        <v>8.51</v>
      </c>
      <c r="HP187">
        <v>8.59</v>
      </c>
      <c r="HQ187">
        <v>8.98</v>
      </c>
      <c r="HS187">
        <v>10.26</v>
      </c>
      <c r="HT187">
        <v>10.64</v>
      </c>
      <c r="HV187">
        <v>10.76</v>
      </c>
      <c r="HW187">
        <v>11.15</v>
      </c>
      <c r="HX187">
        <v>11.56</v>
      </c>
      <c r="HZ187">
        <v>12.3</v>
      </c>
      <c r="IC187">
        <v>12.73</v>
      </c>
      <c r="ID187">
        <v>12.76</v>
      </c>
      <c r="IE187">
        <v>13.46</v>
      </c>
      <c r="IG187">
        <v>13.8</v>
      </c>
      <c r="IJ187">
        <v>14.5</v>
      </c>
      <c r="IL187">
        <v>14.86</v>
      </c>
      <c r="IN187">
        <v>15.49</v>
      </c>
      <c r="IQ187">
        <v>15.83</v>
      </c>
      <c r="IR187">
        <v>16.11</v>
      </c>
      <c r="IT187">
        <v>16.8</v>
      </c>
      <c r="IU187">
        <v>17.14</v>
      </c>
      <c r="IV187">
        <v>17.37</v>
      </c>
      <c r="IX187">
        <v>17.45</v>
      </c>
      <c r="IY187">
        <v>17.97</v>
      </c>
      <c r="IZ187">
        <v>18.45</v>
      </c>
      <c r="JC187">
        <v>19.86</v>
      </c>
      <c r="JF187">
        <v>20.47</v>
      </c>
      <c r="JG187">
        <v>20.93</v>
      </c>
      <c r="JH187">
        <v>21.39</v>
      </c>
      <c r="JI187">
        <v>21.84</v>
      </c>
      <c r="JL187">
        <v>22.41</v>
      </c>
      <c r="JN187">
        <v>23.14</v>
      </c>
      <c r="JP187">
        <v>23.53</v>
      </c>
      <c r="JQ187">
        <v>24.33</v>
      </c>
      <c r="JR187">
        <v>24.43</v>
      </c>
      <c r="JS187">
        <v>24.47</v>
      </c>
      <c r="JT187">
        <v>24.85</v>
      </c>
      <c r="JU187">
        <v>25.3</v>
      </c>
      <c r="JV187">
        <v>25.73</v>
      </c>
      <c r="JW187">
        <v>26.12</v>
      </c>
      <c r="JZ187">
        <v>26.64</v>
      </c>
      <c r="KB187">
        <v>27.24</v>
      </c>
      <c r="KC187">
        <v>27.58</v>
      </c>
      <c r="KD187">
        <v>27.91</v>
      </c>
      <c r="KE187">
        <v>27.95</v>
      </c>
      <c r="KG187">
        <v>28.03</v>
      </c>
      <c r="KK187">
        <v>29.16</v>
      </c>
      <c r="KP187">
        <v>30.46</v>
      </c>
      <c r="KQ187">
        <v>30.83</v>
      </c>
      <c r="KS187">
        <v>31.2</v>
      </c>
      <c r="KV187">
        <v>31.71</v>
      </c>
      <c r="KX187">
        <v>49.43</v>
      </c>
      <c r="KZ187">
        <v>33.14</v>
      </c>
      <c r="LO187">
        <v>37.25</v>
      </c>
      <c r="LS187">
        <v>37.97</v>
      </c>
      <c r="LT187">
        <v>37.97</v>
      </c>
      <c r="LW187">
        <v>38.56</v>
      </c>
      <c r="LX187">
        <v>38.75</v>
      </c>
      <c r="MB187">
        <v>39.69</v>
      </c>
      <c r="MD187">
        <v>39.89</v>
      </c>
      <c r="MF187">
        <v>40.33</v>
      </c>
      <c r="MK187">
        <v>41.05</v>
      </c>
      <c r="MN187">
        <v>41.64</v>
      </c>
      <c r="MP187">
        <v>42.04</v>
      </c>
      <c r="MS187">
        <v>42.38</v>
      </c>
      <c r="MT187">
        <v>42.67</v>
      </c>
      <c r="MU187">
        <v>42.94</v>
      </c>
      <c r="MV187">
        <v>43.49</v>
      </c>
      <c r="MY187">
        <v>43.88</v>
      </c>
      <c r="NA187">
        <v>44.37</v>
      </c>
      <c r="NB187">
        <v>44.6</v>
      </c>
      <c r="ND187">
        <v>45.04</v>
      </c>
      <c r="NG187">
        <v>45.28</v>
      </c>
      <c r="NH187">
        <v>45.47</v>
      </c>
      <c r="NQ187">
        <v>61.04</v>
      </c>
      <c r="NR187">
        <v>61.15</v>
      </c>
      <c r="OA187">
        <v>46.58</v>
      </c>
      <c r="OF187">
        <v>47.13</v>
      </c>
      <c r="OH187">
        <v>47.16</v>
      </c>
      <c r="OJ187">
        <v>47.46</v>
      </c>
      <c r="OK187">
        <v>47.59</v>
      </c>
      <c r="OO187">
        <v>47.99</v>
      </c>
      <c r="OQ187">
        <v>48.44</v>
      </c>
      <c r="OS187">
        <v>48.72</v>
      </c>
      <c r="OT187">
        <v>48.86</v>
      </c>
      <c r="OU187">
        <v>48.9</v>
      </c>
      <c r="OW187">
        <v>49.05</v>
      </c>
      <c r="OY187">
        <v>49.34</v>
      </c>
      <c r="OZ187">
        <v>49.47</v>
      </c>
      <c r="PA187">
        <v>49.61</v>
      </c>
      <c r="PC187">
        <v>49.65</v>
      </c>
      <c r="PD187">
        <v>49.77</v>
      </c>
      <c r="PT187">
        <v>52.03</v>
      </c>
      <c r="PW187">
        <v>52.37</v>
      </c>
      <c r="PX187">
        <v>52.38</v>
      </c>
      <c r="PZ187">
        <v>52.67</v>
      </c>
      <c r="QC187">
        <v>52.3</v>
      </c>
      <c r="QG187">
        <v>52.72</v>
      </c>
      <c r="QK187">
        <v>53.33</v>
      </c>
      <c r="QL187">
        <v>53.34</v>
      </c>
      <c r="QM187">
        <v>53.51</v>
      </c>
      <c r="QN187">
        <v>53.51</v>
      </c>
      <c r="QO187">
        <v>53.67</v>
      </c>
      <c r="QP187">
        <v>53.83</v>
      </c>
      <c r="QQ187">
        <v>54.16</v>
      </c>
      <c r="QR187">
        <v>54.16</v>
      </c>
      <c r="QS187">
        <v>54.2</v>
      </c>
      <c r="QT187">
        <v>54.21</v>
      </c>
      <c r="QU187">
        <v>54.35</v>
      </c>
      <c r="QV187">
        <v>54.5</v>
      </c>
      <c r="QW187">
        <v>54.66</v>
      </c>
      <c r="QX187">
        <v>54.8</v>
      </c>
      <c r="QY187">
        <v>54.94</v>
      </c>
      <c r="QZ187">
        <v>54.98</v>
      </c>
      <c r="RA187">
        <v>54.99</v>
      </c>
      <c r="RB187">
        <v>55</v>
      </c>
      <c r="RC187">
        <v>55.14</v>
      </c>
      <c r="RD187">
        <v>55.3</v>
      </c>
      <c r="RE187">
        <v>55.45</v>
      </c>
      <c r="RF187">
        <v>55.59</v>
      </c>
      <c r="RG187">
        <v>55.64</v>
      </c>
      <c r="RH187">
        <v>55.64</v>
      </c>
      <c r="RI187">
        <v>55.77</v>
      </c>
      <c r="RJ187">
        <v>55.91</v>
      </c>
      <c r="RK187">
        <v>56.06</v>
      </c>
      <c r="RM187">
        <v>56.33</v>
      </c>
      <c r="RN187">
        <v>56.42</v>
      </c>
      <c r="RO187">
        <v>56.51</v>
      </c>
      <c r="RP187">
        <v>56.61</v>
      </c>
      <c r="RQ187">
        <v>56.86</v>
      </c>
      <c r="RR187">
        <v>56.87</v>
      </c>
      <c r="RS187">
        <v>56.95</v>
      </c>
      <c r="RT187">
        <v>57.05</v>
      </c>
      <c r="RU187">
        <v>57.14</v>
      </c>
      <c r="RW187">
        <v>57.23</v>
      </c>
      <c r="RX187">
        <v>57.24</v>
      </c>
      <c r="RY187">
        <v>57.32</v>
      </c>
      <c r="RZ187">
        <v>57.41</v>
      </c>
      <c r="SA187">
        <v>57.5</v>
      </c>
      <c r="SB187">
        <v>57.62</v>
      </c>
      <c r="SD187">
        <v>57.63</v>
      </c>
      <c r="SE187">
        <v>57.73</v>
      </c>
      <c r="SF187">
        <v>57.84</v>
      </c>
      <c r="SG187">
        <v>57.86</v>
      </c>
      <c r="SH187">
        <v>57.97</v>
      </c>
      <c r="SI187">
        <v>58.07</v>
      </c>
      <c r="SJ187">
        <v>58.09</v>
      </c>
      <c r="SK187">
        <v>58.09</v>
      </c>
      <c r="SL187">
        <v>58.1</v>
      </c>
      <c r="SM187">
        <v>58.2</v>
      </c>
      <c r="SN187">
        <v>58.29</v>
      </c>
      <c r="SO187">
        <v>58.39</v>
      </c>
      <c r="SP187">
        <v>58.48</v>
      </c>
      <c r="SQ187">
        <v>58.5</v>
      </c>
      <c r="SR187">
        <v>58.51</v>
      </c>
      <c r="SS187">
        <v>58.6</v>
      </c>
      <c r="ST187">
        <v>58.7</v>
      </c>
      <c r="SU187">
        <v>58.8</v>
      </c>
      <c r="SV187">
        <v>58.91</v>
      </c>
      <c r="SW187">
        <v>59</v>
      </c>
      <c r="SX187">
        <v>59.02</v>
      </c>
      <c r="SY187">
        <v>59.03</v>
      </c>
      <c r="SZ187">
        <v>59.12</v>
      </c>
      <c r="TA187">
        <v>59.22</v>
      </c>
      <c r="TB187">
        <v>59.32</v>
      </c>
      <c r="TC187">
        <v>59.42</v>
      </c>
      <c r="TD187">
        <v>59.51</v>
      </c>
      <c r="TE187">
        <v>59.53</v>
      </c>
      <c r="TF187">
        <v>59.53</v>
      </c>
      <c r="TG187">
        <v>59.62</v>
      </c>
      <c r="TH187">
        <v>59.71</v>
      </c>
      <c r="TI187">
        <v>59.8</v>
      </c>
      <c r="TJ187">
        <v>59.89</v>
      </c>
      <c r="TK187">
        <v>59.97</v>
      </c>
      <c r="TL187">
        <v>59.98</v>
      </c>
      <c r="TM187">
        <v>59.99</v>
      </c>
      <c r="TN187">
        <v>60.06</v>
      </c>
      <c r="TO187">
        <v>60.13</v>
      </c>
      <c r="TP187">
        <v>60.21</v>
      </c>
      <c r="TQ187">
        <v>60.28</v>
      </c>
      <c r="TR187">
        <v>60.34</v>
      </c>
      <c r="TS187">
        <v>60.35</v>
      </c>
      <c r="TT187">
        <v>60.36</v>
      </c>
      <c r="TU187">
        <v>60.42</v>
      </c>
      <c r="TV187">
        <v>60.49</v>
      </c>
      <c r="TW187">
        <v>60.56</v>
      </c>
      <c r="TX187">
        <v>60.63</v>
      </c>
      <c r="TY187">
        <v>60.69</v>
      </c>
      <c r="TZ187">
        <v>60.7</v>
      </c>
      <c r="UA187">
        <v>60.71</v>
      </c>
      <c r="UB187">
        <v>60.76</v>
      </c>
      <c r="UC187">
        <v>60.83</v>
      </c>
      <c r="UD187">
        <v>60.89</v>
      </c>
      <c r="UE187">
        <v>60.9</v>
      </c>
      <c r="UF187">
        <v>60.95</v>
      </c>
      <c r="UG187">
        <v>60.96</v>
      </c>
      <c r="UH187">
        <v>60.96</v>
      </c>
      <c r="UI187">
        <v>61.02</v>
      </c>
      <c r="UJ187">
        <v>61.07</v>
      </c>
      <c r="UK187">
        <v>61.13</v>
      </c>
      <c r="UL187">
        <v>61.18</v>
      </c>
      <c r="UM187">
        <v>61.21</v>
      </c>
      <c r="UN187">
        <v>61.22</v>
      </c>
      <c r="UO187">
        <v>61.22</v>
      </c>
      <c r="UP187">
        <v>61.26</v>
      </c>
      <c r="UQ187">
        <v>61.29</v>
      </c>
      <c r="UR187">
        <v>61.33</v>
      </c>
      <c r="US187">
        <v>61.36</v>
      </c>
      <c r="UT187">
        <v>61.39</v>
      </c>
      <c r="UU187">
        <v>61.39</v>
      </c>
      <c r="UV187">
        <v>61.39</v>
      </c>
      <c r="UW187">
        <v>61.42</v>
      </c>
      <c r="UX187">
        <v>61.45</v>
      </c>
      <c r="UY187">
        <v>61.48</v>
      </c>
      <c r="UZ187">
        <v>61.5</v>
      </c>
      <c r="VA187">
        <v>61.53</v>
      </c>
      <c r="VC187">
        <v>62.21</v>
      </c>
      <c r="VD187">
        <v>62.23</v>
      </c>
      <c r="VE187">
        <v>62.26</v>
      </c>
      <c r="VF187">
        <v>62.29</v>
      </c>
      <c r="VG187">
        <v>62.32</v>
      </c>
      <c r="VH187">
        <v>62.34</v>
      </c>
      <c r="VK187">
        <v>62.37</v>
      </c>
      <c r="VL187">
        <v>62.4</v>
      </c>
      <c r="VM187">
        <v>62.43</v>
      </c>
      <c r="VN187">
        <v>62.46</v>
      </c>
      <c r="VO187">
        <v>62.48</v>
      </c>
      <c r="VR187">
        <v>62.51</v>
      </c>
      <c r="VS187">
        <v>62.54</v>
      </c>
      <c r="VT187">
        <v>62.57</v>
      </c>
      <c r="VU187">
        <v>62.6</v>
      </c>
      <c r="VV187">
        <v>62.62</v>
      </c>
      <c r="VX187">
        <v>62.65</v>
      </c>
      <c r="VY187">
        <v>62.68</v>
      </c>
      <c r="VZ187">
        <v>62.7</v>
      </c>
      <c r="WA187">
        <v>62.73</v>
      </c>
      <c r="WB187">
        <v>62.75</v>
      </c>
      <c r="WE187">
        <v>62.76</v>
      </c>
      <c r="WF187">
        <v>62.76</v>
      </c>
      <c r="WG187">
        <v>62.79</v>
      </c>
      <c r="WH187">
        <v>62.81</v>
      </c>
      <c r="WI187">
        <v>62.83</v>
      </c>
      <c r="WJ187">
        <v>62.83</v>
      </c>
      <c r="WK187">
        <v>62.83</v>
      </c>
      <c r="WM187">
        <v>62.88</v>
      </c>
      <c r="WN187">
        <v>62.9</v>
      </c>
      <c r="WO187">
        <v>62.92</v>
      </c>
      <c r="WP187">
        <v>62.94</v>
      </c>
      <c r="WQ187">
        <v>62.94</v>
      </c>
      <c r="WR187">
        <v>62.94</v>
      </c>
      <c r="WS187">
        <v>62.96</v>
      </c>
      <c r="WT187">
        <v>62.98</v>
      </c>
      <c r="WU187">
        <v>63</v>
      </c>
      <c r="WV187">
        <v>63.01</v>
      </c>
      <c r="WW187">
        <v>63.03</v>
      </c>
      <c r="WX187">
        <v>63.03</v>
      </c>
      <c r="WY187">
        <v>63.03</v>
      </c>
      <c r="WZ187">
        <v>63.05</v>
      </c>
      <c r="XA187">
        <v>63.07</v>
      </c>
      <c r="XB187">
        <v>63.08</v>
      </c>
      <c r="XC187">
        <v>63.1</v>
      </c>
      <c r="XD187">
        <v>63.11</v>
      </c>
      <c r="XE187">
        <v>63.12</v>
      </c>
      <c r="XF187">
        <v>63.12</v>
      </c>
      <c r="XG187">
        <v>63.13</v>
      </c>
      <c r="XH187">
        <v>63.15</v>
      </c>
      <c r="XI187">
        <v>63.16</v>
      </c>
      <c r="XJ187">
        <v>63.18</v>
      </c>
      <c r="XK187">
        <v>63.2</v>
      </c>
      <c r="XL187">
        <v>63.2</v>
      </c>
      <c r="XM187">
        <v>63.2</v>
      </c>
      <c r="XN187">
        <v>63.21</v>
      </c>
      <c r="XO187">
        <v>63.23</v>
      </c>
      <c r="XP187">
        <v>63.25</v>
      </c>
      <c r="XQ187">
        <v>63.26</v>
      </c>
      <c r="XS187">
        <v>63.27</v>
      </c>
      <c r="XT187">
        <v>63.28</v>
      </c>
      <c r="XU187">
        <v>63.29</v>
      </c>
      <c r="XV187">
        <v>63.3</v>
      </c>
      <c r="XW187">
        <v>63.31</v>
      </c>
      <c r="XX187">
        <v>63.32</v>
      </c>
      <c r="XY187">
        <v>63.33</v>
      </c>
      <c r="XZ187">
        <v>63.33</v>
      </c>
      <c r="YA187">
        <v>63.33</v>
      </c>
      <c r="YB187">
        <v>63.34</v>
      </c>
      <c r="YC187">
        <v>63.35</v>
      </c>
      <c r="YD187">
        <v>63.37</v>
      </c>
      <c r="YE187">
        <v>63.38</v>
      </c>
      <c r="YI187">
        <v>63.4</v>
      </c>
      <c r="YJ187">
        <v>63.41</v>
      </c>
      <c r="YK187">
        <v>63.42</v>
      </c>
      <c r="YL187">
        <v>63.43</v>
      </c>
      <c r="YM187">
        <v>63.44</v>
      </c>
      <c r="YN187">
        <v>63.44</v>
      </c>
      <c r="YO187">
        <v>63.45</v>
      </c>
      <c r="YP187">
        <v>63.45</v>
      </c>
      <c r="YQ187">
        <v>63.46</v>
      </c>
      <c r="YS187">
        <v>63.49</v>
      </c>
      <c r="YT187">
        <v>63.5</v>
      </c>
      <c r="YU187">
        <v>63.5</v>
      </c>
      <c r="YV187">
        <v>63.5</v>
      </c>
      <c r="YW187">
        <v>63.52</v>
      </c>
      <c r="YX187">
        <v>63.53</v>
      </c>
      <c r="YY187">
        <v>63.55</v>
      </c>
      <c r="YZ187">
        <v>63.56</v>
      </c>
      <c r="ZB187">
        <v>63.58</v>
      </c>
      <c r="ZC187">
        <v>63.58</v>
      </c>
      <c r="ZD187">
        <v>63.59</v>
      </c>
      <c r="ZE187">
        <v>63.07</v>
      </c>
      <c r="ZF187">
        <v>63.08</v>
      </c>
      <c r="ZG187">
        <v>63.1</v>
      </c>
      <c r="ZH187">
        <v>63.1</v>
      </c>
      <c r="ZI187">
        <v>63.11</v>
      </c>
      <c r="ZL187">
        <v>63.13</v>
      </c>
      <c r="ZM187">
        <v>63.14</v>
      </c>
      <c r="ZN187">
        <v>63.16</v>
      </c>
      <c r="ZO187">
        <v>63.17</v>
      </c>
      <c r="ZP187">
        <v>63.17</v>
      </c>
      <c r="ZQ187">
        <v>63.17</v>
      </c>
      <c r="ZR187">
        <v>63.18</v>
      </c>
      <c r="ZS187">
        <v>63.19</v>
      </c>
      <c r="ZT187">
        <v>63.21</v>
      </c>
      <c r="ZU187">
        <v>63.22</v>
      </c>
      <c r="ZV187">
        <v>63.23</v>
      </c>
      <c r="ZW187">
        <v>63.23</v>
      </c>
      <c r="ZX187">
        <v>63.23</v>
      </c>
      <c r="ZY187">
        <v>63.25</v>
      </c>
      <c r="ZZ187">
        <v>63.26</v>
      </c>
      <c r="AAA187">
        <v>63.28</v>
      </c>
      <c r="AAB187">
        <v>63.29</v>
      </c>
      <c r="AAC187">
        <v>63.3</v>
      </c>
      <c r="AAD187">
        <v>63.3</v>
      </c>
      <c r="AAE187">
        <v>63.3</v>
      </c>
      <c r="AAF187">
        <v>63.32</v>
      </c>
      <c r="AAG187">
        <v>63.33</v>
      </c>
      <c r="AAH187">
        <v>63.34</v>
      </c>
      <c r="AAI187">
        <v>63.35</v>
      </c>
      <c r="AAJ187">
        <v>63.36</v>
      </c>
      <c r="AAK187">
        <v>63.36</v>
      </c>
      <c r="AAL187">
        <v>63.37</v>
      </c>
      <c r="AAM187">
        <v>63.38</v>
      </c>
      <c r="AAN187">
        <v>63.39</v>
      </c>
      <c r="AAO187">
        <v>63.4</v>
      </c>
      <c r="AAP187">
        <v>63.42</v>
      </c>
      <c r="AAQ187">
        <v>63.43</v>
      </c>
      <c r="AAR187">
        <v>63.43</v>
      </c>
      <c r="AAS187">
        <v>63.43</v>
      </c>
      <c r="AAT187">
        <v>63.44</v>
      </c>
      <c r="AAU187">
        <v>63.45</v>
      </c>
      <c r="AAV187">
        <v>63.46</v>
      </c>
      <c r="AAW187">
        <v>63.47</v>
      </c>
      <c r="AAX187">
        <v>63.47</v>
      </c>
      <c r="AAY187">
        <v>63.47</v>
      </c>
      <c r="ABA187">
        <v>63.48</v>
      </c>
      <c r="ABB187">
        <v>63.49</v>
      </c>
      <c r="ABC187">
        <v>63.5</v>
      </c>
      <c r="ABD187">
        <v>63.51</v>
      </c>
      <c r="ABE187">
        <v>63.51</v>
      </c>
      <c r="ABF187">
        <v>63.51</v>
      </c>
      <c r="ABH187">
        <v>63.51</v>
      </c>
      <c r="ABI187">
        <v>63.52</v>
      </c>
      <c r="ABJ187">
        <v>63.52</v>
      </c>
      <c r="ABK187">
        <v>63.53</v>
      </c>
      <c r="ABL187">
        <v>63.53</v>
      </c>
      <c r="ABM187">
        <v>63.53</v>
      </c>
      <c r="ABN187">
        <v>63.53</v>
      </c>
    </row>
    <row r="188" spans="1:800">
      <c r="A188" s="1" t="s">
        <v>310</v>
      </c>
      <c r="B188" t="s">
        <v>366</v>
      </c>
      <c r="CB188">
        <v>0</v>
      </c>
      <c r="CC188">
        <v>0.04</v>
      </c>
      <c r="CD188">
        <v>0.04</v>
      </c>
      <c r="CE188">
        <v>0.04</v>
      </c>
      <c r="CG188">
        <v>0.17</v>
      </c>
      <c r="CH188">
        <v>0.3</v>
      </c>
      <c r="CI188">
        <v>0.44</v>
      </c>
      <c r="CJ188">
        <v>0.57999999999999996</v>
      </c>
      <c r="CK188">
        <v>0.61</v>
      </c>
      <c r="CL188">
        <v>0.62</v>
      </c>
      <c r="CM188">
        <v>0.75</v>
      </c>
      <c r="CN188">
        <v>0.87</v>
      </c>
      <c r="CO188">
        <v>0.98</v>
      </c>
      <c r="CP188">
        <v>1.07</v>
      </c>
      <c r="CQ188">
        <v>1.1399999999999999</v>
      </c>
      <c r="CR188">
        <v>1.1499999999999999</v>
      </c>
      <c r="CS188">
        <v>1.1499999999999999</v>
      </c>
      <c r="CT188">
        <v>1.17</v>
      </c>
      <c r="CU188">
        <v>1.21</v>
      </c>
      <c r="CV188">
        <v>1.25</v>
      </c>
      <c r="CW188">
        <v>1.29</v>
      </c>
      <c r="CX188">
        <v>1.32</v>
      </c>
      <c r="CY188">
        <v>1.32</v>
      </c>
      <c r="CZ188">
        <v>1.32</v>
      </c>
      <c r="DA188">
        <v>1.33</v>
      </c>
      <c r="DB188">
        <v>1.38</v>
      </c>
      <c r="DC188">
        <v>1.44</v>
      </c>
      <c r="DD188">
        <v>1.5</v>
      </c>
      <c r="DE188">
        <v>1.56</v>
      </c>
      <c r="DF188">
        <v>1.56</v>
      </c>
      <c r="DG188">
        <v>1.56</v>
      </c>
      <c r="DH188">
        <v>1.62</v>
      </c>
      <c r="DI188">
        <v>1.68</v>
      </c>
      <c r="DJ188">
        <v>1.74</v>
      </c>
      <c r="DK188">
        <v>1.82</v>
      </c>
      <c r="DL188">
        <v>1.91</v>
      </c>
      <c r="DM188">
        <v>1.93</v>
      </c>
      <c r="DN188">
        <v>1.93</v>
      </c>
      <c r="DO188">
        <v>2</v>
      </c>
      <c r="DP188">
        <v>2.09</v>
      </c>
      <c r="DQ188">
        <v>2.1800000000000002</v>
      </c>
      <c r="DR188">
        <v>2.27</v>
      </c>
      <c r="DS188">
        <v>2.36</v>
      </c>
      <c r="DT188">
        <v>2.37</v>
      </c>
      <c r="DU188">
        <v>2.38</v>
      </c>
      <c r="DV188">
        <v>2.4500000000000002</v>
      </c>
      <c r="DW188">
        <v>2.5299999999999998</v>
      </c>
      <c r="DX188">
        <v>2.63</v>
      </c>
      <c r="DY188">
        <v>2.81</v>
      </c>
      <c r="DZ188">
        <v>3.01</v>
      </c>
      <c r="EA188">
        <v>3.07</v>
      </c>
      <c r="EB188">
        <v>3.08</v>
      </c>
      <c r="EC188">
        <v>3.32</v>
      </c>
      <c r="ED188">
        <v>3.57</v>
      </c>
      <c r="EE188">
        <v>3.83</v>
      </c>
      <c r="EF188">
        <v>4.12</v>
      </c>
      <c r="EG188">
        <v>4.47</v>
      </c>
      <c r="EH188">
        <v>4.6100000000000003</v>
      </c>
      <c r="EI188">
        <v>4.63</v>
      </c>
      <c r="EJ188">
        <v>4.95</v>
      </c>
      <c r="EK188">
        <v>5.33</v>
      </c>
      <c r="EL188">
        <v>5.81</v>
      </c>
      <c r="EM188">
        <v>6.35</v>
      </c>
      <c r="EN188">
        <v>6.93</v>
      </c>
      <c r="EO188">
        <v>7.08</v>
      </c>
      <c r="EP188">
        <v>7.09</v>
      </c>
      <c r="EQ188">
        <v>7.28</v>
      </c>
      <c r="ER188">
        <v>7.47</v>
      </c>
      <c r="ES188">
        <v>7.58</v>
      </c>
      <c r="ET188">
        <v>7.81</v>
      </c>
      <c r="EU188">
        <v>8.07</v>
      </c>
      <c r="EV188">
        <v>8.15</v>
      </c>
      <c r="EW188">
        <v>8.16</v>
      </c>
      <c r="EX188">
        <v>8.34</v>
      </c>
      <c r="EY188">
        <v>8.51</v>
      </c>
      <c r="EZ188">
        <v>8.6999999999999993</v>
      </c>
      <c r="FA188">
        <v>8.8699999999999992</v>
      </c>
      <c r="FB188">
        <v>9.0399999999999991</v>
      </c>
      <c r="FC188">
        <v>9.11</v>
      </c>
      <c r="FD188">
        <v>9.1199999999999992</v>
      </c>
      <c r="FE188">
        <v>9.33</v>
      </c>
      <c r="FF188">
        <v>9.6300000000000008</v>
      </c>
      <c r="FG188">
        <v>9.82</v>
      </c>
      <c r="FH188">
        <v>10.25</v>
      </c>
      <c r="FI188">
        <v>10.72</v>
      </c>
      <c r="FJ188">
        <v>10.8</v>
      </c>
      <c r="FK188">
        <v>10.8</v>
      </c>
      <c r="FL188">
        <v>11.15</v>
      </c>
      <c r="FM188">
        <v>11.48</v>
      </c>
      <c r="FN188">
        <v>11.79</v>
      </c>
      <c r="FO188">
        <v>13.18</v>
      </c>
      <c r="FP188">
        <v>14.37</v>
      </c>
      <c r="FQ188">
        <v>14.71</v>
      </c>
      <c r="FR188">
        <v>14.72</v>
      </c>
      <c r="FS188">
        <v>15.53</v>
      </c>
      <c r="FT188">
        <v>16.690000000000001</v>
      </c>
      <c r="FU188">
        <v>17.48</v>
      </c>
      <c r="FV188">
        <v>18.2</v>
      </c>
      <c r="FW188">
        <v>18.98</v>
      </c>
      <c r="FX188">
        <v>19.260000000000002</v>
      </c>
      <c r="FY188">
        <v>19.27</v>
      </c>
      <c r="FZ188">
        <v>20.98</v>
      </c>
      <c r="GA188">
        <v>22.48</v>
      </c>
      <c r="GB188">
        <v>23.69</v>
      </c>
      <c r="GC188">
        <v>25.75</v>
      </c>
      <c r="GD188">
        <v>27.82</v>
      </c>
      <c r="GE188">
        <v>28.86</v>
      </c>
      <c r="GF188">
        <v>28.93</v>
      </c>
      <c r="GG188">
        <v>30.87</v>
      </c>
      <c r="GH188">
        <v>30.97</v>
      </c>
      <c r="GI188">
        <v>32.19</v>
      </c>
      <c r="GJ188">
        <v>33.35</v>
      </c>
      <c r="GK188">
        <v>34.590000000000003</v>
      </c>
      <c r="GM188">
        <v>35.01</v>
      </c>
      <c r="GN188">
        <v>35.28</v>
      </c>
      <c r="GO188">
        <v>35.630000000000003</v>
      </c>
      <c r="GP188">
        <v>35.96</v>
      </c>
      <c r="GQ188">
        <v>36.270000000000003</v>
      </c>
      <c r="GR188">
        <v>36.619999999999997</v>
      </c>
      <c r="GS188">
        <v>36.68</v>
      </c>
      <c r="GT188">
        <v>36.68</v>
      </c>
      <c r="GU188">
        <v>36.93</v>
      </c>
      <c r="GV188">
        <v>37.25</v>
      </c>
      <c r="GW188">
        <v>37.549999999999997</v>
      </c>
      <c r="GX188">
        <v>37.86</v>
      </c>
      <c r="GY188">
        <v>38.1</v>
      </c>
      <c r="GZ188">
        <v>38.14</v>
      </c>
      <c r="HA188">
        <v>38.14</v>
      </c>
      <c r="HB188">
        <v>38.4</v>
      </c>
      <c r="HC188">
        <v>38.65</v>
      </c>
      <c r="HD188">
        <v>38.89</v>
      </c>
      <c r="HE188">
        <v>39.17</v>
      </c>
      <c r="HF188">
        <v>39.57</v>
      </c>
      <c r="HG188">
        <v>39.68</v>
      </c>
      <c r="HH188">
        <v>39.68</v>
      </c>
      <c r="HI188">
        <v>39.92</v>
      </c>
      <c r="HJ188">
        <v>40.35</v>
      </c>
      <c r="HK188">
        <v>40.81</v>
      </c>
      <c r="HL188">
        <v>41.32</v>
      </c>
      <c r="HM188">
        <v>41.95</v>
      </c>
      <c r="HN188">
        <v>42.08</v>
      </c>
      <c r="HO188">
        <v>42.09</v>
      </c>
      <c r="HP188">
        <v>42.54</v>
      </c>
      <c r="HQ188">
        <v>42.95</v>
      </c>
      <c r="HR188">
        <v>43.3</v>
      </c>
      <c r="HS188">
        <v>43.69</v>
      </c>
      <c r="HT188">
        <v>44.1</v>
      </c>
      <c r="HU188">
        <v>44.17</v>
      </c>
      <c r="HV188">
        <v>44.18</v>
      </c>
      <c r="HW188">
        <v>45.51</v>
      </c>
      <c r="HX188">
        <v>46.35</v>
      </c>
      <c r="HY188">
        <v>47.37</v>
      </c>
      <c r="HZ188">
        <v>48.13</v>
      </c>
      <c r="IA188">
        <v>49.22</v>
      </c>
      <c r="IB188">
        <v>49.67</v>
      </c>
      <c r="IC188">
        <v>49.73</v>
      </c>
      <c r="ID188">
        <v>50.73</v>
      </c>
      <c r="IE188">
        <v>51.37</v>
      </c>
      <c r="IF188">
        <v>51.91</v>
      </c>
      <c r="IG188">
        <v>52.53</v>
      </c>
      <c r="IH188">
        <v>53.34</v>
      </c>
      <c r="II188">
        <v>53.64</v>
      </c>
      <c r="IJ188">
        <v>53.7</v>
      </c>
      <c r="IK188">
        <v>54.89</v>
      </c>
      <c r="IL188">
        <v>55.74</v>
      </c>
      <c r="IM188">
        <v>56.4</v>
      </c>
      <c r="IN188">
        <v>58.11</v>
      </c>
      <c r="IO188">
        <v>59.8</v>
      </c>
      <c r="IP188">
        <v>60.43</v>
      </c>
      <c r="IQ188">
        <v>60.48</v>
      </c>
      <c r="IR188">
        <v>62.29</v>
      </c>
      <c r="IS188">
        <v>64.67</v>
      </c>
      <c r="IT188">
        <v>66.31</v>
      </c>
      <c r="IU188">
        <v>67.87</v>
      </c>
      <c r="IV188">
        <v>69.84</v>
      </c>
      <c r="IW188">
        <v>70.790000000000006</v>
      </c>
      <c r="IX188">
        <v>70.87</v>
      </c>
      <c r="IY188">
        <v>73.02</v>
      </c>
      <c r="IZ188">
        <v>74.97</v>
      </c>
      <c r="JA188">
        <v>76.62</v>
      </c>
      <c r="JB188">
        <v>78.709999999999994</v>
      </c>
      <c r="JC188">
        <v>80.94</v>
      </c>
      <c r="JD188">
        <v>81.96</v>
      </c>
      <c r="JE188">
        <v>82.03</v>
      </c>
      <c r="JF188">
        <v>83.93</v>
      </c>
      <c r="JG188">
        <v>85.42</v>
      </c>
      <c r="JH188">
        <v>86.77</v>
      </c>
      <c r="JI188">
        <v>88.08</v>
      </c>
      <c r="JJ188">
        <v>89.86</v>
      </c>
      <c r="JK188">
        <v>90.59</v>
      </c>
      <c r="JL188">
        <v>90.61</v>
      </c>
      <c r="JM188">
        <v>93.29</v>
      </c>
      <c r="JN188">
        <v>95.2</v>
      </c>
      <c r="JO188">
        <v>96.53</v>
      </c>
      <c r="JP188">
        <v>97.93</v>
      </c>
      <c r="JQ188">
        <v>100</v>
      </c>
      <c r="JR188">
        <v>101.03</v>
      </c>
      <c r="JS188">
        <v>101.12</v>
      </c>
      <c r="JT188">
        <v>103.55</v>
      </c>
      <c r="JU188">
        <v>105.18</v>
      </c>
      <c r="JV188">
        <v>106.78</v>
      </c>
      <c r="JW188">
        <v>108.21</v>
      </c>
      <c r="KA188">
        <v>111.7</v>
      </c>
      <c r="KB188">
        <v>111.72</v>
      </c>
      <c r="KC188">
        <v>111.81</v>
      </c>
      <c r="KD188">
        <v>113.63</v>
      </c>
      <c r="KE188">
        <v>115.63</v>
      </c>
      <c r="KF188">
        <v>116.66</v>
      </c>
      <c r="KG188">
        <v>116.76</v>
      </c>
      <c r="KH188">
        <v>118.96</v>
      </c>
      <c r="KI188">
        <v>120.81</v>
      </c>
      <c r="KJ188">
        <v>122.28</v>
      </c>
      <c r="KK188">
        <v>124</v>
      </c>
      <c r="KL188">
        <v>126.14</v>
      </c>
      <c r="KM188">
        <v>127.17</v>
      </c>
      <c r="KN188">
        <v>127.24</v>
      </c>
      <c r="KO188">
        <v>127.7</v>
      </c>
      <c r="KP188">
        <v>129.28</v>
      </c>
      <c r="KQ188">
        <v>130.35</v>
      </c>
      <c r="KR188">
        <v>131.81</v>
      </c>
      <c r="KS188">
        <v>134.05000000000001</v>
      </c>
      <c r="KU188">
        <v>134.31</v>
      </c>
      <c r="KV188">
        <v>134.80000000000001</v>
      </c>
      <c r="KW188">
        <v>136.19</v>
      </c>
      <c r="KX188">
        <v>137.12</v>
      </c>
      <c r="KY188">
        <v>138.12</v>
      </c>
      <c r="LB188">
        <v>140.57</v>
      </c>
      <c r="LC188">
        <v>141.94999999999999</v>
      </c>
      <c r="LD188">
        <v>142.9</v>
      </c>
      <c r="LE188">
        <v>143.68</v>
      </c>
      <c r="LF188">
        <v>144.61000000000001</v>
      </c>
      <c r="LG188">
        <v>145.97</v>
      </c>
      <c r="LH188">
        <v>146.75</v>
      </c>
      <c r="LI188">
        <v>146.79</v>
      </c>
      <c r="LJ188">
        <v>147.80000000000001</v>
      </c>
      <c r="LK188">
        <v>148.46</v>
      </c>
      <c r="LL188">
        <v>149.15</v>
      </c>
      <c r="LM188">
        <v>150.5</v>
      </c>
      <c r="LN188">
        <v>152.03</v>
      </c>
      <c r="LO188">
        <v>152.80000000000001</v>
      </c>
      <c r="LP188">
        <v>152.84</v>
      </c>
      <c r="LQ188">
        <v>153.32</v>
      </c>
      <c r="LR188">
        <v>153.69</v>
      </c>
      <c r="LS188">
        <v>154.08000000000001</v>
      </c>
      <c r="LT188">
        <v>154.53</v>
      </c>
      <c r="LW188">
        <v>155.38</v>
      </c>
      <c r="LX188">
        <v>156.29</v>
      </c>
      <c r="LY188">
        <v>156.83000000000001</v>
      </c>
      <c r="LZ188">
        <v>157.36000000000001</v>
      </c>
      <c r="MA188">
        <v>157.91</v>
      </c>
      <c r="MB188">
        <v>158.65</v>
      </c>
      <c r="ME188">
        <v>159.69</v>
      </c>
      <c r="MF188">
        <v>160.13</v>
      </c>
      <c r="MG188">
        <v>160.62</v>
      </c>
      <c r="MH188">
        <v>161.09</v>
      </c>
      <c r="MK188">
        <v>161.87</v>
      </c>
      <c r="ML188">
        <v>162.43</v>
      </c>
      <c r="MM188">
        <v>162.86000000000001</v>
      </c>
      <c r="MN188">
        <v>163.4</v>
      </c>
      <c r="MO188">
        <v>164.02</v>
      </c>
      <c r="MR188">
        <v>165.21</v>
      </c>
      <c r="MS188">
        <v>165.84</v>
      </c>
      <c r="MT188">
        <v>166.36</v>
      </c>
      <c r="MU188">
        <v>166.86</v>
      </c>
      <c r="MV188">
        <v>167.39</v>
      </c>
      <c r="MY188">
        <v>168.55</v>
      </c>
      <c r="MZ188">
        <v>169.35</v>
      </c>
      <c r="NA188">
        <v>170.09</v>
      </c>
      <c r="NB188">
        <v>170.89</v>
      </c>
      <c r="NC188">
        <v>171.97</v>
      </c>
      <c r="ND188">
        <v>173.72</v>
      </c>
      <c r="NF188">
        <v>174.44</v>
      </c>
      <c r="NG188">
        <v>176.23</v>
      </c>
      <c r="NH188">
        <v>178.11</v>
      </c>
      <c r="NI188">
        <v>180.16</v>
      </c>
      <c r="NJ188">
        <v>182.27</v>
      </c>
      <c r="NM188">
        <v>186.38</v>
      </c>
      <c r="NN188">
        <v>188.33</v>
      </c>
      <c r="NO188">
        <v>189.95</v>
      </c>
      <c r="NP188">
        <v>191.44</v>
      </c>
      <c r="NQ188">
        <v>192.84</v>
      </c>
      <c r="NT188">
        <v>194.93</v>
      </c>
      <c r="NU188">
        <v>196.65</v>
      </c>
      <c r="NV188">
        <v>198.07</v>
      </c>
      <c r="NW188">
        <v>199.34</v>
      </c>
      <c r="NX188">
        <v>200.6</v>
      </c>
      <c r="NY188">
        <v>202.27</v>
      </c>
      <c r="NZ188">
        <v>202.42</v>
      </c>
      <c r="OA188">
        <v>202.46</v>
      </c>
      <c r="OB188">
        <v>203.33</v>
      </c>
      <c r="OC188">
        <v>204.22</v>
      </c>
      <c r="OD188">
        <v>205.07</v>
      </c>
      <c r="OE188">
        <v>206.03</v>
      </c>
      <c r="OG188">
        <v>208.34</v>
      </c>
      <c r="OH188">
        <v>208.38</v>
      </c>
      <c r="OI188">
        <v>209.52</v>
      </c>
      <c r="OJ188">
        <v>210.38</v>
      </c>
      <c r="OK188">
        <v>211.14</v>
      </c>
      <c r="OL188">
        <v>211.99</v>
      </c>
      <c r="ON188">
        <v>214.04</v>
      </c>
      <c r="OO188">
        <v>214.08</v>
      </c>
      <c r="OP188">
        <v>215.02</v>
      </c>
      <c r="OQ188">
        <v>215.65</v>
      </c>
      <c r="OR188">
        <v>216.18</v>
      </c>
      <c r="OS188">
        <v>216.84</v>
      </c>
      <c r="OT188">
        <v>217.9</v>
      </c>
      <c r="OU188">
        <v>218.48</v>
      </c>
      <c r="OV188">
        <v>218.51</v>
      </c>
      <c r="OW188">
        <v>219.2</v>
      </c>
      <c r="OX188">
        <v>219.76</v>
      </c>
      <c r="OY188">
        <v>220.33</v>
      </c>
      <c r="OZ188">
        <v>221.02</v>
      </c>
      <c r="PC188">
        <v>222.89</v>
      </c>
      <c r="PD188">
        <v>222.94</v>
      </c>
      <c r="PE188">
        <v>222.94</v>
      </c>
      <c r="PF188">
        <v>222.97</v>
      </c>
      <c r="PG188">
        <v>223.75</v>
      </c>
      <c r="PH188">
        <v>224.57</v>
      </c>
      <c r="PI188">
        <v>225.02</v>
      </c>
      <c r="PJ188">
        <v>225.04</v>
      </c>
      <c r="PK188">
        <v>225.6</v>
      </c>
      <c r="PL188">
        <v>225.96</v>
      </c>
      <c r="PM188">
        <v>226.29</v>
      </c>
      <c r="PN188">
        <v>226.74</v>
      </c>
      <c r="PP188">
        <v>227.77</v>
      </c>
      <c r="PQ188">
        <v>227.79</v>
      </c>
      <c r="PS188">
        <v>228.56</v>
      </c>
      <c r="PT188">
        <v>228.85</v>
      </c>
      <c r="PU188">
        <v>229.23</v>
      </c>
      <c r="PV188">
        <v>229.79</v>
      </c>
      <c r="PW188">
        <v>230.08</v>
      </c>
      <c r="PX188">
        <v>230.1</v>
      </c>
      <c r="PY188">
        <v>230.45</v>
      </c>
      <c r="PZ188">
        <v>230.72</v>
      </c>
      <c r="QA188">
        <v>230.95</v>
      </c>
      <c r="QB188">
        <v>231.29</v>
      </c>
      <c r="QD188">
        <v>232.04</v>
      </c>
      <c r="QE188">
        <v>232.05</v>
      </c>
      <c r="QF188">
        <v>232.38</v>
      </c>
      <c r="QG188">
        <v>232.39</v>
      </c>
      <c r="QH188">
        <v>232.53</v>
      </c>
      <c r="QI188">
        <v>232.67</v>
      </c>
      <c r="QJ188">
        <v>232.9</v>
      </c>
      <c r="QK188">
        <v>233.02</v>
      </c>
      <c r="QL188">
        <v>233.03</v>
      </c>
      <c r="QM188">
        <v>233.18</v>
      </c>
      <c r="QN188">
        <v>233.29</v>
      </c>
      <c r="QO188">
        <v>233.31</v>
      </c>
      <c r="QP188">
        <v>233.45</v>
      </c>
      <c r="QQ188">
        <v>233.67</v>
      </c>
      <c r="QR188">
        <v>233.76</v>
      </c>
      <c r="QS188">
        <v>233.76</v>
      </c>
      <c r="QT188">
        <v>233.87</v>
      </c>
      <c r="QU188">
        <v>233.95</v>
      </c>
      <c r="QV188">
        <v>234.03</v>
      </c>
      <c r="QW188">
        <v>234.12</v>
      </c>
      <c r="QX188">
        <v>234.29</v>
      </c>
      <c r="QY188">
        <v>234.36</v>
      </c>
      <c r="QZ188">
        <v>234.37</v>
      </c>
      <c r="RA188">
        <v>234.47</v>
      </c>
      <c r="RB188">
        <v>234.54</v>
      </c>
      <c r="RC188">
        <v>234.61</v>
      </c>
      <c r="RD188">
        <v>234.7</v>
      </c>
      <c r="RE188">
        <v>234.85</v>
      </c>
      <c r="RF188">
        <v>234.93</v>
      </c>
      <c r="RG188">
        <v>234.93</v>
      </c>
      <c r="RH188">
        <v>235.02</v>
      </c>
      <c r="RI188">
        <v>235.07</v>
      </c>
      <c r="RJ188">
        <v>235.13</v>
      </c>
      <c r="RK188">
        <v>235.21</v>
      </c>
      <c r="RL188">
        <v>235.38</v>
      </c>
      <c r="RM188">
        <v>235.44</v>
      </c>
      <c r="RN188">
        <v>235.47</v>
      </c>
      <c r="RO188">
        <v>235.51</v>
      </c>
      <c r="RP188">
        <v>235.57</v>
      </c>
      <c r="RQ188">
        <v>235.69</v>
      </c>
      <c r="RR188">
        <v>235.72</v>
      </c>
      <c r="RS188">
        <v>235.75</v>
      </c>
      <c r="RT188">
        <v>235.78</v>
      </c>
      <c r="RU188">
        <v>235.81</v>
      </c>
      <c r="RV188">
        <v>235.91</v>
      </c>
      <c r="RW188">
        <v>235.93</v>
      </c>
      <c r="RX188">
        <v>235.95</v>
      </c>
      <c r="RY188">
        <v>235.97</v>
      </c>
      <c r="RZ188">
        <v>235.99</v>
      </c>
      <c r="SA188">
        <v>236.05</v>
      </c>
      <c r="SB188">
        <v>236.06</v>
      </c>
      <c r="SC188">
        <v>236.06</v>
      </c>
      <c r="SE188">
        <v>238.54</v>
      </c>
      <c r="SF188">
        <v>238.99</v>
      </c>
      <c r="SG188">
        <v>239.4</v>
      </c>
      <c r="SH188">
        <v>240.18</v>
      </c>
      <c r="SI188">
        <v>240.34</v>
      </c>
      <c r="SJ188">
        <v>240.35</v>
      </c>
      <c r="SK188">
        <v>240.67</v>
      </c>
      <c r="SL188">
        <v>241.02</v>
      </c>
      <c r="SM188">
        <v>241.34</v>
      </c>
      <c r="SN188">
        <v>241.35</v>
      </c>
      <c r="SO188">
        <v>241.84</v>
      </c>
      <c r="SP188">
        <v>241.95</v>
      </c>
      <c r="SQ188">
        <v>241.95</v>
      </c>
      <c r="SR188">
        <v>242.16</v>
      </c>
      <c r="SS188">
        <v>242.41</v>
      </c>
      <c r="ST188">
        <v>242.62</v>
      </c>
      <c r="SU188">
        <v>242.82</v>
      </c>
      <c r="SV188">
        <v>243.15</v>
      </c>
      <c r="SW188">
        <v>243.22</v>
      </c>
      <c r="SX188">
        <v>243.22</v>
      </c>
      <c r="SY188">
        <v>243.34</v>
      </c>
      <c r="SZ188">
        <v>243.5</v>
      </c>
      <c r="TA188">
        <v>243.62</v>
      </c>
      <c r="TB188">
        <v>243.74</v>
      </c>
      <c r="TC188">
        <v>243.95</v>
      </c>
      <c r="TD188">
        <v>244</v>
      </c>
      <c r="TE188">
        <v>244</v>
      </c>
      <c r="TF188">
        <v>244.08</v>
      </c>
      <c r="TG188">
        <v>244.18</v>
      </c>
      <c r="TH188">
        <v>244.27</v>
      </c>
      <c r="TI188">
        <v>244.36</v>
      </c>
      <c r="TJ188">
        <v>244.51</v>
      </c>
      <c r="TK188">
        <v>244.55</v>
      </c>
      <c r="TL188">
        <v>244.55</v>
      </c>
      <c r="TM188">
        <v>244.62</v>
      </c>
      <c r="TN188">
        <v>244.69</v>
      </c>
      <c r="TO188">
        <v>244.7</v>
      </c>
      <c r="TP188">
        <v>244.75</v>
      </c>
      <c r="TQ188">
        <v>244.85</v>
      </c>
      <c r="TR188">
        <v>244.88</v>
      </c>
      <c r="TS188">
        <v>244.88</v>
      </c>
      <c r="TT188">
        <v>244.88</v>
      </c>
      <c r="TU188">
        <v>244.93</v>
      </c>
      <c r="TV188">
        <v>244.97</v>
      </c>
      <c r="TW188">
        <v>245.01</v>
      </c>
      <c r="TX188">
        <v>245.08</v>
      </c>
      <c r="TY188">
        <v>245.1</v>
      </c>
      <c r="TZ188">
        <v>245.1</v>
      </c>
      <c r="UA188">
        <v>245.13</v>
      </c>
      <c r="UB188">
        <v>245.16</v>
      </c>
      <c r="UC188">
        <v>245.19</v>
      </c>
      <c r="UD188">
        <v>245.22</v>
      </c>
      <c r="UE188">
        <v>245.27</v>
      </c>
      <c r="UF188">
        <v>245.28</v>
      </c>
      <c r="UG188">
        <v>245.29</v>
      </c>
      <c r="UH188">
        <v>245.31</v>
      </c>
      <c r="UI188">
        <v>245.33</v>
      </c>
      <c r="UJ188">
        <v>245.36</v>
      </c>
      <c r="UK188">
        <v>245.38</v>
      </c>
      <c r="UL188">
        <v>245.43</v>
      </c>
      <c r="UM188">
        <v>245.44</v>
      </c>
      <c r="UN188">
        <v>245.44</v>
      </c>
      <c r="UO188">
        <v>245.47</v>
      </c>
      <c r="UP188">
        <v>245.49</v>
      </c>
      <c r="UQ188">
        <v>245.52</v>
      </c>
      <c r="UR188">
        <v>245.54</v>
      </c>
      <c r="US188">
        <v>245.58</v>
      </c>
      <c r="UT188">
        <v>245.6</v>
      </c>
      <c r="UU188">
        <v>245.6</v>
      </c>
      <c r="UV188">
        <v>245.62</v>
      </c>
      <c r="UW188">
        <v>245.65</v>
      </c>
      <c r="UX188">
        <v>245.68</v>
      </c>
      <c r="UY188">
        <v>245.71</v>
      </c>
      <c r="UZ188">
        <v>245.78</v>
      </c>
      <c r="VA188">
        <v>245.8</v>
      </c>
      <c r="VB188">
        <v>243.32</v>
      </c>
      <c r="VC188">
        <v>243.35</v>
      </c>
      <c r="VD188">
        <v>243.4</v>
      </c>
      <c r="VE188">
        <v>243.45</v>
      </c>
      <c r="VF188">
        <v>243.51</v>
      </c>
      <c r="VH188">
        <v>243.68</v>
      </c>
      <c r="VI188">
        <v>243.68</v>
      </c>
      <c r="VJ188">
        <v>243.81</v>
      </c>
      <c r="VK188">
        <v>243.96</v>
      </c>
      <c r="VL188">
        <v>244.14</v>
      </c>
      <c r="VM188">
        <v>244.31</v>
      </c>
      <c r="VN188">
        <v>244.65</v>
      </c>
      <c r="VO188">
        <v>244.74</v>
      </c>
      <c r="VP188">
        <v>244.74</v>
      </c>
      <c r="VQ188">
        <v>244.9</v>
      </c>
      <c r="VR188">
        <v>245.04</v>
      </c>
      <c r="VS188">
        <v>245.18</v>
      </c>
      <c r="VT188">
        <v>245.3</v>
      </c>
      <c r="VU188">
        <v>245.51</v>
      </c>
      <c r="VV188">
        <v>245.57</v>
      </c>
      <c r="VW188">
        <v>245.78</v>
      </c>
      <c r="VX188">
        <v>245.98</v>
      </c>
      <c r="VY188">
        <v>246.17</v>
      </c>
      <c r="VZ188">
        <v>246.34</v>
      </c>
      <c r="WC188">
        <v>246.77</v>
      </c>
      <c r="WD188">
        <v>246.93</v>
      </c>
      <c r="WE188">
        <v>247.09</v>
      </c>
      <c r="WF188">
        <v>247.22</v>
      </c>
      <c r="WG188">
        <v>247.34</v>
      </c>
      <c r="WM188">
        <v>247.87</v>
      </c>
      <c r="WN188">
        <v>247.98</v>
      </c>
      <c r="WQ188">
        <v>248.25</v>
      </c>
      <c r="WR188">
        <v>248.33</v>
      </c>
      <c r="WS188">
        <v>248.41</v>
      </c>
      <c r="WT188">
        <v>248.48</v>
      </c>
      <c r="WU188">
        <v>248.55</v>
      </c>
      <c r="WX188">
        <v>248.72</v>
      </c>
      <c r="WY188">
        <v>248.78</v>
      </c>
      <c r="WZ188">
        <v>248.83</v>
      </c>
      <c r="XA188">
        <v>248.88</v>
      </c>
      <c r="XB188">
        <v>248.92</v>
      </c>
      <c r="XE188">
        <v>249.02</v>
      </c>
      <c r="XF188">
        <v>249.05</v>
      </c>
      <c r="XM188">
        <v>249.15</v>
      </c>
      <c r="XN188">
        <v>249.17</v>
      </c>
      <c r="XO188">
        <v>249.2</v>
      </c>
      <c r="XP188">
        <v>249.23</v>
      </c>
      <c r="XS188">
        <v>249.29</v>
      </c>
      <c r="XT188">
        <v>249.32</v>
      </c>
      <c r="XU188">
        <v>249.34</v>
      </c>
      <c r="XV188">
        <v>249.36</v>
      </c>
      <c r="XW188">
        <v>249.39</v>
      </c>
      <c r="XZ188">
        <v>249.43</v>
      </c>
      <c r="YA188">
        <v>249.45</v>
      </c>
      <c r="YB188">
        <v>249.47</v>
      </c>
      <c r="YC188">
        <v>249.48</v>
      </c>
      <c r="YD188">
        <v>249.5</v>
      </c>
      <c r="YH188">
        <v>249.54</v>
      </c>
      <c r="YI188">
        <v>249.55</v>
      </c>
      <c r="YJ188">
        <v>249.57</v>
      </c>
      <c r="YK188">
        <v>249.58</v>
      </c>
      <c r="YQ188">
        <v>249.64</v>
      </c>
      <c r="YR188">
        <v>249.65</v>
      </c>
      <c r="YS188">
        <v>249.67</v>
      </c>
      <c r="YT188">
        <v>249.68</v>
      </c>
      <c r="YU188">
        <v>249.68</v>
      </c>
      <c r="YV188">
        <v>249.69</v>
      </c>
      <c r="YW188">
        <v>249.7</v>
      </c>
      <c r="YX188">
        <v>249.71</v>
      </c>
      <c r="YY188">
        <v>249.73</v>
      </c>
      <c r="YZ188">
        <v>249.75</v>
      </c>
      <c r="ZA188">
        <v>249.75</v>
      </c>
      <c r="ZB188">
        <v>249.76</v>
      </c>
      <c r="ZC188">
        <v>249.77</v>
      </c>
      <c r="ZD188">
        <v>249.78</v>
      </c>
      <c r="ZE188">
        <v>249.86</v>
      </c>
      <c r="ZF188">
        <v>249.88</v>
      </c>
      <c r="ZJ188">
        <v>249.92</v>
      </c>
      <c r="ZL188">
        <v>249.94</v>
      </c>
      <c r="ZM188">
        <v>249.95</v>
      </c>
      <c r="ZN188">
        <v>249.96</v>
      </c>
      <c r="ZO188">
        <v>249.97</v>
      </c>
      <c r="ZP188">
        <v>249.97</v>
      </c>
      <c r="ZQ188">
        <v>249.98</v>
      </c>
      <c r="ZR188">
        <v>249.99</v>
      </c>
      <c r="ZS188">
        <v>250</v>
      </c>
      <c r="ZT188">
        <v>250.01</v>
      </c>
      <c r="ZU188">
        <v>250.02</v>
      </c>
      <c r="ZV188">
        <v>250.03</v>
      </c>
      <c r="ZW188">
        <v>250.03</v>
      </c>
      <c r="ZX188">
        <v>250.04</v>
      </c>
      <c r="ZY188">
        <v>250.05</v>
      </c>
      <c r="ZZ188">
        <v>250.05</v>
      </c>
      <c r="AAA188">
        <v>250.07</v>
      </c>
      <c r="AAB188">
        <v>250.08</v>
      </c>
      <c r="AAC188">
        <v>250.08</v>
      </c>
      <c r="AAD188">
        <v>250.08</v>
      </c>
      <c r="AAE188">
        <v>250.09</v>
      </c>
      <c r="AAF188">
        <v>250.1</v>
      </c>
      <c r="AAG188">
        <v>250.11</v>
      </c>
      <c r="AAH188">
        <v>250.12</v>
      </c>
      <c r="AAI188">
        <v>250.13</v>
      </c>
      <c r="AAJ188">
        <v>250.13</v>
      </c>
      <c r="AAK188">
        <v>250.13</v>
      </c>
      <c r="AAL188">
        <v>250.14</v>
      </c>
      <c r="AAM188">
        <v>250.15</v>
      </c>
      <c r="AAN188">
        <v>250.16</v>
      </c>
      <c r="AAO188">
        <v>250.16</v>
      </c>
      <c r="AAP188">
        <v>250.17</v>
      </c>
      <c r="AAQ188">
        <v>250.18</v>
      </c>
      <c r="AAR188">
        <v>250.18</v>
      </c>
      <c r="AAS188">
        <v>250.18</v>
      </c>
      <c r="AAT188">
        <v>250.19</v>
      </c>
      <c r="AAU188">
        <v>250.19</v>
      </c>
      <c r="AAV188">
        <v>250.2</v>
      </c>
      <c r="AAW188">
        <v>250.2</v>
      </c>
      <c r="AAX188">
        <v>250.2</v>
      </c>
      <c r="AAY188">
        <v>250.2</v>
      </c>
      <c r="AAZ188">
        <v>250.21</v>
      </c>
    </row>
    <row r="189" spans="1:800">
      <c r="A189" s="1" t="s">
        <v>143</v>
      </c>
      <c r="B189" t="s">
        <v>367</v>
      </c>
      <c r="DO189">
        <v>0</v>
      </c>
      <c r="DY189">
        <v>0.01</v>
      </c>
      <c r="EZ189">
        <v>0.05</v>
      </c>
      <c r="FF189">
        <v>0.06</v>
      </c>
      <c r="FI189">
        <v>7.0000000000000007E-2</v>
      </c>
      <c r="FL189">
        <v>7.0000000000000007E-2</v>
      </c>
      <c r="FN189">
        <v>0.08</v>
      </c>
      <c r="FS189">
        <v>0.09</v>
      </c>
      <c r="GA189">
        <v>0.11</v>
      </c>
      <c r="GG189">
        <v>0.17</v>
      </c>
      <c r="GM189">
        <v>0.26</v>
      </c>
      <c r="GQ189">
        <v>0.28999999999999998</v>
      </c>
      <c r="GU189">
        <v>0.4</v>
      </c>
      <c r="HB189">
        <v>0.43</v>
      </c>
      <c r="HI189">
        <v>0.5</v>
      </c>
      <c r="HJ189">
        <v>0.5</v>
      </c>
      <c r="HP189">
        <v>0.51</v>
      </c>
      <c r="JM189">
        <v>0.53</v>
      </c>
      <c r="JZ189">
        <v>0.84</v>
      </c>
      <c r="KC189">
        <v>0.88</v>
      </c>
      <c r="LJ189">
        <v>1.1200000000000001</v>
      </c>
      <c r="LU189">
        <v>1.23</v>
      </c>
      <c r="MM189">
        <v>1.92</v>
      </c>
      <c r="OH189">
        <v>2.54</v>
      </c>
      <c r="PD189">
        <v>3.01</v>
      </c>
    </row>
    <row r="190" spans="1:800">
      <c r="A190" s="1" t="s">
        <v>46</v>
      </c>
      <c r="B190" t="s">
        <v>291</v>
      </c>
      <c r="AB190">
        <v>0.18</v>
      </c>
      <c r="AC190">
        <v>0.3</v>
      </c>
      <c r="AE190">
        <v>0.44</v>
      </c>
      <c r="AF190">
        <v>0.59</v>
      </c>
      <c r="AI190">
        <v>0.87</v>
      </c>
      <c r="AJ190">
        <v>1.04</v>
      </c>
      <c r="AK190">
        <v>1.24</v>
      </c>
      <c r="AL190">
        <v>1.45</v>
      </c>
      <c r="AM190">
        <v>1.64</v>
      </c>
      <c r="AP190">
        <v>1.92</v>
      </c>
      <c r="AQ190">
        <v>2.0699999999999998</v>
      </c>
      <c r="AR190">
        <v>2.19</v>
      </c>
      <c r="AS190">
        <v>2.36</v>
      </c>
      <c r="AT190">
        <v>2.4900000000000002</v>
      </c>
      <c r="AV190">
        <v>2.65</v>
      </c>
      <c r="AW190">
        <v>2.76</v>
      </c>
      <c r="AX190">
        <v>2.9</v>
      </c>
      <c r="AY190">
        <v>2.98</v>
      </c>
      <c r="AZ190">
        <v>3.15</v>
      </c>
      <c r="BC190">
        <v>3.44</v>
      </c>
      <c r="BD190">
        <v>3.58</v>
      </c>
      <c r="BE190">
        <v>3.77</v>
      </c>
      <c r="BF190">
        <v>3.99</v>
      </c>
      <c r="BG190">
        <v>4.25</v>
      </c>
      <c r="BJ190">
        <v>4.5</v>
      </c>
      <c r="BK190">
        <v>4.6399999999999997</v>
      </c>
      <c r="BL190">
        <v>4.78</v>
      </c>
      <c r="BM190">
        <v>4.96</v>
      </c>
      <c r="BN190">
        <v>5.18</v>
      </c>
      <c r="BQ190">
        <v>5.48</v>
      </c>
      <c r="BR190">
        <v>5.61</v>
      </c>
      <c r="BS190">
        <v>5.75</v>
      </c>
      <c r="BT190">
        <v>5.95</v>
      </c>
      <c r="BU190">
        <v>6.28</v>
      </c>
      <c r="BX190">
        <v>6.61</v>
      </c>
      <c r="BY190">
        <v>6.77</v>
      </c>
      <c r="BZ190">
        <v>7.03</v>
      </c>
      <c r="CA190">
        <v>7.35</v>
      </c>
      <c r="CB190">
        <v>7.71</v>
      </c>
      <c r="CE190">
        <v>8.19</v>
      </c>
      <c r="CF190">
        <v>8.36</v>
      </c>
      <c r="CG190">
        <v>8.68</v>
      </c>
      <c r="CH190">
        <v>9.0500000000000007</v>
      </c>
      <c r="CI190">
        <v>9.56</v>
      </c>
      <c r="CL190">
        <v>10.08</v>
      </c>
      <c r="CM190">
        <v>10.37</v>
      </c>
      <c r="CN190">
        <v>10.67</v>
      </c>
      <c r="CO190">
        <v>11.06</v>
      </c>
      <c r="CP190">
        <v>11.45</v>
      </c>
      <c r="CT190">
        <v>12.07</v>
      </c>
      <c r="CU190">
        <v>12.28</v>
      </c>
      <c r="CV190">
        <v>12.53</v>
      </c>
      <c r="CW190">
        <v>12.82</v>
      </c>
      <c r="DA190">
        <v>13.52</v>
      </c>
      <c r="DB190">
        <v>13.71</v>
      </c>
      <c r="DC190">
        <v>14.16</v>
      </c>
      <c r="DD190">
        <v>14.63</v>
      </c>
      <c r="DE190">
        <v>15.12</v>
      </c>
      <c r="DH190">
        <v>16.190000000000001</v>
      </c>
      <c r="DI190">
        <v>16.55</v>
      </c>
      <c r="DJ190">
        <v>17.190000000000001</v>
      </c>
      <c r="DK190">
        <v>17.84</v>
      </c>
      <c r="DM190">
        <v>18.28</v>
      </c>
      <c r="DO190">
        <v>18.7</v>
      </c>
      <c r="DP190">
        <v>19.29</v>
      </c>
      <c r="DQ190">
        <v>20.010000000000002</v>
      </c>
      <c r="DR190">
        <v>20.99</v>
      </c>
      <c r="DS190">
        <v>21.88</v>
      </c>
      <c r="DV190">
        <v>23.07</v>
      </c>
      <c r="DW190">
        <v>23.68</v>
      </c>
      <c r="DX190">
        <v>24.46</v>
      </c>
      <c r="DY190">
        <v>25.42</v>
      </c>
      <c r="DZ190">
        <v>26.37</v>
      </c>
      <c r="EC190">
        <v>27.49</v>
      </c>
      <c r="ED190">
        <v>27.89</v>
      </c>
      <c r="EE190">
        <v>28.87</v>
      </c>
      <c r="EF190">
        <v>29.75</v>
      </c>
      <c r="EG190">
        <v>30.51</v>
      </c>
      <c r="EI190">
        <v>31.47</v>
      </c>
      <c r="EJ190">
        <v>32.07</v>
      </c>
      <c r="EK190">
        <v>32.89</v>
      </c>
      <c r="EL190">
        <v>33.92</v>
      </c>
      <c r="EM190">
        <v>35</v>
      </c>
      <c r="EP190">
        <v>36.74</v>
      </c>
      <c r="EQ190">
        <v>37.28</v>
      </c>
      <c r="ER190">
        <v>38.32</v>
      </c>
      <c r="ES190">
        <v>39.549999999999997</v>
      </c>
      <c r="ET190">
        <v>40.74</v>
      </c>
      <c r="EW190">
        <v>42.41</v>
      </c>
      <c r="EX190">
        <v>43.12</v>
      </c>
      <c r="EY190">
        <v>44.11</v>
      </c>
      <c r="EZ190">
        <v>45.07</v>
      </c>
      <c r="FA190">
        <v>46.38</v>
      </c>
      <c r="FD190">
        <v>47.72</v>
      </c>
      <c r="FE190">
        <v>48.31</v>
      </c>
      <c r="FF190">
        <v>49.14</v>
      </c>
      <c r="FG190">
        <v>50.27</v>
      </c>
      <c r="FH190">
        <v>51.25</v>
      </c>
      <c r="FK190">
        <v>52.47</v>
      </c>
      <c r="FL190">
        <v>53.21</v>
      </c>
      <c r="FM190">
        <v>54.07</v>
      </c>
      <c r="FN190">
        <v>55.06</v>
      </c>
      <c r="FO190">
        <v>55.9</v>
      </c>
      <c r="FR190">
        <v>57.38</v>
      </c>
      <c r="FS190">
        <v>58</v>
      </c>
      <c r="FT190">
        <v>59.05</v>
      </c>
      <c r="FU190">
        <v>60.28</v>
      </c>
      <c r="FV190">
        <v>61.5</v>
      </c>
      <c r="FY190">
        <v>64.180000000000007</v>
      </c>
      <c r="FZ190">
        <v>65.180000000000007</v>
      </c>
      <c r="GA190">
        <v>66.31</v>
      </c>
      <c r="GB190">
        <v>67.650000000000006</v>
      </c>
      <c r="GC190">
        <v>69.05</v>
      </c>
      <c r="GF190">
        <v>71.099999999999994</v>
      </c>
      <c r="GG190">
        <v>71.930000000000007</v>
      </c>
      <c r="GH190">
        <v>73.2</v>
      </c>
      <c r="GI190">
        <v>74.53</v>
      </c>
      <c r="GJ190">
        <v>75.739999999999995</v>
      </c>
      <c r="GM190">
        <v>77.760000000000005</v>
      </c>
      <c r="GN190">
        <v>78.88</v>
      </c>
      <c r="GO190">
        <v>80.34</v>
      </c>
      <c r="GP190">
        <v>81.900000000000006</v>
      </c>
      <c r="GQ190">
        <v>83</v>
      </c>
      <c r="GT190">
        <v>85.37</v>
      </c>
      <c r="GU190">
        <v>86.76</v>
      </c>
      <c r="GV190">
        <v>88.29</v>
      </c>
      <c r="GW190">
        <v>89.89</v>
      </c>
      <c r="GX190">
        <v>91.53</v>
      </c>
      <c r="HA190">
        <v>94.02</v>
      </c>
      <c r="HB190">
        <v>95.27</v>
      </c>
      <c r="HC190">
        <v>96.75</v>
      </c>
      <c r="HD190">
        <v>98.22</v>
      </c>
      <c r="HE190">
        <v>99.7</v>
      </c>
      <c r="HH190">
        <v>102.19</v>
      </c>
      <c r="HI190">
        <v>103.34</v>
      </c>
      <c r="HJ190">
        <v>104.61</v>
      </c>
      <c r="HK190">
        <v>106.05</v>
      </c>
      <c r="HL190">
        <v>107.45</v>
      </c>
      <c r="HO190">
        <v>109.57</v>
      </c>
      <c r="HP190">
        <v>110.6</v>
      </c>
      <c r="HQ190">
        <v>111.85</v>
      </c>
      <c r="HR190">
        <v>113.1</v>
      </c>
      <c r="HS190">
        <v>114.32</v>
      </c>
      <c r="HV190">
        <v>116.05</v>
      </c>
      <c r="HW190">
        <v>116.82</v>
      </c>
      <c r="HX190">
        <v>118.03</v>
      </c>
      <c r="HY190">
        <v>119.16</v>
      </c>
      <c r="HZ190">
        <v>120.17</v>
      </c>
      <c r="IC190">
        <v>121.48</v>
      </c>
      <c r="ID190">
        <v>122.22</v>
      </c>
      <c r="IE190">
        <v>123.31</v>
      </c>
      <c r="IF190">
        <v>124.27</v>
      </c>
      <c r="IG190">
        <v>125.21</v>
      </c>
      <c r="IJ190">
        <v>126.42</v>
      </c>
      <c r="IK190">
        <v>127.11</v>
      </c>
      <c r="IL190">
        <v>128.16999999999999</v>
      </c>
      <c r="IM190">
        <v>129.29</v>
      </c>
      <c r="IN190">
        <v>130.30000000000001</v>
      </c>
      <c r="IQ190">
        <v>131.36000000000001</v>
      </c>
      <c r="IR190">
        <v>132.01</v>
      </c>
      <c r="IS190">
        <v>133.02000000000001</v>
      </c>
      <c r="IT190">
        <v>134.03</v>
      </c>
      <c r="IU190">
        <v>134.94</v>
      </c>
      <c r="IX190">
        <v>136.04</v>
      </c>
      <c r="IY190">
        <v>136.78</v>
      </c>
      <c r="IZ190">
        <v>137.58000000000001</v>
      </c>
      <c r="JA190">
        <v>138.44</v>
      </c>
      <c r="JB190">
        <v>139.13</v>
      </c>
      <c r="JE190">
        <v>140</v>
      </c>
      <c r="JF190">
        <v>140.49</v>
      </c>
      <c r="JG190">
        <v>141.47</v>
      </c>
      <c r="JM190">
        <v>144.15</v>
      </c>
      <c r="JN190">
        <v>145.04</v>
      </c>
      <c r="JS190">
        <v>146.51</v>
      </c>
      <c r="JT190">
        <v>146.79</v>
      </c>
      <c r="JU190">
        <v>147.22</v>
      </c>
      <c r="JV190">
        <v>147.51</v>
      </c>
      <c r="JW190">
        <v>147.81</v>
      </c>
      <c r="JZ190">
        <v>148.32</v>
      </c>
      <c r="KA190">
        <v>148.52000000000001</v>
      </c>
      <c r="KB190">
        <v>148.78</v>
      </c>
      <c r="KC190">
        <v>148.97999999999999</v>
      </c>
      <c r="KD190">
        <v>149.19</v>
      </c>
      <c r="KI190">
        <v>149.80000000000001</v>
      </c>
      <c r="LN190">
        <v>153.91</v>
      </c>
      <c r="NH190">
        <v>174.77</v>
      </c>
      <c r="PZ190">
        <v>197.53</v>
      </c>
      <c r="QB190">
        <v>197.86</v>
      </c>
      <c r="QF190">
        <v>198.17</v>
      </c>
      <c r="QH190">
        <v>198.37</v>
      </c>
      <c r="QP190">
        <v>199.69</v>
      </c>
      <c r="TV190">
        <v>203.02</v>
      </c>
      <c r="UC190">
        <v>203.2</v>
      </c>
      <c r="UJ190">
        <v>203.38</v>
      </c>
      <c r="VL190">
        <v>200.95</v>
      </c>
      <c r="YR190">
        <v>201.75</v>
      </c>
      <c r="ACD190">
        <v>219.81</v>
      </c>
      <c r="ACK190">
        <v>220.49</v>
      </c>
      <c r="ACR190">
        <v>220.98</v>
      </c>
      <c r="ACY190">
        <v>221.31</v>
      </c>
      <c r="ADF190">
        <v>221.57</v>
      </c>
      <c r="ADM190">
        <v>221.75</v>
      </c>
      <c r="ADT190">
        <v>221.88</v>
      </c>
    </row>
    <row r="191" spans="1:800">
      <c r="A191" s="1" t="s">
        <v>138</v>
      </c>
      <c r="B191" t="s">
        <v>138</v>
      </c>
      <c r="AZ191">
        <v>0</v>
      </c>
      <c r="BA191">
        <v>0.02</v>
      </c>
      <c r="BB191">
        <v>0.18</v>
      </c>
      <c r="BC191">
        <v>0.28000000000000003</v>
      </c>
      <c r="BD191">
        <v>0.45</v>
      </c>
      <c r="BE191">
        <v>0.55000000000000004</v>
      </c>
      <c r="BF191">
        <v>0.65</v>
      </c>
      <c r="BG191">
        <v>0.68</v>
      </c>
      <c r="BH191">
        <v>0.73</v>
      </c>
      <c r="BI191">
        <v>0.75</v>
      </c>
      <c r="BJ191">
        <v>0.76</v>
      </c>
      <c r="BK191">
        <v>0.78</v>
      </c>
      <c r="BL191">
        <v>0.81</v>
      </c>
      <c r="BM191">
        <v>0.83</v>
      </c>
      <c r="BN191">
        <v>0.83</v>
      </c>
      <c r="BO191">
        <v>0.84</v>
      </c>
      <c r="BP191">
        <v>0.87</v>
      </c>
      <c r="BQ191">
        <v>0.88</v>
      </c>
      <c r="BR191">
        <v>0.9</v>
      </c>
      <c r="BS191">
        <v>0.92</v>
      </c>
      <c r="BT191">
        <v>0.98</v>
      </c>
      <c r="BU191">
        <v>1.0900000000000001</v>
      </c>
      <c r="BV191">
        <v>1.23</v>
      </c>
      <c r="BW191">
        <v>1.41</v>
      </c>
      <c r="BX191">
        <v>1.58</v>
      </c>
      <c r="BY191">
        <v>1.65</v>
      </c>
      <c r="BZ191">
        <v>1.71</v>
      </c>
      <c r="CA191">
        <v>1.84</v>
      </c>
      <c r="CC191">
        <v>1.9</v>
      </c>
      <c r="CD191">
        <v>2.06</v>
      </c>
      <c r="CE191">
        <v>2.1800000000000002</v>
      </c>
      <c r="CF191">
        <v>2.38</v>
      </c>
      <c r="CG191">
        <v>2.59</v>
      </c>
      <c r="CH191">
        <v>2.8</v>
      </c>
      <c r="CI191">
        <v>3.04</v>
      </c>
      <c r="CJ191">
        <v>3.27</v>
      </c>
      <c r="CK191">
        <v>3.38</v>
      </c>
      <c r="CL191">
        <v>3.41</v>
      </c>
      <c r="CM191">
        <v>3.44</v>
      </c>
      <c r="CN191">
        <v>3.47</v>
      </c>
      <c r="CO191">
        <v>3.51</v>
      </c>
      <c r="CP191">
        <v>3.55</v>
      </c>
      <c r="CQ191">
        <v>3.55</v>
      </c>
      <c r="CR191">
        <v>3.6</v>
      </c>
      <c r="CS191">
        <v>3.61</v>
      </c>
      <c r="CT191">
        <v>3.66</v>
      </c>
      <c r="CU191">
        <v>3.72</v>
      </c>
      <c r="CV191">
        <v>3.77</v>
      </c>
      <c r="CW191">
        <v>3.81</v>
      </c>
      <c r="CX191">
        <v>3.85</v>
      </c>
      <c r="CY191">
        <v>3.87</v>
      </c>
      <c r="CZ191">
        <v>3.88</v>
      </c>
      <c r="DA191">
        <v>3.92</v>
      </c>
      <c r="DF191">
        <v>4.13</v>
      </c>
      <c r="DG191">
        <v>4.18</v>
      </c>
      <c r="DH191">
        <v>4.18</v>
      </c>
      <c r="DI191">
        <v>4.22</v>
      </c>
      <c r="DJ191">
        <v>4.26</v>
      </c>
      <c r="DK191">
        <v>4.3</v>
      </c>
      <c r="DL191">
        <v>4.3099999999999996</v>
      </c>
      <c r="DN191">
        <v>4.32</v>
      </c>
      <c r="DP191">
        <v>4.32</v>
      </c>
      <c r="DQ191">
        <v>4.32</v>
      </c>
      <c r="DS191">
        <v>4.32</v>
      </c>
      <c r="DU191">
        <v>4.32</v>
      </c>
      <c r="EM191">
        <v>4.3600000000000003</v>
      </c>
      <c r="EN191">
        <v>4.45</v>
      </c>
      <c r="EO191">
        <v>4.63</v>
      </c>
      <c r="EP191">
        <v>4.75</v>
      </c>
      <c r="EQ191">
        <v>4.79</v>
      </c>
      <c r="ER191">
        <v>4.8899999999999997</v>
      </c>
      <c r="ES191">
        <v>5</v>
      </c>
      <c r="ET191">
        <v>5.08</v>
      </c>
      <c r="EU191">
        <v>5.16</v>
      </c>
      <c r="EW191">
        <v>5.26</v>
      </c>
      <c r="EX191">
        <v>5.28</v>
      </c>
      <c r="EY191">
        <v>5.43</v>
      </c>
      <c r="EZ191">
        <v>5.7</v>
      </c>
      <c r="FA191">
        <v>6.12</v>
      </c>
      <c r="FB191">
        <v>6.46</v>
      </c>
      <c r="FD191">
        <v>7.2</v>
      </c>
      <c r="FE191">
        <v>7.33</v>
      </c>
      <c r="FF191">
        <v>7.68</v>
      </c>
      <c r="FG191">
        <v>7.86</v>
      </c>
      <c r="FH191">
        <v>7.97</v>
      </c>
      <c r="FI191">
        <v>8.06</v>
      </c>
      <c r="FJ191">
        <v>8.17</v>
      </c>
      <c r="FK191">
        <v>8.24</v>
      </c>
      <c r="FL191">
        <v>8.2799999999999994</v>
      </c>
      <c r="FM191">
        <v>8.32</v>
      </c>
      <c r="FN191">
        <v>8.34</v>
      </c>
      <c r="FO191">
        <v>8.36</v>
      </c>
      <c r="FP191">
        <v>8.56</v>
      </c>
      <c r="FQ191">
        <v>8.64</v>
      </c>
      <c r="FR191">
        <v>8.75</v>
      </c>
      <c r="FS191">
        <v>9.14</v>
      </c>
      <c r="FT191">
        <v>9.5299999999999994</v>
      </c>
      <c r="FU191">
        <v>9.89</v>
      </c>
      <c r="FX191">
        <v>10.61</v>
      </c>
      <c r="FY191">
        <v>10.73</v>
      </c>
      <c r="FZ191">
        <v>10.75</v>
      </c>
      <c r="GA191">
        <v>10.9</v>
      </c>
      <c r="GB191">
        <v>11.1</v>
      </c>
      <c r="GC191">
        <v>11.45</v>
      </c>
      <c r="GD191">
        <v>11.88</v>
      </c>
      <c r="GE191">
        <v>12.29</v>
      </c>
      <c r="GF191">
        <v>12.93</v>
      </c>
      <c r="GG191">
        <v>13.22</v>
      </c>
      <c r="GH191">
        <v>13.68</v>
      </c>
      <c r="GI191">
        <v>14.14</v>
      </c>
      <c r="GJ191">
        <v>14.4</v>
      </c>
      <c r="GK191">
        <v>14.67</v>
      </c>
      <c r="GL191">
        <v>15.03</v>
      </c>
      <c r="GM191">
        <v>15.23</v>
      </c>
      <c r="GN191">
        <v>15.42</v>
      </c>
      <c r="GO191">
        <v>15.52</v>
      </c>
      <c r="GQ191">
        <v>15.72</v>
      </c>
      <c r="GU191">
        <v>16.37</v>
      </c>
      <c r="GV191">
        <v>16.7</v>
      </c>
      <c r="GW191">
        <v>17.25</v>
      </c>
      <c r="GX191">
        <v>18.059999999999999</v>
      </c>
      <c r="GY191">
        <v>18.850000000000001</v>
      </c>
      <c r="GZ191">
        <v>19.25</v>
      </c>
      <c r="HA191">
        <v>19.55</v>
      </c>
      <c r="HB191">
        <v>19.72</v>
      </c>
      <c r="HD191">
        <v>21.15</v>
      </c>
      <c r="HE191">
        <v>22.03</v>
      </c>
      <c r="HF191">
        <v>23.06</v>
      </c>
      <c r="HG191">
        <v>23.97</v>
      </c>
      <c r="HH191">
        <v>24.84</v>
      </c>
      <c r="HI191">
        <v>25.4</v>
      </c>
      <c r="HJ191">
        <v>26.61</v>
      </c>
      <c r="HK191">
        <v>28.18</v>
      </c>
      <c r="HL191">
        <v>30.03</v>
      </c>
      <c r="HM191">
        <v>31.78</v>
      </c>
      <c r="HN191">
        <v>32.93</v>
      </c>
      <c r="HO191">
        <v>33.840000000000003</v>
      </c>
      <c r="HP191">
        <v>34.380000000000003</v>
      </c>
      <c r="HQ191">
        <v>35.369999999999997</v>
      </c>
      <c r="HR191">
        <v>36.67</v>
      </c>
      <c r="HS191">
        <v>37.549999999999997</v>
      </c>
      <c r="HT191">
        <v>38.659999999999997</v>
      </c>
      <c r="HU191">
        <v>39.409999999999997</v>
      </c>
      <c r="HV191">
        <v>41.6</v>
      </c>
      <c r="HW191">
        <v>43.16</v>
      </c>
      <c r="HX191">
        <v>45.4</v>
      </c>
      <c r="HY191">
        <v>47.26</v>
      </c>
      <c r="HZ191">
        <v>50.03</v>
      </c>
      <c r="IA191">
        <v>52.5</v>
      </c>
      <c r="IB191">
        <v>54.96</v>
      </c>
      <c r="IC191">
        <v>56.5</v>
      </c>
      <c r="ID191">
        <v>57.59</v>
      </c>
      <c r="IE191">
        <v>59.58</v>
      </c>
      <c r="IF191">
        <v>61.02</v>
      </c>
      <c r="IG191">
        <v>61.94</v>
      </c>
      <c r="IH191">
        <v>62.84</v>
      </c>
      <c r="II191">
        <v>63.38</v>
      </c>
      <c r="IJ191">
        <v>64.28</v>
      </c>
      <c r="IN191">
        <v>71.5</v>
      </c>
      <c r="IQ191">
        <v>76.48</v>
      </c>
      <c r="IR191">
        <v>77.040000000000006</v>
      </c>
      <c r="IS191">
        <v>78.37</v>
      </c>
      <c r="IT191">
        <v>79.02</v>
      </c>
      <c r="IV191">
        <v>79.400000000000006</v>
      </c>
      <c r="IW191">
        <v>81.81</v>
      </c>
      <c r="IX191">
        <v>82.38</v>
      </c>
      <c r="IY191">
        <v>82.62</v>
      </c>
      <c r="IZ191">
        <v>83.44</v>
      </c>
      <c r="JA191">
        <v>84.19</v>
      </c>
      <c r="JB191">
        <v>85.32</v>
      </c>
      <c r="JC191">
        <v>87.08</v>
      </c>
      <c r="JD191">
        <v>89.14</v>
      </c>
      <c r="JE191">
        <v>90.02</v>
      </c>
      <c r="JF191">
        <v>90.7</v>
      </c>
      <c r="JG191">
        <v>93.63</v>
      </c>
      <c r="JH191">
        <v>96</v>
      </c>
      <c r="JI191">
        <v>98.37</v>
      </c>
      <c r="JJ191">
        <v>99.57</v>
      </c>
      <c r="JK191">
        <v>100.79</v>
      </c>
      <c r="JL191">
        <v>101.6</v>
      </c>
      <c r="JM191">
        <v>101.91</v>
      </c>
      <c r="JN191">
        <v>103.45</v>
      </c>
      <c r="JO191">
        <v>105.44</v>
      </c>
      <c r="JP191">
        <v>107.56</v>
      </c>
      <c r="JQ191">
        <v>109.21</v>
      </c>
      <c r="JR191">
        <v>110.61</v>
      </c>
      <c r="JS191">
        <v>111.66</v>
      </c>
      <c r="JT191">
        <v>112</v>
      </c>
      <c r="JU191">
        <v>112.69</v>
      </c>
      <c r="JV191">
        <v>113.27</v>
      </c>
      <c r="JW191">
        <v>113.8</v>
      </c>
      <c r="JX191">
        <v>114.24</v>
      </c>
      <c r="JY191">
        <v>114.85</v>
      </c>
      <c r="JZ191">
        <v>115.38</v>
      </c>
      <c r="KA191">
        <v>115.67</v>
      </c>
      <c r="KB191">
        <v>115.95</v>
      </c>
      <c r="KC191">
        <v>116.81</v>
      </c>
      <c r="KD191">
        <v>117.87</v>
      </c>
      <c r="KE191">
        <v>119.04</v>
      </c>
      <c r="KF191">
        <v>120.08</v>
      </c>
      <c r="KG191">
        <v>120.77</v>
      </c>
      <c r="KH191">
        <v>120.96</v>
      </c>
      <c r="KI191">
        <v>121.39</v>
      </c>
      <c r="KJ191">
        <v>121.74</v>
      </c>
      <c r="KK191">
        <v>122.03</v>
      </c>
      <c r="KL191">
        <v>122.33</v>
      </c>
      <c r="KM191">
        <v>122.7</v>
      </c>
      <c r="KN191">
        <v>122.92</v>
      </c>
      <c r="KO191">
        <v>123</v>
      </c>
      <c r="KP191">
        <v>123.38</v>
      </c>
      <c r="KQ191">
        <v>123.66</v>
      </c>
      <c r="KR191">
        <v>124.12</v>
      </c>
      <c r="KS191">
        <v>124.63</v>
      </c>
      <c r="KT191">
        <v>125.32</v>
      </c>
      <c r="KU191">
        <v>125.87</v>
      </c>
      <c r="KV191">
        <v>126.07</v>
      </c>
      <c r="KW191">
        <v>126.52</v>
      </c>
      <c r="KX191">
        <v>126.92</v>
      </c>
      <c r="KY191">
        <v>127.27</v>
      </c>
      <c r="KZ191">
        <v>127.52</v>
      </c>
      <c r="LA191">
        <v>127.87</v>
      </c>
      <c r="LB191">
        <v>128.13999999999999</v>
      </c>
      <c r="LC191">
        <v>128.22</v>
      </c>
      <c r="LD191">
        <v>128.4</v>
      </c>
      <c r="LE191">
        <v>128.52000000000001</v>
      </c>
      <c r="LF191">
        <v>128.57</v>
      </c>
      <c r="LG191">
        <v>129.32</v>
      </c>
      <c r="LH191">
        <v>130.09</v>
      </c>
      <c r="LI191">
        <v>130.72</v>
      </c>
      <c r="LJ191">
        <v>130.91999999999999</v>
      </c>
      <c r="LK191">
        <v>131.47</v>
      </c>
      <c r="LL191">
        <v>132.16999999999999</v>
      </c>
      <c r="LM191">
        <v>132.94999999999999</v>
      </c>
      <c r="LS191">
        <v>135.69999999999999</v>
      </c>
      <c r="LT191">
        <v>136.02000000000001</v>
      </c>
      <c r="LU191">
        <v>136.06</v>
      </c>
      <c r="LV191">
        <v>136.29</v>
      </c>
      <c r="LW191">
        <v>136.63999999999999</v>
      </c>
      <c r="LX191">
        <v>136.66999999999999</v>
      </c>
      <c r="LY191">
        <v>136.80000000000001</v>
      </c>
      <c r="LZ191">
        <v>136.86000000000001</v>
      </c>
      <c r="MA191">
        <v>136.96</v>
      </c>
      <c r="MC191">
        <v>137.13</v>
      </c>
      <c r="MD191">
        <v>137.33000000000001</v>
      </c>
      <c r="ME191">
        <v>137.41999999999999</v>
      </c>
      <c r="MF191">
        <v>137.5</v>
      </c>
      <c r="MG191">
        <v>137.55000000000001</v>
      </c>
      <c r="MH191">
        <v>137.61000000000001</v>
      </c>
      <c r="MI191">
        <v>137.63999999999999</v>
      </c>
      <c r="MJ191">
        <v>137.66999999999999</v>
      </c>
      <c r="MK191">
        <v>137.77000000000001</v>
      </c>
      <c r="ML191">
        <v>137.78</v>
      </c>
      <c r="MM191">
        <v>137.84</v>
      </c>
      <c r="MN191">
        <v>137.87</v>
      </c>
      <c r="MO191">
        <v>137.88</v>
      </c>
      <c r="MP191">
        <v>137.9</v>
      </c>
      <c r="MR191">
        <v>137.99</v>
      </c>
      <c r="MS191">
        <v>138.01</v>
      </c>
      <c r="MT191">
        <v>138.04</v>
      </c>
      <c r="MU191">
        <v>138.07</v>
      </c>
      <c r="MV191">
        <v>138.1</v>
      </c>
      <c r="MW191">
        <v>138.12</v>
      </c>
      <c r="MY191">
        <v>138.19</v>
      </c>
      <c r="MZ191">
        <v>138.21</v>
      </c>
      <c r="NA191">
        <v>138.24</v>
      </c>
      <c r="NB191">
        <v>138.25</v>
      </c>
      <c r="NC191">
        <v>143.30000000000001</v>
      </c>
      <c r="NE191">
        <v>143.83000000000001</v>
      </c>
      <c r="NF191">
        <v>144.26</v>
      </c>
      <c r="NG191">
        <v>144.46</v>
      </c>
      <c r="NH191">
        <v>145.1</v>
      </c>
      <c r="NI191">
        <v>146.09</v>
      </c>
      <c r="NJ191">
        <v>147.15</v>
      </c>
      <c r="NK191">
        <v>148.05000000000001</v>
      </c>
      <c r="NL191">
        <v>149.41999999999999</v>
      </c>
      <c r="NM191">
        <v>149.82</v>
      </c>
      <c r="NN191">
        <v>150.18</v>
      </c>
      <c r="NO191">
        <v>150.91999999999999</v>
      </c>
      <c r="NP191">
        <v>151.79</v>
      </c>
      <c r="NQ191">
        <v>152.6</v>
      </c>
      <c r="NR191">
        <v>153.25</v>
      </c>
      <c r="NS191">
        <v>154.01</v>
      </c>
      <c r="NT191">
        <v>154.34</v>
      </c>
      <c r="NU191">
        <v>154.44999999999999</v>
      </c>
      <c r="NV191">
        <v>155.22999999999999</v>
      </c>
      <c r="NW191">
        <v>155.91</v>
      </c>
      <c r="NX191">
        <v>156.69999999999999</v>
      </c>
      <c r="NY191">
        <v>157.41999999999999</v>
      </c>
      <c r="NZ191">
        <v>157.65</v>
      </c>
      <c r="OA191">
        <v>157.75</v>
      </c>
      <c r="OB191">
        <v>157.78</v>
      </c>
      <c r="OC191">
        <v>157.97</v>
      </c>
      <c r="OD191">
        <v>158.13999999999999</v>
      </c>
      <c r="OE191">
        <v>158.38</v>
      </c>
      <c r="OF191">
        <v>158.54</v>
      </c>
      <c r="OG191">
        <v>158.79</v>
      </c>
      <c r="OH191">
        <v>159.03</v>
      </c>
      <c r="OI191">
        <v>159.11000000000001</v>
      </c>
      <c r="OJ191">
        <v>159.35</v>
      </c>
      <c r="OL191">
        <v>160.46</v>
      </c>
      <c r="ON191">
        <v>161.41</v>
      </c>
      <c r="OO191">
        <v>161.72</v>
      </c>
      <c r="OP191">
        <v>161.99</v>
      </c>
      <c r="OQ191">
        <v>162.05000000000001</v>
      </c>
      <c r="OR191">
        <v>162.47999999999999</v>
      </c>
      <c r="OS191">
        <v>162.82</v>
      </c>
      <c r="OT191">
        <v>163.28</v>
      </c>
      <c r="OU191">
        <v>163.6</v>
      </c>
      <c r="OV191">
        <v>163.84</v>
      </c>
      <c r="OW191">
        <v>163.89</v>
      </c>
      <c r="OX191">
        <v>164.22</v>
      </c>
      <c r="OY191">
        <v>164.55</v>
      </c>
      <c r="OZ191">
        <v>164.95</v>
      </c>
      <c r="PA191">
        <v>165.27</v>
      </c>
      <c r="PB191">
        <v>165.76</v>
      </c>
      <c r="PC191">
        <v>166.17</v>
      </c>
      <c r="PD191">
        <v>166.37</v>
      </c>
      <c r="PE191">
        <v>166.85</v>
      </c>
      <c r="PF191">
        <v>167.55</v>
      </c>
      <c r="PG191">
        <v>168.21</v>
      </c>
      <c r="PI191">
        <v>169.88</v>
      </c>
      <c r="PV191">
        <v>173.39</v>
      </c>
      <c r="PW191">
        <v>173.93</v>
      </c>
      <c r="PZ191">
        <v>174.74</v>
      </c>
      <c r="QB191">
        <v>176.69</v>
      </c>
      <c r="QF191">
        <v>178.05</v>
      </c>
      <c r="QH191">
        <v>178.28</v>
      </c>
      <c r="QJ191">
        <v>178.58</v>
      </c>
      <c r="QK191">
        <v>178.78</v>
      </c>
      <c r="QO191">
        <v>179.34</v>
      </c>
      <c r="QQ191">
        <v>180.21</v>
      </c>
      <c r="QU191">
        <v>181.21</v>
      </c>
      <c r="QV191">
        <v>181.33</v>
      </c>
      <c r="QW191">
        <v>181.38</v>
      </c>
      <c r="QZ191">
        <v>181.7</v>
      </c>
      <c r="RA191">
        <v>181.83</v>
      </c>
      <c r="RB191">
        <v>181.9</v>
      </c>
      <c r="TF191">
        <v>183.96</v>
      </c>
      <c r="TU191">
        <v>184.1</v>
      </c>
      <c r="UB191">
        <v>184.15</v>
      </c>
    </row>
    <row r="192" spans="1:800">
      <c r="A192" s="1" t="s">
        <v>106</v>
      </c>
      <c r="B192" t="s">
        <v>368</v>
      </c>
      <c r="CO192">
        <v>0</v>
      </c>
      <c r="DO192">
        <v>0.1</v>
      </c>
      <c r="DP192">
        <v>0.15</v>
      </c>
      <c r="DT192">
        <v>0.23</v>
      </c>
      <c r="EG192">
        <v>0.32</v>
      </c>
      <c r="FR192">
        <v>0.82</v>
      </c>
      <c r="FU192">
        <v>0.92</v>
      </c>
      <c r="FZ192">
        <v>1.06</v>
      </c>
      <c r="GA192">
        <v>1.1000000000000001</v>
      </c>
      <c r="GG192">
        <v>1.23</v>
      </c>
      <c r="GM192">
        <v>1.44</v>
      </c>
      <c r="GU192">
        <v>1.53</v>
      </c>
      <c r="GV192">
        <v>1.55</v>
      </c>
      <c r="HO192">
        <v>1.85</v>
      </c>
      <c r="IC192">
        <v>1.87</v>
      </c>
      <c r="IK192">
        <v>1.88</v>
      </c>
      <c r="IM192">
        <v>1.89</v>
      </c>
      <c r="IX192">
        <v>1.85</v>
      </c>
      <c r="JZ192">
        <v>3.34</v>
      </c>
      <c r="LE192">
        <v>3.7</v>
      </c>
      <c r="NB192">
        <v>7.3</v>
      </c>
      <c r="NI192">
        <v>11.69</v>
      </c>
      <c r="AAZ192">
        <v>29.25</v>
      </c>
      <c r="ADS192">
        <v>39.31</v>
      </c>
    </row>
    <row r="193" spans="1:812">
      <c r="A193" s="1" t="s">
        <v>153</v>
      </c>
      <c r="B193" t="s">
        <v>369</v>
      </c>
      <c r="BY193">
        <v>0</v>
      </c>
      <c r="CX193">
        <v>1.57</v>
      </c>
      <c r="CY193">
        <v>2.02</v>
      </c>
      <c r="DA193">
        <v>2.34</v>
      </c>
      <c r="DB193">
        <v>2.5099999999999998</v>
      </c>
      <c r="DC193">
        <v>2.73</v>
      </c>
      <c r="DE193">
        <v>3.41</v>
      </c>
      <c r="DF193">
        <v>3.81</v>
      </c>
      <c r="DG193">
        <v>3.97</v>
      </c>
      <c r="DI193">
        <v>4.18</v>
      </c>
      <c r="DJ193">
        <v>4.4400000000000004</v>
      </c>
      <c r="DL193">
        <v>4.7300000000000004</v>
      </c>
      <c r="DQ193">
        <v>5.12</v>
      </c>
      <c r="DS193">
        <v>5.56</v>
      </c>
      <c r="DV193">
        <v>5.63</v>
      </c>
      <c r="DW193">
        <v>5.73</v>
      </c>
      <c r="DZ193">
        <v>5.9</v>
      </c>
      <c r="EE193">
        <v>6.04</v>
      </c>
      <c r="EF193">
        <v>6.1</v>
      </c>
      <c r="EH193">
        <v>6.22</v>
      </c>
      <c r="EK193">
        <v>6.33</v>
      </c>
      <c r="EL193">
        <v>6.54</v>
      </c>
      <c r="EO193">
        <v>6.81</v>
      </c>
      <c r="ER193">
        <v>7.04</v>
      </c>
      <c r="EU193">
        <v>7.48</v>
      </c>
      <c r="EV193">
        <v>7.74</v>
      </c>
      <c r="EY193">
        <v>8.2100000000000009</v>
      </c>
      <c r="FA193">
        <v>8.51</v>
      </c>
      <c r="FC193">
        <v>8.7899999999999991</v>
      </c>
      <c r="FE193">
        <v>9.23</v>
      </c>
      <c r="FG193">
        <v>9.7799999999999994</v>
      </c>
      <c r="FH193">
        <v>11.04</v>
      </c>
      <c r="FI193">
        <v>11.64</v>
      </c>
      <c r="FK193">
        <v>12.63</v>
      </c>
      <c r="FM193">
        <v>13.03</v>
      </c>
      <c r="FN193">
        <v>13.39</v>
      </c>
      <c r="FP193">
        <v>13.76</v>
      </c>
      <c r="FQ193">
        <v>14.14</v>
      </c>
      <c r="FT193">
        <v>14.52</v>
      </c>
      <c r="FU193">
        <v>14.92</v>
      </c>
      <c r="FV193">
        <v>15.35</v>
      </c>
      <c r="FX193">
        <v>16.489999999999998</v>
      </c>
      <c r="FY193">
        <v>17.489999999999998</v>
      </c>
      <c r="FZ193">
        <v>18.420000000000002</v>
      </c>
      <c r="GA193">
        <v>18.82</v>
      </c>
      <c r="GB193">
        <v>19.13</v>
      </c>
      <c r="GE193">
        <v>21.66</v>
      </c>
      <c r="GF193">
        <v>23.33</v>
      </c>
      <c r="GG193">
        <v>24.62</v>
      </c>
      <c r="GH193">
        <v>24.98</v>
      </c>
      <c r="GI193">
        <v>26.54</v>
      </c>
      <c r="GK193">
        <v>28.26</v>
      </c>
      <c r="GM193">
        <v>29.95</v>
      </c>
      <c r="GN193">
        <v>30.21</v>
      </c>
      <c r="GP193">
        <v>31.08</v>
      </c>
      <c r="GQ193">
        <v>31.44</v>
      </c>
      <c r="GR193">
        <v>31.93</v>
      </c>
      <c r="GT193">
        <v>32.72</v>
      </c>
      <c r="GU193">
        <v>32.9</v>
      </c>
      <c r="GW193">
        <v>33.44</v>
      </c>
      <c r="GX193">
        <v>33.700000000000003</v>
      </c>
      <c r="GY193">
        <v>34</v>
      </c>
      <c r="HA193">
        <v>34.4</v>
      </c>
      <c r="HB193">
        <v>34.56</v>
      </c>
      <c r="HC193">
        <v>34.770000000000003</v>
      </c>
      <c r="HD193">
        <v>35</v>
      </c>
      <c r="HF193">
        <v>35.5</v>
      </c>
      <c r="HH193">
        <v>35.71</v>
      </c>
      <c r="HI193">
        <v>36.79</v>
      </c>
      <c r="HK193">
        <v>37.590000000000003</v>
      </c>
      <c r="HL193">
        <v>37.909999999999997</v>
      </c>
      <c r="HM193">
        <v>38.380000000000003</v>
      </c>
      <c r="HN193">
        <v>38.65</v>
      </c>
      <c r="HO193">
        <v>38.89</v>
      </c>
      <c r="HP193">
        <v>39.04</v>
      </c>
      <c r="HQ193">
        <v>39.229999999999997</v>
      </c>
      <c r="HR193">
        <v>39.450000000000003</v>
      </c>
      <c r="HS193">
        <v>39.659999999999997</v>
      </c>
      <c r="HT193">
        <v>39.979999999999997</v>
      </c>
      <c r="HU193">
        <v>40.15</v>
      </c>
      <c r="HV193">
        <v>40.26</v>
      </c>
      <c r="HW193">
        <v>40.43</v>
      </c>
      <c r="HX193">
        <v>40.840000000000003</v>
      </c>
      <c r="HY193">
        <v>41.16</v>
      </c>
      <c r="HZ193">
        <v>41.37</v>
      </c>
      <c r="IA193">
        <v>41.66</v>
      </c>
      <c r="IB193">
        <v>41.93</v>
      </c>
      <c r="IC193">
        <v>42.07</v>
      </c>
      <c r="ID193">
        <v>42.38</v>
      </c>
      <c r="IE193">
        <v>42.8</v>
      </c>
      <c r="IF193">
        <v>43.19</v>
      </c>
      <c r="IG193">
        <v>43.5</v>
      </c>
      <c r="IH193">
        <v>43.54</v>
      </c>
      <c r="II193">
        <v>43.96</v>
      </c>
      <c r="IJ193">
        <v>44.56</v>
      </c>
      <c r="IK193">
        <v>44.97</v>
      </c>
      <c r="IL193">
        <v>45.2</v>
      </c>
      <c r="IM193">
        <v>45.46</v>
      </c>
      <c r="IN193">
        <v>45.68</v>
      </c>
      <c r="IO193">
        <v>46.31</v>
      </c>
      <c r="IP193">
        <v>47</v>
      </c>
      <c r="IQ193">
        <v>47.4</v>
      </c>
      <c r="IR193">
        <v>47.81</v>
      </c>
      <c r="IS193">
        <v>48.29</v>
      </c>
      <c r="IT193">
        <v>48.62</v>
      </c>
      <c r="IU193">
        <v>49.13</v>
      </c>
      <c r="IV193">
        <v>49.48</v>
      </c>
      <c r="IW193">
        <v>50.65</v>
      </c>
      <c r="IX193">
        <v>50.75</v>
      </c>
      <c r="IY193">
        <v>52.12</v>
      </c>
      <c r="IZ193">
        <v>52.83</v>
      </c>
      <c r="JA193">
        <v>53.22</v>
      </c>
      <c r="JB193">
        <v>54.04</v>
      </c>
      <c r="JC193">
        <v>54.69</v>
      </c>
      <c r="JD193">
        <v>55.51</v>
      </c>
      <c r="JE193">
        <v>56.27</v>
      </c>
      <c r="JF193">
        <v>56.58</v>
      </c>
      <c r="JG193">
        <v>56.97</v>
      </c>
      <c r="JH193">
        <v>57.46</v>
      </c>
      <c r="JI193">
        <v>57.92</v>
      </c>
      <c r="JJ193">
        <v>58.44</v>
      </c>
      <c r="JK193">
        <v>59</v>
      </c>
      <c r="JL193">
        <v>59.41</v>
      </c>
      <c r="JM193">
        <v>59.76</v>
      </c>
      <c r="JN193">
        <v>60.25</v>
      </c>
      <c r="JO193">
        <v>60.77</v>
      </c>
      <c r="JP193">
        <v>61.14</v>
      </c>
      <c r="JQ193">
        <v>61.58</v>
      </c>
      <c r="JR193">
        <v>61.68</v>
      </c>
      <c r="JS193">
        <v>61.98</v>
      </c>
      <c r="JT193">
        <v>62.28</v>
      </c>
      <c r="JU193">
        <v>62.61</v>
      </c>
      <c r="JV193">
        <v>62.93</v>
      </c>
      <c r="JW193">
        <v>63.54</v>
      </c>
      <c r="JX193">
        <v>63.64</v>
      </c>
      <c r="JZ193">
        <v>63.9</v>
      </c>
      <c r="KA193">
        <v>63.97</v>
      </c>
      <c r="KB193">
        <v>64.709999999999994</v>
      </c>
      <c r="KC193">
        <v>65.13</v>
      </c>
      <c r="KD193">
        <v>65.489999999999995</v>
      </c>
      <c r="KE193">
        <v>66.02</v>
      </c>
      <c r="KF193">
        <v>66.239999999999995</v>
      </c>
      <c r="KH193">
        <v>66.58</v>
      </c>
      <c r="KI193">
        <v>66.95</v>
      </c>
      <c r="KJ193">
        <v>67.19</v>
      </c>
      <c r="KK193">
        <v>67.8</v>
      </c>
      <c r="KL193">
        <v>68.17</v>
      </c>
      <c r="KM193">
        <v>68.209999999999994</v>
      </c>
      <c r="KO193">
        <v>68.61</v>
      </c>
      <c r="KP193">
        <v>69</v>
      </c>
      <c r="KQ193">
        <v>69.349999999999994</v>
      </c>
      <c r="KR193">
        <v>69.72</v>
      </c>
      <c r="KS193">
        <v>70.010000000000005</v>
      </c>
      <c r="KT193">
        <v>70.13</v>
      </c>
      <c r="KU193">
        <v>70.36</v>
      </c>
      <c r="KW193">
        <v>70.87</v>
      </c>
      <c r="KX193">
        <v>71.25</v>
      </c>
      <c r="KY193">
        <v>71.42</v>
      </c>
      <c r="KZ193">
        <v>71.92</v>
      </c>
      <c r="LC193">
        <v>72.37</v>
      </c>
      <c r="LD193">
        <v>73.02</v>
      </c>
      <c r="LE193">
        <v>73.31</v>
      </c>
      <c r="LF193">
        <v>73.73</v>
      </c>
      <c r="LG193">
        <v>74.27</v>
      </c>
      <c r="LH193">
        <v>74.44</v>
      </c>
      <c r="LI193">
        <v>74.69</v>
      </c>
      <c r="LJ193">
        <v>74.78</v>
      </c>
      <c r="LK193">
        <v>75.11</v>
      </c>
      <c r="LL193">
        <v>75.34</v>
      </c>
      <c r="LM193">
        <v>75.67</v>
      </c>
      <c r="LO193">
        <v>75.930000000000007</v>
      </c>
      <c r="LP193">
        <v>76.239999999999995</v>
      </c>
      <c r="LQ193">
        <v>76.41</v>
      </c>
      <c r="LR193">
        <v>76.599999999999994</v>
      </c>
      <c r="LS193">
        <v>76.8</v>
      </c>
      <c r="LT193">
        <v>76.87</v>
      </c>
      <c r="LV193">
        <v>77.28</v>
      </c>
      <c r="LW193">
        <v>77.39</v>
      </c>
      <c r="LX193">
        <v>77.510000000000005</v>
      </c>
      <c r="LY193">
        <v>77.680000000000007</v>
      </c>
      <c r="LZ193">
        <v>77.88</v>
      </c>
      <c r="MA193">
        <v>78.099999999999994</v>
      </c>
      <c r="MB193">
        <v>78.36</v>
      </c>
      <c r="MC193">
        <v>78.37</v>
      </c>
      <c r="ME193">
        <v>78.75</v>
      </c>
      <c r="MG193">
        <v>79.010000000000005</v>
      </c>
      <c r="MH193">
        <v>79.13</v>
      </c>
      <c r="MI193">
        <v>79.430000000000007</v>
      </c>
      <c r="MJ193">
        <v>79.459999999999994</v>
      </c>
      <c r="MK193">
        <v>79.66</v>
      </c>
      <c r="ML193">
        <v>79.760000000000005</v>
      </c>
      <c r="MM193">
        <v>79.900000000000006</v>
      </c>
      <c r="MO193">
        <v>80.069999999999993</v>
      </c>
      <c r="MR193">
        <v>80.34</v>
      </c>
      <c r="MS193">
        <v>80.510000000000005</v>
      </c>
      <c r="MU193">
        <v>80.58</v>
      </c>
      <c r="MV193">
        <v>80.930000000000007</v>
      </c>
      <c r="MY193">
        <v>81.06</v>
      </c>
      <c r="MZ193">
        <v>81.180000000000007</v>
      </c>
      <c r="NA193">
        <v>81.27</v>
      </c>
      <c r="NB193">
        <v>81.47</v>
      </c>
      <c r="NC193">
        <v>81.540000000000006</v>
      </c>
      <c r="ND193">
        <v>81.569999999999993</v>
      </c>
      <c r="NE193">
        <v>81.760000000000005</v>
      </c>
      <c r="NG193">
        <v>81.87</v>
      </c>
      <c r="NJ193">
        <v>82.06</v>
      </c>
      <c r="NP193">
        <v>82.36</v>
      </c>
      <c r="NQ193">
        <v>82.45</v>
      </c>
      <c r="NU193">
        <v>82.52</v>
      </c>
      <c r="NX193">
        <v>82.76</v>
      </c>
      <c r="OB193">
        <v>82.84</v>
      </c>
      <c r="OD193">
        <v>82.96</v>
      </c>
      <c r="OE193">
        <v>83.11</v>
      </c>
      <c r="OK193">
        <v>83.42</v>
      </c>
      <c r="OL193">
        <v>83.48</v>
      </c>
      <c r="OQ193">
        <v>83.64</v>
      </c>
      <c r="OW193">
        <v>83.85</v>
      </c>
      <c r="OZ193">
        <v>83.89</v>
      </c>
      <c r="PA193">
        <v>84.05</v>
      </c>
      <c r="PE193">
        <v>84.18</v>
      </c>
      <c r="PP193">
        <v>84.45</v>
      </c>
      <c r="PQ193">
        <v>84.47</v>
      </c>
      <c r="PX193">
        <v>84.62</v>
      </c>
      <c r="QE193">
        <v>84.84</v>
      </c>
      <c r="QL193">
        <v>84.96</v>
      </c>
      <c r="QS193">
        <v>85.08</v>
      </c>
      <c r="QT193">
        <v>85.08</v>
      </c>
      <c r="QX193">
        <v>85.09</v>
      </c>
      <c r="QY193">
        <v>85.15</v>
      </c>
      <c r="RG193">
        <v>85.25</v>
      </c>
      <c r="RL193">
        <v>85.32</v>
      </c>
      <c r="RV193">
        <v>85.37</v>
      </c>
      <c r="TF193">
        <v>85.45</v>
      </c>
    </row>
    <row r="194" spans="1:812">
      <c r="A194" s="1" t="s">
        <v>63</v>
      </c>
      <c r="B194" t="s">
        <v>292</v>
      </c>
      <c r="T194">
        <v>0.02</v>
      </c>
      <c r="AA194">
        <v>0.14000000000000001</v>
      </c>
      <c r="AH194">
        <v>0.48</v>
      </c>
      <c r="AO194">
        <v>1.22</v>
      </c>
      <c r="AV194">
        <v>2.33</v>
      </c>
      <c r="BC194">
        <v>3.21</v>
      </c>
      <c r="BJ194">
        <v>4.18</v>
      </c>
      <c r="BQ194">
        <v>5.32</v>
      </c>
      <c r="BX194">
        <v>6.84</v>
      </c>
      <c r="CE194">
        <v>8.32</v>
      </c>
      <c r="CL194">
        <v>10.15</v>
      </c>
      <c r="CS194">
        <v>12.29</v>
      </c>
      <c r="CZ194">
        <v>14</v>
      </c>
      <c r="DG194">
        <v>15.92</v>
      </c>
      <c r="DN194">
        <v>18.649999999999999</v>
      </c>
      <c r="DU194">
        <v>22.02</v>
      </c>
      <c r="EB194">
        <v>26.73</v>
      </c>
      <c r="EI194">
        <v>31.07</v>
      </c>
      <c r="EP194">
        <v>35.06</v>
      </c>
      <c r="EW194">
        <v>39.56</v>
      </c>
      <c r="FD194">
        <v>43.7</v>
      </c>
      <c r="FK194">
        <v>48.11</v>
      </c>
      <c r="FR194">
        <v>52.58</v>
      </c>
      <c r="FY194">
        <v>58.25</v>
      </c>
      <c r="GM194">
        <v>71.150000000000006</v>
      </c>
      <c r="GQ194">
        <v>71.58</v>
      </c>
      <c r="GV194">
        <v>76.55</v>
      </c>
      <c r="GW194">
        <v>77.13</v>
      </c>
      <c r="HA194">
        <v>86.92</v>
      </c>
      <c r="HH194">
        <v>92.75</v>
      </c>
      <c r="HO194">
        <v>97.66</v>
      </c>
      <c r="HV194">
        <v>101.98</v>
      </c>
      <c r="HZ194">
        <v>103.8</v>
      </c>
      <c r="IA194">
        <v>104.62</v>
      </c>
      <c r="IC194">
        <v>105.84</v>
      </c>
      <c r="IJ194">
        <v>109.59</v>
      </c>
      <c r="IQ194">
        <v>113.61</v>
      </c>
      <c r="IS194">
        <v>115.1</v>
      </c>
      <c r="IT194">
        <v>116.18</v>
      </c>
      <c r="IU194">
        <v>116.97</v>
      </c>
      <c r="IV194">
        <v>117.36</v>
      </c>
      <c r="IZ194">
        <v>119.44</v>
      </c>
      <c r="JA194">
        <v>120.27</v>
      </c>
      <c r="JB194">
        <v>120.89</v>
      </c>
      <c r="JC194">
        <v>121.97</v>
      </c>
      <c r="JG194">
        <v>124</v>
      </c>
      <c r="JH194">
        <v>125.01</v>
      </c>
      <c r="JI194">
        <v>125.39</v>
      </c>
      <c r="JJ194">
        <v>126.15</v>
      </c>
      <c r="JP194">
        <v>128.71</v>
      </c>
      <c r="JQ194">
        <v>129.31</v>
      </c>
      <c r="JU194">
        <v>130.5</v>
      </c>
      <c r="JV194">
        <v>130.91</v>
      </c>
      <c r="JW194">
        <v>131.43</v>
      </c>
      <c r="JX194">
        <v>131.91999999999999</v>
      </c>
      <c r="KB194">
        <v>132.80000000000001</v>
      </c>
      <c r="KC194">
        <v>133.19</v>
      </c>
      <c r="KD194">
        <v>133.55000000000001</v>
      </c>
      <c r="KE194">
        <v>133.93</v>
      </c>
      <c r="KI194">
        <v>134.88</v>
      </c>
      <c r="KJ194">
        <v>135.13999999999999</v>
      </c>
      <c r="KK194">
        <v>135.33000000000001</v>
      </c>
      <c r="KL194">
        <v>135.68</v>
      </c>
      <c r="KR194">
        <v>137.13999999999999</v>
      </c>
      <c r="KS194">
        <v>137.44999999999999</v>
      </c>
      <c r="KW194">
        <v>138.08000000000001</v>
      </c>
      <c r="KX194">
        <v>138.44999999999999</v>
      </c>
      <c r="KY194">
        <v>138.81</v>
      </c>
      <c r="KZ194">
        <v>139.19999999999999</v>
      </c>
      <c r="LD194">
        <v>140.04</v>
      </c>
      <c r="LE194">
        <v>140.27000000000001</v>
      </c>
      <c r="LF194">
        <v>140.68</v>
      </c>
      <c r="LG194">
        <v>141.09</v>
      </c>
      <c r="LK194">
        <v>141.88</v>
      </c>
      <c r="LL194">
        <v>142.16</v>
      </c>
      <c r="LM194">
        <v>142.87</v>
      </c>
      <c r="LN194">
        <v>143</v>
      </c>
      <c r="LR194">
        <v>143.88</v>
      </c>
      <c r="LS194">
        <v>144.09</v>
      </c>
      <c r="LT194">
        <v>144.38</v>
      </c>
      <c r="LU194">
        <v>144.66</v>
      </c>
      <c r="LY194">
        <v>145.28</v>
      </c>
      <c r="LZ194">
        <v>145.58000000000001</v>
      </c>
      <c r="MA194">
        <v>146.05000000000001</v>
      </c>
      <c r="MB194">
        <v>146.63999999999999</v>
      </c>
      <c r="MF194">
        <v>148.11000000000001</v>
      </c>
      <c r="MG194">
        <v>148.61000000000001</v>
      </c>
      <c r="MH194">
        <v>149.33000000000001</v>
      </c>
      <c r="MI194">
        <v>150.1</v>
      </c>
      <c r="MM194">
        <v>151.84</v>
      </c>
      <c r="MN194">
        <v>152.47</v>
      </c>
      <c r="MO194">
        <v>153.19</v>
      </c>
      <c r="MP194">
        <v>153.97999999999999</v>
      </c>
      <c r="MT194">
        <v>155.78</v>
      </c>
      <c r="MU194">
        <v>156.44</v>
      </c>
      <c r="MV194">
        <v>157.38</v>
      </c>
      <c r="MW194">
        <v>158.44</v>
      </c>
      <c r="NA194">
        <v>160.36000000000001</v>
      </c>
      <c r="NB194">
        <v>161.09</v>
      </c>
      <c r="NC194">
        <v>161.97999999999999</v>
      </c>
      <c r="ND194">
        <v>163.22999999999999</v>
      </c>
      <c r="NH194">
        <v>165.02</v>
      </c>
      <c r="NI194">
        <v>165.74</v>
      </c>
      <c r="NJ194">
        <v>166.73</v>
      </c>
      <c r="NK194">
        <v>167.81</v>
      </c>
      <c r="NO194">
        <v>170.11</v>
      </c>
      <c r="NQ194">
        <v>171.28</v>
      </c>
      <c r="NV194">
        <v>172.41</v>
      </c>
      <c r="NX194">
        <v>173.25</v>
      </c>
      <c r="OC194">
        <v>174.11</v>
      </c>
      <c r="OD194">
        <v>174.64</v>
      </c>
      <c r="OF194">
        <v>176.05</v>
      </c>
      <c r="OJ194">
        <v>176.82</v>
      </c>
      <c r="OK194">
        <v>177.38</v>
      </c>
      <c r="OL194">
        <v>178.18</v>
      </c>
      <c r="OM194">
        <v>179.14</v>
      </c>
      <c r="OQ194">
        <v>181.4</v>
      </c>
      <c r="OR194">
        <v>182.11</v>
      </c>
      <c r="OS194">
        <v>183.19</v>
      </c>
      <c r="OT194">
        <v>184.28</v>
      </c>
      <c r="OX194">
        <v>186.74</v>
      </c>
      <c r="OY194">
        <v>187.54</v>
      </c>
      <c r="OZ194">
        <v>188.52</v>
      </c>
      <c r="PE194">
        <v>191.44</v>
      </c>
      <c r="PF194">
        <v>192.02</v>
      </c>
      <c r="PH194">
        <v>193.64</v>
      </c>
      <c r="PL194">
        <v>195.25</v>
      </c>
      <c r="PM194">
        <v>195.84</v>
      </c>
      <c r="PN194">
        <v>196.49</v>
      </c>
      <c r="PO194">
        <v>197.08</v>
      </c>
      <c r="PS194">
        <v>198.28</v>
      </c>
      <c r="PT194">
        <v>198.6</v>
      </c>
      <c r="PU194">
        <v>199.01</v>
      </c>
      <c r="PV194">
        <v>199.5</v>
      </c>
      <c r="PZ194">
        <v>200.3</v>
      </c>
      <c r="QB194">
        <v>200.78</v>
      </c>
      <c r="QC194">
        <v>201.08</v>
      </c>
      <c r="QG194">
        <v>201.56</v>
      </c>
      <c r="QH194">
        <v>201.73</v>
      </c>
      <c r="QI194">
        <v>202.69</v>
      </c>
      <c r="QJ194">
        <v>202.98</v>
      </c>
      <c r="QN194">
        <v>203.5</v>
      </c>
      <c r="QO194">
        <v>203.86</v>
      </c>
      <c r="QP194">
        <v>204.02</v>
      </c>
      <c r="QQ194">
        <v>204.3</v>
      </c>
      <c r="QU194">
        <v>204.87</v>
      </c>
      <c r="QV194">
        <v>205.09</v>
      </c>
      <c r="QW194">
        <v>205.38</v>
      </c>
      <c r="QX194">
        <v>205.8</v>
      </c>
      <c r="RB194">
        <v>206.5</v>
      </c>
      <c r="RC194">
        <v>206.69</v>
      </c>
      <c r="RD194">
        <v>206.95</v>
      </c>
      <c r="RE194">
        <v>207.22</v>
      </c>
      <c r="RK194">
        <v>208.06</v>
      </c>
      <c r="RP194">
        <v>209.12</v>
      </c>
      <c r="RU194">
        <v>211.53</v>
      </c>
      <c r="RZ194">
        <v>212.91</v>
      </c>
      <c r="SG194">
        <v>215.22</v>
      </c>
      <c r="SU194">
        <v>218.81</v>
      </c>
      <c r="TP194">
        <v>221.76</v>
      </c>
      <c r="TW194">
        <v>222.27</v>
      </c>
      <c r="UD194">
        <v>222.74</v>
      </c>
      <c r="WG194">
        <v>218.27</v>
      </c>
      <c r="WN194">
        <v>218.43</v>
      </c>
      <c r="WU194">
        <v>218.6</v>
      </c>
      <c r="XB194">
        <v>218.85</v>
      </c>
      <c r="XI194">
        <v>219.46</v>
      </c>
      <c r="YD194">
        <v>230.12</v>
      </c>
      <c r="YJ194">
        <v>232</v>
      </c>
      <c r="YY194">
        <v>235.97</v>
      </c>
      <c r="ZF194">
        <v>235.43</v>
      </c>
      <c r="ACV194">
        <v>242.99</v>
      </c>
      <c r="ADJ194">
        <v>243.19</v>
      </c>
    </row>
    <row r="195" spans="1:812">
      <c r="A195" s="1" t="s">
        <v>84</v>
      </c>
      <c r="B195" t="s">
        <v>293</v>
      </c>
      <c r="AV195">
        <v>2.2799999999999998</v>
      </c>
      <c r="AW195">
        <v>2.38</v>
      </c>
      <c r="AX195">
        <v>2.4900000000000002</v>
      </c>
      <c r="AY195">
        <v>2.99</v>
      </c>
      <c r="AZ195">
        <v>3.12</v>
      </c>
      <c r="BA195">
        <v>3.23</v>
      </c>
      <c r="BB195">
        <v>3.24</v>
      </c>
      <c r="BC195">
        <v>3.63</v>
      </c>
      <c r="BD195">
        <v>3.73</v>
      </c>
      <c r="BE195">
        <v>3.84</v>
      </c>
      <c r="BF195">
        <v>4.28</v>
      </c>
      <c r="BG195">
        <v>4.4000000000000004</v>
      </c>
      <c r="BH195">
        <v>4.5199999999999996</v>
      </c>
      <c r="BI195">
        <v>4.53</v>
      </c>
      <c r="BJ195">
        <v>4.7699999999999996</v>
      </c>
      <c r="BK195">
        <v>4.9000000000000004</v>
      </c>
      <c r="BL195">
        <v>5.03</v>
      </c>
      <c r="BM195">
        <v>5.57</v>
      </c>
      <c r="BN195">
        <v>5.72</v>
      </c>
      <c r="BO195">
        <v>5.87</v>
      </c>
      <c r="BP195">
        <v>5.9</v>
      </c>
      <c r="BQ195">
        <v>6.27</v>
      </c>
      <c r="BR195">
        <v>6.41</v>
      </c>
      <c r="BS195">
        <v>6.58</v>
      </c>
      <c r="BT195">
        <v>7.07</v>
      </c>
      <c r="BU195">
        <v>7.26</v>
      </c>
      <c r="BV195">
        <v>7.41</v>
      </c>
      <c r="BW195">
        <v>7.44</v>
      </c>
      <c r="BX195">
        <v>7.79</v>
      </c>
      <c r="BY195">
        <v>7.92</v>
      </c>
      <c r="BZ195">
        <v>8.07</v>
      </c>
      <c r="CA195">
        <v>8.66</v>
      </c>
      <c r="CB195">
        <v>8.8000000000000007</v>
      </c>
      <c r="CC195">
        <v>8.94</v>
      </c>
      <c r="CD195">
        <v>8.9499999999999993</v>
      </c>
      <c r="CE195">
        <v>9.32</v>
      </c>
      <c r="CF195">
        <v>9.48</v>
      </c>
      <c r="CG195">
        <v>9.64</v>
      </c>
      <c r="CH195">
        <v>10.23</v>
      </c>
      <c r="CI195">
        <v>10.42</v>
      </c>
      <c r="CJ195">
        <v>10.58</v>
      </c>
      <c r="CK195">
        <v>10.6</v>
      </c>
      <c r="CL195">
        <v>11</v>
      </c>
      <c r="CM195">
        <v>11.14</v>
      </c>
      <c r="CN195">
        <v>11.31</v>
      </c>
      <c r="CO195">
        <v>12</v>
      </c>
      <c r="CP195">
        <v>12.17</v>
      </c>
      <c r="CQ195">
        <v>12.34</v>
      </c>
      <c r="CR195">
        <v>12.37</v>
      </c>
      <c r="CS195">
        <v>12.73</v>
      </c>
      <c r="CT195">
        <v>12.89</v>
      </c>
      <c r="CU195">
        <v>13.08</v>
      </c>
      <c r="CV195">
        <v>13.63</v>
      </c>
      <c r="CW195">
        <v>13.83</v>
      </c>
      <c r="CX195">
        <v>14.01</v>
      </c>
      <c r="CY195">
        <v>14.03</v>
      </c>
      <c r="CZ195">
        <v>14.45</v>
      </c>
      <c r="DA195">
        <v>14.63</v>
      </c>
      <c r="DB195">
        <v>14.85</v>
      </c>
      <c r="DC195">
        <v>15.54</v>
      </c>
      <c r="DD195">
        <v>15.79</v>
      </c>
      <c r="DE195">
        <v>16.010000000000002</v>
      </c>
      <c r="DF195">
        <v>16.04</v>
      </c>
      <c r="DG195">
        <v>16.559999999999999</v>
      </c>
      <c r="DH195">
        <v>16.78</v>
      </c>
      <c r="DI195">
        <v>17.04</v>
      </c>
      <c r="DJ195">
        <v>17.77</v>
      </c>
      <c r="DK195">
        <v>18.3</v>
      </c>
      <c r="DL195">
        <v>18.41</v>
      </c>
      <c r="DM195">
        <v>18.48</v>
      </c>
      <c r="DN195">
        <v>18.52</v>
      </c>
      <c r="DO195">
        <v>18.59</v>
      </c>
      <c r="DP195">
        <v>19.010000000000002</v>
      </c>
      <c r="DQ195">
        <v>19.55</v>
      </c>
      <c r="DR195">
        <v>20.11</v>
      </c>
      <c r="DS195">
        <v>20.62</v>
      </c>
      <c r="DT195">
        <v>20.79</v>
      </c>
      <c r="DU195">
        <v>20.88</v>
      </c>
      <c r="DV195">
        <v>21.37</v>
      </c>
      <c r="DW195">
        <v>21.95</v>
      </c>
      <c r="DX195">
        <v>22.65</v>
      </c>
      <c r="DY195">
        <v>23.27</v>
      </c>
      <c r="DZ195">
        <v>23.86</v>
      </c>
      <c r="EA195">
        <v>24.06</v>
      </c>
      <c r="EB195">
        <v>24.17</v>
      </c>
      <c r="EC195">
        <v>24.75</v>
      </c>
      <c r="ED195">
        <v>25.45</v>
      </c>
      <c r="EE195">
        <v>26.32</v>
      </c>
      <c r="EF195">
        <v>27.11</v>
      </c>
      <c r="EG195">
        <v>27.83</v>
      </c>
      <c r="EH195">
        <v>28.13</v>
      </c>
      <c r="EI195">
        <v>28.32</v>
      </c>
      <c r="EJ195">
        <v>28.94</v>
      </c>
      <c r="EK195">
        <v>29.74</v>
      </c>
      <c r="EL195">
        <v>30.66</v>
      </c>
      <c r="EM195">
        <v>31.44</v>
      </c>
      <c r="EN195">
        <v>32.130000000000003</v>
      </c>
      <c r="EO195">
        <v>32.92</v>
      </c>
      <c r="EP195">
        <v>33.07</v>
      </c>
      <c r="EQ195">
        <v>33.770000000000003</v>
      </c>
      <c r="ER195">
        <v>34.64</v>
      </c>
      <c r="ES195">
        <v>35.56</v>
      </c>
      <c r="ET195">
        <v>36.6</v>
      </c>
      <c r="EU195">
        <v>37.58</v>
      </c>
      <c r="EV195">
        <v>38.04</v>
      </c>
      <c r="EW195">
        <v>38.25</v>
      </c>
      <c r="EX195">
        <v>39.18</v>
      </c>
      <c r="EY195">
        <v>40.29</v>
      </c>
      <c r="EZ195">
        <v>41.43</v>
      </c>
      <c r="FA195">
        <v>41.96</v>
      </c>
      <c r="FB195">
        <v>42.9</v>
      </c>
      <c r="FC195">
        <v>43.41</v>
      </c>
      <c r="FD195">
        <v>43.64</v>
      </c>
      <c r="FE195">
        <v>44.61</v>
      </c>
      <c r="FF195">
        <v>45.76</v>
      </c>
      <c r="FG195">
        <v>46.97</v>
      </c>
      <c r="FH195">
        <v>48.23</v>
      </c>
      <c r="FI195">
        <v>49.4</v>
      </c>
      <c r="FJ195">
        <v>49.96</v>
      </c>
      <c r="FK195">
        <v>50.18</v>
      </c>
      <c r="FL195">
        <v>50.76</v>
      </c>
      <c r="FM195">
        <v>51.93</v>
      </c>
      <c r="FN195">
        <v>53.17</v>
      </c>
      <c r="FO195">
        <v>54.41</v>
      </c>
      <c r="FP195">
        <v>55.62</v>
      </c>
      <c r="FQ195">
        <v>56.25</v>
      </c>
      <c r="FR195">
        <v>56.54</v>
      </c>
      <c r="FS195">
        <v>57.61</v>
      </c>
      <c r="FT195">
        <v>58.86</v>
      </c>
      <c r="FU195">
        <v>60.18</v>
      </c>
      <c r="FV195">
        <v>61.36</v>
      </c>
      <c r="FW195">
        <v>62.64</v>
      </c>
      <c r="FX195">
        <v>63.49</v>
      </c>
      <c r="FY195">
        <v>63.81</v>
      </c>
      <c r="FZ195">
        <v>64.98</v>
      </c>
      <c r="GA195">
        <v>66.27</v>
      </c>
      <c r="GB195">
        <v>67.58</v>
      </c>
      <c r="GC195">
        <v>68.790000000000006</v>
      </c>
      <c r="GD195">
        <v>70.03</v>
      </c>
      <c r="GE195">
        <v>70.849999999999994</v>
      </c>
      <c r="GF195">
        <v>71.16</v>
      </c>
      <c r="GG195">
        <v>72.290000000000006</v>
      </c>
      <c r="GH195">
        <v>73.48</v>
      </c>
      <c r="GI195">
        <v>74.680000000000007</v>
      </c>
      <c r="GJ195">
        <v>75.900000000000006</v>
      </c>
      <c r="GK195">
        <v>77.08</v>
      </c>
      <c r="GL195">
        <v>77.81</v>
      </c>
      <c r="GM195">
        <v>78.06</v>
      </c>
      <c r="GN195">
        <v>79.069999999999993</v>
      </c>
      <c r="GO195">
        <v>80.13</v>
      </c>
      <c r="GP195">
        <v>81.17</v>
      </c>
      <c r="GQ195">
        <v>82.17</v>
      </c>
      <c r="GR195">
        <v>83.17</v>
      </c>
      <c r="GS195">
        <v>83.76</v>
      </c>
      <c r="GT195">
        <v>83.97</v>
      </c>
      <c r="GU195">
        <v>84.82</v>
      </c>
      <c r="GV195">
        <v>85.73</v>
      </c>
      <c r="GW195">
        <v>86.69</v>
      </c>
      <c r="GX195">
        <v>87.83</v>
      </c>
      <c r="GY195">
        <v>88.68</v>
      </c>
      <c r="GZ195">
        <v>89.23</v>
      </c>
      <c r="HA195">
        <v>89.4</v>
      </c>
      <c r="HB195">
        <v>90.23</v>
      </c>
      <c r="HC195">
        <v>91.07</v>
      </c>
      <c r="HD195">
        <v>91.88</v>
      </c>
      <c r="HE195">
        <v>92.71</v>
      </c>
      <c r="HF195">
        <v>93.52</v>
      </c>
      <c r="HG195">
        <v>94.01</v>
      </c>
      <c r="HH195">
        <v>94.14</v>
      </c>
      <c r="HI195">
        <v>94.94</v>
      </c>
      <c r="HJ195">
        <v>95.73</v>
      </c>
      <c r="HK195">
        <v>96.45</v>
      </c>
      <c r="HL195">
        <v>97.15</v>
      </c>
      <c r="HM195">
        <v>97.85</v>
      </c>
      <c r="HN195">
        <v>98.23</v>
      </c>
      <c r="HO195">
        <v>98.32</v>
      </c>
      <c r="HP195">
        <v>99.06</v>
      </c>
      <c r="HQ195">
        <v>99.7</v>
      </c>
      <c r="HR195">
        <v>100.27</v>
      </c>
      <c r="HS195">
        <v>100.78</v>
      </c>
      <c r="HT195">
        <v>101.34</v>
      </c>
      <c r="HU195">
        <v>101.63</v>
      </c>
      <c r="HV195">
        <v>101.72</v>
      </c>
      <c r="HW195">
        <v>102.21</v>
      </c>
      <c r="HX195">
        <v>102.62</v>
      </c>
      <c r="HY195">
        <v>102.99</v>
      </c>
      <c r="HZ195">
        <v>103.34</v>
      </c>
      <c r="IA195">
        <v>103.71</v>
      </c>
      <c r="IB195">
        <v>103.84</v>
      </c>
      <c r="IC195">
        <v>103.93</v>
      </c>
      <c r="ID195">
        <v>104.18</v>
      </c>
      <c r="IE195">
        <v>104.49</v>
      </c>
      <c r="IF195">
        <v>104.77</v>
      </c>
      <c r="IG195">
        <v>105.06</v>
      </c>
      <c r="IH195">
        <v>105.38</v>
      </c>
      <c r="II195">
        <v>105.48</v>
      </c>
      <c r="IJ195">
        <v>105.49</v>
      </c>
      <c r="IK195">
        <v>105.74</v>
      </c>
      <c r="IL195">
        <v>106</v>
      </c>
      <c r="IM195">
        <v>106.28</v>
      </c>
      <c r="IN195">
        <v>106.57</v>
      </c>
      <c r="IO195">
        <v>106.89</v>
      </c>
      <c r="IP195">
        <v>107.01</v>
      </c>
      <c r="IQ195">
        <v>107.01</v>
      </c>
      <c r="IR195">
        <v>107.26</v>
      </c>
      <c r="IS195">
        <v>107.53</v>
      </c>
      <c r="IT195">
        <v>107.83</v>
      </c>
      <c r="IU195">
        <v>108.12</v>
      </c>
      <c r="IV195">
        <v>107.77</v>
      </c>
      <c r="IW195">
        <v>107.91</v>
      </c>
      <c r="IX195">
        <v>107.92</v>
      </c>
      <c r="IY195">
        <v>108.17</v>
      </c>
      <c r="IZ195">
        <v>108.45</v>
      </c>
      <c r="JA195">
        <v>108.77</v>
      </c>
      <c r="JB195">
        <v>109.1</v>
      </c>
      <c r="JE195">
        <v>109.78</v>
      </c>
      <c r="JF195">
        <v>110.04</v>
      </c>
      <c r="JG195">
        <v>110.31</v>
      </c>
      <c r="JI195">
        <v>110.95</v>
      </c>
      <c r="JM195">
        <v>111.82</v>
      </c>
      <c r="JN195">
        <v>112.09</v>
      </c>
      <c r="JS195">
        <v>113.71</v>
      </c>
      <c r="JT195">
        <v>114.09</v>
      </c>
      <c r="JU195">
        <v>114.49</v>
      </c>
      <c r="JV195">
        <v>114.98</v>
      </c>
      <c r="JW195">
        <v>115.37</v>
      </c>
      <c r="JZ195">
        <v>116.24</v>
      </c>
      <c r="KA195">
        <v>116.56</v>
      </c>
      <c r="KB195">
        <v>116.92</v>
      </c>
      <c r="KC195">
        <v>117.42</v>
      </c>
      <c r="KD195">
        <v>117.81</v>
      </c>
      <c r="KE195">
        <v>118.23</v>
      </c>
      <c r="KF195">
        <v>118.49</v>
      </c>
      <c r="KG195">
        <v>118.53</v>
      </c>
      <c r="KI195">
        <v>119.14</v>
      </c>
      <c r="LF195">
        <v>125.45</v>
      </c>
      <c r="MK195">
        <v>132.62</v>
      </c>
      <c r="ML195">
        <v>133.26</v>
      </c>
      <c r="MM195">
        <v>133.82</v>
      </c>
      <c r="MU195">
        <v>137.5</v>
      </c>
      <c r="NG195">
        <v>145.85</v>
      </c>
      <c r="NH195">
        <v>146.82</v>
      </c>
      <c r="OE195">
        <v>162.66999999999999</v>
      </c>
      <c r="PZ195">
        <v>178.32</v>
      </c>
      <c r="QB195">
        <v>178.45</v>
      </c>
      <c r="QF195">
        <v>178.6</v>
      </c>
      <c r="QH195">
        <v>178.68</v>
      </c>
      <c r="QO195">
        <v>178.9</v>
      </c>
      <c r="QP195">
        <v>178.92</v>
      </c>
      <c r="QS195">
        <v>178.99</v>
      </c>
      <c r="QU195">
        <v>179.03</v>
      </c>
      <c r="QV195">
        <v>179.08</v>
      </c>
      <c r="RR195">
        <v>179.65</v>
      </c>
      <c r="RW195">
        <v>179.73</v>
      </c>
      <c r="TF195">
        <v>180.29</v>
      </c>
      <c r="TM195">
        <v>180.37</v>
      </c>
      <c r="UH195">
        <v>180.69</v>
      </c>
      <c r="UT195">
        <v>180.95</v>
      </c>
      <c r="UV195">
        <v>180.97</v>
      </c>
      <c r="VB195">
        <v>181.67</v>
      </c>
      <c r="VC195">
        <v>181.71</v>
      </c>
      <c r="VJ195">
        <v>182.11</v>
      </c>
      <c r="VQ195">
        <v>182.49</v>
      </c>
      <c r="VW195">
        <v>182.8</v>
      </c>
      <c r="ZC195">
        <v>187.37</v>
      </c>
      <c r="ZJ195">
        <v>187.63</v>
      </c>
      <c r="ZX195">
        <v>189.84</v>
      </c>
      <c r="AAA195">
        <v>190.3</v>
      </c>
      <c r="AAB195">
        <v>190.46</v>
      </c>
      <c r="AAC195">
        <v>190.51</v>
      </c>
      <c r="AAD195">
        <v>190.51</v>
      </c>
      <c r="AAE195">
        <v>190.62</v>
      </c>
      <c r="AAL195">
        <v>191.41</v>
      </c>
      <c r="AAZ195">
        <v>192.4</v>
      </c>
      <c r="ABG195">
        <v>192.82</v>
      </c>
      <c r="ABH195">
        <v>192.87</v>
      </c>
      <c r="ABI195">
        <v>192.93</v>
      </c>
      <c r="ABJ195">
        <v>192.96</v>
      </c>
      <c r="ABK195">
        <v>192.98</v>
      </c>
      <c r="ABL195">
        <v>192.98</v>
      </c>
      <c r="ABM195">
        <v>192.98</v>
      </c>
      <c r="ABN195">
        <v>192.98</v>
      </c>
      <c r="ABO195">
        <v>192.99</v>
      </c>
      <c r="ABT195">
        <v>193.06</v>
      </c>
      <c r="ABU195">
        <v>193.07</v>
      </c>
      <c r="ABV195">
        <v>193.08</v>
      </c>
      <c r="ABW195">
        <v>193.11</v>
      </c>
      <c r="ACI195">
        <v>193.34</v>
      </c>
      <c r="ACP195">
        <v>193.45</v>
      </c>
      <c r="ACQ195">
        <v>193.46</v>
      </c>
      <c r="ACR195">
        <v>193.48</v>
      </c>
      <c r="ACS195">
        <v>193.49</v>
      </c>
      <c r="ACT195">
        <v>193.51</v>
      </c>
      <c r="ACU195">
        <v>193.51</v>
      </c>
      <c r="ACV195">
        <v>193.51</v>
      </c>
      <c r="ACW195">
        <v>193.52</v>
      </c>
      <c r="ADD195">
        <v>193.58</v>
      </c>
      <c r="ADE195">
        <v>193.59</v>
      </c>
      <c r="ADF195">
        <v>193.6</v>
      </c>
      <c r="ADG195">
        <v>193.6</v>
      </c>
      <c r="ADH195">
        <v>193.61</v>
      </c>
      <c r="ADI195">
        <v>193.61</v>
      </c>
      <c r="ADJ195">
        <v>193.61</v>
      </c>
      <c r="ADK195">
        <v>193.62</v>
      </c>
      <c r="ADR195">
        <v>193.65</v>
      </c>
    </row>
    <row r="196" spans="1:812">
      <c r="A196" s="1" t="s">
        <v>175</v>
      </c>
      <c r="B196" t="s">
        <v>370</v>
      </c>
      <c r="CF196">
        <v>0</v>
      </c>
      <c r="DR196">
        <v>0.01</v>
      </c>
      <c r="FO196">
        <v>0.14000000000000001</v>
      </c>
      <c r="FY196">
        <v>0.41</v>
      </c>
      <c r="GN196">
        <v>0.62</v>
      </c>
      <c r="HF196">
        <v>0.75</v>
      </c>
      <c r="IK196">
        <v>2.0299999999999998</v>
      </c>
      <c r="IX196">
        <v>2.13</v>
      </c>
      <c r="ME196">
        <v>7.34</v>
      </c>
      <c r="ABH196">
        <v>22.33</v>
      </c>
      <c r="ACI196">
        <v>22.47</v>
      </c>
    </row>
    <row r="197" spans="1:812">
      <c r="A197" s="1" t="s">
        <v>183</v>
      </c>
      <c r="B197" t="s">
        <v>371</v>
      </c>
      <c r="CZ197">
        <v>0</v>
      </c>
      <c r="DA197">
        <v>0.01</v>
      </c>
      <c r="DB197">
        <v>0.01</v>
      </c>
      <c r="DC197">
        <v>0.02</v>
      </c>
      <c r="DD197">
        <v>0.03</v>
      </c>
      <c r="DE197">
        <v>0.04</v>
      </c>
      <c r="DF197">
        <v>0.04</v>
      </c>
      <c r="DG197">
        <v>0.04</v>
      </c>
      <c r="DH197">
        <v>0.05</v>
      </c>
      <c r="DI197">
        <v>0.05</v>
      </c>
      <c r="DJ197">
        <v>0.06</v>
      </c>
      <c r="DK197">
        <v>7.0000000000000007E-2</v>
      </c>
      <c r="DL197">
        <v>7.0000000000000007E-2</v>
      </c>
      <c r="DM197">
        <v>7.0000000000000007E-2</v>
      </c>
      <c r="DN197">
        <v>7.0000000000000007E-2</v>
      </c>
      <c r="DO197">
        <v>7.0000000000000007E-2</v>
      </c>
      <c r="DP197">
        <v>0.08</v>
      </c>
      <c r="DQ197">
        <v>0.08</v>
      </c>
      <c r="DR197">
        <v>0.09</v>
      </c>
      <c r="DS197">
        <v>0.1</v>
      </c>
      <c r="DT197">
        <v>0.1</v>
      </c>
      <c r="DU197">
        <v>0.1</v>
      </c>
      <c r="DV197">
        <v>0.11</v>
      </c>
      <c r="DW197">
        <v>0.11</v>
      </c>
      <c r="DX197">
        <v>0.12</v>
      </c>
      <c r="DY197">
        <v>0.13</v>
      </c>
      <c r="DZ197">
        <v>0.14000000000000001</v>
      </c>
      <c r="EA197">
        <v>0.14000000000000001</v>
      </c>
      <c r="ED197">
        <v>0.14000000000000001</v>
      </c>
      <c r="EE197">
        <v>0.15</v>
      </c>
      <c r="EF197">
        <v>0.16</v>
      </c>
      <c r="EG197">
        <v>0.18</v>
      </c>
      <c r="EH197">
        <v>0.18</v>
      </c>
      <c r="EJ197">
        <v>0.19</v>
      </c>
      <c r="EK197">
        <v>0.2</v>
      </c>
      <c r="EL197">
        <v>0.21</v>
      </c>
      <c r="EM197">
        <v>0.23</v>
      </c>
      <c r="EN197">
        <v>0.24</v>
      </c>
      <c r="EP197">
        <v>0.24</v>
      </c>
      <c r="EQ197">
        <v>0.26</v>
      </c>
      <c r="ER197">
        <v>0.28999999999999998</v>
      </c>
      <c r="ES197">
        <v>0.31</v>
      </c>
      <c r="ET197">
        <v>0.34</v>
      </c>
      <c r="EU197">
        <v>0.38</v>
      </c>
      <c r="EW197">
        <v>0.39</v>
      </c>
      <c r="EY197">
        <v>0.47</v>
      </c>
      <c r="EZ197">
        <v>0.54</v>
      </c>
      <c r="FA197">
        <v>0.64</v>
      </c>
      <c r="FB197">
        <v>0.78</v>
      </c>
      <c r="FD197">
        <v>0.82</v>
      </c>
      <c r="FE197">
        <v>0.93</v>
      </c>
      <c r="FF197">
        <v>1.03</v>
      </c>
      <c r="FG197">
        <v>1.1100000000000001</v>
      </c>
      <c r="FH197">
        <v>1.18</v>
      </c>
      <c r="FI197">
        <v>1.26</v>
      </c>
      <c r="FK197">
        <v>1.27</v>
      </c>
      <c r="FL197">
        <v>1.31</v>
      </c>
      <c r="FM197">
        <v>1.34</v>
      </c>
      <c r="FU197">
        <v>2.36</v>
      </c>
      <c r="FV197">
        <v>2.62</v>
      </c>
      <c r="FW197">
        <v>2.85</v>
      </c>
      <c r="FY197">
        <v>2.94</v>
      </c>
      <c r="FZ197">
        <v>3.04</v>
      </c>
      <c r="GA197">
        <v>3.12</v>
      </c>
      <c r="GB197">
        <v>3.19</v>
      </c>
      <c r="GC197">
        <v>3.28</v>
      </c>
      <c r="GD197">
        <v>3.36</v>
      </c>
      <c r="GG197">
        <v>3.59</v>
      </c>
      <c r="GH197">
        <v>4.24</v>
      </c>
      <c r="GI197">
        <v>4.95</v>
      </c>
      <c r="GJ197">
        <v>5.55</v>
      </c>
      <c r="GK197">
        <v>6</v>
      </c>
      <c r="GM197">
        <v>6.47</v>
      </c>
      <c r="GN197">
        <v>6.79</v>
      </c>
      <c r="GO197">
        <v>7.06</v>
      </c>
      <c r="GP197">
        <v>7.33</v>
      </c>
      <c r="GQ197">
        <v>7.71</v>
      </c>
      <c r="GR197">
        <v>8</v>
      </c>
      <c r="GT197">
        <v>8.09</v>
      </c>
      <c r="GU197">
        <v>8.25</v>
      </c>
      <c r="GV197">
        <v>8.41</v>
      </c>
      <c r="GW197">
        <v>8.58</v>
      </c>
      <c r="GX197">
        <v>8.77</v>
      </c>
      <c r="GY197">
        <v>9.57</v>
      </c>
      <c r="HA197">
        <v>10.58</v>
      </c>
      <c r="HB197">
        <v>11.04</v>
      </c>
      <c r="HC197">
        <v>11.51</v>
      </c>
      <c r="HD197">
        <v>12.18</v>
      </c>
      <c r="HE197">
        <v>13.1</v>
      </c>
      <c r="HF197">
        <v>14.1</v>
      </c>
      <c r="HH197">
        <v>14.97</v>
      </c>
      <c r="HI197">
        <v>16.05</v>
      </c>
      <c r="HJ197">
        <v>17.149999999999999</v>
      </c>
      <c r="HK197">
        <v>18.21</v>
      </c>
      <c r="HL197">
        <v>19.329999999999998</v>
      </c>
      <c r="HM197">
        <v>20.64</v>
      </c>
      <c r="HO197">
        <v>21.81</v>
      </c>
      <c r="HP197">
        <v>22.76</v>
      </c>
      <c r="HQ197">
        <v>23.83</v>
      </c>
      <c r="HR197">
        <v>24.75</v>
      </c>
      <c r="HS197">
        <v>25.44</v>
      </c>
      <c r="HT197">
        <v>26.65</v>
      </c>
      <c r="HV197">
        <v>28.02</v>
      </c>
      <c r="HW197">
        <v>29.45</v>
      </c>
      <c r="HX197">
        <v>30.73</v>
      </c>
      <c r="HY197">
        <v>31.86</v>
      </c>
      <c r="HZ197">
        <v>32.86</v>
      </c>
      <c r="IA197">
        <v>33.96</v>
      </c>
      <c r="IC197">
        <v>34.72</v>
      </c>
      <c r="ID197">
        <v>35.29</v>
      </c>
      <c r="IE197">
        <v>35.69</v>
      </c>
      <c r="IF197">
        <v>36.14</v>
      </c>
      <c r="IG197">
        <v>37.26</v>
      </c>
      <c r="IH197">
        <v>38.44</v>
      </c>
      <c r="IJ197">
        <v>38.549999999999997</v>
      </c>
      <c r="IK197">
        <v>38.75</v>
      </c>
      <c r="IL197">
        <v>38.9</v>
      </c>
      <c r="IM197">
        <v>39.61</v>
      </c>
      <c r="IN197">
        <v>40.32</v>
      </c>
      <c r="IO197">
        <v>40.93</v>
      </c>
      <c r="IQ197">
        <v>41.25</v>
      </c>
      <c r="IR197">
        <v>41.51</v>
      </c>
      <c r="IS197">
        <v>41.78</v>
      </c>
      <c r="IT197">
        <v>41.93</v>
      </c>
      <c r="IU197">
        <v>42.05</v>
      </c>
      <c r="IV197">
        <v>42.16</v>
      </c>
      <c r="IX197">
        <v>42.2</v>
      </c>
      <c r="IY197">
        <v>42.96</v>
      </c>
      <c r="IZ197">
        <v>43.62</v>
      </c>
      <c r="JA197">
        <v>44</v>
      </c>
      <c r="JB197">
        <v>44.38</v>
      </c>
      <c r="JC197">
        <v>45.19</v>
      </c>
      <c r="JE197">
        <v>45.63</v>
      </c>
      <c r="JF197">
        <v>45.81</v>
      </c>
      <c r="JG197">
        <v>45.94</v>
      </c>
      <c r="JH197">
        <v>46.04</v>
      </c>
      <c r="JI197">
        <v>46.13</v>
      </c>
      <c r="JJ197">
        <v>47.13</v>
      </c>
      <c r="JL197">
        <v>47.71</v>
      </c>
      <c r="JM197">
        <v>48.02</v>
      </c>
      <c r="JN197">
        <v>48.41</v>
      </c>
      <c r="JO197">
        <v>48.88</v>
      </c>
      <c r="JP197">
        <v>50.14</v>
      </c>
      <c r="JQ197">
        <v>51.57</v>
      </c>
      <c r="JS197">
        <v>52.25</v>
      </c>
      <c r="JT197">
        <v>52.35</v>
      </c>
      <c r="JU197">
        <v>52.42</v>
      </c>
      <c r="JV197">
        <v>53.27</v>
      </c>
      <c r="JW197">
        <v>54.24</v>
      </c>
      <c r="JX197">
        <v>55.22</v>
      </c>
      <c r="KB197">
        <v>56.2</v>
      </c>
      <c r="KC197">
        <v>56.97</v>
      </c>
      <c r="KD197">
        <v>58.09</v>
      </c>
      <c r="KE197">
        <v>59.29</v>
      </c>
      <c r="KG197">
        <v>60.49</v>
      </c>
      <c r="KH197">
        <v>61.89</v>
      </c>
      <c r="KI197">
        <v>63.26</v>
      </c>
      <c r="KJ197">
        <v>64.73</v>
      </c>
      <c r="KK197">
        <v>66.569999999999993</v>
      </c>
      <c r="KL197">
        <v>68.23</v>
      </c>
      <c r="KN197">
        <v>69.42</v>
      </c>
      <c r="KO197">
        <v>70.510000000000005</v>
      </c>
      <c r="KP197">
        <v>71.349999999999994</v>
      </c>
      <c r="KQ197">
        <v>72.180000000000007</v>
      </c>
      <c r="KR197">
        <v>73.53</v>
      </c>
      <c r="KS197">
        <v>74.98</v>
      </c>
      <c r="KV197">
        <v>76.47</v>
      </c>
      <c r="KW197">
        <v>77.540000000000006</v>
      </c>
      <c r="KX197">
        <v>78.67</v>
      </c>
      <c r="KY197">
        <v>79.760000000000005</v>
      </c>
      <c r="KZ197">
        <v>81.47</v>
      </c>
      <c r="LB197">
        <v>83.11</v>
      </c>
      <c r="LC197">
        <v>84.7</v>
      </c>
      <c r="LD197">
        <v>86.11</v>
      </c>
      <c r="LE197">
        <v>87.7</v>
      </c>
      <c r="LF197">
        <v>89.14</v>
      </c>
      <c r="LG197">
        <v>91.04</v>
      </c>
      <c r="LI197">
        <v>93.41</v>
      </c>
      <c r="LJ197">
        <v>95.51</v>
      </c>
      <c r="LK197">
        <v>97.33</v>
      </c>
      <c r="LL197">
        <v>99.09</v>
      </c>
      <c r="LM197">
        <v>100.81</v>
      </c>
      <c r="LN197">
        <v>102.62</v>
      </c>
      <c r="LP197">
        <v>104.26</v>
      </c>
      <c r="LQ197">
        <v>105.56</v>
      </c>
      <c r="LR197">
        <v>106.84</v>
      </c>
      <c r="LS197">
        <v>108.06</v>
      </c>
      <c r="LT197">
        <v>108.37</v>
      </c>
      <c r="LU197">
        <v>109.33</v>
      </c>
      <c r="LW197">
        <v>110.17</v>
      </c>
      <c r="LX197">
        <v>111.27</v>
      </c>
      <c r="LY197">
        <v>112.21</v>
      </c>
      <c r="MA197">
        <v>114.07</v>
      </c>
      <c r="MB197">
        <v>115.19</v>
      </c>
      <c r="MD197">
        <v>116.07</v>
      </c>
      <c r="ME197">
        <v>117.07</v>
      </c>
      <c r="MF197">
        <v>118.05</v>
      </c>
      <c r="MG197">
        <v>119.07</v>
      </c>
      <c r="MH197">
        <v>120.22</v>
      </c>
      <c r="MI197">
        <v>121.51</v>
      </c>
      <c r="ML197">
        <v>123.73</v>
      </c>
      <c r="MM197">
        <v>124.71</v>
      </c>
      <c r="MN197">
        <v>125.48</v>
      </c>
      <c r="MO197">
        <v>126.83</v>
      </c>
      <c r="MP197">
        <v>128.47999999999999</v>
      </c>
      <c r="MS197">
        <v>131.02000000000001</v>
      </c>
      <c r="MT197">
        <v>132.24</v>
      </c>
      <c r="MU197">
        <v>133.35</v>
      </c>
      <c r="MY197">
        <v>136.12</v>
      </c>
      <c r="NA197">
        <v>137.85</v>
      </c>
      <c r="NB197">
        <v>138.63999999999999</v>
      </c>
      <c r="NC197">
        <v>139.16999999999999</v>
      </c>
      <c r="ND197">
        <v>139.91</v>
      </c>
      <c r="NG197">
        <v>140.88</v>
      </c>
      <c r="NH197">
        <v>141.19</v>
      </c>
      <c r="NI197">
        <v>141.49</v>
      </c>
      <c r="NJ197">
        <v>141.75</v>
      </c>
      <c r="NK197">
        <v>142.16</v>
      </c>
      <c r="NN197">
        <v>142.66999999999999</v>
      </c>
      <c r="NO197">
        <v>142.91999999999999</v>
      </c>
      <c r="NP197">
        <v>143.18</v>
      </c>
      <c r="NQ197">
        <v>143.4</v>
      </c>
      <c r="NR197">
        <v>143.88</v>
      </c>
      <c r="NT197">
        <v>144.01</v>
      </c>
      <c r="NU197">
        <v>144.26</v>
      </c>
      <c r="NV197">
        <v>144.6</v>
      </c>
      <c r="NX197">
        <v>145.97999999999999</v>
      </c>
      <c r="OK197">
        <v>148.97999999999999</v>
      </c>
      <c r="OM197">
        <v>149.65</v>
      </c>
      <c r="OQ197">
        <v>160.80000000000001</v>
      </c>
      <c r="OR197">
        <v>162.76</v>
      </c>
      <c r="OS197">
        <v>164.73</v>
      </c>
      <c r="OT197">
        <v>166.82</v>
      </c>
      <c r="OV197">
        <v>168.56</v>
      </c>
      <c r="OX197">
        <v>171.69</v>
      </c>
      <c r="OY197">
        <v>173.19</v>
      </c>
      <c r="OZ197">
        <v>174.64</v>
      </c>
      <c r="PK197">
        <v>178.14</v>
      </c>
      <c r="PM197">
        <v>180.14</v>
      </c>
      <c r="PN197">
        <v>181.52</v>
      </c>
      <c r="PO197">
        <v>183.09</v>
      </c>
      <c r="PQ197">
        <v>184.24</v>
      </c>
      <c r="PR197">
        <v>185.46</v>
      </c>
      <c r="PS197">
        <v>186.69</v>
      </c>
      <c r="PT197">
        <v>188.1</v>
      </c>
      <c r="PU197">
        <v>189.43</v>
      </c>
      <c r="PV197">
        <v>190.82</v>
      </c>
      <c r="PX197">
        <v>191.89</v>
      </c>
      <c r="PY197">
        <v>192.7</v>
      </c>
      <c r="PZ197">
        <v>193.44</v>
      </c>
      <c r="QA197">
        <v>194.13</v>
      </c>
      <c r="QB197">
        <v>194.92</v>
      </c>
      <c r="QC197">
        <v>196.24</v>
      </c>
      <c r="QF197">
        <v>197.65</v>
      </c>
      <c r="QG197">
        <v>198.4</v>
      </c>
      <c r="QH197">
        <v>199.01</v>
      </c>
      <c r="QI197">
        <v>199.58</v>
      </c>
      <c r="QJ197">
        <v>200.36</v>
      </c>
      <c r="QL197">
        <v>201</v>
      </c>
      <c r="QM197">
        <v>201.5</v>
      </c>
      <c r="QN197">
        <v>201.92</v>
      </c>
      <c r="QO197">
        <v>202.29</v>
      </c>
      <c r="QP197">
        <v>202.68</v>
      </c>
      <c r="QQ197">
        <v>203.19</v>
      </c>
      <c r="QS197">
        <v>203.59</v>
      </c>
      <c r="QT197">
        <v>203.94</v>
      </c>
      <c r="QU197">
        <v>204.24</v>
      </c>
      <c r="QV197">
        <v>204.49</v>
      </c>
      <c r="QW197">
        <v>204.83</v>
      </c>
      <c r="QX197">
        <v>205.22</v>
      </c>
      <c r="QZ197">
        <v>205.51</v>
      </c>
      <c r="RA197">
        <v>205.85</v>
      </c>
      <c r="RB197">
        <v>206.11</v>
      </c>
      <c r="RC197">
        <v>206.34</v>
      </c>
      <c r="RD197">
        <v>206.49</v>
      </c>
      <c r="RE197">
        <v>206.71</v>
      </c>
      <c r="RG197">
        <v>206.88</v>
      </c>
      <c r="RI197">
        <v>207.43</v>
      </c>
      <c r="RJ197">
        <v>207.68</v>
      </c>
      <c r="RK197">
        <v>207.95</v>
      </c>
      <c r="RN197">
        <v>209.02</v>
      </c>
      <c r="RO197">
        <v>209.37</v>
      </c>
      <c r="RP197">
        <v>209.76</v>
      </c>
      <c r="RQ197">
        <v>210.8</v>
      </c>
      <c r="RR197">
        <v>211.24</v>
      </c>
      <c r="RS197">
        <v>211.63</v>
      </c>
      <c r="RT197">
        <v>212.05</v>
      </c>
      <c r="RU197">
        <v>212.51</v>
      </c>
      <c r="RV197">
        <v>214.06</v>
      </c>
      <c r="RW197">
        <v>214.67</v>
      </c>
      <c r="RX197">
        <v>215.15</v>
      </c>
      <c r="RY197">
        <v>215.67</v>
      </c>
      <c r="RZ197">
        <v>216.27</v>
      </c>
      <c r="SA197">
        <v>216.97</v>
      </c>
      <c r="SC197">
        <v>217.5</v>
      </c>
      <c r="SD197">
        <v>218.02</v>
      </c>
      <c r="SE197">
        <v>218.42</v>
      </c>
      <c r="SF197">
        <v>218.85</v>
      </c>
      <c r="SG197">
        <v>219.28</v>
      </c>
      <c r="SH197">
        <v>219.79</v>
      </c>
      <c r="SJ197">
        <v>220.18</v>
      </c>
      <c r="SK197">
        <v>220.49</v>
      </c>
      <c r="SL197">
        <v>220.82</v>
      </c>
      <c r="SM197">
        <v>221.36</v>
      </c>
      <c r="SN197">
        <v>221.78</v>
      </c>
      <c r="SO197">
        <v>222.31</v>
      </c>
      <c r="SQ197">
        <v>222.73</v>
      </c>
      <c r="SR197">
        <v>223.06</v>
      </c>
      <c r="SS197">
        <v>223.37</v>
      </c>
      <c r="ST197">
        <v>223.7</v>
      </c>
      <c r="SU197">
        <v>224.04</v>
      </c>
      <c r="SV197">
        <v>224.57</v>
      </c>
      <c r="SX197">
        <v>224.94</v>
      </c>
      <c r="SY197">
        <v>225.26</v>
      </c>
      <c r="SZ197">
        <v>225.59</v>
      </c>
      <c r="TA197">
        <v>225.92</v>
      </c>
      <c r="TB197">
        <v>226.26</v>
      </c>
      <c r="TC197">
        <v>226.72</v>
      </c>
      <c r="TE197">
        <v>227.08</v>
      </c>
      <c r="TF197">
        <v>227.37</v>
      </c>
      <c r="TG197">
        <v>227.63</v>
      </c>
      <c r="TH197">
        <v>228.02</v>
      </c>
      <c r="TI197">
        <v>228.54</v>
      </c>
      <c r="TJ197">
        <v>229.17</v>
      </c>
      <c r="TL197">
        <v>229.8</v>
      </c>
      <c r="TM197">
        <v>230.29</v>
      </c>
      <c r="TN197">
        <v>230.86</v>
      </c>
      <c r="TO197">
        <v>231.54</v>
      </c>
      <c r="TP197">
        <v>232.46</v>
      </c>
      <c r="TQ197">
        <v>232.76</v>
      </c>
      <c r="TS197">
        <v>233.11</v>
      </c>
      <c r="TT197">
        <v>233.6</v>
      </c>
      <c r="TU197">
        <v>234.03</v>
      </c>
      <c r="TV197">
        <v>234.5</v>
      </c>
      <c r="TW197">
        <v>234.98</v>
      </c>
      <c r="TX197">
        <v>235.66</v>
      </c>
      <c r="TZ197">
        <v>235.9</v>
      </c>
      <c r="UA197">
        <v>236.21</v>
      </c>
      <c r="UB197">
        <v>236.5</v>
      </c>
      <c r="UC197">
        <v>236.85</v>
      </c>
      <c r="UD197">
        <v>237.25</v>
      </c>
      <c r="UE197">
        <v>237.89</v>
      </c>
      <c r="UG197">
        <v>238.24</v>
      </c>
      <c r="UH197">
        <v>238.68</v>
      </c>
      <c r="UI197">
        <v>239.09</v>
      </c>
      <c r="UJ197">
        <v>239.75</v>
      </c>
      <c r="UK197">
        <v>240.37</v>
      </c>
      <c r="UL197">
        <v>240.89</v>
      </c>
      <c r="UN197">
        <v>241.27</v>
      </c>
      <c r="UO197">
        <v>241.68</v>
      </c>
      <c r="UP197">
        <v>242.07</v>
      </c>
      <c r="UQ197">
        <v>242.54</v>
      </c>
      <c r="UR197">
        <v>243.01</v>
      </c>
      <c r="US197">
        <v>243.45</v>
      </c>
      <c r="UU197">
        <v>243.72</v>
      </c>
      <c r="UV197">
        <v>244.04</v>
      </c>
      <c r="UW197">
        <v>244.41</v>
      </c>
      <c r="UX197">
        <v>244.76</v>
      </c>
      <c r="UY197">
        <v>245.08</v>
      </c>
      <c r="VB197">
        <v>245.64</v>
      </c>
      <c r="VC197">
        <v>245.84</v>
      </c>
      <c r="VD197">
        <v>246.02</v>
      </c>
      <c r="VE197">
        <v>246.2</v>
      </c>
      <c r="VF197">
        <v>246.36</v>
      </c>
      <c r="VG197">
        <v>246.6</v>
      </c>
      <c r="VJ197">
        <v>246.87</v>
      </c>
      <c r="VK197">
        <v>247.02</v>
      </c>
      <c r="VL197">
        <v>247.16</v>
      </c>
      <c r="VM197">
        <v>247.35</v>
      </c>
      <c r="VN197">
        <v>247.82</v>
      </c>
      <c r="VP197">
        <v>248.19</v>
      </c>
      <c r="VQ197">
        <v>248.49</v>
      </c>
      <c r="VR197">
        <v>248.81</v>
      </c>
      <c r="VS197">
        <v>249.11</v>
      </c>
      <c r="VT197">
        <v>249.45</v>
      </c>
      <c r="VU197">
        <v>249.8</v>
      </c>
      <c r="VW197">
        <v>250.19</v>
      </c>
      <c r="VX197">
        <v>250.34</v>
      </c>
      <c r="VY197">
        <v>250.49</v>
      </c>
      <c r="VZ197">
        <v>250.63</v>
      </c>
      <c r="WA197">
        <v>250.83</v>
      </c>
      <c r="WC197">
        <v>250.98</v>
      </c>
      <c r="WD197">
        <v>251.09</v>
      </c>
      <c r="WE197">
        <v>251.21</v>
      </c>
      <c r="WF197">
        <v>251.34</v>
      </c>
      <c r="WG197">
        <v>251.49</v>
      </c>
      <c r="WH197">
        <v>251.67</v>
      </c>
      <c r="WM197">
        <v>252.29</v>
      </c>
      <c r="WN197">
        <v>252.45</v>
      </c>
      <c r="WO197">
        <v>252.68</v>
      </c>
      <c r="WQ197">
        <v>252.87</v>
      </c>
      <c r="WR197">
        <v>253.02</v>
      </c>
      <c r="WS197">
        <v>253.19</v>
      </c>
      <c r="WT197">
        <v>253.37</v>
      </c>
      <c r="WU197">
        <v>253.54</v>
      </c>
      <c r="WV197">
        <v>253.78</v>
      </c>
      <c r="WX197">
        <v>254.11</v>
      </c>
      <c r="WY197">
        <v>254.27</v>
      </c>
      <c r="WZ197">
        <v>254.46</v>
      </c>
      <c r="XA197">
        <v>254.64</v>
      </c>
      <c r="XB197">
        <v>254.81</v>
      </c>
      <c r="XE197">
        <v>255.25</v>
      </c>
      <c r="XF197">
        <v>255.41</v>
      </c>
      <c r="XG197">
        <v>255.59</v>
      </c>
      <c r="XH197">
        <v>255.77</v>
      </c>
      <c r="XI197">
        <v>256.04000000000002</v>
      </c>
      <c r="XJ197">
        <v>256.19</v>
      </c>
      <c r="XL197">
        <v>256.25</v>
      </c>
      <c r="XM197">
        <v>256.38</v>
      </c>
      <c r="XN197">
        <v>256.51</v>
      </c>
      <c r="XO197">
        <v>256.66000000000003</v>
      </c>
      <c r="XP197">
        <v>256.77999999999997</v>
      </c>
      <c r="XS197">
        <v>257.16000000000003</v>
      </c>
      <c r="XT197">
        <v>257.27</v>
      </c>
      <c r="XU197">
        <v>257.42</v>
      </c>
      <c r="XV197">
        <v>257.54000000000002</v>
      </c>
      <c r="XW197">
        <v>257.68</v>
      </c>
      <c r="XX197">
        <v>257.88</v>
      </c>
      <c r="XZ197">
        <v>258.08</v>
      </c>
      <c r="YA197">
        <v>258.24</v>
      </c>
      <c r="YB197">
        <v>258.44</v>
      </c>
      <c r="YC197">
        <v>258.60000000000002</v>
      </c>
      <c r="YD197">
        <v>258.75</v>
      </c>
      <c r="YE197">
        <v>258.95999999999998</v>
      </c>
      <c r="YG197">
        <v>259.07</v>
      </c>
      <c r="YH197">
        <v>259.25</v>
      </c>
      <c r="YI197">
        <v>259.45999999999998</v>
      </c>
      <c r="YJ197">
        <v>259.66000000000003</v>
      </c>
      <c r="YK197">
        <v>259.85000000000002</v>
      </c>
      <c r="YL197">
        <v>260.08</v>
      </c>
      <c r="YO197">
        <v>260.66000000000003</v>
      </c>
      <c r="YP197">
        <v>260.66000000000003</v>
      </c>
      <c r="YR197">
        <v>261.22000000000003</v>
      </c>
      <c r="YS197">
        <v>261.54000000000002</v>
      </c>
      <c r="YU197">
        <v>261.89999999999998</v>
      </c>
      <c r="YV197">
        <v>262.12</v>
      </c>
      <c r="YW197">
        <v>262.39999999999998</v>
      </c>
      <c r="YX197">
        <v>262.64999999999998</v>
      </c>
      <c r="YY197">
        <v>262.91000000000003</v>
      </c>
      <c r="YZ197">
        <v>263.2</v>
      </c>
      <c r="ZB197">
        <v>263.47000000000003</v>
      </c>
      <c r="ZC197">
        <v>263.68</v>
      </c>
      <c r="ZD197">
        <v>263.88</v>
      </c>
      <c r="ZE197">
        <v>263.7</v>
      </c>
      <c r="ZF197">
        <v>263.89</v>
      </c>
      <c r="ZG197">
        <v>264.12</v>
      </c>
      <c r="ZJ197">
        <v>264.44</v>
      </c>
      <c r="ZL197">
        <v>264.69</v>
      </c>
      <c r="ZM197">
        <v>264.83</v>
      </c>
      <c r="ZN197">
        <v>265</v>
      </c>
      <c r="ZP197">
        <v>265.14999999999998</v>
      </c>
      <c r="ZQ197">
        <v>265.24</v>
      </c>
      <c r="ZR197">
        <v>265.35000000000002</v>
      </c>
      <c r="ZS197">
        <v>265.44</v>
      </c>
      <c r="ZT197">
        <v>265.54000000000002</v>
      </c>
      <c r="ZU197">
        <v>265.67</v>
      </c>
      <c r="ZW197">
        <v>265.77999999999997</v>
      </c>
      <c r="ZX197">
        <v>265.86</v>
      </c>
      <c r="ZY197">
        <v>265.93</v>
      </c>
      <c r="ZZ197">
        <v>266.01</v>
      </c>
      <c r="AAA197">
        <v>266.08</v>
      </c>
      <c r="AAD197">
        <v>266.33</v>
      </c>
      <c r="AAF197">
        <v>266.52</v>
      </c>
      <c r="AAG197">
        <v>266.63</v>
      </c>
      <c r="AAH197">
        <v>266.74</v>
      </c>
      <c r="AAI197">
        <v>266.89</v>
      </c>
      <c r="AAK197">
        <v>266.98</v>
      </c>
      <c r="AAL197">
        <v>267.05</v>
      </c>
      <c r="AAM197">
        <v>267.14</v>
      </c>
      <c r="AAN197">
        <v>267.22000000000003</v>
      </c>
      <c r="AAO197">
        <v>267.32</v>
      </c>
      <c r="AAP197">
        <v>267.48</v>
      </c>
      <c r="AAQ197">
        <v>267.57</v>
      </c>
      <c r="AAR197">
        <v>267.58999999999997</v>
      </c>
      <c r="AAS197">
        <v>267.68</v>
      </c>
      <c r="AAT197">
        <v>267.74</v>
      </c>
      <c r="AAU197">
        <v>267.86</v>
      </c>
      <c r="AAV197">
        <v>267.97000000000003</v>
      </c>
      <c r="AAY197">
        <v>268.27</v>
      </c>
      <c r="AAZ197">
        <v>268.36</v>
      </c>
      <c r="ABA197">
        <v>268.47000000000003</v>
      </c>
      <c r="ABB197">
        <v>268.60000000000002</v>
      </c>
      <c r="ABC197">
        <v>268.75</v>
      </c>
      <c r="ABG197">
        <v>269.24</v>
      </c>
      <c r="ABH197">
        <v>269.42</v>
      </c>
      <c r="ABI197">
        <v>269.58999999999997</v>
      </c>
      <c r="ABJ197">
        <v>269.77</v>
      </c>
      <c r="ABM197">
        <v>270.14</v>
      </c>
      <c r="ABN197">
        <v>270.29000000000002</v>
      </c>
      <c r="ABO197">
        <v>270.47000000000003</v>
      </c>
      <c r="ABP197">
        <v>270.67</v>
      </c>
      <c r="ABQ197">
        <v>270.88</v>
      </c>
      <c r="ACX197">
        <v>278.38</v>
      </c>
      <c r="ACY197">
        <v>278.47000000000003</v>
      </c>
      <c r="ACZ197">
        <v>278.56</v>
      </c>
      <c r="ADA197">
        <v>278.67</v>
      </c>
      <c r="ADC197">
        <v>278.77</v>
      </c>
      <c r="ADD197">
        <v>278.87</v>
      </c>
      <c r="ADE197">
        <v>278.97000000000003</v>
      </c>
      <c r="ADF197">
        <v>279.06</v>
      </c>
      <c r="ADG197">
        <v>279.14999999999998</v>
      </c>
      <c r="ADJ197">
        <v>279.37</v>
      </c>
      <c r="ADK197">
        <v>279.45</v>
      </c>
      <c r="ADL197">
        <v>279.54000000000002</v>
      </c>
      <c r="ADM197">
        <v>279.61</v>
      </c>
      <c r="ADN197">
        <v>279.69</v>
      </c>
      <c r="ADO197">
        <v>279.8</v>
      </c>
      <c r="ADQ197">
        <v>280.02</v>
      </c>
      <c r="ADR197">
        <v>280.12</v>
      </c>
      <c r="ADS197">
        <v>280.2</v>
      </c>
      <c r="ADT197">
        <v>280.29000000000002</v>
      </c>
      <c r="ADU197">
        <v>280.39</v>
      </c>
      <c r="ADZ197">
        <v>280.81</v>
      </c>
      <c r="AEA197">
        <v>280.92</v>
      </c>
      <c r="AEB197">
        <v>281.02999999999997</v>
      </c>
      <c r="AEE197">
        <v>281.29000000000002</v>
      </c>
      <c r="AEF197">
        <v>281.37</v>
      </c>
    </row>
    <row r="198" spans="1:812">
      <c r="A198" s="1" t="s">
        <v>113</v>
      </c>
      <c r="B198" t="s">
        <v>372</v>
      </c>
      <c r="EW198">
        <v>0.74</v>
      </c>
      <c r="FD198">
        <v>0.76</v>
      </c>
      <c r="FK198">
        <v>0.78</v>
      </c>
      <c r="FR198">
        <v>0.96</v>
      </c>
      <c r="FY198">
        <v>1.02</v>
      </c>
      <c r="GF198">
        <v>1.08</v>
      </c>
      <c r="GM198">
        <v>1.38</v>
      </c>
      <c r="GT198">
        <v>2.34</v>
      </c>
      <c r="HA198">
        <v>3.39</v>
      </c>
      <c r="HH198">
        <v>4.17</v>
      </c>
      <c r="HO198">
        <v>4.74</v>
      </c>
      <c r="HV198">
        <v>5.16</v>
      </c>
      <c r="IC198">
        <v>8.4600000000000009</v>
      </c>
      <c r="IF198">
        <v>11.47</v>
      </c>
      <c r="IM198">
        <v>17.53</v>
      </c>
      <c r="IQ198">
        <v>19.190000000000001</v>
      </c>
      <c r="IS198">
        <v>20.63</v>
      </c>
      <c r="IY198">
        <v>23.14</v>
      </c>
      <c r="JG198">
        <v>28.8</v>
      </c>
      <c r="JT198">
        <v>35.35</v>
      </c>
      <c r="KA198">
        <v>39.72</v>
      </c>
    </row>
    <row r="199" spans="1:812">
      <c r="A199" s="1" t="s">
        <v>181</v>
      </c>
      <c r="B199" t="s">
        <v>181</v>
      </c>
      <c r="IJ199">
        <v>0.18</v>
      </c>
      <c r="IR199">
        <v>0.37</v>
      </c>
      <c r="KN199">
        <v>0.91</v>
      </c>
      <c r="MZ199">
        <v>2.76</v>
      </c>
      <c r="NV199">
        <v>3.95</v>
      </c>
    </row>
    <row r="200" spans="1:812">
      <c r="A200" s="1" t="s">
        <v>134</v>
      </c>
      <c r="B200" t="s">
        <v>373</v>
      </c>
      <c r="CD200">
        <v>0</v>
      </c>
      <c r="CF200">
        <v>0</v>
      </c>
      <c r="CG200">
        <v>0.01</v>
      </c>
      <c r="CO200">
        <v>0.05</v>
      </c>
      <c r="CR200">
        <v>0.08</v>
      </c>
      <c r="DC200">
        <v>0.15</v>
      </c>
      <c r="DI200">
        <v>0.26</v>
      </c>
      <c r="DK200">
        <v>0.28999999999999998</v>
      </c>
      <c r="DL200">
        <v>0.33</v>
      </c>
      <c r="DM200">
        <v>0.35</v>
      </c>
      <c r="DN200">
        <v>0.37</v>
      </c>
      <c r="DO200">
        <v>0.42</v>
      </c>
      <c r="DP200">
        <v>0.46</v>
      </c>
      <c r="DQ200">
        <v>0.56000000000000005</v>
      </c>
      <c r="DR200">
        <v>0.67</v>
      </c>
      <c r="DS200">
        <v>0.77</v>
      </c>
      <c r="DT200">
        <v>0.8</v>
      </c>
      <c r="DU200">
        <v>0.82</v>
      </c>
      <c r="DV200">
        <v>0.83</v>
      </c>
      <c r="DW200">
        <v>0.83</v>
      </c>
      <c r="DY200">
        <v>0.84</v>
      </c>
      <c r="DZ200">
        <v>0.87</v>
      </c>
      <c r="EA200">
        <v>0.87</v>
      </c>
      <c r="EB200">
        <v>0.89</v>
      </c>
      <c r="EC200">
        <v>0.95</v>
      </c>
      <c r="ED200">
        <v>1.02</v>
      </c>
      <c r="EE200">
        <v>1.24</v>
      </c>
      <c r="EF200">
        <v>1.38</v>
      </c>
      <c r="EG200">
        <v>1.57</v>
      </c>
      <c r="EH200">
        <v>1.61</v>
      </c>
      <c r="EI200">
        <v>1.65</v>
      </c>
      <c r="EJ200">
        <v>1.76</v>
      </c>
      <c r="EK200">
        <v>1.83</v>
      </c>
      <c r="EL200">
        <v>1.93</v>
      </c>
      <c r="EM200">
        <v>2.02</v>
      </c>
      <c r="EN200">
        <v>2.12</v>
      </c>
      <c r="EO200">
        <v>2.13</v>
      </c>
      <c r="EP200">
        <v>2.13</v>
      </c>
      <c r="EQ200">
        <v>2.15</v>
      </c>
      <c r="ER200">
        <v>2.25</v>
      </c>
      <c r="ES200">
        <v>2.29</v>
      </c>
      <c r="ET200">
        <v>2.37</v>
      </c>
      <c r="EU200">
        <v>2.48</v>
      </c>
      <c r="EV200">
        <v>2.5</v>
      </c>
      <c r="EW200">
        <v>2.59</v>
      </c>
      <c r="EX200">
        <v>2.72</v>
      </c>
      <c r="EY200">
        <v>2.77</v>
      </c>
      <c r="EZ200">
        <v>2.92</v>
      </c>
      <c r="FA200">
        <v>3.04</v>
      </c>
      <c r="FD200">
        <v>3.24</v>
      </c>
      <c r="FE200">
        <v>3.35</v>
      </c>
      <c r="FF200">
        <v>3.5</v>
      </c>
      <c r="FG200">
        <v>3.64</v>
      </c>
      <c r="FH200">
        <v>3.79</v>
      </c>
      <c r="FI200">
        <v>4.03</v>
      </c>
      <c r="FJ200">
        <v>4.0999999999999996</v>
      </c>
      <c r="FK200">
        <v>4.17</v>
      </c>
      <c r="FL200">
        <v>4.33</v>
      </c>
      <c r="FM200">
        <v>4.51</v>
      </c>
      <c r="FN200">
        <v>4.5999999999999996</v>
      </c>
      <c r="FO200">
        <v>4.8</v>
      </c>
      <c r="FP200">
        <v>5.0199999999999996</v>
      </c>
      <c r="FQ200">
        <v>5.08</v>
      </c>
      <c r="FR200">
        <v>5.17</v>
      </c>
      <c r="FS200">
        <v>5.25</v>
      </c>
      <c r="FT200">
        <v>5.38</v>
      </c>
      <c r="FV200">
        <v>5.68</v>
      </c>
      <c r="FW200">
        <v>5.94</v>
      </c>
      <c r="FX200">
        <v>6</v>
      </c>
      <c r="FY200">
        <v>6.04</v>
      </c>
      <c r="FZ200">
        <v>6.64</v>
      </c>
      <c r="GA200">
        <v>7.32</v>
      </c>
      <c r="GB200">
        <v>7.8</v>
      </c>
      <c r="GC200">
        <v>8.1199999999999992</v>
      </c>
      <c r="GD200">
        <v>8.56</v>
      </c>
      <c r="GE200">
        <v>8.7100000000000009</v>
      </c>
      <c r="GF200">
        <v>8.8699999999999992</v>
      </c>
      <c r="GG200">
        <v>9.33</v>
      </c>
      <c r="GH200">
        <v>9.7100000000000009</v>
      </c>
      <c r="GI200">
        <v>10.029999999999999</v>
      </c>
      <c r="GJ200">
        <v>10.34</v>
      </c>
      <c r="GK200">
        <v>10.72</v>
      </c>
      <c r="GL200">
        <v>10.87</v>
      </c>
      <c r="GM200">
        <v>11</v>
      </c>
      <c r="GN200">
        <v>11.33</v>
      </c>
      <c r="GO200">
        <v>11.67</v>
      </c>
      <c r="GP200">
        <v>12.03</v>
      </c>
      <c r="GQ200">
        <v>12.4</v>
      </c>
      <c r="GR200">
        <v>12.87</v>
      </c>
      <c r="GS200">
        <v>12.97</v>
      </c>
      <c r="GT200">
        <v>13.11</v>
      </c>
      <c r="GU200">
        <v>13.49</v>
      </c>
      <c r="GV200">
        <v>13.86</v>
      </c>
      <c r="GW200">
        <v>14.22</v>
      </c>
      <c r="GX200">
        <v>14.65</v>
      </c>
      <c r="GY200">
        <v>15.15</v>
      </c>
      <c r="GZ200">
        <v>15.29</v>
      </c>
      <c r="HA200">
        <v>15.44</v>
      </c>
      <c r="HB200">
        <v>15.84</v>
      </c>
      <c r="HC200">
        <v>16.23</v>
      </c>
      <c r="HD200">
        <v>16.649999999999999</v>
      </c>
      <c r="HE200">
        <v>17.16</v>
      </c>
      <c r="HF200">
        <v>17.73</v>
      </c>
      <c r="HG200">
        <v>17.86</v>
      </c>
      <c r="HH200">
        <v>18.010000000000002</v>
      </c>
      <c r="HI200">
        <v>18.489999999999998</v>
      </c>
      <c r="HJ200">
        <v>18.96</v>
      </c>
      <c r="HK200">
        <v>19.39</v>
      </c>
      <c r="HL200">
        <v>19.8</v>
      </c>
      <c r="HM200">
        <v>20.239999999999998</v>
      </c>
      <c r="HN200">
        <v>20.38</v>
      </c>
      <c r="HO200">
        <v>20.49</v>
      </c>
      <c r="HP200">
        <v>20.84</v>
      </c>
      <c r="HQ200">
        <v>21.21</v>
      </c>
      <c r="HR200">
        <v>21.61</v>
      </c>
      <c r="HS200">
        <v>22.05</v>
      </c>
      <c r="HT200">
        <v>22.55</v>
      </c>
      <c r="HU200">
        <v>22.74</v>
      </c>
      <c r="HV200">
        <v>22.87</v>
      </c>
      <c r="HW200">
        <v>23.07</v>
      </c>
      <c r="HX200">
        <v>23.53</v>
      </c>
      <c r="HY200">
        <v>23.77</v>
      </c>
      <c r="HZ200">
        <v>24.37</v>
      </c>
      <c r="IA200">
        <v>25.06</v>
      </c>
      <c r="IB200">
        <v>25.34</v>
      </c>
      <c r="IC200">
        <v>25.6</v>
      </c>
      <c r="ID200">
        <v>26.07</v>
      </c>
      <c r="IE200">
        <v>26.62</v>
      </c>
      <c r="IF200">
        <v>27.17</v>
      </c>
      <c r="IG200">
        <v>28.13</v>
      </c>
      <c r="IH200">
        <v>29.05</v>
      </c>
      <c r="II200">
        <v>29.34</v>
      </c>
      <c r="IJ200">
        <v>29.61</v>
      </c>
      <c r="IK200">
        <v>30.33</v>
      </c>
      <c r="IL200">
        <v>31.11</v>
      </c>
      <c r="IM200">
        <v>31.93</v>
      </c>
      <c r="IN200">
        <v>32.25</v>
      </c>
      <c r="IO200">
        <v>33.229999999999997</v>
      </c>
      <c r="IQ200">
        <v>33.799999999999997</v>
      </c>
      <c r="IR200">
        <v>34.53</v>
      </c>
      <c r="IS200">
        <v>35.270000000000003</v>
      </c>
      <c r="IT200">
        <v>36.06</v>
      </c>
      <c r="IU200">
        <v>36.99</v>
      </c>
      <c r="IV200">
        <v>37.78</v>
      </c>
      <c r="IW200">
        <v>38.36</v>
      </c>
      <c r="IX200">
        <v>38.65</v>
      </c>
      <c r="IY200">
        <v>39.47</v>
      </c>
      <c r="IZ200">
        <v>40.31</v>
      </c>
      <c r="JA200">
        <v>41.22</v>
      </c>
      <c r="JE200">
        <v>44.25</v>
      </c>
      <c r="JF200">
        <v>45.42</v>
      </c>
      <c r="JM200">
        <v>51.34</v>
      </c>
      <c r="JN200">
        <v>52.37</v>
      </c>
      <c r="JO200">
        <v>53.55</v>
      </c>
      <c r="JP200">
        <v>54.57</v>
      </c>
      <c r="JQ200">
        <v>55.57</v>
      </c>
      <c r="JS200">
        <v>57.27</v>
      </c>
      <c r="JT200">
        <v>57.58</v>
      </c>
      <c r="JU200">
        <v>58.55</v>
      </c>
      <c r="JV200">
        <v>59.54</v>
      </c>
      <c r="JW200">
        <v>60.72</v>
      </c>
      <c r="JX200">
        <v>61.96</v>
      </c>
      <c r="JZ200">
        <v>63.6</v>
      </c>
      <c r="KA200">
        <v>63.96</v>
      </c>
      <c r="KC200">
        <v>65.790000000000006</v>
      </c>
      <c r="KP200">
        <v>79.94</v>
      </c>
      <c r="KQ200">
        <v>80.989999999999995</v>
      </c>
      <c r="KS200">
        <v>83.34</v>
      </c>
      <c r="KU200">
        <v>85.12</v>
      </c>
      <c r="KX200">
        <v>88.63</v>
      </c>
      <c r="KZ200">
        <v>90.94</v>
      </c>
      <c r="LK200">
        <v>101.84</v>
      </c>
      <c r="LL200">
        <v>103</v>
      </c>
      <c r="LN200">
        <v>105.35</v>
      </c>
      <c r="LO200">
        <v>106.78</v>
      </c>
      <c r="LP200">
        <v>107.78</v>
      </c>
      <c r="LQ200">
        <v>108.23</v>
      </c>
      <c r="LS200">
        <v>110.1</v>
      </c>
      <c r="LU200">
        <v>112.44</v>
      </c>
      <c r="LX200">
        <v>115.08</v>
      </c>
      <c r="MB200">
        <v>119.11</v>
      </c>
      <c r="ME200">
        <v>121.53</v>
      </c>
      <c r="MF200">
        <v>122.1</v>
      </c>
      <c r="MG200">
        <v>123.05</v>
      </c>
      <c r="MH200">
        <v>124.22</v>
      </c>
      <c r="MJ200">
        <v>126.28</v>
      </c>
      <c r="ML200">
        <v>127.22</v>
      </c>
      <c r="MO200">
        <v>129.33000000000001</v>
      </c>
      <c r="MP200">
        <v>129.71</v>
      </c>
      <c r="MR200">
        <v>131.69999999999999</v>
      </c>
      <c r="MS200">
        <v>132.04</v>
      </c>
      <c r="MU200">
        <v>133.28</v>
      </c>
      <c r="MV200">
        <v>134.03</v>
      </c>
      <c r="NE200">
        <v>138.91999999999999</v>
      </c>
      <c r="NG200">
        <v>139.25</v>
      </c>
      <c r="NI200">
        <v>140.16999999999999</v>
      </c>
      <c r="NQ200">
        <v>144.5</v>
      </c>
      <c r="NU200">
        <v>146.79</v>
      </c>
      <c r="PD200">
        <v>164.84</v>
      </c>
      <c r="PE200">
        <v>165.21</v>
      </c>
      <c r="PF200">
        <v>165.65</v>
      </c>
      <c r="PG200">
        <v>166.12</v>
      </c>
      <c r="PH200">
        <v>166.85</v>
      </c>
      <c r="PI200">
        <v>167.02</v>
      </c>
      <c r="PJ200">
        <v>167.13</v>
      </c>
      <c r="PK200">
        <v>167.55</v>
      </c>
      <c r="PL200">
        <v>169.76</v>
      </c>
      <c r="PM200">
        <v>170.18</v>
      </c>
      <c r="PN200">
        <v>170.65</v>
      </c>
      <c r="PO200">
        <v>171.31</v>
      </c>
      <c r="PP200">
        <v>171.51</v>
      </c>
      <c r="PQ200">
        <v>171.63</v>
      </c>
      <c r="PR200">
        <v>172.05</v>
      </c>
      <c r="PS200">
        <v>172.45</v>
      </c>
      <c r="PT200">
        <v>172.6</v>
      </c>
      <c r="PU200">
        <v>173.04</v>
      </c>
      <c r="PV200">
        <v>173.72</v>
      </c>
      <c r="PW200">
        <v>173.92</v>
      </c>
      <c r="PX200">
        <v>173.98</v>
      </c>
      <c r="PY200">
        <v>174.34</v>
      </c>
      <c r="PZ200">
        <v>174.8</v>
      </c>
      <c r="QA200">
        <v>175.15</v>
      </c>
      <c r="QB200">
        <v>175.69</v>
      </c>
      <c r="QC200">
        <v>176.24</v>
      </c>
      <c r="QD200">
        <v>176.45</v>
      </c>
      <c r="QE200">
        <v>176.51</v>
      </c>
      <c r="QF200">
        <v>176.97</v>
      </c>
      <c r="QG200">
        <v>177.16</v>
      </c>
      <c r="QH200">
        <v>177.5</v>
      </c>
      <c r="QI200">
        <v>177.74</v>
      </c>
      <c r="QJ200">
        <v>177.74</v>
      </c>
      <c r="QK200">
        <v>177.74</v>
      </c>
      <c r="QL200">
        <v>177.74</v>
      </c>
      <c r="QM200">
        <v>177.74</v>
      </c>
      <c r="QN200">
        <v>177.74</v>
      </c>
      <c r="QO200">
        <v>179.08</v>
      </c>
      <c r="QP200">
        <v>179.35</v>
      </c>
      <c r="QQ200">
        <v>179.84</v>
      </c>
      <c r="QR200">
        <v>179.95</v>
      </c>
      <c r="QS200">
        <v>180.11</v>
      </c>
      <c r="QT200">
        <v>180.27</v>
      </c>
      <c r="QU200">
        <v>180.55</v>
      </c>
      <c r="QV200">
        <v>180.81</v>
      </c>
      <c r="QW200">
        <v>181.07</v>
      </c>
      <c r="QX200">
        <v>181.52</v>
      </c>
      <c r="QY200">
        <v>181.68</v>
      </c>
      <c r="QZ200">
        <v>181.72</v>
      </c>
      <c r="RA200">
        <v>181.95</v>
      </c>
      <c r="RB200">
        <v>182.23</v>
      </c>
      <c r="RC200">
        <v>182.53</v>
      </c>
      <c r="RD200">
        <v>182.92</v>
      </c>
      <c r="RE200">
        <v>183.41</v>
      </c>
      <c r="RF200">
        <v>183.6</v>
      </c>
      <c r="RG200">
        <v>183.64</v>
      </c>
      <c r="RH200">
        <v>183.91</v>
      </c>
      <c r="RI200">
        <v>184.25</v>
      </c>
      <c r="RJ200">
        <v>184.61</v>
      </c>
      <c r="RK200">
        <v>184.99</v>
      </c>
      <c r="RL200">
        <v>185.54</v>
      </c>
      <c r="RM200">
        <v>185.77</v>
      </c>
      <c r="RN200">
        <v>186.04</v>
      </c>
      <c r="RO200">
        <v>186.11</v>
      </c>
      <c r="RP200">
        <v>186.45</v>
      </c>
      <c r="RQ200">
        <v>187.06</v>
      </c>
      <c r="RR200">
        <v>187.34</v>
      </c>
      <c r="RS200">
        <v>187.5</v>
      </c>
      <c r="RT200">
        <v>187.54</v>
      </c>
      <c r="RU200">
        <v>187.56</v>
      </c>
      <c r="RV200">
        <v>187.63</v>
      </c>
      <c r="RW200">
        <v>187.8</v>
      </c>
      <c r="RX200">
        <v>187.94</v>
      </c>
      <c r="RY200">
        <v>188.14</v>
      </c>
      <c r="SA200">
        <v>188.83</v>
      </c>
      <c r="SB200">
        <v>188.9</v>
      </c>
      <c r="SC200">
        <v>189.03</v>
      </c>
      <c r="SD200">
        <v>189.17</v>
      </c>
      <c r="SE200">
        <v>189.44</v>
      </c>
      <c r="SF200">
        <v>189.63</v>
      </c>
      <c r="SG200">
        <v>189.79</v>
      </c>
      <c r="SH200">
        <v>190.31</v>
      </c>
      <c r="SI200">
        <v>190.44</v>
      </c>
      <c r="SJ200">
        <v>190.48</v>
      </c>
      <c r="SK200">
        <v>190.57</v>
      </c>
      <c r="SL200">
        <v>190.77</v>
      </c>
      <c r="SM200">
        <v>190.82</v>
      </c>
      <c r="SN200">
        <v>191.07</v>
      </c>
      <c r="SP200">
        <v>191.55</v>
      </c>
      <c r="SQ200">
        <v>191.61</v>
      </c>
      <c r="SR200">
        <v>191.81</v>
      </c>
      <c r="SS200">
        <v>191.96</v>
      </c>
      <c r="ST200">
        <v>192.31</v>
      </c>
      <c r="SU200">
        <v>192.43</v>
      </c>
      <c r="SV200">
        <v>192.76</v>
      </c>
      <c r="SW200">
        <v>192.83</v>
      </c>
      <c r="SX200">
        <v>192.85</v>
      </c>
      <c r="SY200">
        <v>192.93</v>
      </c>
      <c r="SZ200">
        <v>193.15</v>
      </c>
      <c r="TA200">
        <v>193.35</v>
      </c>
      <c r="TB200">
        <v>193.62</v>
      </c>
      <c r="TC200">
        <v>194.09</v>
      </c>
      <c r="TD200">
        <v>194.17</v>
      </c>
      <c r="TE200">
        <v>194.21</v>
      </c>
      <c r="TF200">
        <v>194.47</v>
      </c>
      <c r="TG200">
        <v>194.65</v>
      </c>
      <c r="TH200">
        <v>194.83</v>
      </c>
      <c r="TI200">
        <v>195.02</v>
      </c>
      <c r="TJ200">
        <v>195.41</v>
      </c>
      <c r="TK200">
        <v>195.5</v>
      </c>
      <c r="TL200">
        <v>195.54</v>
      </c>
      <c r="TM200">
        <v>195.73</v>
      </c>
      <c r="TN200">
        <v>195.82</v>
      </c>
      <c r="TO200">
        <v>195.91</v>
      </c>
      <c r="TP200">
        <v>196.2</v>
      </c>
      <c r="TQ200">
        <v>196.24</v>
      </c>
      <c r="TR200">
        <v>196.28</v>
      </c>
      <c r="TS200">
        <v>196.33</v>
      </c>
      <c r="TT200">
        <v>196.4</v>
      </c>
      <c r="TU200">
        <v>196.55</v>
      </c>
      <c r="TV200">
        <v>196.63</v>
      </c>
      <c r="TW200">
        <v>196.73</v>
      </c>
      <c r="TX200">
        <v>196.92</v>
      </c>
      <c r="TY200">
        <v>196.95</v>
      </c>
      <c r="TZ200">
        <v>196.97</v>
      </c>
      <c r="UA200">
        <v>197.04</v>
      </c>
      <c r="UB200">
        <v>197.18</v>
      </c>
      <c r="UC200">
        <v>197.26</v>
      </c>
      <c r="UD200">
        <v>197.35</v>
      </c>
      <c r="UE200">
        <v>197.52</v>
      </c>
      <c r="UF200">
        <v>197.57</v>
      </c>
      <c r="UG200">
        <v>197.64</v>
      </c>
      <c r="UH200">
        <v>197.72</v>
      </c>
      <c r="UI200">
        <v>197.8</v>
      </c>
      <c r="UJ200">
        <v>197.88</v>
      </c>
      <c r="UK200">
        <v>197.97</v>
      </c>
      <c r="UL200">
        <v>198.14</v>
      </c>
      <c r="UM200">
        <v>198.21</v>
      </c>
      <c r="UN200">
        <v>198.23</v>
      </c>
      <c r="UO200">
        <v>198.32</v>
      </c>
      <c r="UP200">
        <v>198.42</v>
      </c>
      <c r="UQ200">
        <v>198.49</v>
      </c>
      <c r="UR200">
        <v>198.67</v>
      </c>
      <c r="US200">
        <v>198.81</v>
      </c>
      <c r="UT200">
        <v>198.89</v>
      </c>
      <c r="UU200">
        <v>198.92</v>
      </c>
      <c r="UV200">
        <v>198.97</v>
      </c>
      <c r="UW200">
        <v>199.04</v>
      </c>
      <c r="UX200">
        <v>199.12</v>
      </c>
      <c r="UY200">
        <v>199.22</v>
      </c>
      <c r="UZ200">
        <v>199.43</v>
      </c>
      <c r="VA200">
        <v>199.48</v>
      </c>
      <c r="VB200">
        <v>194.94</v>
      </c>
      <c r="VC200">
        <v>195.03</v>
      </c>
      <c r="VD200">
        <v>195.14</v>
      </c>
      <c r="VE200">
        <v>195.18</v>
      </c>
      <c r="VF200">
        <v>195.23</v>
      </c>
      <c r="VG200">
        <v>195.28</v>
      </c>
      <c r="VH200">
        <v>195.33</v>
      </c>
      <c r="VI200">
        <v>195.36</v>
      </c>
      <c r="VJ200">
        <v>195.45</v>
      </c>
      <c r="VK200">
        <v>195.52</v>
      </c>
      <c r="VL200">
        <v>195.66</v>
      </c>
      <c r="VM200">
        <v>195.77</v>
      </c>
      <c r="VN200">
        <v>195.99</v>
      </c>
      <c r="VO200">
        <v>196.06</v>
      </c>
      <c r="VP200">
        <v>196.1</v>
      </c>
      <c r="VQ200">
        <v>196.21</v>
      </c>
      <c r="VS200">
        <v>196.45</v>
      </c>
      <c r="VU200">
        <v>196.58</v>
      </c>
      <c r="VV200">
        <v>196.62</v>
      </c>
      <c r="VW200">
        <v>196.72</v>
      </c>
      <c r="VX200">
        <v>196.76</v>
      </c>
      <c r="VY200">
        <v>196.82</v>
      </c>
      <c r="WA200">
        <v>197.05</v>
      </c>
      <c r="WB200">
        <v>197.1</v>
      </c>
      <c r="WC200">
        <v>197.13</v>
      </c>
      <c r="WD200">
        <v>197.19</v>
      </c>
      <c r="WF200">
        <v>197.32</v>
      </c>
      <c r="WG200">
        <v>197.42</v>
      </c>
      <c r="WI200">
        <v>197.49</v>
      </c>
      <c r="WJ200">
        <v>197.49</v>
      </c>
      <c r="WK200">
        <v>197.49</v>
      </c>
      <c r="WM200">
        <v>197.65</v>
      </c>
      <c r="WN200">
        <v>197.71</v>
      </c>
      <c r="WO200">
        <v>197.84</v>
      </c>
      <c r="WP200">
        <v>197.88</v>
      </c>
      <c r="WR200">
        <v>197.94</v>
      </c>
      <c r="WS200">
        <v>197.99</v>
      </c>
      <c r="WT200">
        <v>198.03</v>
      </c>
      <c r="WU200">
        <v>198.08</v>
      </c>
      <c r="WV200">
        <v>198.17</v>
      </c>
      <c r="WW200">
        <v>198.2</v>
      </c>
      <c r="WX200">
        <v>198.22</v>
      </c>
      <c r="WY200">
        <v>198.26</v>
      </c>
      <c r="WZ200">
        <v>198.3</v>
      </c>
      <c r="XA200">
        <v>198.34</v>
      </c>
      <c r="XB200">
        <v>198.37</v>
      </c>
      <c r="XC200">
        <v>198.43</v>
      </c>
      <c r="XD200">
        <v>198.45</v>
      </c>
      <c r="XE200">
        <v>198.46</v>
      </c>
      <c r="XF200">
        <v>198.49</v>
      </c>
      <c r="XG200">
        <v>198.51</v>
      </c>
      <c r="XH200">
        <v>198.54</v>
      </c>
      <c r="XI200">
        <v>198.57</v>
      </c>
      <c r="XJ200">
        <v>198.62</v>
      </c>
      <c r="XK200">
        <v>198.64</v>
      </c>
      <c r="XL200">
        <v>198.65</v>
      </c>
      <c r="XM200">
        <v>198.67</v>
      </c>
      <c r="XN200">
        <v>198.7</v>
      </c>
      <c r="XO200">
        <v>198.72</v>
      </c>
      <c r="XP200">
        <v>198.76</v>
      </c>
      <c r="XQ200">
        <v>198.81</v>
      </c>
      <c r="XR200">
        <v>198.83</v>
      </c>
      <c r="XS200">
        <v>198.85</v>
      </c>
      <c r="XT200">
        <v>198.87</v>
      </c>
      <c r="XU200">
        <v>198.9</v>
      </c>
      <c r="XV200">
        <v>198.93</v>
      </c>
      <c r="XW200">
        <v>198.96</v>
      </c>
      <c r="XX200">
        <v>199.01</v>
      </c>
      <c r="XY200">
        <v>199.03</v>
      </c>
      <c r="XZ200">
        <v>199.05</v>
      </c>
      <c r="YA200">
        <v>199.07</v>
      </c>
      <c r="YB200">
        <v>199.1</v>
      </c>
      <c r="YC200">
        <v>199.12</v>
      </c>
      <c r="YD200">
        <v>199.15</v>
      </c>
      <c r="YE200">
        <v>199.21</v>
      </c>
    </row>
    <row r="201" spans="1:812">
      <c r="A201" s="1" t="s">
        <v>311</v>
      </c>
      <c r="B201" t="s">
        <v>311</v>
      </c>
      <c r="DX201">
        <v>0.2</v>
      </c>
      <c r="EQ201">
        <v>2.3199999999999998</v>
      </c>
      <c r="FE201">
        <v>3.63</v>
      </c>
      <c r="FM201">
        <v>4.84</v>
      </c>
      <c r="FT201">
        <v>6.2</v>
      </c>
      <c r="GA201">
        <v>7.07</v>
      </c>
      <c r="GH201">
        <v>8.3800000000000008</v>
      </c>
      <c r="GO201">
        <v>14.36</v>
      </c>
      <c r="GV201">
        <v>17.350000000000001</v>
      </c>
      <c r="HC201">
        <v>18.54</v>
      </c>
      <c r="HJ201">
        <v>21.33</v>
      </c>
      <c r="HP201">
        <v>23.69</v>
      </c>
      <c r="HX201">
        <v>27.55</v>
      </c>
      <c r="IE201">
        <v>30.56</v>
      </c>
      <c r="IL201">
        <v>33.659999999999997</v>
      </c>
      <c r="IS201">
        <v>37.28</v>
      </c>
      <c r="IZ201">
        <v>41.43</v>
      </c>
      <c r="JG201">
        <v>43.78</v>
      </c>
      <c r="KA201">
        <v>49.71</v>
      </c>
      <c r="KI201">
        <v>52.97</v>
      </c>
      <c r="SE201">
        <v>107.98</v>
      </c>
      <c r="TG201">
        <v>115.17</v>
      </c>
      <c r="TU201">
        <v>118.99</v>
      </c>
      <c r="UC201">
        <v>121.9</v>
      </c>
      <c r="VD201">
        <v>129.93</v>
      </c>
      <c r="AAG201">
        <v>143.19</v>
      </c>
      <c r="AAN201">
        <v>144.88</v>
      </c>
      <c r="ABI201">
        <v>147.44</v>
      </c>
      <c r="ACQ201">
        <v>149.56</v>
      </c>
      <c r="ACX201">
        <v>149.74</v>
      </c>
      <c r="ADL201">
        <v>149.97999999999999</v>
      </c>
    </row>
    <row r="202" spans="1:812">
      <c r="A202" s="1" t="s">
        <v>169</v>
      </c>
      <c r="B202" t="s">
        <v>169</v>
      </c>
      <c r="CN202">
        <v>0</v>
      </c>
      <c r="DC202">
        <v>0.51</v>
      </c>
      <c r="DR202">
        <v>1</v>
      </c>
      <c r="DW202">
        <v>1.21</v>
      </c>
      <c r="EA202">
        <v>1.93</v>
      </c>
      <c r="FS202">
        <v>3.77</v>
      </c>
      <c r="GA202">
        <v>3.85</v>
      </c>
      <c r="GC202">
        <v>4.1900000000000004</v>
      </c>
      <c r="HP202">
        <v>5.49</v>
      </c>
      <c r="IE202">
        <v>5.73</v>
      </c>
      <c r="IV202">
        <v>6.32</v>
      </c>
      <c r="LN202">
        <v>16.22</v>
      </c>
    </row>
    <row r="203" spans="1:812">
      <c r="A203" s="1" t="s">
        <v>435</v>
      </c>
      <c r="ID203">
        <v>70.59</v>
      </c>
      <c r="IR203">
        <v>71.7</v>
      </c>
      <c r="KW203">
        <v>141.52000000000001</v>
      </c>
      <c r="WD203">
        <v>179.88</v>
      </c>
      <c r="ZC203">
        <v>213.95</v>
      </c>
      <c r="AAS203">
        <v>283.89</v>
      </c>
    </row>
    <row r="204" spans="1:812">
      <c r="A204" s="1" t="s">
        <v>403</v>
      </c>
      <c r="B204" t="s">
        <v>403</v>
      </c>
      <c r="ED204">
        <v>2.16</v>
      </c>
      <c r="EK204">
        <v>6.35</v>
      </c>
      <c r="ER204">
        <v>11.59</v>
      </c>
      <c r="EY204">
        <v>17.059999999999999</v>
      </c>
      <c r="FF204">
        <v>22.43</v>
      </c>
      <c r="FT204">
        <v>28.36</v>
      </c>
      <c r="HQ204">
        <v>33.71</v>
      </c>
      <c r="HX204">
        <v>37.380000000000003</v>
      </c>
      <c r="ID204">
        <v>44.99</v>
      </c>
      <c r="IY204">
        <v>51.16</v>
      </c>
      <c r="KB204">
        <v>68.94</v>
      </c>
      <c r="KP204">
        <v>69.790000000000006</v>
      </c>
      <c r="LC204">
        <v>74.989999999999995</v>
      </c>
      <c r="LJ204">
        <v>79.16</v>
      </c>
      <c r="LQ204">
        <v>85.9</v>
      </c>
      <c r="ME204">
        <v>96.07</v>
      </c>
      <c r="ML204">
        <v>109.36</v>
      </c>
      <c r="MT204">
        <v>110.7</v>
      </c>
      <c r="MZ204">
        <v>111.97</v>
      </c>
      <c r="NN204">
        <v>121.99</v>
      </c>
      <c r="OC204">
        <v>128.11000000000001</v>
      </c>
      <c r="OJ204">
        <v>129.4</v>
      </c>
      <c r="OQ204">
        <v>129.9</v>
      </c>
      <c r="PY204">
        <v>135.78</v>
      </c>
      <c r="QF204">
        <v>137.87</v>
      </c>
      <c r="RM204">
        <v>156.54</v>
      </c>
      <c r="RR204">
        <v>169.75</v>
      </c>
      <c r="SK204">
        <v>178.41</v>
      </c>
      <c r="UA204">
        <v>226.28</v>
      </c>
      <c r="UH204">
        <v>227.27</v>
      </c>
      <c r="WD204">
        <v>235.93</v>
      </c>
      <c r="WR204">
        <v>193.23</v>
      </c>
      <c r="WY204">
        <v>193.31</v>
      </c>
      <c r="ZJ204">
        <v>192.54</v>
      </c>
      <c r="ZX204">
        <v>192.57</v>
      </c>
      <c r="AAL204">
        <v>194.39</v>
      </c>
      <c r="ADR204">
        <v>189.69</v>
      </c>
    </row>
    <row r="205" spans="1:812">
      <c r="A205" s="1" t="s">
        <v>196</v>
      </c>
      <c r="B205" t="s">
        <v>374</v>
      </c>
      <c r="BR205">
        <v>0</v>
      </c>
      <c r="BY205">
        <v>0.03</v>
      </c>
      <c r="CD205">
        <v>7.0000000000000007E-2</v>
      </c>
      <c r="DR205">
        <v>0.34</v>
      </c>
      <c r="DY205">
        <v>0.94</v>
      </c>
      <c r="DZ205">
        <v>1.1000000000000001</v>
      </c>
      <c r="EA205">
        <v>1.17</v>
      </c>
      <c r="EB205">
        <v>1.18</v>
      </c>
      <c r="EC205">
        <v>1.26</v>
      </c>
      <c r="ED205">
        <v>1.39</v>
      </c>
      <c r="EE205">
        <v>1.52</v>
      </c>
      <c r="EF205">
        <v>1.72</v>
      </c>
      <c r="EG205">
        <v>1.98</v>
      </c>
      <c r="EH205">
        <v>2.2000000000000002</v>
      </c>
      <c r="EI205">
        <v>2.4500000000000002</v>
      </c>
      <c r="EJ205">
        <v>2.97</v>
      </c>
      <c r="EK205">
        <v>2.98</v>
      </c>
      <c r="EL205">
        <v>3.01</v>
      </c>
      <c r="EM205">
        <v>3.01</v>
      </c>
      <c r="EN205">
        <v>3.03</v>
      </c>
      <c r="EO205">
        <v>3.03</v>
      </c>
      <c r="EP205">
        <v>3.03</v>
      </c>
      <c r="EQ205">
        <v>3.2</v>
      </c>
      <c r="ER205">
        <v>3.68</v>
      </c>
      <c r="ES205">
        <v>3.97</v>
      </c>
      <c r="ET205">
        <v>4.16</v>
      </c>
      <c r="EU205">
        <v>4.26</v>
      </c>
      <c r="EV205">
        <v>4.34</v>
      </c>
      <c r="EW205">
        <v>4.37</v>
      </c>
      <c r="EX205">
        <v>4.38</v>
      </c>
      <c r="EY205">
        <v>4.41</v>
      </c>
      <c r="EZ205">
        <v>4.41</v>
      </c>
      <c r="FA205">
        <v>4.42</v>
      </c>
      <c r="FB205">
        <v>4.42</v>
      </c>
      <c r="FC205">
        <v>4.42</v>
      </c>
      <c r="FD205">
        <v>4.42</v>
      </c>
      <c r="FE205">
        <v>4.42</v>
      </c>
      <c r="FF205">
        <v>4.5</v>
      </c>
      <c r="FG205">
        <v>4.5</v>
      </c>
      <c r="FH205">
        <v>4.5</v>
      </c>
      <c r="FI205">
        <v>4.54</v>
      </c>
      <c r="FJ205">
        <v>4.7</v>
      </c>
      <c r="FK205">
        <v>4.82</v>
      </c>
      <c r="FL205">
        <v>4.8899999999999997</v>
      </c>
      <c r="FM205">
        <v>5.24</v>
      </c>
      <c r="FN205">
        <v>5.49</v>
      </c>
      <c r="FO205">
        <v>5.68</v>
      </c>
      <c r="FP205">
        <v>6.15</v>
      </c>
      <c r="FQ205">
        <v>6.58</v>
      </c>
      <c r="FR205">
        <v>6.75</v>
      </c>
      <c r="FS205">
        <v>6.85</v>
      </c>
      <c r="FT205">
        <v>7.13</v>
      </c>
      <c r="FU205">
        <v>7.51</v>
      </c>
      <c r="FV205">
        <v>7.7</v>
      </c>
      <c r="FW205">
        <v>7.95</v>
      </c>
      <c r="FX205">
        <v>8.24</v>
      </c>
      <c r="FY205">
        <v>8.56</v>
      </c>
      <c r="FZ205">
        <v>8.9600000000000009</v>
      </c>
      <c r="GA205">
        <v>9.5</v>
      </c>
      <c r="GB205">
        <v>10.18</v>
      </c>
      <c r="GC205">
        <v>10.84</v>
      </c>
      <c r="GD205">
        <v>11.41</v>
      </c>
      <c r="GE205">
        <v>11.72</v>
      </c>
      <c r="GF205">
        <v>12.16</v>
      </c>
      <c r="GG205">
        <v>12.87</v>
      </c>
      <c r="GH205">
        <v>13.26</v>
      </c>
      <c r="GI205">
        <v>13.75</v>
      </c>
      <c r="GJ205">
        <v>14.38</v>
      </c>
      <c r="GK205">
        <v>15.04</v>
      </c>
      <c r="GL205">
        <v>15.43</v>
      </c>
      <c r="GM205">
        <v>15.43</v>
      </c>
      <c r="GN205">
        <v>15.9</v>
      </c>
      <c r="GO205">
        <v>16.09</v>
      </c>
      <c r="GP205">
        <v>16.82</v>
      </c>
      <c r="GQ205">
        <v>17.510000000000002</v>
      </c>
      <c r="GR205">
        <v>18.43</v>
      </c>
      <c r="GS205">
        <v>19.14</v>
      </c>
      <c r="GT205">
        <v>19.7</v>
      </c>
      <c r="GU205">
        <v>20.29</v>
      </c>
      <c r="GV205">
        <v>20.92</v>
      </c>
      <c r="GW205">
        <v>21.62</v>
      </c>
      <c r="GX205">
        <v>22.28</v>
      </c>
      <c r="GY205">
        <v>22.84</v>
      </c>
      <c r="GZ205">
        <v>23.26</v>
      </c>
      <c r="HA205">
        <v>23.79</v>
      </c>
      <c r="HB205">
        <v>24.3</v>
      </c>
      <c r="HC205">
        <v>24.6</v>
      </c>
      <c r="HD205">
        <v>25.11</v>
      </c>
      <c r="HE205">
        <v>25.91</v>
      </c>
      <c r="HF205">
        <v>26.11</v>
      </c>
      <c r="HG205">
        <v>26.16</v>
      </c>
      <c r="HH205">
        <v>26.16</v>
      </c>
      <c r="HI205">
        <v>26.16</v>
      </c>
      <c r="HJ205">
        <v>26.42</v>
      </c>
      <c r="HK205">
        <v>26.58</v>
      </c>
      <c r="HL205">
        <v>26.86</v>
      </c>
      <c r="HM205">
        <v>27.6</v>
      </c>
      <c r="HN205">
        <v>28.96</v>
      </c>
      <c r="HO205">
        <v>29.67</v>
      </c>
      <c r="HP205">
        <v>30.45</v>
      </c>
      <c r="HQ205">
        <v>31.29</v>
      </c>
      <c r="HR205">
        <v>32.54</v>
      </c>
      <c r="HS205">
        <v>33.81</v>
      </c>
      <c r="HT205">
        <v>34.869999999999997</v>
      </c>
      <c r="HU205">
        <v>36.270000000000003</v>
      </c>
      <c r="HV205">
        <v>36.92</v>
      </c>
      <c r="HW205">
        <v>37.97</v>
      </c>
      <c r="HX205">
        <v>38.75</v>
      </c>
      <c r="HY205">
        <v>39.46</v>
      </c>
      <c r="HZ205">
        <v>40.409999999999997</v>
      </c>
      <c r="IA205">
        <v>41.02</v>
      </c>
      <c r="IB205">
        <v>41.69</v>
      </c>
      <c r="IC205">
        <v>42</v>
      </c>
      <c r="ID205">
        <v>42.22</v>
      </c>
      <c r="IE205">
        <v>42.42</v>
      </c>
      <c r="IF205">
        <v>43.01</v>
      </c>
      <c r="IG205">
        <v>43.64</v>
      </c>
      <c r="IH205">
        <v>44.52</v>
      </c>
      <c r="II205">
        <v>45.63</v>
      </c>
      <c r="IJ205">
        <v>46.11</v>
      </c>
      <c r="IK205">
        <v>46.39</v>
      </c>
      <c r="IL205">
        <v>47.73</v>
      </c>
      <c r="IM205">
        <v>49.16</v>
      </c>
      <c r="IN205">
        <v>50.73</v>
      </c>
      <c r="IO205">
        <v>52.08</v>
      </c>
      <c r="IP205">
        <v>53.02</v>
      </c>
      <c r="IQ205">
        <v>54.36</v>
      </c>
      <c r="IR205">
        <v>55.34</v>
      </c>
      <c r="IS205">
        <v>56.29</v>
      </c>
      <c r="IT205">
        <v>57.22</v>
      </c>
      <c r="IU205">
        <v>58.13</v>
      </c>
      <c r="IV205">
        <v>59.06</v>
      </c>
      <c r="IW205">
        <v>60.16</v>
      </c>
      <c r="IX205">
        <v>60.64</v>
      </c>
      <c r="IY205">
        <v>60.98</v>
      </c>
      <c r="IZ205">
        <v>61.54</v>
      </c>
      <c r="JA205">
        <v>62.14</v>
      </c>
      <c r="JB205">
        <v>62.69</v>
      </c>
      <c r="JC205">
        <v>63.12</v>
      </c>
      <c r="JD205">
        <v>63.68</v>
      </c>
      <c r="JE205">
        <v>64.06</v>
      </c>
      <c r="JF205">
        <v>64.3</v>
      </c>
      <c r="JG205">
        <v>64.75</v>
      </c>
      <c r="JH205">
        <v>64.89</v>
      </c>
      <c r="JI205">
        <v>65.39</v>
      </c>
      <c r="JJ205">
        <v>65.819999999999993</v>
      </c>
      <c r="JK205">
        <v>66.239999999999995</v>
      </c>
      <c r="JL205">
        <v>66.62</v>
      </c>
      <c r="JM205">
        <v>66.760000000000005</v>
      </c>
      <c r="JN205">
        <v>67.36</v>
      </c>
      <c r="JO205">
        <v>67.92</v>
      </c>
      <c r="JP205">
        <v>68.569999999999993</v>
      </c>
      <c r="JQ205">
        <v>69.180000000000007</v>
      </c>
      <c r="JR205">
        <v>69.94</v>
      </c>
      <c r="JS205">
        <v>70.27</v>
      </c>
      <c r="JT205">
        <v>70.489999999999995</v>
      </c>
      <c r="JU205">
        <v>71.08</v>
      </c>
      <c r="JV205">
        <v>71.55</v>
      </c>
      <c r="JW205">
        <v>71.959999999999994</v>
      </c>
      <c r="JX205">
        <v>72.319999999999993</v>
      </c>
      <c r="JY205">
        <v>72.680000000000007</v>
      </c>
      <c r="JZ205">
        <v>72.819999999999993</v>
      </c>
      <c r="KA205">
        <v>72.89</v>
      </c>
      <c r="KB205">
        <v>73.290000000000006</v>
      </c>
      <c r="KC205">
        <v>73.58</v>
      </c>
      <c r="KD205">
        <v>73.92</v>
      </c>
      <c r="KE205">
        <v>74.239999999999995</v>
      </c>
      <c r="KF205">
        <v>74.239999999999995</v>
      </c>
      <c r="KG205">
        <v>74.5</v>
      </c>
      <c r="KH205">
        <v>74.61</v>
      </c>
      <c r="KI205">
        <v>75.33</v>
      </c>
      <c r="KJ205">
        <v>75.98</v>
      </c>
      <c r="KK205">
        <v>76.48</v>
      </c>
      <c r="KL205">
        <v>76.97</v>
      </c>
      <c r="KM205">
        <v>77.42</v>
      </c>
      <c r="KN205">
        <v>77.66</v>
      </c>
      <c r="KO205">
        <v>77.83</v>
      </c>
      <c r="KP205">
        <v>78.58</v>
      </c>
      <c r="KQ205">
        <v>79.33</v>
      </c>
      <c r="KR205">
        <v>79.92</v>
      </c>
      <c r="KS205">
        <v>80.48</v>
      </c>
      <c r="KT205">
        <v>81.13</v>
      </c>
      <c r="KU205">
        <v>81.459999999999994</v>
      </c>
      <c r="KV205">
        <v>81.650000000000006</v>
      </c>
      <c r="KW205">
        <v>82.21</v>
      </c>
      <c r="KX205">
        <v>82.67</v>
      </c>
      <c r="KY205">
        <v>83.03</v>
      </c>
      <c r="KZ205">
        <v>83.37</v>
      </c>
      <c r="LA205">
        <v>83.64</v>
      </c>
      <c r="LB205">
        <v>83.83</v>
      </c>
      <c r="LC205">
        <v>83.93</v>
      </c>
      <c r="LD205">
        <v>84.36</v>
      </c>
      <c r="LE205">
        <v>84.7</v>
      </c>
      <c r="LF205">
        <v>85.01</v>
      </c>
      <c r="LG205">
        <v>85.3</v>
      </c>
      <c r="LH205">
        <v>85.57</v>
      </c>
      <c r="LI205">
        <v>85.7</v>
      </c>
      <c r="LJ205">
        <v>85.8</v>
      </c>
      <c r="LK205">
        <v>86.13</v>
      </c>
      <c r="LL205">
        <v>86.41</v>
      </c>
      <c r="LM205">
        <v>86.65</v>
      </c>
      <c r="LN205">
        <v>86.88</v>
      </c>
      <c r="LO205">
        <v>87.16</v>
      </c>
      <c r="LP205">
        <v>87.29</v>
      </c>
      <c r="LQ205">
        <v>87.31</v>
      </c>
      <c r="LR205">
        <v>87.62</v>
      </c>
      <c r="LS205">
        <v>87.89</v>
      </c>
      <c r="LT205">
        <v>88.12</v>
      </c>
      <c r="LU205">
        <v>88.12</v>
      </c>
      <c r="LV205">
        <v>88.43</v>
      </c>
      <c r="LW205">
        <v>88.57</v>
      </c>
      <c r="LX205">
        <v>88.62</v>
      </c>
      <c r="LY205">
        <v>88.88</v>
      </c>
      <c r="LZ205">
        <v>89.11</v>
      </c>
      <c r="MA205">
        <v>89.31</v>
      </c>
      <c r="MB205">
        <v>89.5</v>
      </c>
      <c r="MC205">
        <v>89.68</v>
      </c>
      <c r="MD205">
        <v>89.75</v>
      </c>
      <c r="ME205">
        <v>89.8</v>
      </c>
      <c r="MF205">
        <v>90</v>
      </c>
      <c r="MG205">
        <v>90.17</v>
      </c>
      <c r="MH205">
        <v>90.3</v>
      </c>
      <c r="MI205">
        <v>90.46</v>
      </c>
      <c r="MJ205">
        <v>90.61</v>
      </c>
      <c r="MK205">
        <v>90.69</v>
      </c>
      <c r="ML205">
        <v>90.72</v>
      </c>
      <c r="MM205">
        <v>90.92</v>
      </c>
      <c r="MN205">
        <v>91.09</v>
      </c>
      <c r="MO205">
        <v>91.23</v>
      </c>
      <c r="MP205">
        <v>91.33</v>
      </c>
      <c r="MQ205">
        <v>91.49</v>
      </c>
      <c r="MR205">
        <v>91.58</v>
      </c>
      <c r="MS205">
        <v>91.64</v>
      </c>
      <c r="MT205">
        <v>91.84</v>
      </c>
      <c r="MU205">
        <v>91.99</v>
      </c>
      <c r="MV205">
        <v>92.11</v>
      </c>
      <c r="MW205">
        <v>92.22</v>
      </c>
      <c r="MX205">
        <v>92.37</v>
      </c>
      <c r="MY205">
        <v>92.44</v>
      </c>
      <c r="MZ205">
        <v>92.49</v>
      </c>
      <c r="NA205">
        <v>92.65</v>
      </c>
      <c r="NB205">
        <v>96</v>
      </c>
      <c r="NC205">
        <v>96.13</v>
      </c>
      <c r="ND205">
        <v>96.25</v>
      </c>
      <c r="NE205">
        <v>96.38</v>
      </c>
      <c r="NF205">
        <v>96.44</v>
      </c>
      <c r="NG205">
        <v>96.46</v>
      </c>
      <c r="NH205">
        <v>96.62</v>
      </c>
      <c r="NI205">
        <v>96.74</v>
      </c>
      <c r="NJ205">
        <v>96.87</v>
      </c>
      <c r="NK205">
        <v>96.97</v>
      </c>
      <c r="NL205">
        <v>97.09</v>
      </c>
      <c r="NN205">
        <v>97.78</v>
      </c>
      <c r="NO205">
        <v>98.28</v>
      </c>
      <c r="NP205">
        <v>98.64</v>
      </c>
      <c r="NQ205">
        <v>98.69</v>
      </c>
      <c r="NR205">
        <v>99.09</v>
      </c>
      <c r="NS205">
        <v>99.13</v>
      </c>
      <c r="NT205">
        <v>99.13</v>
      </c>
      <c r="NU205">
        <v>99.13</v>
      </c>
      <c r="NV205">
        <v>99.13</v>
      </c>
      <c r="NW205">
        <v>99.55</v>
      </c>
      <c r="NX205">
        <v>99.93</v>
      </c>
      <c r="NY205">
        <v>100.36</v>
      </c>
      <c r="NZ205">
        <v>100.42</v>
      </c>
      <c r="OA205">
        <v>100.42</v>
      </c>
      <c r="OB205">
        <v>100.42</v>
      </c>
      <c r="OC205">
        <v>100.8</v>
      </c>
      <c r="OD205">
        <v>101.15</v>
      </c>
      <c r="OE205">
        <v>101.45</v>
      </c>
      <c r="OF205">
        <v>101.75</v>
      </c>
      <c r="OG205">
        <v>102.06</v>
      </c>
      <c r="OH205">
        <v>102.27</v>
      </c>
      <c r="OK205">
        <v>102.91</v>
      </c>
      <c r="OL205">
        <v>103.14</v>
      </c>
      <c r="OM205">
        <v>103.35</v>
      </c>
      <c r="ON205">
        <v>103.54</v>
      </c>
      <c r="OO205">
        <v>103.64</v>
      </c>
      <c r="OP205">
        <v>103.65</v>
      </c>
      <c r="OQ205">
        <v>103.82</v>
      </c>
      <c r="OR205">
        <v>104</v>
      </c>
      <c r="OS205">
        <v>104.19</v>
      </c>
      <c r="OT205">
        <v>104.34</v>
      </c>
      <c r="OU205">
        <v>104.48</v>
      </c>
      <c r="OV205">
        <v>104.55</v>
      </c>
      <c r="OW205">
        <v>104.56</v>
      </c>
      <c r="OX205">
        <v>104.75</v>
      </c>
      <c r="OY205">
        <v>104.94</v>
      </c>
      <c r="OZ205">
        <v>105.09</v>
      </c>
      <c r="PA205">
        <v>105.24</v>
      </c>
      <c r="PB205">
        <v>105.41</v>
      </c>
      <c r="PC205">
        <v>105.5</v>
      </c>
      <c r="PD205">
        <v>105.52</v>
      </c>
      <c r="PE205">
        <v>105.71</v>
      </c>
      <c r="PF205">
        <v>105.85</v>
      </c>
      <c r="PG205">
        <v>106</v>
      </c>
      <c r="PH205">
        <v>106.13</v>
      </c>
      <c r="PI205">
        <v>106.29</v>
      </c>
      <c r="PJ205">
        <v>106.37</v>
      </c>
      <c r="PN205">
        <v>106.79</v>
      </c>
      <c r="PO205">
        <v>106.9</v>
      </c>
      <c r="PP205">
        <v>107.05</v>
      </c>
      <c r="PQ205">
        <v>107.13</v>
      </c>
      <c r="PR205">
        <v>107.14</v>
      </c>
      <c r="PS205">
        <v>107.29</v>
      </c>
      <c r="PU205">
        <v>107.56</v>
      </c>
      <c r="PV205">
        <v>107.68</v>
      </c>
      <c r="PW205">
        <v>107.84</v>
      </c>
      <c r="PX205">
        <v>107.95</v>
      </c>
      <c r="PY205">
        <v>107.95</v>
      </c>
      <c r="PZ205">
        <v>108.1</v>
      </c>
      <c r="QA205">
        <v>108.23</v>
      </c>
      <c r="QB205">
        <v>108.35</v>
      </c>
      <c r="QC205">
        <v>108.45</v>
      </c>
      <c r="QD205">
        <v>108.58</v>
      </c>
      <c r="QE205">
        <v>108.64</v>
      </c>
      <c r="QF205">
        <v>108.64</v>
      </c>
      <c r="QG205">
        <v>108.72</v>
      </c>
      <c r="QH205">
        <v>108.77</v>
      </c>
      <c r="QI205">
        <v>108.81</v>
      </c>
      <c r="QJ205">
        <v>108.86</v>
      </c>
      <c r="QK205">
        <v>108.91</v>
      </c>
      <c r="QL205">
        <v>108.97</v>
      </c>
      <c r="QM205">
        <v>108.97</v>
      </c>
      <c r="QN205">
        <v>109.04</v>
      </c>
      <c r="QO205">
        <v>109.12</v>
      </c>
      <c r="QP205">
        <v>109.18</v>
      </c>
      <c r="QQ205">
        <v>109.24</v>
      </c>
      <c r="QR205">
        <v>109.31</v>
      </c>
      <c r="QS205">
        <v>109.35</v>
      </c>
      <c r="QT205">
        <v>109.35</v>
      </c>
      <c r="QU205">
        <v>109.42</v>
      </c>
      <c r="QV205">
        <v>109.48</v>
      </c>
      <c r="QW205">
        <v>109.53</v>
      </c>
      <c r="QX205">
        <v>109.58</v>
      </c>
      <c r="QY205">
        <v>109.65</v>
      </c>
      <c r="QZ205">
        <v>109.68</v>
      </c>
      <c r="RA205">
        <v>109.69</v>
      </c>
      <c r="RB205">
        <v>109.73</v>
      </c>
      <c r="RC205">
        <v>109.79</v>
      </c>
      <c r="RD205">
        <v>109.84</v>
      </c>
      <c r="RE205">
        <v>109.88</v>
      </c>
      <c r="RF205">
        <v>109.93</v>
      </c>
      <c r="RG205">
        <v>109.96</v>
      </c>
      <c r="RH205">
        <v>110.17</v>
      </c>
      <c r="RI205">
        <v>110</v>
      </c>
      <c r="RJ205">
        <v>110.04</v>
      </c>
      <c r="RK205">
        <v>110.04</v>
      </c>
      <c r="RL205">
        <v>110.13</v>
      </c>
      <c r="RM205">
        <v>110.11</v>
      </c>
      <c r="RN205">
        <v>110.17</v>
      </c>
      <c r="RO205">
        <v>110.2</v>
      </c>
      <c r="RP205">
        <v>110.22</v>
      </c>
      <c r="RQ205">
        <v>110.3</v>
      </c>
      <c r="RR205">
        <v>110.3</v>
      </c>
      <c r="RT205">
        <v>110.37</v>
      </c>
      <c r="RU205">
        <v>110.4</v>
      </c>
      <c r="RV205">
        <v>110.43</v>
      </c>
      <c r="SA205">
        <v>110.5</v>
      </c>
      <c r="SB205">
        <v>110.53</v>
      </c>
      <c r="SC205">
        <v>110.54</v>
      </c>
      <c r="SE205">
        <v>110.56</v>
      </c>
      <c r="SF205">
        <v>110.58</v>
      </c>
      <c r="SG205">
        <v>110.6</v>
      </c>
      <c r="SH205">
        <v>110.62</v>
      </c>
      <c r="SI205">
        <v>110.64</v>
      </c>
      <c r="SJ205">
        <v>110.67</v>
      </c>
      <c r="SM205">
        <v>110.69</v>
      </c>
      <c r="SN205">
        <v>110.71</v>
      </c>
      <c r="SO205">
        <v>110.73</v>
      </c>
      <c r="SP205">
        <v>110.74</v>
      </c>
      <c r="SQ205">
        <v>110.76</v>
      </c>
      <c r="SS205">
        <v>110.77</v>
      </c>
      <c r="ST205">
        <v>110.79</v>
      </c>
      <c r="SW205">
        <v>110.85</v>
      </c>
      <c r="SX205">
        <v>110.87</v>
      </c>
      <c r="SZ205">
        <v>110.89</v>
      </c>
      <c r="TA205">
        <v>110.91</v>
      </c>
      <c r="TB205">
        <v>110.93</v>
      </c>
      <c r="TC205">
        <v>110.95</v>
      </c>
      <c r="TD205">
        <v>111</v>
      </c>
      <c r="TE205">
        <v>111.05</v>
      </c>
      <c r="TG205">
        <v>111.11</v>
      </c>
      <c r="TH205">
        <v>111.17</v>
      </c>
      <c r="TI205">
        <v>111.24</v>
      </c>
      <c r="TJ205">
        <v>111.29</v>
      </c>
      <c r="TK205">
        <v>111.35</v>
      </c>
      <c r="TN205">
        <v>111.41</v>
      </c>
      <c r="TO205">
        <v>111.45</v>
      </c>
      <c r="TP205">
        <v>111.49</v>
      </c>
      <c r="TQ205">
        <v>111.51</v>
      </c>
      <c r="TR205">
        <v>111.54</v>
      </c>
      <c r="TS205">
        <v>111.57</v>
      </c>
      <c r="TU205">
        <v>111.6</v>
      </c>
      <c r="TV205">
        <v>111.63</v>
      </c>
      <c r="TW205">
        <v>111.65</v>
      </c>
      <c r="TX205">
        <v>111.68</v>
      </c>
      <c r="TY205">
        <v>111.71</v>
      </c>
      <c r="TZ205">
        <v>111.73</v>
      </c>
      <c r="UB205">
        <v>111.75</v>
      </c>
      <c r="UC205">
        <v>111.77</v>
      </c>
      <c r="UD205">
        <v>111.8</v>
      </c>
      <c r="UF205">
        <v>111.83</v>
      </c>
      <c r="UH205">
        <v>111.85</v>
      </c>
      <c r="UI205">
        <v>111.85</v>
      </c>
      <c r="UJ205">
        <v>111.88</v>
      </c>
      <c r="UK205">
        <v>111.91</v>
      </c>
      <c r="UL205">
        <v>111.94</v>
      </c>
      <c r="UM205">
        <v>111.99</v>
      </c>
      <c r="UN205">
        <v>112.03</v>
      </c>
      <c r="UP205">
        <v>112.07</v>
      </c>
      <c r="UQ205">
        <v>112.11</v>
      </c>
      <c r="UR205">
        <v>112.13</v>
      </c>
      <c r="US205">
        <v>112.18</v>
      </c>
      <c r="UT205">
        <v>112.19</v>
      </c>
      <c r="UU205">
        <v>112.2</v>
      </c>
      <c r="UX205">
        <v>112.22</v>
      </c>
      <c r="UY205">
        <v>112.22</v>
      </c>
      <c r="VA205">
        <v>112.24</v>
      </c>
      <c r="VB205">
        <v>103.25</v>
      </c>
      <c r="VD205">
        <v>103.25</v>
      </c>
      <c r="VF205">
        <v>103.27</v>
      </c>
      <c r="VG205">
        <v>103.28</v>
      </c>
      <c r="VH205">
        <v>103.29</v>
      </c>
      <c r="VI205">
        <v>103.29</v>
      </c>
      <c r="VK205">
        <v>103.3</v>
      </c>
      <c r="VL205">
        <v>103.31</v>
      </c>
      <c r="VN205">
        <v>103.33</v>
      </c>
      <c r="VO205">
        <v>103.34</v>
      </c>
      <c r="VR205">
        <v>103.35</v>
      </c>
      <c r="VS205">
        <v>103.36</v>
      </c>
      <c r="VU205">
        <v>103.38</v>
      </c>
      <c r="VV205">
        <v>103.39</v>
      </c>
      <c r="VY205">
        <v>103.4</v>
      </c>
      <c r="VZ205">
        <v>103.4</v>
      </c>
      <c r="WA205">
        <v>103.41</v>
      </c>
      <c r="WB205">
        <v>103.42</v>
      </c>
      <c r="WE205">
        <v>103.42</v>
      </c>
      <c r="WF205">
        <v>103.43</v>
      </c>
      <c r="WG205">
        <v>103.44</v>
      </c>
      <c r="WH205">
        <v>103.45</v>
      </c>
      <c r="WI205">
        <v>103.46</v>
      </c>
      <c r="WJ205">
        <v>103.46</v>
      </c>
      <c r="WK205">
        <v>103.46</v>
      </c>
      <c r="WM205">
        <v>103.47</v>
      </c>
      <c r="WN205">
        <v>103.48</v>
      </c>
      <c r="WO205">
        <v>103.48</v>
      </c>
      <c r="WP205">
        <v>103.49</v>
      </c>
      <c r="WQ205">
        <v>103.49</v>
      </c>
      <c r="WS205">
        <v>103.5</v>
      </c>
      <c r="WT205">
        <v>103.51</v>
      </c>
      <c r="WU205">
        <v>103.51</v>
      </c>
      <c r="WV205">
        <v>103.52</v>
      </c>
      <c r="WX205">
        <v>103.53</v>
      </c>
      <c r="WZ205">
        <v>103.54</v>
      </c>
      <c r="XA205">
        <v>103.54</v>
      </c>
      <c r="XC205">
        <v>103.55</v>
      </c>
      <c r="XD205">
        <v>103.55</v>
      </c>
      <c r="XG205">
        <v>103.56</v>
      </c>
      <c r="XH205">
        <v>103.57</v>
      </c>
      <c r="XJ205">
        <v>103.58</v>
      </c>
      <c r="XK205">
        <v>103.59</v>
      </c>
      <c r="XN205">
        <v>103.59</v>
      </c>
      <c r="XO205">
        <v>103.6</v>
      </c>
      <c r="XP205">
        <v>103.6</v>
      </c>
      <c r="XQ205">
        <v>103.6</v>
      </c>
      <c r="XR205">
        <v>103.61</v>
      </c>
      <c r="XS205">
        <v>103.61</v>
      </c>
      <c r="XT205">
        <v>103.61</v>
      </c>
      <c r="XV205">
        <v>103.62</v>
      </c>
    </row>
    <row r="206" spans="1:812">
      <c r="A206" s="1" t="s">
        <v>158</v>
      </c>
      <c r="B206" t="s">
        <v>375</v>
      </c>
      <c r="CQ206">
        <v>0</v>
      </c>
      <c r="CR206">
        <v>0.01</v>
      </c>
      <c r="CS206">
        <v>0.02</v>
      </c>
      <c r="CT206">
        <v>0.02</v>
      </c>
      <c r="CX206">
        <v>0.06</v>
      </c>
      <c r="CZ206">
        <v>0.11</v>
      </c>
      <c r="DA206">
        <v>0.15</v>
      </c>
      <c r="DB206">
        <v>0.19</v>
      </c>
      <c r="DD206">
        <v>0.27</v>
      </c>
      <c r="DE206">
        <v>0.33</v>
      </c>
      <c r="DF206">
        <v>0.37</v>
      </c>
      <c r="DH206">
        <v>0.45</v>
      </c>
      <c r="DL206">
        <v>0.6</v>
      </c>
      <c r="DM206">
        <v>0.68</v>
      </c>
      <c r="DN206">
        <v>0.75</v>
      </c>
      <c r="DO206">
        <v>0.83</v>
      </c>
      <c r="DP206">
        <v>0.89</v>
      </c>
      <c r="DQ206">
        <v>0.95</v>
      </c>
      <c r="DR206">
        <v>1.06</v>
      </c>
      <c r="DS206">
        <v>1.1000000000000001</v>
      </c>
      <c r="DT206">
        <v>1.21</v>
      </c>
      <c r="DU206">
        <v>1.31</v>
      </c>
      <c r="DV206">
        <v>1.41</v>
      </c>
      <c r="DW206">
        <v>1.48</v>
      </c>
      <c r="DX206">
        <v>1.55</v>
      </c>
      <c r="DY206">
        <v>1.62</v>
      </c>
      <c r="EB206">
        <v>1.91</v>
      </c>
      <c r="EC206">
        <v>2.0299999999999998</v>
      </c>
      <c r="ED206">
        <v>2.14</v>
      </c>
      <c r="EE206">
        <v>2.25</v>
      </c>
      <c r="EF206">
        <v>2.37</v>
      </c>
      <c r="EG206">
        <v>2.48</v>
      </c>
      <c r="EH206">
        <v>2.59</v>
      </c>
      <c r="EI206">
        <v>2.71</v>
      </c>
      <c r="EJ206">
        <v>2.82</v>
      </c>
      <c r="EK206">
        <v>2.93</v>
      </c>
      <c r="EL206">
        <v>3.04</v>
      </c>
      <c r="EN206">
        <v>3.15</v>
      </c>
      <c r="EO206">
        <v>3.39</v>
      </c>
      <c r="EP206">
        <v>3.52</v>
      </c>
      <c r="EQ206">
        <v>3.59</v>
      </c>
      <c r="ER206">
        <v>3.66</v>
      </c>
      <c r="ES206">
        <v>3.76</v>
      </c>
      <c r="ET206">
        <v>3.87</v>
      </c>
      <c r="EU206">
        <v>4.05</v>
      </c>
      <c r="EV206">
        <v>4.2300000000000004</v>
      </c>
      <c r="EW206">
        <v>4.3899999999999997</v>
      </c>
      <c r="EX206">
        <v>4.55</v>
      </c>
      <c r="FC206">
        <v>4.83</v>
      </c>
      <c r="FD206">
        <v>5.08</v>
      </c>
      <c r="FE206">
        <v>5.31</v>
      </c>
      <c r="FF206">
        <v>5.55</v>
      </c>
      <c r="FG206">
        <v>5.79</v>
      </c>
      <c r="FI206">
        <v>6.25</v>
      </c>
      <c r="FJ206">
        <v>6.48</v>
      </c>
      <c r="FK206">
        <v>6.67</v>
      </c>
      <c r="FL206">
        <v>6.85</v>
      </c>
      <c r="FM206">
        <v>7.04</v>
      </c>
      <c r="FN206">
        <v>7.22</v>
      </c>
      <c r="FO206">
        <v>7.41</v>
      </c>
      <c r="FP206">
        <v>7.61</v>
      </c>
      <c r="FQ206">
        <v>7.81</v>
      </c>
      <c r="FR206">
        <v>7.97</v>
      </c>
      <c r="FS206">
        <v>8.11</v>
      </c>
      <c r="FT206">
        <v>8.32</v>
      </c>
      <c r="FU206">
        <v>8.6</v>
      </c>
      <c r="FV206">
        <v>8.9</v>
      </c>
      <c r="FW206">
        <v>9.2100000000000009</v>
      </c>
      <c r="FX206">
        <v>9.5299999999999994</v>
      </c>
      <c r="FY206">
        <v>9.81</v>
      </c>
      <c r="FZ206">
        <v>10.09</v>
      </c>
      <c r="GA206">
        <v>10.35</v>
      </c>
      <c r="GB206">
        <v>10.59</v>
      </c>
      <c r="GC206">
        <v>10.79</v>
      </c>
      <c r="GD206">
        <v>11.1</v>
      </c>
      <c r="GE206">
        <v>11.4</v>
      </c>
      <c r="GF206">
        <v>11.69</v>
      </c>
      <c r="GG206">
        <v>11.9</v>
      </c>
      <c r="GH206">
        <v>12.13</v>
      </c>
      <c r="GI206">
        <v>12.35</v>
      </c>
      <c r="GJ206">
        <v>12.58</v>
      </c>
      <c r="GK206">
        <v>12.84</v>
      </c>
      <c r="GL206">
        <v>13.13</v>
      </c>
      <c r="GM206">
        <v>13.4</v>
      </c>
      <c r="GN206">
        <v>13.62</v>
      </c>
      <c r="GO206">
        <v>13.85</v>
      </c>
      <c r="GP206">
        <v>14.06</v>
      </c>
      <c r="GQ206">
        <v>14.26</v>
      </c>
      <c r="GR206">
        <v>14.43</v>
      </c>
      <c r="GS206">
        <v>14.7</v>
      </c>
      <c r="GT206">
        <v>14.94</v>
      </c>
      <c r="GU206">
        <v>15.17</v>
      </c>
      <c r="GV206">
        <v>15.41</v>
      </c>
      <c r="GW206">
        <v>15.61</v>
      </c>
      <c r="GX206">
        <v>15.92</v>
      </c>
      <c r="GY206">
        <v>16.18</v>
      </c>
      <c r="GZ206">
        <v>16.440000000000001</v>
      </c>
      <c r="HA206">
        <v>16.690000000000001</v>
      </c>
      <c r="HB206">
        <v>16.920000000000002</v>
      </c>
      <c r="HC206">
        <v>17.13</v>
      </c>
      <c r="HD206">
        <v>17.37</v>
      </c>
      <c r="HE206">
        <v>17.62</v>
      </c>
      <c r="HF206">
        <v>17.899999999999999</v>
      </c>
      <c r="HG206">
        <v>18.09</v>
      </c>
      <c r="HH206">
        <v>18.239999999999998</v>
      </c>
      <c r="HI206">
        <v>18.43</v>
      </c>
      <c r="HJ206">
        <v>18.670000000000002</v>
      </c>
      <c r="HK206">
        <v>18.91</v>
      </c>
      <c r="HL206">
        <v>19.2</v>
      </c>
      <c r="HM206">
        <v>19.5</v>
      </c>
      <c r="HN206">
        <v>19.86</v>
      </c>
      <c r="HO206">
        <v>20.18</v>
      </c>
      <c r="HP206">
        <v>20.48</v>
      </c>
      <c r="HV206">
        <v>22.17</v>
      </c>
      <c r="HW206">
        <v>22.54</v>
      </c>
      <c r="ID206">
        <v>24.83</v>
      </c>
      <c r="IF206">
        <v>26.33</v>
      </c>
      <c r="II206">
        <v>27.86</v>
      </c>
      <c r="IJ206">
        <v>28.71</v>
      </c>
      <c r="IO206">
        <v>34.04</v>
      </c>
      <c r="IP206">
        <v>34.49</v>
      </c>
      <c r="IR206">
        <v>39.69</v>
      </c>
      <c r="IS206">
        <v>40.08</v>
      </c>
      <c r="IT206">
        <v>40.46</v>
      </c>
      <c r="IU206">
        <v>40.9</v>
      </c>
      <c r="IV206">
        <v>40.98</v>
      </c>
      <c r="IX206">
        <v>41.7</v>
      </c>
      <c r="IY206">
        <v>42.08</v>
      </c>
      <c r="IZ206">
        <v>42.35</v>
      </c>
      <c r="JA206">
        <v>42.61</v>
      </c>
      <c r="JB206">
        <v>43.02</v>
      </c>
      <c r="JE206">
        <v>47.22</v>
      </c>
      <c r="JF206">
        <v>47.62</v>
      </c>
      <c r="JJ206">
        <v>48.49</v>
      </c>
      <c r="JK206">
        <v>51.65</v>
      </c>
      <c r="JL206">
        <v>51.91</v>
      </c>
      <c r="JM206">
        <v>52.16</v>
      </c>
      <c r="JN206">
        <v>52.43</v>
      </c>
      <c r="JO206">
        <v>52.72</v>
      </c>
      <c r="JS206">
        <v>57.17</v>
      </c>
      <c r="JU206">
        <v>57.91</v>
      </c>
      <c r="JW206">
        <v>58.79</v>
      </c>
      <c r="KB206">
        <v>60.74</v>
      </c>
      <c r="KC206">
        <v>61.14</v>
      </c>
      <c r="KD206">
        <v>61.52</v>
      </c>
      <c r="KE206">
        <v>61.87</v>
      </c>
      <c r="KF206">
        <v>62.21</v>
      </c>
      <c r="KI206">
        <v>67.25</v>
      </c>
      <c r="KV206">
        <v>71.260000000000005</v>
      </c>
      <c r="LM206">
        <v>76.58</v>
      </c>
      <c r="LN206">
        <v>76.91</v>
      </c>
      <c r="LS206">
        <v>79.23</v>
      </c>
      <c r="LT206">
        <v>79.55</v>
      </c>
      <c r="MD206">
        <v>82.59</v>
      </c>
      <c r="MF206">
        <v>83.17</v>
      </c>
      <c r="ML206">
        <v>85.7</v>
      </c>
      <c r="MN206">
        <v>86.23</v>
      </c>
      <c r="MP206">
        <v>86.93</v>
      </c>
      <c r="MS206">
        <v>87.99</v>
      </c>
      <c r="MY206">
        <v>89.91</v>
      </c>
      <c r="NA206">
        <v>90.59</v>
      </c>
      <c r="NB206">
        <v>90.97</v>
      </c>
      <c r="ND206">
        <v>91.64</v>
      </c>
      <c r="NG206">
        <v>92.64</v>
      </c>
      <c r="NH206">
        <v>92.98</v>
      </c>
      <c r="NK206">
        <v>94.05</v>
      </c>
      <c r="OA206">
        <v>102.26</v>
      </c>
      <c r="OF206">
        <v>103.69</v>
      </c>
      <c r="OH206">
        <v>103.98</v>
      </c>
      <c r="OJ206">
        <v>104.27</v>
      </c>
      <c r="OK206">
        <v>104.42</v>
      </c>
      <c r="OO206">
        <v>105.03</v>
      </c>
      <c r="OQ206">
        <v>105.34</v>
      </c>
      <c r="OU206">
        <v>106.17</v>
      </c>
      <c r="PD206">
        <v>106.88</v>
      </c>
      <c r="PW206">
        <v>108.21</v>
      </c>
      <c r="PZ206">
        <v>108.62</v>
      </c>
      <c r="QF206">
        <v>108.86</v>
      </c>
      <c r="QK206">
        <v>108.98</v>
      </c>
      <c r="QL206">
        <v>109</v>
      </c>
      <c r="QO206">
        <v>109.06</v>
      </c>
      <c r="UI206">
        <v>110.53</v>
      </c>
      <c r="ABH206">
        <v>106.61</v>
      </c>
      <c r="ACI206">
        <v>107.17</v>
      </c>
      <c r="ACQ206">
        <v>107.18</v>
      </c>
      <c r="ADE206">
        <v>107.18</v>
      </c>
      <c r="ADL206">
        <v>107.18</v>
      </c>
      <c r="ADS206">
        <v>107.19</v>
      </c>
      <c r="ADZ206">
        <v>107.19</v>
      </c>
    </row>
    <row r="207" spans="1:812">
      <c r="A207" s="1" t="s">
        <v>52</v>
      </c>
      <c r="B207" t="s">
        <v>386</v>
      </c>
      <c r="AK207">
        <v>0</v>
      </c>
      <c r="AL207">
        <v>0.33</v>
      </c>
      <c r="AM207">
        <v>0.73</v>
      </c>
      <c r="AN207">
        <v>0.8</v>
      </c>
      <c r="AO207">
        <v>0.84</v>
      </c>
      <c r="AP207">
        <v>0.99</v>
      </c>
      <c r="AQ207">
        <v>1.1299999999999999</v>
      </c>
      <c r="AR207">
        <v>1.25</v>
      </c>
      <c r="AS207">
        <v>1.33</v>
      </c>
      <c r="AT207">
        <v>1.43</v>
      </c>
      <c r="AU207">
        <v>1.45</v>
      </c>
      <c r="AV207">
        <v>1.48</v>
      </c>
      <c r="AW207">
        <v>1.54</v>
      </c>
      <c r="AX207">
        <v>1.67</v>
      </c>
      <c r="AY207">
        <v>1.81</v>
      </c>
      <c r="AZ207">
        <v>2.0099999999999998</v>
      </c>
      <c r="BA207">
        <v>2.29</v>
      </c>
      <c r="BB207">
        <v>2.3199999999999998</v>
      </c>
      <c r="BC207">
        <v>2.36</v>
      </c>
      <c r="BD207">
        <v>2.5299999999999998</v>
      </c>
      <c r="BE207">
        <v>2.64</v>
      </c>
      <c r="BF207">
        <v>2.78</v>
      </c>
      <c r="BG207">
        <v>2.97</v>
      </c>
      <c r="BH207">
        <v>3.04</v>
      </c>
      <c r="BI207">
        <v>3.08</v>
      </c>
      <c r="BJ207">
        <v>3.1</v>
      </c>
      <c r="BK207">
        <v>3.16</v>
      </c>
      <c r="BL207">
        <v>3.24</v>
      </c>
      <c r="BM207">
        <v>3.31</v>
      </c>
      <c r="BN207">
        <v>3.37</v>
      </c>
      <c r="BO207">
        <v>4.04</v>
      </c>
      <c r="BP207">
        <v>4.4000000000000004</v>
      </c>
      <c r="BQ207">
        <v>4.54</v>
      </c>
      <c r="BR207">
        <v>4.96</v>
      </c>
      <c r="BS207">
        <v>5.49</v>
      </c>
      <c r="BT207">
        <v>6.19</v>
      </c>
      <c r="BU207">
        <v>6.99</v>
      </c>
      <c r="BV207">
        <v>7.54</v>
      </c>
      <c r="BW207">
        <v>7.75</v>
      </c>
      <c r="BX207">
        <v>7.79</v>
      </c>
      <c r="BY207">
        <v>8.11</v>
      </c>
      <c r="BZ207">
        <v>8.64</v>
      </c>
      <c r="CA207">
        <v>9.0299999999999994</v>
      </c>
      <c r="CB207">
        <v>9.4600000000000009</v>
      </c>
      <c r="CC207">
        <v>9.84</v>
      </c>
      <c r="CD207">
        <v>10.1</v>
      </c>
      <c r="CE207">
        <v>10.14</v>
      </c>
      <c r="CF207">
        <v>10.4</v>
      </c>
      <c r="CG207">
        <v>10.76</v>
      </c>
      <c r="CH207">
        <v>11.05</v>
      </c>
      <c r="CI207">
        <v>11.34</v>
      </c>
      <c r="CJ207">
        <v>11.57</v>
      </c>
      <c r="CK207">
        <v>11.72</v>
      </c>
      <c r="CL207">
        <v>11.76</v>
      </c>
      <c r="CM207">
        <v>11.86</v>
      </c>
      <c r="CN207">
        <v>12.12</v>
      </c>
      <c r="CO207">
        <v>12.28</v>
      </c>
      <c r="CP207">
        <v>12.45</v>
      </c>
      <c r="CQ207">
        <v>12.74</v>
      </c>
      <c r="CR207">
        <v>12.95</v>
      </c>
      <c r="CS207">
        <v>13.03</v>
      </c>
      <c r="CT207">
        <v>13.35</v>
      </c>
      <c r="CU207">
        <v>13.87</v>
      </c>
      <c r="CV207">
        <v>14.4</v>
      </c>
      <c r="CW207">
        <v>14.74</v>
      </c>
      <c r="CX207">
        <v>15.23</v>
      </c>
      <c r="CY207">
        <v>15.45</v>
      </c>
      <c r="CZ207">
        <v>15.48</v>
      </c>
      <c r="DA207">
        <v>15.73</v>
      </c>
      <c r="DB207">
        <v>16.11</v>
      </c>
      <c r="DC207">
        <v>16.559999999999999</v>
      </c>
      <c r="DD207">
        <v>16.87</v>
      </c>
      <c r="DE207">
        <v>17.18</v>
      </c>
      <c r="DF207">
        <v>17.37</v>
      </c>
      <c r="DH207">
        <v>17.73</v>
      </c>
      <c r="DI207">
        <v>18.14</v>
      </c>
      <c r="DJ207">
        <v>18.78</v>
      </c>
      <c r="DK207">
        <v>19.149999999999999</v>
      </c>
      <c r="DL207">
        <v>19.350000000000001</v>
      </c>
      <c r="DM207">
        <v>19.690000000000001</v>
      </c>
      <c r="DN207">
        <v>19.78</v>
      </c>
      <c r="DO207">
        <v>20.149999999999999</v>
      </c>
      <c r="DP207">
        <v>20.59</v>
      </c>
      <c r="DQ207">
        <v>20.99</v>
      </c>
      <c r="DR207">
        <v>21.45</v>
      </c>
      <c r="DS207">
        <v>21.72</v>
      </c>
      <c r="DT207">
        <v>21.87</v>
      </c>
      <c r="DU207">
        <v>21.93</v>
      </c>
      <c r="DV207">
        <v>22.21</v>
      </c>
      <c r="DW207">
        <v>22.6</v>
      </c>
      <c r="DX207">
        <v>22.85</v>
      </c>
      <c r="DY207">
        <v>23.06</v>
      </c>
      <c r="DZ207">
        <v>23.49</v>
      </c>
      <c r="EA207">
        <v>23.64</v>
      </c>
      <c r="EB207">
        <v>23.68</v>
      </c>
      <c r="EC207">
        <v>23.8</v>
      </c>
      <c r="ED207">
        <v>24.05</v>
      </c>
      <c r="EE207">
        <v>24.28</v>
      </c>
      <c r="EF207">
        <v>24.58</v>
      </c>
      <c r="EG207">
        <v>24.77</v>
      </c>
      <c r="EH207">
        <v>24.98</v>
      </c>
      <c r="EI207">
        <v>25.05</v>
      </c>
      <c r="EJ207">
        <v>25.37</v>
      </c>
      <c r="EK207">
        <v>25.7</v>
      </c>
      <c r="EL207">
        <v>26.24</v>
      </c>
      <c r="EM207">
        <v>26.76</v>
      </c>
      <c r="EN207">
        <v>27.05</v>
      </c>
      <c r="EO207">
        <v>27.15</v>
      </c>
      <c r="EP207">
        <v>27.28</v>
      </c>
      <c r="EQ207">
        <v>27.62</v>
      </c>
      <c r="ER207">
        <v>28.14</v>
      </c>
      <c r="ES207">
        <v>28.58</v>
      </c>
      <c r="ET207">
        <v>29.01</v>
      </c>
      <c r="EU207">
        <v>29.28</v>
      </c>
      <c r="EV207">
        <v>29.47</v>
      </c>
      <c r="EW207">
        <v>29.55</v>
      </c>
      <c r="EX207">
        <v>29.66</v>
      </c>
      <c r="EY207">
        <v>29.85</v>
      </c>
      <c r="EZ207">
        <v>30.06</v>
      </c>
      <c r="FA207">
        <v>30.12</v>
      </c>
      <c r="FB207">
        <v>30.31</v>
      </c>
      <c r="FC207">
        <v>30.46</v>
      </c>
      <c r="FD207">
        <v>30.56</v>
      </c>
      <c r="FE207">
        <v>30.77</v>
      </c>
      <c r="FF207">
        <v>31.46</v>
      </c>
      <c r="FG207">
        <v>31.8</v>
      </c>
      <c r="FH207">
        <v>32.11</v>
      </c>
      <c r="FI207">
        <v>32.9</v>
      </c>
      <c r="FJ207">
        <v>32.979999999999997</v>
      </c>
      <c r="FK207">
        <v>33.26</v>
      </c>
      <c r="FL207">
        <v>33.39</v>
      </c>
      <c r="FM207">
        <v>33.67</v>
      </c>
      <c r="FN207">
        <v>33.81</v>
      </c>
      <c r="FO207">
        <v>33.92</v>
      </c>
      <c r="FP207">
        <v>34.07</v>
      </c>
      <c r="FQ207">
        <v>34.15</v>
      </c>
      <c r="FR207">
        <v>34.340000000000003</v>
      </c>
      <c r="FS207">
        <v>34.590000000000003</v>
      </c>
      <c r="FT207">
        <v>34.83</v>
      </c>
      <c r="FU207">
        <v>35.159999999999997</v>
      </c>
      <c r="FV207">
        <v>35.72</v>
      </c>
      <c r="FW207">
        <v>35.950000000000003</v>
      </c>
      <c r="FX207">
        <v>36.25</v>
      </c>
      <c r="FY207">
        <v>36.590000000000003</v>
      </c>
      <c r="FZ207">
        <v>37.049999999999997</v>
      </c>
      <c r="GA207">
        <v>37.46</v>
      </c>
      <c r="GB207">
        <v>37.93</v>
      </c>
      <c r="GC207">
        <v>38.54</v>
      </c>
      <c r="GD207">
        <v>39.07</v>
      </c>
      <c r="GE207">
        <v>39.64</v>
      </c>
      <c r="GF207">
        <v>40.380000000000003</v>
      </c>
      <c r="GG207">
        <v>41.24</v>
      </c>
      <c r="GH207">
        <v>42.97</v>
      </c>
      <c r="GI207">
        <v>44.75</v>
      </c>
      <c r="GJ207">
        <v>46.77</v>
      </c>
      <c r="GK207">
        <v>48.16</v>
      </c>
      <c r="GL207">
        <v>48.84</v>
      </c>
      <c r="GM207">
        <v>50.53</v>
      </c>
      <c r="GN207">
        <v>51.73</v>
      </c>
      <c r="GO207">
        <v>52.27</v>
      </c>
      <c r="GP207">
        <v>53.3</v>
      </c>
      <c r="GQ207">
        <v>54.34</v>
      </c>
      <c r="GR207">
        <v>55.29</v>
      </c>
      <c r="GS207">
        <v>55.82</v>
      </c>
      <c r="GT207">
        <v>56.64</v>
      </c>
      <c r="GU207">
        <v>58.03</v>
      </c>
      <c r="GV207">
        <v>58.57</v>
      </c>
      <c r="GW207">
        <v>60.01</v>
      </c>
      <c r="GX207">
        <v>60.72</v>
      </c>
      <c r="GY207">
        <v>61.78</v>
      </c>
      <c r="GZ207">
        <v>62.22</v>
      </c>
      <c r="HA207">
        <v>63.11</v>
      </c>
      <c r="HB207">
        <v>64.2</v>
      </c>
      <c r="HC207">
        <v>65.22</v>
      </c>
      <c r="HD207">
        <v>66.17</v>
      </c>
      <c r="HE207">
        <v>67.17</v>
      </c>
      <c r="HF207">
        <v>67.88</v>
      </c>
      <c r="HG207">
        <v>68.28</v>
      </c>
      <c r="HH207">
        <v>68.95</v>
      </c>
      <c r="HI207">
        <v>70.06</v>
      </c>
      <c r="HJ207">
        <v>71.2</v>
      </c>
      <c r="HK207">
        <v>72.34</v>
      </c>
      <c r="HL207">
        <v>73.959999999999994</v>
      </c>
      <c r="HM207">
        <v>74.150000000000006</v>
      </c>
      <c r="HN207">
        <v>74.78</v>
      </c>
      <c r="HO207">
        <v>75.209999999999994</v>
      </c>
      <c r="HP207">
        <v>75.72</v>
      </c>
      <c r="HQ207">
        <v>75.8</v>
      </c>
      <c r="HR207">
        <v>76.400000000000006</v>
      </c>
      <c r="HS207">
        <v>77.19</v>
      </c>
      <c r="HT207">
        <v>77.459999999999994</v>
      </c>
      <c r="HU207">
        <v>78</v>
      </c>
      <c r="HV207">
        <v>79.209999999999994</v>
      </c>
      <c r="HW207">
        <v>80.73</v>
      </c>
      <c r="HX207">
        <v>82.1</v>
      </c>
      <c r="HY207">
        <v>83.52</v>
      </c>
      <c r="HZ207">
        <v>85.18</v>
      </c>
      <c r="IA207">
        <v>86.47</v>
      </c>
      <c r="IB207">
        <v>86.88</v>
      </c>
      <c r="IC207">
        <v>87.14</v>
      </c>
      <c r="ID207">
        <v>87.61</v>
      </c>
      <c r="IE207">
        <v>88.13</v>
      </c>
      <c r="IF207">
        <v>88.14</v>
      </c>
      <c r="IG207">
        <v>88.35</v>
      </c>
      <c r="IH207">
        <v>89.05</v>
      </c>
      <c r="II207">
        <v>89.73</v>
      </c>
      <c r="IJ207">
        <v>90.15</v>
      </c>
      <c r="IK207">
        <v>90.83</v>
      </c>
      <c r="IL207">
        <v>92.8</v>
      </c>
      <c r="IM207">
        <v>94.43</v>
      </c>
      <c r="IN207">
        <v>96.56</v>
      </c>
      <c r="IO207">
        <v>97.25</v>
      </c>
      <c r="IP207">
        <v>98.25</v>
      </c>
      <c r="IQ207">
        <v>98.81</v>
      </c>
      <c r="IR207">
        <v>99.66</v>
      </c>
      <c r="IS207">
        <v>100.79</v>
      </c>
      <c r="IT207">
        <v>102.46</v>
      </c>
      <c r="IU207">
        <v>103.39</v>
      </c>
      <c r="IV207">
        <v>103.55</v>
      </c>
      <c r="IW207">
        <v>104</v>
      </c>
      <c r="IX207">
        <v>104.37</v>
      </c>
      <c r="IY207">
        <v>105.42</v>
      </c>
      <c r="IZ207">
        <v>106.31</v>
      </c>
      <c r="JA207">
        <v>107.1</v>
      </c>
      <c r="JB207">
        <v>107.88</v>
      </c>
      <c r="JC207">
        <v>108.64</v>
      </c>
      <c r="JD207">
        <v>109.02</v>
      </c>
      <c r="JE207">
        <v>109.36</v>
      </c>
      <c r="JF207">
        <v>109.73</v>
      </c>
      <c r="JG207">
        <v>110.73</v>
      </c>
      <c r="JH207">
        <v>111.56</v>
      </c>
      <c r="JI207">
        <v>112.37</v>
      </c>
      <c r="JJ207">
        <v>113.33</v>
      </c>
      <c r="JK207">
        <v>113.78</v>
      </c>
      <c r="JL207">
        <v>114.19</v>
      </c>
      <c r="JM207">
        <v>115.21</v>
      </c>
      <c r="JN207">
        <v>116.21</v>
      </c>
      <c r="JO207">
        <v>117.1</v>
      </c>
      <c r="JP207">
        <v>117.9</v>
      </c>
      <c r="JQ207">
        <v>118.82</v>
      </c>
      <c r="JR207">
        <v>119.3</v>
      </c>
      <c r="JS207">
        <v>119.64</v>
      </c>
      <c r="JT207">
        <v>120.45</v>
      </c>
      <c r="JU207">
        <v>121.12</v>
      </c>
      <c r="JV207">
        <v>121.74</v>
      </c>
      <c r="JW207">
        <v>122.32</v>
      </c>
      <c r="JX207">
        <v>122.99</v>
      </c>
      <c r="JY207">
        <v>123.34</v>
      </c>
      <c r="JZ207">
        <v>123.6</v>
      </c>
      <c r="KA207">
        <v>124.19</v>
      </c>
      <c r="KB207">
        <v>124.72</v>
      </c>
      <c r="KC207">
        <v>125.22</v>
      </c>
      <c r="KD207">
        <v>125.69</v>
      </c>
      <c r="KE207">
        <v>126.27</v>
      </c>
      <c r="KF207">
        <v>126.57</v>
      </c>
      <c r="KG207">
        <v>126.81</v>
      </c>
      <c r="KH207">
        <v>127.35</v>
      </c>
      <c r="KI207">
        <v>127.86</v>
      </c>
      <c r="KK207">
        <v>128.75</v>
      </c>
      <c r="KL207">
        <v>129.26</v>
      </c>
      <c r="KM207">
        <v>129.53</v>
      </c>
      <c r="KN207">
        <v>129.74</v>
      </c>
      <c r="KO207">
        <v>130.22</v>
      </c>
      <c r="KP207">
        <v>130.61000000000001</v>
      </c>
      <c r="KQ207">
        <v>130.97999999999999</v>
      </c>
      <c r="KR207">
        <v>131.32</v>
      </c>
      <c r="KS207">
        <v>131.74</v>
      </c>
      <c r="KT207">
        <v>131.96</v>
      </c>
      <c r="KU207">
        <v>132.12</v>
      </c>
      <c r="KV207">
        <v>132.47999999999999</v>
      </c>
      <c r="KW207">
        <v>132.81</v>
      </c>
      <c r="KX207">
        <v>133.09</v>
      </c>
      <c r="KY207">
        <v>133.37</v>
      </c>
      <c r="KZ207">
        <v>133.71</v>
      </c>
      <c r="LA207">
        <v>133.88999999999999</v>
      </c>
      <c r="LB207">
        <v>134.02000000000001</v>
      </c>
      <c r="LC207">
        <v>134.29</v>
      </c>
      <c r="LD207">
        <v>134.55000000000001</v>
      </c>
      <c r="LE207">
        <v>134.78</v>
      </c>
      <c r="LF207">
        <v>135</v>
      </c>
      <c r="LG207">
        <v>135.27000000000001</v>
      </c>
      <c r="LH207">
        <v>135.41999999999999</v>
      </c>
      <c r="LI207">
        <v>135.53</v>
      </c>
      <c r="LJ207">
        <v>135.79</v>
      </c>
      <c r="LK207">
        <v>136.02000000000001</v>
      </c>
      <c r="LL207">
        <v>136.24</v>
      </c>
      <c r="LM207">
        <v>136.43</v>
      </c>
      <c r="LN207">
        <v>136.55000000000001</v>
      </c>
      <c r="LO207">
        <v>136.65</v>
      </c>
      <c r="LP207">
        <v>136.72999999999999</v>
      </c>
      <c r="LQ207">
        <v>136.97</v>
      </c>
      <c r="LR207">
        <v>137.18</v>
      </c>
      <c r="LS207">
        <v>137.38</v>
      </c>
      <c r="LT207">
        <v>137.59</v>
      </c>
      <c r="LU207">
        <v>137.84</v>
      </c>
      <c r="LV207">
        <v>137.94</v>
      </c>
      <c r="LW207">
        <v>138.02000000000001</v>
      </c>
      <c r="LX207">
        <v>138.24</v>
      </c>
      <c r="LY207">
        <v>138.43</v>
      </c>
      <c r="LZ207">
        <v>138.6</v>
      </c>
      <c r="MA207">
        <v>138.79</v>
      </c>
      <c r="MB207">
        <v>139.01</v>
      </c>
      <c r="MC207">
        <v>139.11000000000001</v>
      </c>
      <c r="MD207">
        <v>139.19</v>
      </c>
      <c r="ME207">
        <v>139.41</v>
      </c>
      <c r="MF207">
        <v>139.61000000000001</v>
      </c>
      <c r="MG207">
        <v>139.79</v>
      </c>
      <c r="MH207">
        <v>139.96</v>
      </c>
      <c r="MI207">
        <v>140.16999999999999</v>
      </c>
      <c r="MJ207">
        <v>140.25</v>
      </c>
      <c r="MK207">
        <v>140.32</v>
      </c>
      <c r="ML207">
        <v>140.49</v>
      </c>
      <c r="MM207">
        <v>140.63999999999999</v>
      </c>
      <c r="MN207">
        <v>140.78</v>
      </c>
      <c r="MO207">
        <v>140.91999999999999</v>
      </c>
      <c r="MP207">
        <v>141.09</v>
      </c>
      <c r="MQ207">
        <v>141.16999999999999</v>
      </c>
      <c r="MR207">
        <v>141.24</v>
      </c>
      <c r="MS207">
        <v>141.41</v>
      </c>
      <c r="MT207">
        <v>141.56</v>
      </c>
      <c r="MU207">
        <v>141.71</v>
      </c>
      <c r="MV207">
        <v>141.86000000000001</v>
      </c>
      <c r="MW207">
        <v>142.03</v>
      </c>
      <c r="MX207">
        <v>142.11000000000001</v>
      </c>
      <c r="MY207">
        <v>142.18</v>
      </c>
      <c r="MZ207">
        <v>142.33000000000001</v>
      </c>
      <c r="NA207">
        <v>142.47</v>
      </c>
      <c r="NB207">
        <v>142.61000000000001</v>
      </c>
      <c r="NC207">
        <v>142.74</v>
      </c>
      <c r="ND207">
        <v>142.91</v>
      </c>
      <c r="NE207">
        <v>142.99</v>
      </c>
      <c r="NF207">
        <v>143.05000000000001</v>
      </c>
      <c r="NG207">
        <v>143.22999999999999</v>
      </c>
      <c r="NH207">
        <v>143.38</v>
      </c>
      <c r="NI207">
        <v>143.5</v>
      </c>
      <c r="NJ207">
        <v>143.91999999999999</v>
      </c>
      <c r="NK207">
        <v>144.80000000000001</v>
      </c>
      <c r="NL207">
        <v>145.37</v>
      </c>
      <c r="NM207">
        <v>145.88</v>
      </c>
      <c r="NN207">
        <v>146.88</v>
      </c>
      <c r="NO207">
        <v>147.88</v>
      </c>
      <c r="NP207">
        <v>148.83000000000001</v>
      </c>
      <c r="NQ207">
        <v>149.66999999999999</v>
      </c>
      <c r="NR207">
        <v>150.51</v>
      </c>
      <c r="NS207">
        <v>150.91999999999999</v>
      </c>
      <c r="NT207">
        <v>151.28</v>
      </c>
      <c r="NU207">
        <v>152.08000000000001</v>
      </c>
      <c r="NV207">
        <v>152.83000000000001</v>
      </c>
      <c r="NW207">
        <v>153.54</v>
      </c>
      <c r="NX207">
        <v>154.19999999999999</v>
      </c>
      <c r="NY207">
        <v>154.80000000000001</v>
      </c>
      <c r="OA207">
        <v>155.47</v>
      </c>
      <c r="OB207">
        <v>156.27000000000001</v>
      </c>
      <c r="OD207">
        <v>157.80000000000001</v>
      </c>
      <c r="OE207">
        <v>158.58000000000001</v>
      </c>
      <c r="OF207">
        <v>159.47</v>
      </c>
      <c r="OG207">
        <v>159.91999999999999</v>
      </c>
      <c r="OH207">
        <v>160.25</v>
      </c>
      <c r="OI207">
        <v>160.97999999999999</v>
      </c>
      <c r="OJ207">
        <v>161.6</v>
      </c>
      <c r="OK207">
        <v>162.13999999999999</v>
      </c>
      <c r="OL207">
        <v>162.66</v>
      </c>
      <c r="OM207">
        <v>163.24</v>
      </c>
      <c r="ON207">
        <v>163.53</v>
      </c>
      <c r="OO207">
        <v>163.72</v>
      </c>
      <c r="OP207">
        <v>164.13</v>
      </c>
      <c r="OQ207">
        <v>164.47</v>
      </c>
      <c r="OR207">
        <v>164.73</v>
      </c>
      <c r="OS207">
        <v>164.99</v>
      </c>
      <c r="OT207">
        <v>165.28</v>
      </c>
      <c r="OU207">
        <v>165.41</v>
      </c>
      <c r="OV207">
        <v>165.5</v>
      </c>
      <c r="OW207">
        <v>165.73</v>
      </c>
      <c r="OX207">
        <v>165.91</v>
      </c>
      <c r="OY207">
        <v>166.1</v>
      </c>
      <c r="OZ207">
        <v>166.29</v>
      </c>
      <c r="PA207">
        <v>166.52</v>
      </c>
      <c r="PB207">
        <v>166.63</v>
      </c>
      <c r="PC207">
        <v>166.71</v>
      </c>
      <c r="PD207">
        <v>166.95</v>
      </c>
      <c r="PE207">
        <v>167.18</v>
      </c>
      <c r="PF207">
        <v>167.39</v>
      </c>
      <c r="PG207">
        <v>167.59</v>
      </c>
      <c r="PH207">
        <v>167.84</v>
      </c>
      <c r="PI207">
        <v>167.95</v>
      </c>
      <c r="PJ207">
        <v>168.04</v>
      </c>
      <c r="PK207">
        <v>168.3</v>
      </c>
      <c r="PL207">
        <v>168.51</v>
      </c>
      <c r="PM207">
        <v>168.71</v>
      </c>
      <c r="PN207">
        <v>168.91</v>
      </c>
      <c r="PO207">
        <v>169.15</v>
      </c>
      <c r="PP207">
        <v>169.26</v>
      </c>
      <c r="PQ207">
        <v>169.34</v>
      </c>
      <c r="PR207">
        <v>169.53</v>
      </c>
      <c r="PS207">
        <v>169.71</v>
      </c>
      <c r="PT207">
        <v>169.89</v>
      </c>
      <c r="PU207">
        <v>170.03</v>
      </c>
      <c r="PV207">
        <v>170.19</v>
      </c>
      <c r="PW207">
        <v>170.27</v>
      </c>
      <c r="PX207">
        <v>170.33</v>
      </c>
      <c r="PY207">
        <v>170.5</v>
      </c>
      <c r="PZ207">
        <v>170.65</v>
      </c>
      <c r="QA207">
        <v>170.79</v>
      </c>
      <c r="QB207">
        <v>170.91</v>
      </c>
      <c r="QC207">
        <v>171.04</v>
      </c>
      <c r="QD207">
        <v>171.09</v>
      </c>
      <c r="QE207">
        <v>171.13</v>
      </c>
      <c r="QF207">
        <v>171.25</v>
      </c>
      <c r="QG207">
        <v>171.35</v>
      </c>
      <c r="QH207">
        <v>171.45</v>
      </c>
      <c r="QI207">
        <v>171.53</v>
      </c>
      <c r="QJ207">
        <v>171.61</v>
      </c>
      <c r="QK207">
        <v>171.65</v>
      </c>
      <c r="QL207">
        <v>171.67</v>
      </c>
      <c r="QM207">
        <v>171.74</v>
      </c>
      <c r="QN207">
        <v>171.79</v>
      </c>
      <c r="QO207">
        <v>171.85</v>
      </c>
      <c r="QP207">
        <v>171.89</v>
      </c>
      <c r="QQ207">
        <v>171.94</v>
      </c>
      <c r="QR207">
        <v>171.96</v>
      </c>
      <c r="QS207">
        <v>171.97</v>
      </c>
      <c r="QT207">
        <v>172</v>
      </c>
      <c r="QU207">
        <v>172.04</v>
      </c>
      <c r="QV207">
        <v>172.07</v>
      </c>
      <c r="QW207">
        <v>172.12</v>
      </c>
      <c r="QX207">
        <v>172.17</v>
      </c>
      <c r="QY207">
        <v>172.19</v>
      </c>
      <c r="QZ207">
        <v>172.2</v>
      </c>
      <c r="RA207">
        <v>172.27</v>
      </c>
      <c r="RB207">
        <v>172.34</v>
      </c>
      <c r="RC207">
        <v>172.41</v>
      </c>
      <c r="RD207">
        <v>172.47</v>
      </c>
      <c r="RE207">
        <v>172.54</v>
      </c>
      <c r="RF207">
        <v>172.56</v>
      </c>
      <c r="RG207">
        <v>172.58</v>
      </c>
      <c r="RH207">
        <v>172.65</v>
      </c>
      <c r="RI207">
        <v>172.72</v>
      </c>
      <c r="RJ207">
        <v>172.78</v>
      </c>
      <c r="RK207">
        <v>172.85</v>
      </c>
      <c r="RL207">
        <v>172.94</v>
      </c>
      <c r="RM207">
        <v>172.97</v>
      </c>
      <c r="RN207">
        <v>173</v>
      </c>
      <c r="RO207">
        <v>173.03</v>
      </c>
      <c r="RP207">
        <v>173.06</v>
      </c>
      <c r="RQ207">
        <v>173.1</v>
      </c>
      <c r="RR207">
        <v>173.13</v>
      </c>
      <c r="RS207">
        <v>173.16</v>
      </c>
      <c r="RT207">
        <v>173.18</v>
      </c>
      <c r="RU207">
        <v>173.21</v>
      </c>
      <c r="RV207">
        <v>173.25</v>
      </c>
      <c r="RW207">
        <v>173.27</v>
      </c>
      <c r="RX207">
        <v>173.29</v>
      </c>
      <c r="RY207">
        <v>173.31</v>
      </c>
      <c r="RZ207">
        <v>173.33</v>
      </c>
      <c r="SB207">
        <v>173.35</v>
      </c>
      <c r="SC207">
        <v>173.36</v>
      </c>
      <c r="SD207">
        <v>173.37</v>
      </c>
      <c r="SE207">
        <v>173.39</v>
      </c>
      <c r="SF207">
        <v>173.41</v>
      </c>
      <c r="SG207">
        <v>173.42</v>
      </c>
      <c r="SH207">
        <v>173.44</v>
      </c>
      <c r="SI207">
        <v>173.44</v>
      </c>
      <c r="SJ207">
        <v>173.44</v>
      </c>
      <c r="SK207">
        <v>173.44</v>
      </c>
      <c r="SL207">
        <v>173.45</v>
      </c>
      <c r="SM207">
        <v>173.45</v>
      </c>
      <c r="SN207">
        <v>173.47</v>
      </c>
      <c r="SO207">
        <v>173.48</v>
      </c>
      <c r="SP207">
        <v>173.49</v>
      </c>
      <c r="SQ207">
        <v>173.49</v>
      </c>
      <c r="SR207">
        <v>173.51</v>
      </c>
      <c r="SS207">
        <v>173.53</v>
      </c>
      <c r="ST207">
        <v>173.55</v>
      </c>
      <c r="SU207">
        <v>173.57</v>
      </c>
      <c r="SV207">
        <v>173.58</v>
      </c>
      <c r="SW207">
        <v>173.59</v>
      </c>
      <c r="SX207">
        <v>173.59</v>
      </c>
      <c r="SY207">
        <v>173.6</v>
      </c>
      <c r="SZ207">
        <v>173.62</v>
      </c>
      <c r="TA207">
        <v>173.63</v>
      </c>
      <c r="TB207">
        <v>173.63</v>
      </c>
      <c r="TD207">
        <v>173.65</v>
      </c>
      <c r="TE207">
        <v>173.65</v>
      </c>
      <c r="TF207">
        <v>173.66</v>
      </c>
      <c r="TG207">
        <v>173.67</v>
      </c>
      <c r="TH207">
        <v>173.68</v>
      </c>
      <c r="TI207">
        <v>173.69</v>
      </c>
      <c r="TJ207">
        <v>173.7</v>
      </c>
      <c r="TK207">
        <v>173.7</v>
      </c>
      <c r="TL207">
        <v>173.7</v>
      </c>
      <c r="TM207">
        <v>173.71</v>
      </c>
      <c r="TN207">
        <v>173.72</v>
      </c>
      <c r="UA207">
        <v>173.77</v>
      </c>
      <c r="UB207">
        <v>173.78</v>
      </c>
      <c r="UC207">
        <v>173.78</v>
      </c>
      <c r="UD207">
        <v>173.79</v>
      </c>
      <c r="UE207">
        <v>173.79</v>
      </c>
      <c r="UF207">
        <v>173.79</v>
      </c>
      <c r="UG207">
        <v>173.79</v>
      </c>
      <c r="UH207">
        <v>173.8</v>
      </c>
      <c r="UI207">
        <v>173.8</v>
      </c>
      <c r="UJ207">
        <v>173.8</v>
      </c>
      <c r="UK207">
        <v>173.81</v>
      </c>
      <c r="UL207">
        <v>173.81</v>
      </c>
      <c r="UM207">
        <v>173.81</v>
      </c>
      <c r="UO207">
        <v>173.82</v>
      </c>
      <c r="UP207">
        <v>173.82</v>
      </c>
      <c r="UQ207">
        <v>173.82</v>
      </c>
      <c r="UR207">
        <v>173.83</v>
      </c>
      <c r="UT207">
        <v>173.83</v>
      </c>
      <c r="UU207">
        <v>173.84</v>
      </c>
      <c r="UV207">
        <v>173.84</v>
      </c>
      <c r="UW207">
        <v>173.85</v>
      </c>
      <c r="UX207">
        <v>173.86</v>
      </c>
      <c r="UY207">
        <v>173.86</v>
      </c>
      <c r="VA207">
        <v>173.87</v>
      </c>
      <c r="VB207">
        <v>174.43</v>
      </c>
      <c r="VC207">
        <v>174.5</v>
      </c>
      <c r="VD207">
        <v>174.6</v>
      </c>
      <c r="VE207">
        <v>174.72</v>
      </c>
      <c r="VF207">
        <v>174.84</v>
      </c>
      <c r="VG207">
        <v>174.94</v>
      </c>
      <c r="VH207">
        <v>175.02</v>
      </c>
      <c r="VI207">
        <v>175.09</v>
      </c>
      <c r="VJ207">
        <v>175.29</v>
      </c>
      <c r="VK207">
        <v>175.53</v>
      </c>
      <c r="VL207">
        <v>175.78</v>
      </c>
      <c r="VM207">
        <v>176.02</v>
      </c>
      <c r="VN207">
        <v>176.28</v>
      </c>
      <c r="VO207">
        <v>176.36</v>
      </c>
      <c r="VP207">
        <v>176.42</v>
      </c>
      <c r="VQ207">
        <v>176.67</v>
      </c>
      <c r="VR207">
        <v>176.9</v>
      </c>
      <c r="VS207">
        <v>177.11</v>
      </c>
      <c r="VT207">
        <v>177.29</v>
      </c>
      <c r="VU207">
        <v>177.47</v>
      </c>
      <c r="VV207">
        <v>177.52</v>
      </c>
      <c r="VW207">
        <v>177.72</v>
      </c>
      <c r="VX207">
        <v>177.86</v>
      </c>
      <c r="VY207">
        <v>177.99</v>
      </c>
      <c r="VZ207">
        <v>178.11</v>
      </c>
      <c r="WA207">
        <v>178.22</v>
      </c>
      <c r="WB207">
        <v>178.25</v>
      </c>
      <c r="WC207">
        <v>178.27</v>
      </c>
      <c r="WD207">
        <v>178.38</v>
      </c>
      <c r="WE207">
        <v>178.47</v>
      </c>
      <c r="WF207">
        <v>178.56</v>
      </c>
      <c r="WG207">
        <v>178.65</v>
      </c>
      <c r="WH207">
        <v>178.73</v>
      </c>
      <c r="WI207">
        <v>178.76</v>
      </c>
      <c r="WJ207">
        <v>178.76</v>
      </c>
      <c r="WK207">
        <v>178.76</v>
      </c>
      <c r="WM207">
        <v>178.95</v>
      </c>
      <c r="WN207">
        <v>179</v>
      </c>
      <c r="WO207">
        <v>179.05</v>
      </c>
      <c r="WP207">
        <v>179.06</v>
      </c>
      <c r="WQ207">
        <v>179.06</v>
      </c>
      <c r="WR207">
        <v>179.1</v>
      </c>
      <c r="WS207">
        <v>179.14</v>
      </c>
      <c r="WT207">
        <v>179.18</v>
      </c>
      <c r="WU207">
        <v>179.21</v>
      </c>
      <c r="WV207">
        <v>179.24</v>
      </c>
      <c r="WW207">
        <v>179.25</v>
      </c>
      <c r="WX207">
        <v>179.25</v>
      </c>
      <c r="WY207">
        <v>179.28</v>
      </c>
      <c r="WZ207">
        <v>179.28</v>
      </c>
      <c r="XA207">
        <v>179.31</v>
      </c>
      <c r="XB207">
        <v>179.33</v>
      </c>
      <c r="XC207">
        <v>179.36</v>
      </c>
      <c r="XD207">
        <v>179.36</v>
      </c>
      <c r="XE207">
        <v>179.37</v>
      </c>
      <c r="XF207">
        <v>179.39</v>
      </c>
      <c r="XG207">
        <v>179.41</v>
      </c>
      <c r="XH207">
        <v>179.43</v>
      </c>
      <c r="XI207">
        <v>179.45</v>
      </c>
      <c r="XJ207">
        <v>179.46</v>
      </c>
      <c r="XK207">
        <v>179.47</v>
      </c>
      <c r="XL207">
        <v>179.47</v>
      </c>
      <c r="XM207">
        <v>179.48</v>
      </c>
      <c r="XN207">
        <v>179.5</v>
      </c>
      <c r="XO207">
        <v>179.51</v>
      </c>
      <c r="XP207">
        <v>179.53</v>
      </c>
      <c r="XQ207">
        <v>179.54</v>
      </c>
      <c r="XR207">
        <v>179.54</v>
      </c>
      <c r="XS207">
        <v>179.54</v>
      </c>
      <c r="XT207">
        <v>179.56</v>
      </c>
      <c r="XU207">
        <v>179.57</v>
      </c>
      <c r="XV207">
        <v>179.58</v>
      </c>
      <c r="XW207">
        <v>179.59</v>
      </c>
      <c r="XX207">
        <v>179.6</v>
      </c>
      <c r="XY207">
        <v>179.61</v>
      </c>
      <c r="XZ207">
        <v>179.61</v>
      </c>
      <c r="YA207">
        <v>179.62</v>
      </c>
      <c r="YB207">
        <v>179.63</v>
      </c>
      <c r="YC207">
        <v>179.65</v>
      </c>
      <c r="YD207">
        <v>179.66</v>
      </c>
      <c r="YE207">
        <v>179.67</v>
      </c>
      <c r="YF207">
        <v>179.67</v>
      </c>
      <c r="YG207">
        <v>179.67</v>
      </c>
      <c r="YH207">
        <v>179.69</v>
      </c>
      <c r="YI207">
        <v>179.7</v>
      </c>
      <c r="YJ207">
        <v>179.71</v>
      </c>
      <c r="YK207">
        <v>179.72</v>
      </c>
      <c r="YL207">
        <v>179.73</v>
      </c>
      <c r="YM207">
        <v>179.73</v>
      </c>
      <c r="YN207">
        <v>179.73</v>
      </c>
      <c r="YO207">
        <v>179.75</v>
      </c>
      <c r="YP207">
        <v>179.75</v>
      </c>
      <c r="YR207">
        <v>179.76</v>
      </c>
      <c r="YS207">
        <v>179.77</v>
      </c>
      <c r="YT207">
        <v>179.77</v>
      </c>
      <c r="YU207">
        <v>179.78</v>
      </c>
      <c r="YV207">
        <v>179.78</v>
      </c>
      <c r="YW207">
        <v>179.79</v>
      </c>
      <c r="YX207">
        <v>179.8</v>
      </c>
      <c r="YY207">
        <v>179.81</v>
      </c>
      <c r="YZ207">
        <v>179.81</v>
      </c>
      <c r="ZA207">
        <v>179.81</v>
      </c>
      <c r="ZB207">
        <v>179.82</v>
      </c>
      <c r="ZC207">
        <v>179.82</v>
      </c>
      <c r="ZD207">
        <v>179.83</v>
      </c>
      <c r="ZE207">
        <v>178.64</v>
      </c>
      <c r="ZF207">
        <v>178.65</v>
      </c>
      <c r="ZG207">
        <v>178.65</v>
      </c>
      <c r="ZH207">
        <v>178.65</v>
      </c>
      <c r="ZJ207">
        <v>178.66</v>
      </c>
    </row>
    <row r="208" spans="1:812">
      <c r="A208" s="1" t="s">
        <v>415</v>
      </c>
      <c r="B208" t="s">
        <v>416</v>
      </c>
      <c r="DN208">
        <v>0.7</v>
      </c>
    </row>
    <row r="209" spans="1:812">
      <c r="A209" s="1" t="s">
        <v>381</v>
      </c>
      <c r="B209" t="s">
        <v>385</v>
      </c>
      <c r="AH209">
        <v>0</v>
      </c>
      <c r="BK209">
        <v>16.62</v>
      </c>
      <c r="DH209">
        <v>62.76</v>
      </c>
      <c r="DU209">
        <v>64.67</v>
      </c>
      <c r="FD209">
        <v>79.45</v>
      </c>
      <c r="FP209">
        <v>93.42</v>
      </c>
      <c r="GK209">
        <v>98.43</v>
      </c>
      <c r="GY209">
        <v>117.11</v>
      </c>
      <c r="HM209">
        <v>119.71</v>
      </c>
      <c r="HT209">
        <v>122.07</v>
      </c>
      <c r="IO209">
        <v>126.83</v>
      </c>
    </row>
    <row r="210" spans="1:812">
      <c r="A210" s="1" t="s">
        <v>409</v>
      </c>
      <c r="B210" t="s">
        <v>409</v>
      </c>
      <c r="EK210">
        <v>20.350000000000001</v>
      </c>
      <c r="FT210">
        <v>20.350000000000001</v>
      </c>
      <c r="GH210">
        <v>40.47</v>
      </c>
    </row>
    <row r="211" spans="1:812">
      <c r="A211" s="1" t="s">
        <v>164</v>
      </c>
      <c r="B211" t="s">
        <v>164</v>
      </c>
      <c r="CN211">
        <v>0</v>
      </c>
      <c r="CQ211">
        <v>0</v>
      </c>
      <c r="CR211">
        <v>0</v>
      </c>
      <c r="CS211">
        <v>0</v>
      </c>
      <c r="CT211">
        <v>0.01</v>
      </c>
      <c r="CU211">
        <v>0.01</v>
      </c>
      <c r="CV211">
        <v>0.02</v>
      </c>
      <c r="CW211">
        <v>0.03</v>
      </c>
      <c r="CX211">
        <v>0.04</v>
      </c>
      <c r="CY211">
        <v>0.04</v>
      </c>
      <c r="CZ211">
        <v>0.05</v>
      </c>
      <c r="DA211">
        <v>0.06</v>
      </c>
      <c r="DB211">
        <v>7.0000000000000007E-2</v>
      </c>
      <c r="DC211">
        <v>0.1</v>
      </c>
      <c r="DD211">
        <v>0.1</v>
      </c>
      <c r="DE211">
        <v>0.1</v>
      </c>
      <c r="DF211">
        <v>0.13</v>
      </c>
      <c r="DG211">
        <v>0.15</v>
      </c>
      <c r="DH211">
        <v>0.18</v>
      </c>
      <c r="DI211">
        <v>0.2</v>
      </c>
      <c r="DN211">
        <v>0.28000000000000003</v>
      </c>
      <c r="DO211">
        <v>0.3</v>
      </c>
      <c r="DP211">
        <v>0.31</v>
      </c>
      <c r="DQ211">
        <v>0.36</v>
      </c>
      <c r="DR211">
        <v>0.39</v>
      </c>
      <c r="DT211">
        <v>0.4</v>
      </c>
      <c r="DU211">
        <v>0.41</v>
      </c>
      <c r="DV211">
        <v>0.43</v>
      </c>
      <c r="DW211">
        <v>0.45</v>
      </c>
      <c r="DX211">
        <v>0.48</v>
      </c>
      <c r="DZ211">
        <v>0.5</v>
      </c>
      <c r="EA211">
        <v>0.51</v>
      </c>
      <c r="EB211">
        <v>0.52</v>
      </c>
      <c r="EC211">
        <v>0.54</v>
      </c>
      <c r="ED211">
        <v>0.55000000000000004</v>
      </c>
      <c r="EE211">
        <v>0.59</v>
      </c>
      <c r="EH211">
        <v>0.6</v>
      </c>
      <c r="EJ211">
        <v>0.66</v>
      </c>
      <c r="EK211">
        <v>0.7</v>
      </c>
      <c r="EL211">
        <v>0.72</v>
      </c>
      <c r="EO211">
        <v>0.74</v>
      </c>
      <c r="EP211">
        <v>0.75</v>
      </c>
      <c r="EQ211">
        <v>0.8</v>
      </c>
      <c r="ER211">
        <v>0.82</v>
      </c>
      <c r="ES211">
        <v>0.85</v>
      </c>
      <c r="ET211">
        <v>0.86</v>
      </c>
      <c r="EU211">
        <v>0.87</v>
      </c>
      <c r="EV211">
        <v>0.87</v>
      </c>
      <c r="EW211">
        <v>0.89</v>
      </c>
      <c r="EY211">
        <v>0.91</v>
      </c>
      <c r="EZ211">
        <v>0.92</v>
      </c>
      <c r="FB211">
        <v>0.94</v>
      </c>
      <c r="FD211">
        <v>0.99</v>
      </c>
      <c r="FE211">
        <v>1.02</v>
      </c>
      <c r="FG211">
        <v>1.07</v>
      </c>
      <c r="FI211">
        <v>1.1100000000000001</v>
      </c>
      <c r="FJ211">
        <v>1.1200000000000001</v>
      </c>
      <c r="FK211">
        <v>1.1599999999999999</v>
      </c>
      <c r="FL211">
        <v>1.18</v>
      </c>
      <c r="FN211">
        <v>1.24</v>
      </c>
      <c r="FO211">
        <v>1.26</v>
      </c>
      <c r="FQ211">
        <v>1.3</v>
      </c>
      <c r="FR211">
        <v>1.42</v>
      </c>
      <c r="FS211">
        <v>1.47</v>
      </c>
      <c r="FT211">
        <v>1.48</v>
      </c>
      <c r="FU211">
        <v>1.54</v>
      </c>
      <c r="FX211">
        <v>1.64</v>
      </c>
      <c r="GA211">
        <v>1.66</v>
      </c>
      <c r="GC211">
        <v>1.7</v>
      </c>
      <c r="GE211">
        <v>1.72</v>
      </c>
      <c r="GF211">
        <v>1.76</v>
      </c>
      <c r="GG211">
        <v>1.76</v>
      </c>
      <c r="GH211">
        <v>1.78</v>
      </c>
      <c r="GI211">
        <v>1.8</v>
      </c>
      <c r="GJ211">
        <v>1.8</v>
      </c>
      <c r="GL211">
        <v>1.82</v>
      </c>
      <c r="GM211">
        <v>1.82</v>
      </c>
      <c r="GO211">
        <v>1.84</v>
      </c>
      <c r="GP211">
        <v>1.84</v>
      </c>
      <c r="GS211">
        <v>1.87</v>
      </c>
      <c r="GT211">
        <v>1.87</v>
      </c>
      <c r="GU211">
        <v>1.87</v>
      </c>
      <c r="GV211">
        <v>1.88</v>
      </c>
      <c r="GX211">
        <v>2.17</v>
      </c>
      <c r="GZ211">
        <v>2.25</v>
      </c>
      <c r="HA211">
        <v>2.31</v>
      </c>
      <c r="HG211">
        <v>2.35</v>
      </c>
      <c r="HI211">
        <v>2.36</v>
      </c>
      <c r="HJ211">
        <v>2.37</v>
      </c>
      <c r="HO211">
        <v>2.38</v>
      </c>
      <c r="HP211">
        <v>2.41</v>
      </c>
      <c r="HR211">
        <v>2.42</v>
      </c>
      <c r="HS211">
        <v>2.4300000000000002</v>
      </c>
      <c r="HY211">
        <v>2.48</v>
      </c>
      <c r="IA211">
        <v>2.5</v>
      </c>
      <c r="IE211">
        <v>2.52</v>
      </c>
      <c r="IG211">
        <v>2.52</v>
      </c>
      <c r="IV211">
        <v>2.4700000000000002</v>
      </c>
      <c r="IW211">
        <v>2.75</v>
      </c>
      <c r="KC211">
        <v>4.37</v>
      </c>
      <c r="KR211">
        <v>5.55</v>
      </c>
      <c r="KY211">
        <v>5.93</v>
      </c>
      <c r="LF211">
        <v>6.35</v>
      </c>
      <c r="LM211">
        <v>6.94</v>
      </c>
      <c r="LT211">
        <v>7.65</v>
      </c>
      <c r="LZ211">
        <v>8.27</v>
      </c>
      <c r="ME211">
        <v>10.08</v>
      </c>
      <c r="NC211">
        <v>16.579999999999998</v>
      </c>
      <c r="NN211">
        <v>20.72</v>
      </c>
      <c r="PD211">
        <v>27.4</v>
      </c>
      <c r="PK211">
        <v>31.77</v>
      </c>
    </row>
    <row r="212" spans="1:812">
      <c r="A212" s="1" t="s">
        <v>67</v>
      </c>
      <c r="B212" t="s">
        <v>376</v>
      </c>
      <c r="CA212">
        <v>0</v>
      </c>
      <c r="CB212">
        <v>0</v>
      </c>
      <c r="CC212">
        <v>0.01</v>
      </c>
      <c r="CD212">
        <v>0.01</v>
      </c>
      <c r="CF212">
        <v>0.01</v>
      </c>
      <c r="CG212">
        <v>0.02</v>
      </c>
      <c r="CH212">
        <v>0.02</v>
      </c>
      <c r="CI212">
        <v>0.03</v>
      </c>
      <c r="CJ212">
        <v>0.04</v>
      </c>
      <c r="CK212">
        <v>0.04</v>
      </c>
      <c r="CL212">
        <v>0.04</v>
      </c>
      <c r="CM212">
        <v>0.04</v>
      </c>
      <c r="CN212">
        <v>0.05</v>
      </c>
      <c r="CO212">
        <v>7.0000000000000007E-2</v>
      </c>
      <c r="CP212">
        <v>0.09</v>
      </c>
      <c r="CQ212">
        <v>0.11</v>
      </c>
      <c r="CR212">
        <v>0.12</v>
      </c>
      <c r="CS212">
        <v>0.12</v>
      </c>
      <c r="CT212">
        <v>0.14000000000000001</v>
      </c>
      <c r="CV212">
        <v>0.21</v>
      </c>
      <c r="CX212">
        <v>0.24</v>
      </c>
      <c r="CY212">
        <v>0.25</v>
      </c>
      <c r="CZ212">
        <v>0.25</v>
      </c>
      <c r="DA212">
        <v>0.28000000000000003</v>
      </c>
      <c r="DB212">
        <v>0.36</v>
      </c>
      <c r="DD212">
        <v>0.44</v>
      </c>
      <c r="DG212">
        <v>0.45</v>
      </c>
      <c r="DH212">
        <v>0.49</v>
      </c>
      <c r="DI212">
        <v>0.53</v>
      </c>
      <c r="DJ212">
        <v>0.56999999999999995</v>
      </c>
      <c r="DK212">
        <v>0.61</v>
      </c>
      <c r="DL212">
        <v>0.66</v>
      </c>
      <c r="DN212">
        <v>0.67</v>
      </c>
      <c r="DO212">
        <v>0.7</v>
      </c>
      <c r="DP212">
        <v>0.73</v>
      </c>
      <c r="DQ212">
        <v>0.77</v>
      </c>
      <c r="DR212">
        <v>0.81</v>
      </c>
      <c r="DS212">
        <v>0.85</v>
      </c>
      <c r="DT212">
        <v>0.86</v>
      </c>
      <c r="DU212">
        <v>0.86</v>
      </c>
      <c r="DV212">
        <v>0.89</v>
      </c>
      <c r="DW212">
        <v>0.92</v>
      </c>
      <c r="DX212">
        <v>0.96</v>
      </c>
      <c r="DY212">
        <v>0.99</v>
      </c>
      <c r="DZ212">
        <v>1.02</v>
      </c>
      <c r="EA212">
        <v>1.03</v>
      </c>
      <c r="EB212">
        <v>1.03</v>
      </c>
      <c r="EC212">
        <v>1.06</v>
      </c>
      <c r="ED212">
        <v>1.0900000000000001</v>
      </c>
      <c r="EE212">
        <v>1.1200000000000001</v>
      </c>
      <c r="EF212">
        <v>1.1599999999999999</v>
      </c>
      <c r="EG212">
        <v>1.19</v>
      </c>
      <c r="EI212">
        <v>1.21</v>
      </c>
      <c r="EJ212">
        <v>1.23</v>
      </c>
      <c r="EK212">
        <v>1.28</v>
      </c>
      <c r="EL212">
        <v>1.44</v>
      </c>
      <c r="EM212">
        <v>1.61</v>
      </c>
      <c r="EN212">
        <v>1.72</v>
      </c>
      <c r="EO212">
        <v>1.73</v>
      </c>
      <c r="EP212">
        <v>1.73</v>
      </c>
      <c r="EQ212">
        <v>1.73</v>
      </c>
      <c r="ER212">
        <v>1.74</v>
      </c>
      <c r="ES212">
        <v>1.79</v>
      </c>
      <c r="ET212">
        <v>1.88</v>
      </c>
      <c r="EU212">
        <v>1.96</v>
      </c>
      <c r="EV212">
        <v>1.97</v>
      </c>
      <c r="EX212">
        <v>1.98</v>
      </c>
      <c r="EY212">
        <v>2.02</v>
      </c>
      <c r="EZ212">
        <v>2.0699999999999998</v>
      </c>
      <c r="FA212">
        <v>2.12</v>
      </c>
      <c r="FB212">
        <v>2.17</v>
      </c>
      <c r="FC212">
        <v>2.19</v>
      </c>
      <c r="FD212">
        <v>2.19</v>
      </c>
      <c r="FE212">
        <v>2.23</v>
      </c>
      <c r="FF212">
        <v>2.27</v>
      </c>
      <c r="FG212">
        <v>2.3199999999999998</v>
      </c>
      <c r="FH212">
        <v>2.36</v>
      </c>
      <c r="FI212">
        <v>2.4</v>
      </c>
      <c r="FJ212">
        <v>2.41</v>
      </c>
      <c r="FK212">
        <v>2.41</v>
      </c>
      <c r="FL212">
        <v>2.44</v>
      </c>
      <c r="FM212">
        <v>2.48</v>
      </c>
      <c r="FN212">
        <v>2.5099999999999998</v>
      </c>
      <c r="FO212">
        <v>2.5499999999999998</v>
      </c>
      <c r="FP212">
        <v>2.59</v>
      </c>
      <c r="FQ212">
        <v>2.61</v>
      </c>
      <c r="FR212">
        <v>2.62</v>
      </c>
      <c r="FS212">
        <v>2.66</v>
      </c>
      <c r="FT212">
        <v>2.7</v>
      </c>
      <c r="FU212">
        <v>2.78</v>
      </c>
      <c r="FV212">
        <v>2.89</v>
      </c>
      <c r="FW212">
        <v>3.03</v>
      </c>
      <c r="FX212">
        <v>3.12</v>
      </c>
      <c r="FY212">
        <v>3.17</v>
      </c>
      <c r="FZ212">
        <v>3.28</v>
      </c>
      <c r="GA212">
        <v>3.41</v>
      </c>
      <c r="GB212">
        <v>3.53</v>
      </c>
      <c r="GC212">
        <v>3.66</v>
      </c>
      <c r="GD212">
        <v>3.8</v>
      </c>
      <c r="GE212">
        <v>3.88</v>
      </c>
      <c r="GF212">
        <v>3.93</v>
      </c>
      <c r="GG212">
        <v>4.04</v>
      </c>
      <c r="GH212">
        <v>4.1900000000000004</v>
      </c>
      <c r="GI212">
        <v>4.3600000000000003</v>
      </c>
      <c r="GJ212">
        <v>4.55</v>
      </c>
      <c r="GL212">
        <v>4.76</v>
      </c>
      <c r="GM212">
        <v>4.7699999999999996</v>
      </c>
      <c r="GN212">
        <v>4.79</v>
      </c>
      <c r="GO212">
        <v>4.91</v>
      </c>
      <c r="GP212">
        <v>5.0999999999999996</v>
      </c>
      <c r="GQ212">
        <v>5.32</v>
      </c>
      <c r="GR212">
        <v>5.54</v>
      </c>
      <c r="GS212">
        <v>5.64</v>
      </c>
      <c r="GT212">
        <v>5.68</v>
      </c>
      <c r="GU212">
        <v>5.72</v>
      </c>
      <c r="GV212">
        <v>5.91</v>
      </c>
      <c r="GX212">
        <v>6.33</v>
      </c>
      <c r="GZ212">
        <v>6.63</v>
      </c>
      <c r="HA212">
        <v>6.69</v>
      </c>
      <c r="HB212">
        <v>6.86</v>
      </c>
      <c r="HC212">
        <v>7.07</v>
      </c>
      <c r="HD212">
        <v>7.31</v>
      </c>
      <c r="HE212">
        <v>7.56</v>
      </c>
      <c r="HF212">
        <v>7.82</v>
      </c>
      <c r="HG212">
        <v>7.92</v>
      </c>
      <c r="HH212">
        <v>7.98</v>
      </c>
      <c r="HI212">
        <v>8.17</v>
      </c>
      <c r="HJ212">
        <v>8.4</v>
      </c>
      <c r="HK212">
        <v>8.65</v>
      </c>
      <c r="HL212">
        <v>8.92</v>
      </c>
      <c r="HM212">
        <v>9.17</v>
      </c>
      <c r="HN212">
        <v>9.2899999999999991</v>
      </c>
      <c r="HO212">
        <v>9.3699999999999992</v>
      </c>
      <c r="HP212">
        <v>9.56</v>
      </c>
      <c r="HQ212">
        <v>9.7899999999999991</v>
      </c>
      <c r="HR212">
        <v>10.06</v>
      </c>
      <c r="HS212">
        <v>10.38</v>
      </c>
      <c r="HT212">
        <v>10.73</v>
      </c>
      <c r="HU212">
        <v>10.89</v>
      </c>
      <c r="HV212">
        <v>11</v>
      </c>
      <c r="HW212">
        <v>11.29</v>
      </c>
      <c r="HX212">
        <v>11.62</v>
      </c>
      <c r="HY212">
        <v>11.95</v>
      </c>
      <c r="HZ212">
        <v>12.29</v>
      </c>
      <c r="IA212">
        <v>12.64</v>
      </c>
      <c r="IB212">
        <v>12.79</v>
      </c>
      <c r="IC212">
        <v>12.88</v>
      </c>
      <c r="ID212">
        <v>13.17</v>
      </c>
      <c r="IE212">
        <v>13.52</v>
      </c>
      <c r="IF212">
        <v>13.88</v>
      </c>
      <c r="IG212">
        <v>14.26</v>
      </c>
      <c r="IH212">
        <v>14.65</v>
      </c>
      <c r="II212">
        <v>14.83</v>
      </c>
      <c r="IJ212">
        <v>14.95</v>
      </c>
      <c r="IK212">
        <v>15.27</v>
      </c>
      <c r="IL212">
        <v>15.65</v>
      </c>
      <c r="IM212">
        <v>16.03</v>
      </c>
      <c r="IN212">
        <v>16.399999999999999</v>
      </c>
      <c r="IO212">
        <v>16.77</v>
      </c>
      <c r="IP212">
        <v>16.940000000000001</v>
      </c>
      <c r="IQ212">
        <v>17.059999999999999</v>
      </c>
      <c r="IR212">
        <v>17.34</v>
      </c>
      <c r="IS212">
        <v>17.61</v>
      </c>
      <c r="IT212">
        <v>17.89</v>
      </c>
      <c r="IU212">
        <v>18.18</v>
      </c>
      <c r="IV212">
        <v>18.63</v>
      </c>
      <c r="IW212">
        <v>18.79</v>
      </c>
      <c r="IX212">
        <v>18.88</v>
      </c>
      <c r="IY212">
        <v>19.05</v>
      </c>
      <c r="IZ212">
        <v>19.100000000000001</v>
      </c>
      <c r="JA212">
        <v>19.47</v>
      </c>
      <c r="JB212">
        <v>19.87</v>
      </c>
      <c r="JC212">
        <v>20.25</v>
      </c>
      <c r="JD212">
        <v>20.45</v>
      </c>
      <c r="JE212">
        <v>20.55</v>
      </c>
      <c r="JF212">
        <v>20.89</v>
      </c>
      <c r="JG212">
        <v>21.26</v>
      </c>
      <c r="JH212">
        <v>21.53</v>
      </c>
      <c r="JI212">
        <v>21.88</v>
      </c>
      <c r="JJ212">
        <v>22.27</v>
      </c>
      <c r="JK212">
        <v>22.43</v>
      </c>
      <c r="JL212">
        <v>22.52</v>
      </c>
      <c r="JM212">
        <v>22.83</v>
      </c>
      <c r="JN212">
        <v>23.17</v>
      </c>
      <c r="JO212">
        <v>23.54</v>
      </c>
      <c r="JP212">
        <v>23.94</v>
      </c>
      <c r="JQ212">
        <v>24.37</v>
      </c>
      <c r="JR212">
        <v>24.54</v>
      </c>
      <c r="JS212">
        <v>24.64</v>
      </c>
      <c r="JT212">
        <v>24.95</v>
      </c>
      <c r="JU212">
        <v>25.28</v>
      </c>
      <c r="JV212">
        <v>25.55</v>
      </c>
      <c r="JW212">
        <v>25.84</v>
      </c>
      <c r="JX212">
        <v>26.14</v>
      </c>
      <c r="JY212">
        <v>26.27</v>
      </c>
      <c r="JZ212">
        <v>26.36</v>
      </c>
      <c r="KA212">
        <v>26.61</v>
      </c>
      <c r="KB212">
        <v>26.87</v>
      </c>
      <c r="KC212">
        <v>27.21</v>
      </c>
      <c r="KD212">
        <v>27.56</v>
      </c>
      <c r="KE212">
        <v>27.93</v>
      </c>
      <c r="KF212">
        <v>28.07</v>
      </c>
      <c r="KG212">
        <v>28.16</v>
      </c>
      <c r="KH212">
        <v>28.43</v>
      </c>
      <c r="KI212">
        <v>28.74</v>
      </c>
      <c r="KJ212">
        <v>29.03</v>
      </c>
      <c r="KK212">
        <v>29.33</v>
      </c>
      <c r="KL212">
        <v>29.62</v>
      </c>
      <c r="KM212">
        <v>29.74</v>
      </c>
      <c r="KN212">
        <v>29.82</v>
      </c>
      <c r="KO212">
        <v>30.05</v>
      </c>
      <c r="KP212">
        <v>30.32</v>
      </c>
      <c r="KQ212">
        <v>30.6</v>
      </c>
      <c r="KR212">
        <v>30.9</v>
      </c>
      <c r="KS212">
        <v>31.24</v>
      </c>
      <c r="KT212">
        <v>31.39</v>
      </c>
      <c r="KU212">
        <v>31.48</v>
      </c>
      <c r="KV212">
        <v>31.76</v>
      </c>
      <c r="KW212">
        <v>32.119999999999997</v>
      </c>
      <c r="KX212">
        <v>32.49</v>
      </c>
      <c r="KY212">
        <v>32.57</v>
      </c>
      <c r="KZ212">
        <v>32.92</v>
      </c>
      <c r="LA212">
        <v>33.11</v>
      </c>
      <c r="LB212">
        <v>33.24</v>
      </c>
      <c r="LC212">
        <v>33.68</v>
      </c>
      <c r="LD212">
        <v>34.200000000000003</v>
      </c>
      <c r="LE212">
        <v>34.78</v>
      </c>
      <c r="LF212">
        <v>35.4</v>
      </c>
      <c r="LG212">
        <v>36.06</v>
      </c>
      <c r="LH212">
        <v>36.47</v>
      </c>
      <c r="LI212">
        <v>36.71</v>
      </c>
      <c r="LJ212">
        <v>37.29</v>
      </c>
      <c r="LK212">
        <v>37.96</v>
      </c>
      <c r="LL212">
        <v>38.64</v>
      </c>
      <c r="LM212">
        <v>39.299999999999997</v>
      </c>
      <c r="LN212">
        <v>40.03</v>
      </c>
      <c r="LO212">
        <v>40.44</v>
      </c>
      <c r="LP212">
        <v>40.71</v>
      </c>
      <c r="LQ212">
        <v>41.34</v>
      </c>
      <c r="LR212">
        <v>42.05</v>
      </c>
      <c r="LS212">
        <v>42.74</v>
      </c>
      <c r="LT212">
        <v>42.74</v>
      </c>
      <c r="LU212">
        <v>44.01</v>
      </c>
      <c r="LV212">
        <v>44.31</v>
      </c>
      <c r="LW212">
        <v>44.5</v>
      </c>
      <c r="LX212">
        <v>45.06</v>
      </c>
      <c r="LY212">
        <v>45.67</v>
      </c>
      <c r="LZ212">
        <v>46.31</v>
      </c>
      <c r="MA212">
        <v>46.95</v>
      </c>
      <c r="MB212">
        <v>47.64</v>
      </c>
      <c r="MC212">
        <v>47.98</v>
      </c>
      <c r="MD212">
        <v>48.2</v>
      </c>
      <c r="ME212">
        <v>48.82</v>
      </c>
      <c r="MF212">
        <v>49.49</v>
      </c>
      <c r="MG212">
        <v>50.18</v>
      </c>
      <c r="MH212">
        <v>50.86</v>
      </c>
      <c r="MI212">
        <v>51.57</v>
      </c>
      <c r="MJ212">
        <v>51.92</v>
      </c>
      <c r="MK212">
        <v>52.15</v>
      </c>
      <c r="ML212">
        <v>52.78</v>
      </c>
      <c r="MM212">
        <v>53.43</v>
      </c>
      <c r="MN212">
        <v>54.07</v>
      </c>
      <c r="MO212">
        <v>54.7</v>
      </c>
      <c r="MP212">
        <v>55.34</v>
      </c>
      <c r="MQ212">
        <v>55.66</v>
      </c>
      <c r="MR212">
        <v>55.88</v>
      </c>
      <c r="MS212">
        <v>56.4</v>
      </c>
      <c r="MT212">
        <v>56.93</v>
      </c>
      <c r="MU212">
        <v>57.41</v>
      </c>
      <c r="MV212">
        <v>57.88</v>
      </c>
      <c r="MW212">
        <v>58.38</v>
      </c>
      <c r="MX212">
        <v>58.64</v>
      </c>
      <c r="MY212">
        <v>58.8</v>
      </c>
      <c r="MZ212">
        <v>59.24</v>
      </c>
      <c r="NA212">
        <v>59.7</v>
      </c>
      <c r="NB212">
        <v>60.11</v>
      </c>
      <c r="NC212">
        <v>60.47</v>
      </c>
      <c r="ND212">
        <v>60.86</v>
      </c>
      <c r="NE212">
        <v>61.05</v>
      </c>
      <c r="NF212">
        <v>61.17</v>
      </c>
      <c r="NG212">
        <v>61.47</v>
      </c>
      <c r="NH212">
        <v>61.8</v>
      </c>
      <c r="NI212">
        <v>62.13</v>
      </c>
      <c r="NJ212">
        <v>62.43</v>
      </c>
      <c r="NK212">
        <v>62.75</v>
      </c>
      <c r="NL212">
        <v>62.89</v>
      </c>
      <c r="NM212">
        <v>62.98</v>
      </c>
      <c r="NN212">
        <v>63.23</v>
      </c>
      <c r="NO212">
        <v>63.5</v>
      </c>
      <c r="NP212">
        <v>63.77</v>
      </c>
      <c r="NQ212">
        <v>64.03</v>
      </c>
      <c r="NR212">
        <v>64.3</v>
      </c>
      <c r="NS212">
        <v>64.36</v>
      </c>
      <c r="NT212">
        <v>64.430000000000007</v>
      </c>
      <c r="NU212">
        <v>64.540000000000006</v>
      </c>
      <c r="NV212">
        <v>64.84</v>
      </c>
      <c r="NW212">
        <v>65.099999999999994</v>
      </c>
      <c r="NX212">
        <v>65.33</v>
      </c>
      <c r="NY212">
        <v>65.45</v>
      </c>
      <c r="NZ212">
        <v>65.45</v>
      </c>
      <c r="OA212">
        <v>65.45</v>
      </c>
      <c r="OB212">
        <v>65.53</v>
      </c>
      <c r="OC212">
        <v>65.760000000000005</v>
      </c>
      <c r="OD212">
        <v>65.989999999999995</v>
      </c>
      <c r="OE212">
        <v>66.14</v>
      </c>
      <c r="OF212">
        <v>66.14</v>
      </c>
      <c r="OG212">
        <v>66.2</v>
      </c>
      <c r="OH212">
        <v>66.239999999999995</v>
      </c>
      <c r="OI212">
        <v>66.44</v>
      </c>
      <c r="OJ212">
        <v>66.650000000000006</v>
      </c>
      <c r="OK212">
        <v>66.849999999999994</v>
      </c>
      <c r="OL212">
        <v>67.03</v>
      </c>
      <c r="OM212">
        <v>67.2</v>
      </c>
      <c r="ON212">
        <v>67.27</v>
      </c>
      <c r="OO212">
        <v>67.319999999999993</v>
      </c>
      <c r="OP212">
        <v>67.47</v>
      </c>
      <c r="OQ212">
        <v>67.62</v>
      </c>
      <c r="OR212">
        <v>67.760000000000005</v>
      </c>
      <c r="OS212">
        <v>67.91</v>
      </c>
      <c r="OT212">
        <v>68.06</v>
      </c>
      <c r="OU212">
        <v>68.12</v>
      </c>
      <c r="OV212">
        <v>68.16</v>
      </c>
      <c r="OW212">
        <v>68.28</v>
      </c>
      <c r="OX212">
        <v>68.42</v>
      </c>
      <c r="OY212">
        <v>68.55</v>
      </c>
      <c r="OZ212">
        <v>68.680000000000007</v>
      </c>
      <c r="PA212">
        <v>68.8</v>
      </c>
      <c r="PB212">
        <v>68.849999999999994</v>
      </c>
      <c r="PC212">
        <v>68.88</v>
      </c>
      <c r="PD212">
        <v>69</v>
      </c>
      <c r="PE212">
        <v>69.12</v>
      </c>
      <c r="PF212">
        <v>69.239999999999995</v>
      </c>
      <c r="PG212">
        <v>69.42</v>
      </c>
      <c r="PH212">
        <v>69.540000000000006</v>
      </c>
      <c r="PI212">
        <v>69.599999999999994</v>
      </c>
      <c r="PJ212">
        <v>69.63</v>
      </c>
      <c r="PK212">
        <v>69.680000000000007</v>
      </c>
      <c r="PL212">
        <v>69.8</v>
      </c>
      <c r="PM212">
        <v>69.92</v>
      </c>
      <c r="PN212">
        <v>71.31</v>
      </c>
      <c r="PO212">
        <v>71.48</v>
      </c>
      <c r="PP212">
        <v>71.569999999999993</v>
      </c>
      <c r="PQ212">
        <v>71.61</v>
      </c>
      <c r="PR212">
        <v>71.75</v>
      </c>
      <c r="PS212">
        <v>71.900000000000006</v>
      </c>
      <c r="PT212">
        <v>72.05</v>
      </c>
      <c r="PU212">
        <v>72.2</v>
      </c>
      <c r="PV212">
        <v>72.36</v>
      </c>
      <c r="PW212">
        <v>72.42</v>
      </c>
      <c r="PX212">
        <v>72.459999999999994</v>
      </c>
      <c r="PY212">
        <v>72.59</v>
      </c>
      <c r="PZ212">
        <v>72.739999999999995</v>
      </c>
      <c r="QA212">
        <v>72.89</v>
      </c>
    </row>
    <row r="213" spans="1:812">
      <c r="A213" s="1" t="s">
        <v>300</v>
      </c>
      <c r="B213" t="s">
        <v>294</v>
      </c>
      <c r="AC213">
        <v>8.35</v>
      </c>
      <c r="AD213">
        <v>8.35</v>
      </c>
      <c r="AE213">
        <v>8.98</v>
      </c>
      <c r="AF213">
        <v>9.52</v>
      </c>
      <c r="AG213">
        <v>10.32</v>
      </c>
      <c r="AH213">
        <v>10.99</v>
      </c>
      <c r="AI213">
        <v>11.8</v>
      </c>
      <c r="AJ213">
        <v>12.9</v>
      </c>
      <c r="AK213">
        <v>14.1</v>
      </c>
      <c r="AL213">
        <v>15.45</v>
      </c>
      <c r="AM213">
        <v>16.84</v>
      </c>
      <c r="AN213">
        <v>18.18</v>
      </c>
      <c r="AO213">
        <v>19.04</v>
      </c>
      <c r="AP213">
        <v>19.93</v>
      </c>
      <c r="AQ213">
        <v>20.88</v>
      </c>
      <c r="AR213">
        <v>21.85</v>
      </c>
      <c r="AS213">
        <v>22.71</v>
      </c>
      <c r="AT213">
        <v>23.65</v>
      </c>
      <c r="AU213">
        <v>24.54</v>
      </c>
      <c r="AV213">
        <v>25.15</v>
      </c>
      <c r="AW213">
        <v>26</v>
      </c>
      <c r="AX213">
        <v>27.07</v>
      </c>
      <c r="AY213">
        <v>27.95</v>
      </c>
      <c r="AZ213">
        <v>29</v>
      </c>
      <c r="BA213">
        <v>30.4</v>
      </c>
      <c r="BB213">
        <v>31.49</v>
      </c>
      <c r="BC213">
        <v>33.71</v>
      </c>
      <c r="BD213">
        <v>34.79</v>
      </c>
      <c r="BE213">
        <v>36.04</v>
      </c>
      <c r="BF213">
        <v>37.32</v>
      </c>
      <c r="BG213">
        <v>38.92</v>
      </c>
      <c r="BH213">
        <v>40.53</v>
      </c>
      <c r="BI213">
        <v>42.48</v>
      </c>
      <c r="BJ213">
        <v>43.62</v>
      </c>
      <c r="BK213">
        <v>44.63</v>
      </c>
      <c r="BL213">
        <v>45.77</v>
      </c>
      <c r="BM213">
        <v>47.37</v>
      </c>
      <c r="BN213">
        <v>48.45</v>
      </c>
      <c r="BO213">
        <v>49.56</v>
      </c>
      <c r="BP213">
        <v>50.61</v>
      </c>
      <c r="BQ213">
        <v>51.11</v>
      </c>
      <c r="BR213">
        <v>51.43</v>
      </c>
      <c r="BS213">
        <v>52.56</v>
      </c>
      <c r="BT213">
        <v>53.43</v>
      </c>
      <c r="BU213">
        <v>54.33</v>
      </c>
      <c r="BV213">
        <v>55.27</v>
      </c>
      <c r="BW213">
        <v>56.15</v>
      </c>
      <c r="BX213">
        <v>56.16</v>
      </c>
      <c r="BY213">
        <v>56.19</v>
      </c>
      <c r="BZ213">
        <v>57.31</v>
      </c>
      <c r="CA213">
        <v>58.25</v>
      </c>
      <c r="CB213">
        <v>59.11</v>
      </c>
      <c r="CC213">
        <v>59.99</v>
      </c>
      <c r="CD213">
        <v>60.82</v>
      </c>
      <c r="CE213">
        <v>60.87</v>
      </c>
      <c r="CF213">
        <v>60.95</v>
      </c>
      <c r="CG213">
        <v>61.62</v>
      </c>
      <c r="CH213">
        <v>62.37</v>
      </c>
      <c r="CI213">
        <v>62.73</v>
      </c>
      <c r="CJ213">
        <v>63.04</v>
      </c>
      <c r="CK213">
        <v>63.35</v>
      </c>
      <c r="CL213">
        <v>63.43</v>
      </c>
      <c r="CM213">
        <v>63.57</v>
      </c>
      <c r="CN213">
        <v>63.95</v>
      </c>
      <c r="CO213">
        <v>64.38</v>
      </c>
      <c r="CP213">
        <v>64.78</v>
      </c>
      <c r="CQ213">
        <v>65.349999999999994</v>
      </c>
      <c r="CR213">
        <v>65.89</v>
      </c>
      <c r="CS213">
        <v>66.13</v>
      </c>
      <c r="CT213">
        <v>66.52</v>
      </c>
      <c r="CU213">
        <v>67.430000000000007</v>
      </c>
      <c r="CV213">
        <v>69.06</v>
      </c>
      <c r="CW213">
        <v>70.58</v>
      </c>
      <c r="CX213">
        <v>72.03</v>
      </c>
      <c r="CY213">
        <v>72.61</v>
      </c>
      <c r="CZ213">
        <v>73.8</v>
      </c>
      <c r="DA213">
        <v>74.56</v>
      </c>
      <c r="DB213">
        <v>75.61</v>
      </c>
      <c r="DC213">
        <v>76.88</v>
      </c>
      <c r="DD213">
        <v>78.16</v>
      </c>
      <c r="DE213">
        <v>78.86</v>
      </c>
      <c r="DF213">
        <v>80.48</v>
      </c>
      <c r="DG213">
        <v>81.709999999999994</v>
      </c>
      <c r="DH213">
        <v>82.24</v>
      </c>
      <c r="DI213">
        <v>83.12</v>
      </c>
      <c r="DJ213">
        <v>84.01</v>
      </c>
      <c r="DK213">
        <v>84.84</v>
      </c>
      <c r="DL213">
        <v>85.85</v>
      </c>
      <c r="DM213">
        <v>86.54</v>
      </c>
      <c r="DN213">
        <v>86.74</v>
      </c>
      <c r="DO213">
        <v>86.92</v>
      </c>
      <c r="DP213">
        <v>87.55</v>
      </c>
      <c r="DQ213">
        <v>88.04</v>
      </c>
      <c r="DR213">
        <v>89.88</v>
      </c>
      <c r="DS213">
        <v>90.22</v>
      </c>
      <c r="DT213">
        <v>90.74</v>
      </c>
      <c r="DU213">
        <v>91.05</v>
      </c>
      <c r="DV213">
        <v>91.38</v>
      </c>
      <c r="DW213">
        <v>92.58</v>
      </c>
      <c r="DX213">
        <v>93.98</v>
      </c>
      <c r="DY213">
        <v>94.91</v>
      </c>
      <c r="DZ213">
        <v>95.95</v>
      </c>
      <c r="EA213">
        <v>97.08</v>
      </c>
      <c r="EB213">
        <v>97.37</v>
      </c>
      <c r="EC213">
        <v>97.82</v>
      </c>
      <c r="EE213">
        <v>100.1</v>
      </c>
      <c r="EF213">
        <v>101.12</v>
      </c>
      <c r="EG213">
        <v>103.07</v>
      </c>
      <c r="EI213">
        <v>103.29</v>
      </c>
      <c r="EJ213">
        <v>103.68</v>
      </c>
      <c r="EK213">
        <v>104.51</v>
      </c>
      <c r="EL213">
        <v>105.82</v>
      </c>
      <c r="EM213">
        <v>106.64</v>
      </c>
      <c r="EO213">
        <v>107.28</v>
      </c>
      <c r="EP213">
        <v>107.53</v>
      </c>
      <c r="EQ213">
        <v>107.85</v>
      </c>
      <c r="ER213">
        <v>108.99</v>
      </c>
      <c r="ES213">
        <v>109.55</v>
      </c>
      <c r="ET213">
        <v>110.28</v>
      </c>
      <c r="EU213">
        <v>111.71</v>
      </c>
      <c r="EV213">
        <v>112.5</v>
      </c>
      <c r="EW213">
        <v>112.69</v>
      </c>
      <c r="EX213">
        <v>113.1</v>
      </c>
      <c r="EY213">
        <v>113.98</v>
      </c>
      <c r="EZ213">
        <v>114.93</v>
      </c>
      <c r="FA213">
        <v>115.49</v>
      </c>
      <c r="FB213">
        <v>115.73</v>
      </c>
      <c r="FC213">
        <v>115.75</v>
      </c>
      <c r="FD213">
        <v>115.78</v>
      </c>
      <c r="FE213">
        <v>116.17</v>
      </c>
      <c r="FF213">
        <v>117.23</v>
      </c>
      <c r="FG213">
        <v>118.34</v>
      </c>
      <c r="FH213">
        <v>119.53</v>
      </c>
      <c r="FI213">
        <v>121.68</v>
      </c>
      <c r="FK213">
        <v>123.01</v>
      </c>
      <c r="FM213">
        <v>125.53</v>
      </c>
      <c r="FN213">
        <v>126.71</v>
      </c>
      <c r="FP213">
        <v>127.86</v>
      </c>
      <c r="FQ213">
        <v>128.97999999999999</v>
      </c>
      <c r="FR213">
        <v>129.53</v>
      </c>
      <c r="FS213">
        <v>130.13</v>
      </c>
      <c r="FT213">
        <v>131.11000000000001</v>
      </c>
      <c r="FU213">
        <v>132.11000000000001</v>
      </c>
      <c r="FV213">
        <v>133.74</v>
      </c>
      <c r="FX213">
        <v>134.41</v>
      </c>
      <c r="FY213">
        <v>134.63</v>
      </c>
      <c r="FZ213">
        <v>134.94999999999999</v>
      </c>
      <c r="GB213">
        <v>136.58000000000001</v>
      </c>
      <c r="GC213">
        <v>137.41</v>
      </c>
      <c r="GD213">
        <v>138.36000000000001</v>
      </c>
      <c r="GE213">
        <v>139.38</v>
      </c>
      <c r="GF213">
        <v>139.61000000000001</v>
      </c>
      <c r="GG213">
        <v>140.02000000000001</v>
      </c>
      <c r="GH213">
        <v>141.19</v>
      </c>
      <c r="GI213">
        <v>142.24</v>
      </c>
      <c r="GJ213">
        <v>143.38999999999999</v>
      </c>
      <c r="GK213">
        <v>144.57</v>
      </c>
      <c r="GL213">
        <v>145.88999999999999</v>
      </c>
      <c r="GM213">
        <v>146.72999999999999</v>
      </c>
      <c r="GN213">
        <v>147.94</v>
      </c>
      <c r="GP213">
        <v>148.99</v>
      </c>
      <c r="GQ213">
        <v>149.99</v>
      </c>
      <c r="GR213">
        <v>151.06</v>
      </c>
      <c r="GS213">
        <v>152.1</v>
      </c>
      <c r="GT213">
        <v>152.41</v>
      </c>
      <c r="GU213">
        <v>152.79</v>
      </c>
      <c r="GV213">
        <v>153.66999999999999</v>
      </c>
      <c r="GW213">
        <v>155.33000000000001</v>
      </c>
      <c r="GY213">
        <v>155.99</v>
      </c>
      <c r="GZ213">
        <v>156.76</v>
      </c>
      <c r="HA213">
        <v>157.06</v>
      </c>
      <c r="HB213">
        <v>157.47</v>
      </c>
      <c r="HC213">
        <v>158.24</v>
      </c>
      <c r="HD213">
        <v>159.03</v>
      </c>
      <c r="HE213">
        <v>159.71</v>
      </c>
      <c r="HF213">
        <v>160.41</v>
      </c>
      <c r="HG213">
        <v>160.91999999999999</v>
      </c>
      <c r="HH213">
        <v>161.11000000000001</v>
      </c>
      <c r="HI213">
        <v>161.46</v>
      </c>
      <c r="HJ213">
        <v>162.19999999999999</v>
      </c>
      <c r="HK213">
        <v>162.99</v>
      </c>
      <c r="HL213">
        <v>163.74</v>
      </c>
      <c r="HM213">
        <v>164.44</v>
      </c>
      <c r="HO213">
        <v>165.4</v>
      </c>
      <c r="HP213">
        <v>165.57</v>
      </c>
      <c r="HQ213">
        <v>166.27</v>
      </c>
      <c r="HV213">
        <v>166.79</v>
      </c>
      <c r="HW213">
        <v>167.07</v>
      </c>
      <c r="HX213">
        <v>167.71</v>
      </c>
      <c r="HY213">
        <v>168.3</v>
      </c>
      <c r="HZ213">
        <v>168.62</v>
      </c>
      <c r="IB213">
        <v>169.82</v>
      </c>
      <c r="IC213">
        <v>169.97</v>
      </c>
      <c r="ID213">
        <v>170.19</v>
      </c>
      <c r="IE213">
        <v>170.72</v>
      </c>
      <c r="IF213">
        <v>171.23</v>
      </c>
      <c r="IG213">
        <v>171.77</v>
      </c>
      <c r="IH213">
        <v>172.26</v>
      </c>
      <c r="II213">
        <v>172.87</v>
      </c>
      <c r="IJ213">
        <v>173.03</v>
      </c>
      <c r="IK213">
        <v>173.28</v>
      </c>
      <c r="IL213">
        <v>173.88</v>
      </c>
      <c r="IM213">
        <v>174.37</v>
      </c>
      <c r="IN213">
        <v>174.8</v>
      </c>
      <c r="IO213">
        <v>175.05</v>
      </c>
      <c r="IQ213">
        <v>175.69</v>
      </c>
      <c r="IR213">
        <v>175.91</v>
      </c>
      <c r="IS213">
        <v>176.48</v>
      </c>
      <c r="IT213">
        <v>177.01</v>
      </c>
      <c r="IU213">
        <v>177.61</v>
      </c>
      <c r="IV213">
        <v>176.38</v>
      </c>
      <c r="IW213">
        <v>176.99</v>
      </c>
      <c r="IZ213">
        <v>177.93</v>
      </c>
      <c r="JA213">
        <v>178.59</v>
      </c>
      <c r="JB213">
        <v>179.25</v>
      </c>
      <c r="JD213">
        <v>179.9</v>
      </c>
      <c r="JE213">
        <v>180.77</v>
      </c>
      <c r="JF213">
        <v>181.11</v>
      </c>
      <c r="JG213">
        <v>181.75</v>
      </c>
      <c r="JH213">
        <v>182.41</v>
      </c>
      <c r="JJ213">
        <v>183.56</v>
      </c>
      <c r="JK213">
        <v>184.06</v>
      </c>
      <c r="JM213">
        <v>184.56</v>
      </c>
      <c r="JN213">
        <v>185.59</v>
      </c>
      <c r="JP213">
        <v>187.27</v>
      </c>
      <c r="JQ213">
        <v>188.18</v>
      </c>
      <c r="JR213">
        <v>188.78</v>
      </c>
      <c r="JS213">
        <v>189.59</v>
      </c>
      <c r="JT213">
        <v>190.15</v>
      </c>
      <c r="JU213">
        <v>190.91</v>
      </c>
      <c r="JV213">
        <v>191.81</v>
      </c>
      <c r="JW213">
        <v>192.64</v>
      </c>
      <c r="JX213">
        <v>193.47</v>
      </c>
      <c r="JY213">
        <v>194.3</v>
      </c>
      <c r="JZ213">
        <v>194.63</v>
      </c>
      <c r="KA213">
        <v>195.04</v>
      </c>
      <c r="KB213">
        <v>195.67</v>
      </c>
      <c r="KC213">
        <v>196.71</v>
      </c>
      <c r="KD213">
        <v>197.31</v>
      </c>
      <c r="KE213">
        <v>197.93</v>
      </c>
      <c r="KF213">
        <v>198.65</v>
      </c>
      <c r="KG213">
        <v>198.74</v>
      </c>
      <c r="KH213">
        <v>198.91</v>
      </c>
      <c r="KI213">
        <v>199.81</v>
      </c>
      <c r="KJ213">
        <v>200.36</v>
      </c>
      <c r="KK213">
        <v>200.7</v>
      </c>
      <c r="KL213">
        <v>201.39</v>
      </c>
      <c r="KN213">
        <v>202.15</v>
      </c>
      <c r="KO213">
        <v>202.47</v>
      </c>
      <c r="KP213">
        <v>202.91</v>
      </c>
      <c r="KQ213">
        <v>203.39</v>
      </c>
      <c r="KR213">
        <v>203.83</v>
      </c>
      <c r="KS213">
        <v>204.27</v>
      </c>
      <c r="KT213">
        <v>204.72</v>
      </c>
      <c r="KU213">
        <v>204.97</v>
      </c>
      <c r="KX213">
        <v>205.71</v>
      </c>
      <c r="KY213">
        <v>206.06</v>
      </c>
      <c r="KZ213">
        <v>206.38</v>
      </c>
      <c r="LA213">
        <v>206.79</v>
      </c>
      <c r="LB213">
        <v>206.95</v>
      </c>
      <c r="LC213">
        <v>207.18</v>
      </c>
      <c r="LD213">
        <v>207.59</v>
      </c>
      <c r="LE213">
        <v>207.95</v>
      </c>
      <c r="LF213">
        <v>208.17</v>
      </c>
      <c r="LG213">
        <v>208.68</v>
      </c>
      <c r="LH213">
        <v>208.8</v>
      </c>
      <c r="LI213">
        <v>208.94</v>
      </c>
      <c r="LJ213">
        <v>209.14</v>
      </c>
      <c r="LK213">
        <v>209.59</v>
      </c>
      <c r="LL213">
        <v>209.93</v>
      </c>
      <c r="LM213">
        <v>210.33</v>
      </c>
      <c r="LN213">
        <v>210.7</v>
      </c>
      <c r="LO213">
        <v>210.94</v>
      </c>
      <c r="LP213">
        <v>211.44</v>
      </c>
      <c r="LQ213">
        <v>211.66</v>
      </c>
      <c r="LR213">
        <v>211.93</v>
      </c>
      <c r="LS213">
        <v>212.38</v>
      </c>
      <c r="LT213">
        <v>212.68</v>
      </c>
      <c r="LU213">
        <v>212.94</v>
      </c>
      <c r="LV213">
        <v>213.17</v>
      </c>
      <c r="LW213">
        <v>213.46</v>
      </c>
      <c r="LX213">
        <v>213.67</v>
      </c>
      <c r="LY213">
        <v>213.96</v>
      </c>
      <c r="LZ213">
        <v>214.23</v>
      </c>
      <c r="MA213">
        <v>214.54</v>
      </c>
      <c r="MB213">
        <v>214.96</v>
      </c>
      <c r="ME213">
        <v>215.68</v>
      </c>
      <c r="ND213">
        <v>221.08</v>
      </c>
      <c r="NE213">
        <v>221.45</v>
      </c>
      <c r="NF213">
        <v>221.67</v>
      </c>
      <c r="NG213">
        <v>221.87</v>
      </c>
      <c r="NH213">
        <v>222.01</v>
      </c>
      <c r="NQ213">
        <v>223.97</v>
      </c>
      <c r="OB213">
        <v>226.97</v>
      </c>
      <c r="OC213">
        <v>227.16</v>
      </c>
      <c r="OD213">
        <v>227.46</v>
      </c>
      <c r="OE213">
        <v>227.83</v>
      </c>
      <c r="OF213">
        <v>228.17</v>
      </c>
      <c r="OG213">
        <v>228.53</v>
      </c>
      <c r="OH213">
        <v>228.77</v>
      </c>
      <c r="OI213">
        <v>228.98</v>
      </c>
      <c r="OJ213">
        <v>229.16</v>
      </c>
      <c r="OK213">
        <v>229.5</v>
      </c>
      <c r="OL213">
        <v>229.93</v>
      </c>
      <c r="OM213">
        <v>230.06</v>
      </c>
      <c r="OP213">
        <v>231.04</v>
      </c>
      <c r="OQ213">
        <v>231.22</v>
      </c>
      <c r="OR213">
        <v>231.37</v>
      </c>
      <c r="OS213">
        <v>231.98</v>
      </c>
      <c r="OU213">
        <v>232.76</v>
      </c>
      <c r="OV213">
        <v>233.09</v>
      </c>
      <c r="OW213">
        <v>233.35</v>
      </c>
      <c r="OX213">
        <v>233.62</v>
      </c>
      <c r="OY213">
        <v>234.02</v>
      </c>
      <c r="OZ213">
        <v>234.41</v>
      </c>
      <c r="PA213">
        <v>234.73</v>
      </c>
      <c r="PB213">
        <v>235.1</v>
      </c>
      <c r="PC213">
        <v>235.23</v>
      </c>
      <c r="PF213">
        <v>236.05</v>
      </c>
      <c r="PG213">
        <v>236.34</v>
      </c>
      <c r="PH213">
        <v>236.66</v>
      </c>
      <c r="PI213">
        <v>236.95</v>
      </c>
      <c r="PJ213">
        <v>237.17</v>
      </c>
      <c r="PK213">
        <v>237.32</v>
      </c>
      <c r="PL213">
        <v>237.52</v>
      </c>
      <c r="PM213">
        <v>237.77</v>
      </c>
      <c r="PN213">
        <v>238.02</v>
      </c>
      <c r="PO213">
        <v>238.28</v>
      </c>
      <c r="PP213">
        <v>238.37</v>
      </c>
      <c r="PQ213">
        <v>238.71</v>
      </c>
      <c r="PR213">
        <v>238.77</v>
      </c>
      <c r="PS213">
        <v>239.03</v>
      </c>
      <c r="PT213">
        <v>239.33</v>
      </c>
      <c r="PU213">
        <v>239.52</v>
      </c>
      <c r="PW213">
        <v>239.95</v>
      </c>
      <c r="PX213">
        <v>240.14</v>
      </c>
      <c r="PY213">
        <v>240.26</v>
      </c>
      <c r="PZ213">
        <v>240.43</v>
      </c>
      <c r="QA213">
        <v>240.62</v>
      </c>
      <c r="QB213">
        <v>240.84</v>
      </c>
      <c r="QC213">
        <v>241.01</v>
      </c>
      <c r="QD213">
        <v>241.12</v>
      </c>
      <c r="QE213">
        <v>241.27</v>
      </c>
      <c r="QF213">
        <v>241.41</v>
      </c>
      <c r="QG213">
        <v>241.66</v>
      </c>
      <c r="QH213">
        <v>241.85</v>
      </c>
      <c r="QJ213">
        <v>242.02</v>
      </c>
      <c r="QK213">
        <v>242.22</v>
      </c>
      <c r="QL213">
        <v>242.44</v>
      </c>
      <c r="QM213">
        <v>242.54</v>
      </c>
      <c r="QN213">
        <v>242.64</v>
      </c>
      <c r="QP213">
        <v>242.89</v>
      </c>
      <c r="QR213">
        <v>243.17</v>
      </c>
      <c r="QT213">
        <v>243.38</v>
      </c>
      <c r="QV213">
        <v>243.64</v>
      </c>
      <c r="QW213">
        <v>243.78</v>
      </c>
      <c r="QX213">
        <v>243.89</v>
      </c>
      <c r="QY213">
        <v>243.95</v>
      </c>
      <c r="QZ213">
        <v>244.07</v>
      </c>
      <c r="RA213">
        <v>244.19</v>
      </c>
      <c r="RC213">
        <v>244.41</v>
      </c>
      <c r="RD213">
        <v>244.51</v>
      </c>
      <c r="RE213">
        <v>244.59</v>
      </c>
      <c r="RG213">
        <v>244.78</v>
      </c>
      <c r="RI213">
        <v>244.86</v>
      </c>
      <c r="RJ213">
        <v>244.99</v>
      </c>
      <c r="RK213">
        <v>245.07</v>
      </c>
      <c r="RL213">
        <v>245.42</v>
      </c>
      <c r="RM213">
        <v>245.46</v>
      </c>
      <c r="RN213">
        <v>245.52</v>
      </c>
      <c r="RO213">
        <v>245.61</v>
      </c>
      <c r="RP213">
        <v>245.68</v>
      </c>
      <c r="RQ213">
        <v>245.89</v>
      </c>
      <c r="RR213">
        <v>245.95</v>
      </c>
      <c r="RS213">
        <v>246.02</v>
      </c>
      <c r="RU213">
        <v>246.09</v>
      </c>
      <c r="RV213">
        <v>246.26</v>
      </c>
      <c r="RX213">
        <v>246.39</v>
      </c>
      <c r="RZ213">
        <v>246.53</v>
      </c>
      <c r="SB213">
        <v>246.66</v>
      </c>
      <c r="SD213">
        <v>246.79</v>
      </c>
      <c r="SF213">
        <v>246.91</v>
      </c>
      <c r="SG213">
        <v>246.98</v>
      </c>
      <c r="SH213">
        <v>247.04</v>
      </c>
      <c r="SJ213">
        <v>247.15</v>
      </c>
      <c r="SK213">
        <v>247.17</v>
      </c>
      <c r="SL213">
        <v>247.2</v>
      </c>
      <c r="SM213">
        <v>247.24</v>
      </c>
      <c r="SO213">
        <v>247.27</v>
      </c>
      <c r="SP213">
        <v>247.3</v>
      </c>
      <c r="SQ213">
        <v>247.33</v>
      </c>
      <c r="SR213">
        <v>247.38</v>
      </c>
      <c r="SS213">
        <v>247.46</v>
      </c>
      <c r="ST213">
        <v>247.64</v>
      </c>
      <c r="SU213">
        <v>247.67</v>
      </c>
      <c r="SX213">
        <v>247.92</v>
      </c>
      <c r="SY213">
        <v>247.95</v>
      </c>
      <c r="TA213">
        <v>248.06</v>
      </c>
      <c r="TB213">
        <v>248.1</v>
      </c>
      <c r="TC213">
        <v>248.19</v>
      </c>
      <c r="TE213">
        <v>248.35</v>
      </c>
      <c r="TH213">
        <v>248.54</v>
      </c>
      <c r="TI213">
        <v>248.63</v>
      </c>
      <c r="TL213">
        <v>248.83</v>
      </c>
      <c r="TN213">
        <v>248.97</v>
      </c>
      <c r="TO213">
        <v>249.03</v>
      </c>
      <c r="UI213">
        <v>249.44</v>
      </c>
    </row>
    <row r="214" spans="1:812">
      <c r="A214" s="1" t="s">
        <v>301</v>
      </c>
      <c r="B214" t="s">
        <v>295</v>
      </c>
      <c r="F214">
        <v>0.13</v>
      </c>
      <c r="M214">
        <v>0.99</v>
      </c>
      <c r="T214">
        <v>1.48</v>
      </c>
      <c r="AA214">
        <v>2.0699999999999998</v>
      </c>
      <c r="AH214">
        <v>3.94</v>
      </c>
      <c r="AI214">
        <v>4.1900000000000004</v>
      </c>
      <c r="AJ214">
        <v>4.5199999999999996</v>
      </c>
      <c r="AK214">
        <v>4.9400000000000004</v>
      </c>
      <c r="AL214">
        <v>5.42</v>
      </c>
      <c r="AM214">
        <v>5.93</v>
      </c>
      <c r="AN214">
        <v>6.37</v>
      </c>
      <c r="AO214">
        <v>6.65</v>
      </c>
      <c r="AP214">
        <v>6.96</v>
      </c>
      <c r="AQ214">
        <v>7.47</v>
      </c>
      <c r="AR214">
        <v>8.01</v>
      </c>
      <c r="AS214">
        <v>8.6199999999999992</v>
      </c>
      <c r="AT214">
        <v>9.32</v>
      </c>
      <c r="AU214">
        <v>10.050000000000001</v>
      </c>
      <c r="AV214">
        <v>10.38</v>
      </c>
      <c r="AW214">
        <v>10.79</v>
      </c>
      <c r="AX214">
        <v>11.25</v>
      </c>
      <c r="AY214">
        <v>11.72</v>
      </c>
      <c r="AZ214">
        <v>12.33</v>
      </c>
      <c r="BA214">
        <v>13.05</v>
      </c>
      <c r="BB214">
        <v>13.95</v>
      </c>
      <c r="BC214">
        <v>14.42</v>
      </c>
      <c r="BD214">
        <v>14.94</v>
      </c>
      <c r="BE214">
        <v>15.5</v>
      </c>
      <c r="BF214">
        <v>16.190000000000001</v>
      </c>
      <c r="BG214">
        <v>16.91</v>
      </c>
      <c r="BH214">
        <v>17.64</v>
      </c>
      <c r="BI214">
        <v>18.45</v>
      </c>
      <c r="BJ214">
        <v>18.86</v>
      </c>
      <c r="BK214">
        <v>19.39</v>
      </c>
      <c r="BL214">
        <v>20</v>
      </c>
      <c r="BM214">
        <v>20.67</v>
      </c>
      <c r="BN214">
        <v>21.42</v>
      </c>
      <c r="BO214">
        <v>22.23</v>
      </c>
      <c r="BP214">
        <v>22.98</v>
      </c>
      <c r="BQ214">
        <v>23.33</v>
      </c>
      <c r="BR214">
        <v>23.75</v>
      </c>
      <c r="BS214">
        <v>24.3</v>
      </c>
      <c r="BT214">
        <v>25.04</v>
      </c>
      <c r="BU214">
        <v>25.73</v>
      </c>
      <c r="BV214">
        <v>26.3</v>
      </c>
      <c r="BW214">
        <v>26.81</v>
      </c>
      <c r="BX214">
        <v>27.03</v>
      </c>
      <c r="BY214">
        <v>27.34</v>
      </c>
      <c r="BZ214">
        <v>27.86</v>
      </c>
      <c r="CA214">
        <v>28.57</v>
      </c>
      <c r="CB214">
        <v>29.33</v>
      </c>
      <c r="CC214">
        <v>30.13</v>
      </c>
      <c r="CD214">
        <v>30.77</v>
      </c>
      <c r="CE214">
        <v>31.07</v>
      </c>
      <c r="CF214">
        <v>31.41</v>
      </c>
      <c r="CG214">
        <v>31.82</v>
      </c>
      <c r="CH214">
        <v>32.33</v>
      </c>
      <c r="CI214">
        <v>32.99</v>
      </c>
      <c r="CJ214">
        <v>33.71</v>
      </c>
      <c r="CK214">
        <v>34.369999999999997</v>
      </c>
      <c r="CL214">
        <v>34.65</v>
      </c>
      <c r="CM214">
        <v>35.020000000000003</v>
      </c>
      <c r="CN214">
        <v>35.450000000000003</v>
      </c>
      <c r="CO214">
        <v>35.950000000000003</v>
      </c>
      <c r="CP214">
        <v>36.47</v>
      </c>
      <c r="CQ214">
        <v>37.15</v>
      </c>
      <c r="CR214">
        <v>37.979999999999997</v>
      </c>
      <c r="CS214">
        <v>38.39</v>
      </c>
      <c r="CT214">
        <v>39.04</v>
      </c>
      <c r="CU214">
        <v>39.82</v>
      </c>
      <c r="CV214">
        <v>40.68</v>
      </c>
      <c r="CW214">
        <v>41.65</v>
      </c>
      <c r="CX214">
        <v>42.74</v>
      </c>
      <c r="CY214">
        <v>43.99</v>
      </c>
      <c r="CZ214">
        <v>44.6</v>
      </c>
      <c r="DA214">
        <v>45.21</v>
      </c>
      <c r="DB214">
        <v>45.94</v>
      </c>
      <c r="DC214">
        <v>46.79</v>
      </c>
      <c r="DD214">
        <v>47.62</v>
      </c>
      <c r="DE214">
        <v>48.64</v>
      </c>
      <c r="DF214">
        <v>49.62</v>
      </c>
      <c r="DG214">
        <v>50.27</v>
      </c>
      <c r="DH214">
        <v>50.87</v>
      </c>
      <c r="DI214">
        <v>51.61</v>
      </c>
      <c r="DJ214">
        <v>52.53</v>
      </c>
      <c r="DK214">
        <v>53.44</v>
      </c>
      <c r="DL214">
        <v>53.96</v>
      </c>
      <c r="DM214">
        <v>54.38</v>
      </c>
      <c r="DN214">
        <v>54.52</v>
      </c>
      <c r="DO214">
        <v>54.68</v>
      </c>
      <c r="DP214">
        <v>55.08</v>
      </c>
      <c r="DQ214">
        <v>55.83</v>
      </c>
      <c r="DR214">
        <v>56.63</v>
      </c>
      <c r="DS214">
        <v>57.45</v>
      </c>
      <c r="DT214">
        <v>58.32</v>
      </c>
      <c r="DU214">
        <v>58.7</v>
      </c>
      <c r="DV214">
        <v>59.08</v>
      </c>
      <c r="DW214">
        <v>59.65</v>
      </c>
      <c r="DX214">
        <v>60.33</v>
      </c>
      <c r="DY214">
        <v>61.14</v>
      </c>
      <c r="DZ214">
        <v>62.08</v>
      </c>
      <c r="EA214">
        <v>63.02</v>
      </c>
      <c r="EB214">
        <v>63.47</v>
      </c>
      <c r="EC214">
        <v>64.02</v>
      </c>
      <c r="ED214">
        <v>64.69</v>
      </c>
      <c r="EE214">
        <v>65.48</v>
      </c>
      <c r="EF214">
        <v>66.31</v>
      </c>
      <c r="EG214">
        <v>67.19</v>
      </c>
      <c r="EH214">
        <v>68.22</v>
      </c>
      <c r="EI214">
        <v>68.72</v>
      </c>
      <c r="EJ214">
        <v>69.3</v>
      </c>
      <c r="EK214">
        <v>70.03</v>
      </c>
      <c r="EL214">
        <v>70.91</v>
      </c>
      <c r="EM214">
        <v>71.81</v>
      </c>
      <c r="EN214">
        <v>72.650000000000006</v>
      </c>
      <c r="EO214">
        <v>73.41</v>
      </c>
      <c r="EP214">
        <v>73.8</v>
      </c>
      <c r="EQ214">
        <v>74.09</v>
      </c>
      <c r="ER214">
        <v>74.66</v>
      </c>
      <c r="ES214">
        <v>75.459999999999994</v>
      </c>
      <c r="ET214">
        <v>76.36</v>
      </c>
      <c r="EU214">
        <v>77.239999999999995</v>
      </c>
      <c r="EV214">
        <v>78.13</v>
      </c>
      <c r="EW214">
        <v>78.56</v>
      </c>
      <c r="EX214">
        <v>79.069999999999993</v>
      </c>
      <c r="EY214">
        <v>79.78</v>
      </c>
      <c r="EZ214">
        <v>80.72</v>
      </c>
      <c r="FA214">
        <v>81.66</v>
      </c>
      <c r="FB214">
        <v>82.56</v>
      </c>
      <c r="FC214">
        <v>83.49</v>
      </c>
      <c r="FD214">
        <v>83.95</v>
      </c>
      <c r="FE214">
        <v>84.49</v>
      </c>
      <c r="FF214">
        <v>85.23</v>
      </c>
      <c r="FG214">
        <v>86.16</v>
      </c>
      <c r="FH214">
        <v>87.17</v>
      </c>
      <c r="FI214">
        <v>88.13</v>
      </c>
      <c r="FJ214">
        <v>89.25</v>
      </c>
      <c r="FK214">
        <v>89.81</v>
      </c>
      <c r="FL214">
        <v>90.48</v>
      </c>
      <c r="FM214">
        <v>91.32</v>
      </c>
      <c r="FN214">
        <v>92.3</v>
      </c>
      <c r="FO214">
        <v>93.32</v>
      </c>
      <c r="FP214">
        <v>94.26</v>
      </c>
      <c r="FQ214">
        <v>95.15</v>
      </c>
      <c r="FR214">
        <v>95.64</v>
      </c>
      <c r="FS214">
        <v>96.06</v>
      </c>
      <c r="FT214">
        <v>96.72</v>
      </c>
      <c r="FU214">
        <v>97.49</v>
      </c>
      <c r="FV214">
        <v>98.33</v>
      </c>
      <c r="FW214">
        <v>99.16</v>
      </c>
      <c r="FX214">
        <v>100.16</v>
      </c>
      <c r="FY214">
        <v>100.73</v>
      </c>
      <c r="FZ214">
        <v>101.35</v>
      </c>
      <c r="GA214">
        <v>102.01</v>
      </c>
      <c r="GB214">
        <v>102.74</v>
      </c>
      <c r="GC214">
        <v>103.49</v>
      </c>
      <c r="GD214">
        <v>104.25</v>
      </c>
      <c r="GE214">
        <v>105.09</v>
      </c>
      <c r="GF214">
        <v>105.58</v>
      </c>
      <c r="GG214">
        <v>106.12</v>
      </c>
      <c r="GH214">
        <v>106.74</v>
      </c>
      <c r="GI214">
        <v>107.37</v>
      </c>
      <c r="GJ214">
        <v>108.06</v>
      </c>
      <c r="GK214">
        <v>108.69</v>
      </c>
      <c r="GL214">
        <v>109.45</v>
      </c>
      <c r="GM214">
        <v>109.86</v>
      </c>
      <c r="GN214">
        <v>109.95</v>
      </c>
      <c r="GO214">
        <v>110.76</v>
      </c>
      <c r="GP214">
        <v>111.31</v>
      </c>
      <c r="GQ214">
        <v>111.9</v>
      </c>
      <c r="GR214">
        <v>112.45</v>
      </c>
      <c r="GS214">
        <v>113.09</v>
      </c>
      <c r="GT214">
        <v>113.48</v>
      </c>
      <c r="GU214">
        <v>113.87</v>
      </c>
      <c r="GV214">
        <v>114.3</v>
      </c>
      <c r="GW214">
        <v>114.76</v>
      </c>
      <c r="GX214">
        <v>115.27</v>
      </c>
      <c r="GY214">
        <v>115.72</v>
      </c>
      <c r="GZ214">
        <v>116.21</v>
      </c>
      <c r="HA214">
        <v>116.49</v>
      </c>
      <c r="HB214">
        <v>116.82</v>
      </c>
      <c r="HC214">
        <v>117.17</v>
      </c>
      <c r="HD214">
        <v>117.55</v>
      </c>
      <c r="HE214">
        <v>117.95</v>
      </c>
      <c r="HF214">
        <v>118.35</v>
      </c>
      <c r="HG214">
        <v>118.8</v>
      </c>
      <c r="HH214">
        <v>119.02</v>
      </c>
      <c r="HI214">
        <v>119.28</v>
      </c>
      <c r="HJ214">
        <v>119.6</v>
      </c>
      <c r="HK214">
        <v>119.96</v>
      </c>
      <c r="HL214">
        <v>120.35</v>
      </c>
      <c r="HM214">
        <v>120.75</v>
      </c>
      <c r="HN214">
        <v>121.18</v>
      </c>
      <c r="HO214">
        <v>121.4</v>
      </c>
      <c r="HP214">
        <v>121.66</v>
      </c>
      <c r="HQ214">
        <v>121.96</v>
      </c>
      <c r="HR214">
        <v>122.3</v>
      </c>
      <c r="HS214">
        <v>122.64</v>
      </c>
      <c r="HT214">
        <v>122.98</v>
      </c>
      <c r="HU214">
        <v>123.35</v>
      </c>
      <c r="HV214">
        <v>123.56</v>
      </c>
      <c r="HW214">
        <v>123.82</v>
      </c>
      <c r="HX214">
        <v>124.09</v>
      </c>
      <c r="HY214">
        <v>124.41</v>
      </c>
      <c r="HZ214">
        <v>124.74</v>
      </c>
      <c r="IA214">
        <v>125.04</v>
      </c>
      <c r="IB214">
        <v>125.41</v>
      </c>
      <c r="IC214">
        <v>125.62</v>
      </c>
      <c r="ID214">
        <v>125.84</v>
      </c>
      <c r="IE214">
        <v>126.1</v>
      </c>
      <c r="IF214">
        <v>126.39</v>
      </c>
      <c r="IG214">
        <v>126.7</v>
      </c>
      <c r="IH214">
        <v>127</v>
      </c>
      <c r="II214">
        <v>127.37</v>
      </c>
      <c r="IJ214">
        <v>127.58</v>
      </c>
      <c r="IK214">
        <v>127.83</v>
      </c>
      <c r="IL214">
        <v>128.11000000000001</v>
      </c>
      <c r="IM214">
        <v>128.43</v>
      </c>
      <c r="IN214">
        <v>128.78</v>
      </c>
      <c r="IO214">
        <v>129.09</v>
      </c>
      <c r="IP214">
        <v>129.44999999999999</v>
      </c>
      <c r="IQ214">
        <v>129.68</v>
      </c>
      <c r="IR214">
        <v>129.94</v>
      </c>
      <c r="IS214">
        <v>130.22</v>
      </c>
      <c r="IT214">
        <v>130.54</v>
      </c>
      <c r="IU214">
        <v>130.88</v>
      </c>
      <c r="IV214">
        <v>130.6</v>
      </c>
      <c r="IW214">
        <v>130.99</v>
      </c>
      <c r="IX214">
        <v>131.22</v>
      </c>
      <c r="IY214">
        <v>131.47999999999999</v>
      </c>
      <c r="IZ214">
        <v>131.75</v>
      </c>
      <c r="JA214">
        <v>132.09</v>
      </c>
      <c r="JB214">
        <v>132.38</v>
      </c>
      <c r="JC214">
        <v>132.63999999999999</v>
      </c>
      <c r="JD214">
        <v>132.88999999999999</v>
      </c>
      <c r="JE214">
        <v>133.05000000000001</v>
      </c>
      <c r="JF214">
        <v>133.18</v>
      </c>
      <c r="JG214">
        <v>133.41</v>
      </c>
      <c r="JK214">
        <v>134.33000000000001</v>
      </c>
      <c r="JM214">
        <v>134.63</v>
      </c>
      <c r="JN214">
        <v>134.80000000000001</v>
      </c>
      <c r="JQ214">
        <v>135.31</v>
      </c>
      <c r="JS214">
        <v>135.6</v>
      </c>
      <c r="JT214">
        <v>135.72</v>
      </c>
      <c r="JU214">
        <v>135.84</v>
      </c>
      <c r="JV214">
        <v>135.96</v>
      </c>
      <c r="JW214">
        <v>136.1</v>
      </c>
      <c r="JX214">
        <v>136.21</v>
      </c>
      <c r="JZ214">
        <v>136.44</v>
      </c>
      <c r="KA214">
        <v>136.54</v>
      </c>
      <c r="KB214">
        <v>136.63999999999999</v>
      </c>
      <c r="KD214">
        <v>136.82</v>
      </c>
      <c r="KE214">
        <v>136.93</v>
      </c>
      <c r="KF214">
        <v>137.03</v>
      </c>
      <c r="KI214">
        <v>137.27000000000001</v>
      </c>
      <c r="LN214">
        <v>151.24</v>
      </c>
      <c r="LO214">
        <v>151.86000000000001</v>
      </c>
      <c r="MB214">
        <v>159.33000000000001</v>
      </c>
      <c r="ND214">
        <v>176.71</v>
      </c>
      <c r="NG214">
        <v>179.13</v>
      </c>
      <c r="NH214">
        <v>180.2</v>
      </c>
      <c r="NK214">
        <v>184.07</v>
      </c>
      <c r="PH214">
        <v>202.99</v>
      </c>
      <c r="PI214">
        <v>203.11</v>
      </c>
      <c r="PV214">
        <v>204.34</v>
      </c>
      <c r="PW214">
        <v>204.42</v>
      </c>
      <c r="PZ214">
        <v>204.66</v>
      </c>
      <c r="QB214">
        <v>204.81</v>
      </c>
      <c r="QF214">
        <v>205.09</v>
      </c>
      <c r="QH214">
        <v>205.22</v>
      </c>
      <c r="QO214">
        <v>205.66</v>
      </c>
      <c r="QS214">
        <v>205.89</v>
      </c>
      <c r="QU214">
        <v>206.01</v>
      </c>
      <c r="QV214">
        <v>206.07</v>
      </c>
      <c r="RR214">
        <v>207.46</v>
      </c>
      <c r="RW214">
        <v>208.01</v>
      </c>
      <c r="RY214">
        <v>207.94</v>
      </c>
      <c r="SC214">
        <v>208.21</v>
      </c>
      <c r="SE214">
        <v>208.31</v>
      </c>
    </row>
    <row r="215" spans="1:812">
      <c r="A215" s="1" t="s">
        <v>302</v>
      </c>
      <c r="B215" t="s">
        <v>296</v>
      </c>
      <c r="M215">
        <v>0.17</v>
      </c>
      <c r="N215">
        <v>0.18</v>
      </c>
      <c r="P215">
        <v>0.3</v>
      </c>
      <c r="S215">
        <v>0.57999999999999996</v>
      </c>
      <c r="U215">
        <v>0.64</v>
      </c>
      <c r="W215">
        <v>0.84</v>
      </c>
      <c r="Z215">
        <v>1.26</v>
      </c>
      <c r="AB215">
        <v>1.36</v>
      </c>
      <c r="AC215">
        <v>1.45</v>
      </c>
      <c r="AD215">
        <v>1.59</v>
      </c>
      <c r="AE215">
        <v>1.77</v>
      </c>
      <c r="AF215">
        <v>2</v>
      </c>
      <c r="AI215">
        <v>2.69</v>
      </c>
      <c r="AJ215">
        <v>2.79</v>
      </c>
      <c r="AK215">
        <v>3.07</v>
      </c>
      <c r="AL215">
        <v>3.33</v>
      </c>
      <c r="AM215">
        <v>3.67</v>
      </c>
      <c r="AQ215">
        <v>4.7</v>
      </c>
      <c r="AR215">
        <v>4.9400000000000004</v>
      </c>
      <c r="AS215">
        <v>5.25</v>
      </c>
      <c r="AT215">
        <v>5.71</v>
      </c>
      <c r="AU215">
        <v>6.14</v>
      </c>
      <c r="AV215">
        <v>6.53</v>
      </c>
      <c r="AW215">
        <v>6.8</v>
      </c>
      <c r="AX215">
        <v>7.04</v>
      </c>
      <c r="AY215">
        <v>7.37</v>
      </c>
      <c r="AZ215">
        <v>7.83</v>
      </c>
      <c r="BA215">
        <v>8.34</v>
      </c>
      <c r="BB215">
        <v>8.84</v>
      </c>
      <c r="BC215">
        <v>9.31</v>
      </c>
      <c r="BD215">
        <v>9.6300000000000008</v>
      </c>
      <c r="BE215">
        <v>9.8000000000000007</v>
      </c>
      <c r="BF215">
        <v>10.130000000000001</v>
      </c>
      <c r="BG215">
        <v>10.53</v>
      </c>
      <c r="BH215">
        <v>11.01</v>
      </c>
      <c r="BI215">
        <v>11.67</v>
      </c>
      <c r="BJ215">
        <v>12.32</v>
      </c>
      <c r="BK215">
        <v>12.68</v>
      </c>
      <c r="BL215">
        <v>12.92</v>
      </c>
      <c r="BM215">
        <v>13.39</v>
      </c>
      <c r="BN215">
        <v>13.87</v>
      </c>
      <c r="BO215">
        <v>14.48</v>
      </c>
      <c r="BP215">
        <v>15.14</v>
      </c>
      <c r="BQ215">
        <v>15.81</v>
      </c>
      <c r="BS215">
        <v>16.510000000000002</v>
      </c>
      <c r="BT215">
        <v>16.829999999999998</v>
      </c>
      <c r="BU215">
        <v>17.260000000000002</v>
      </c>
      <c r="BV215">
        <v>17.82</v>
      </c>
      <c r="BW215">
        <v>18.329999999999998</v>
      </c>
      <c r="BX215">
        <v>18.86</v>
      </c>
      <c r="BY215">
        <v>19.190000000000001</v>
      </c>
      <c r="BZ215">
        <v>19.440000000000001</v>
      </c>
      <c r="CA215">
        <v>19.87</v>
      </c>
      <c r="CB215">
        <v>20.41</v>
      </c>
      <c r="CC215">
        <v>21.07</v>
      </c>
      <c r="CD215">
        <v>21.77</v>
      </c>
      <c r="CE215">
        <v>22.5</v>
      </c>
      <c r="CF215">
        <v>22.99</v>
      </c>
      <c r="CG215">
        <v>23.51</v>
      </c>
      <c r="CH215">
        <v>24.08</v>
      </c>
      <c r="CI215">
        <v>24.69</v>
      </c>
      <c r="CJ215">
        <v>25.42</v>
      </c>
      <c r="CK215">
        <v>26.29</v>
      </c>
      <c r="CL215">
        <v>27.02</v>
      </c>
      <c r="CM215">
        <v>27.54</v>
      </c>
      <c r="CN215">
        <v>28.01</v>
      </c>
      <c r="CO215">
        <v>28.62</v>
      </c>
      <c r="CP215">
        <v>29.36</v>
      </c>
      <c r="CQ215">
        <v>30.24</v>
      </c>
      <c r="CR215">
        <v>31.61</v>
      </c>
      <c r="CS215">
        <v>32.01</v>
      </c>
      <c r="CT215">
        <v>32.619999999999997</v>
      </c>
      <c r="CU215">
        <v>33.11</v>
      </c>
      <c r="CV215">
        <v>33.799999999999997</v>
      </c>
      <c r="CW215">
        <v>34.6</v>
      </c>
      <c r="CX215">
        <v>35.380000000000003</v>
      </c>
      <c r="CY215">
        <v>36.31</v>
      </c>
      <c r="CZ215">
        <v>37.22</v>
      </c>
      <c r="DA215">
        <v>37.83</v>
      </c>
      <c r="DB215">
        <v>38.340000000000003</v>
      </c>
      <c r="DC215">
        <v>39.01</v>
      </c>
      <c r="DD215">
        <v>39.86</v>
      </c>
      <c r="DE215">
        <v>40.869999999999997</v>
      </c>
      <c r="DF215">
        <v>41.91</v>
      </c>
      <c r="DG215">
        <v>42.9</v>
      </c>
      <c r="DH215">
        <v>43.6</v>
      </c>
      <c r="DI215">
        <v>44.13</v>
      </c>
      <c r="DJ215">
        <v>44.93</v>
      </c>
      <c r="DK215">
        <v>45.94</v>
      </c>
      <c r="DL215">
        <v>47.13</v>
      </c>
      <c r="DM215">
        <v>48.35</v>
      </c>
      <c r="DN215">
        <v>49.35</v>
      </c>
      <c r="DO215">
        <v>49.99</v>
      </c>
      <c r="DP215">
        <v>50.41</v>
      </c>
      <c r="DQ215">
        <v>51.27</v>
      </c>
      <c r="DR215">
        <v>52.29</v>
      </c>
      <c r="DS215">
        <v>53.47</v>
      </c>
      <c r="DT215">
        <v>54.86</v>
      </c>
      <c r="DU215">
        <v>55.93</v>
      </c>
      <c r="DV215">
        <v>56.72</v>
      </c>
      <c r="DW215">
        <v>57.49</v>
      </c>
      <c r="DX215">
        <v>58.24</v>
      </c>
      <c r="DY215">
        <v>59.3</v>
      </c>
      <c r="DZ215">
        <v>60.48</v>
      </c>
      <c r="EA215">
        <v>61.56</v>
      </c>
      <c r="EB215">
        <v>62.61</v>
      </c>
      <c r="EC215">
        <v>63.26</v>
      </c>
      <c r="ED215">
        <v>63.8</v>
      </c>
      <c r="EE215">
        <v>64.569999999999993</v>
      </c>
      <c r="EF215">
        <v>65.47</v>
      </c>
      <c r="EG215">
        <v>66.48</v>
      </c>
      <c r="EH215">
        <v>67.47</v>
      </c>
      <c r="EI215">
        <v>68.37</v>
      </c>
      <c r="EJ215">
        <v>69</v>
      </c>
      <c r="EK215">
        <v>69.489999999999995</v>
      </c>
      <c r="EL215">
        <v>70.16</v>
      </c>
      <c r="EM215">
        <v>70.97</v>
      </c>
      <c r="EN215">
        <v>71.81</v>
      </c>
      <c r="EO215">
        <v>72.8</v>
      </c>
      <c r="EP215">
        <v>73.430000000000007</v>
      </c>
      <c r="EQ215">
        <v>73.790000000000006</v>
      </c>
      <c r="ER215">
        <v>74.08</v>
      </c>
      <c r="ES215">
        <v>74.62</v>
      </c>
      <c r="ET215">
        <v>75.34</v>
      </c>
      <c r="EU215">
        <v>76.180000000000007</v>
      </c>
      <c r="EV215">
        <v>76.95</v>
      </c>
      <c r="EW215">
        <v>77.66</v>
      </c>
      <c r="EX215">
        <v>78.22</v>
      </c>
      <c r="EY215">
        <v>78.680000000000007</v>
      </c>
      <c r="EZ215">
        <v>79.14</v>
      </c>
      <c r="FA215">
        <v>79.709999999999994</v>
      </c>
      <c r="FB215">
        <v>80.260000000000005</v>
      </c>
      <c r="FC215">
        <v>80.98</v>
      </c>
      <c r="FD215">
        <v>81.61</v>
      </c>
      <c r="FE215">
        <v>82.05</v>
      </c>
      <c r="FF215">
        <v>82.39</v>
      </c>
      <c r="FG215">
        <v>82.91</v>
      </c>
      <c r="FH215">
        <v>83.54</v>
      </c>
      <c r="FI215">
        <v>84.2</v>
      </c>
      <c r="FJ215">
        <v>84.9</v>
      </c>
      <c r="FK215">
        <v>85.43</v>
      </c>
      <c r="FL215">
        <v>85.78</v>
      </c>
      <c r="FM215">
        <v>86.05</v>
      </c>
      <c r="FN215">
        <v>86.48</v>
      </c>
      <c r="FO215">
        <v>86.93</v>
      </c>
      <c r="FP215">
        <v>87.34</v>
      </c>
      <c r="FQ215">
        <v>87.82</v>
      </c>
      <c r="FR215">
        <v>88.19</v>
      </c>
      <c r="FT215">
        <v>88.63</v>
      </c>
      <c r="FU215">
        <v>88.78</v>
      </c>
      <c r="FV215">
        <v>89.02</v>
      </c>
      <c r="FW215">
        <v>89.44</v>
      </c>
      <c r="FX215">
        <v>89.78</v>
      </c>
      <c r="FY215">
        <v>90.19</v>
      </c>
      <c r="FZ215">
        <v>90.55</v>
      </c>
      <c r="GA215">
        <v>90.87</v>
      </c>
      <c r="GB215">
        <v>91.12</v>
      </c>
      <c r="GC215">
        <v>91.4</v>
      </c>
      <c r="GD215">
        <v>91.65</v>
      </c>
      <c r="GE215">
        <v>92.13</v>
      </c>
      <c r="GF215">
        <v>92.49</v>
      </c>
      <c r="GG215">
        <v>92.88</v>
      </c>
      <c r="GH215">
        <v>93.26</v>
      </c>
      <c r="GI215">
        <v>93.56</v>
      </c>
      <c r="GJ215">
        <v>94.18</v>
      </c>
      <c r="GK215">
        <v>94.5</v>
      </c>
      <c r="GL215">
        <v>94.82</v>
      </c>
      <c r="GM215">
        <v>95.07</v>
      </c>
      <c r="GN215">
        <v>95.26</v>
      </c>
      <c r="GO215">
        <v>95.45</v>
      </c>
      <c r="GP215">
        <v>95.64</v>
      </c>
      <c r="GQ215">
        <v>95.89</v>
      </c>
      <c r="GR215">
        <v>96.04</v>
      </c>
      <c r="GS215">
        <v>96.32</v>
      </c>
      <c r="GT215">
        <v>96.68</v>
      </c>
      <c r="GU215">
        <v>97</v>
      </c>
      <c r="GV215">
        <v>97.22</v>
      </c>
      <c r="GW215">
        <v>97.63</v>
      </c>
      <c r="GX215">
        <v>98.12</v>
      </c>
      <c r="GY215">
        <v>98.32</v>
      </c>
      <c r="GZ215">
        <v>98.66</v>
      </c>
      <c r="HA215">
        <v>98.85</v>
      </c>
      <c r="HC215">
        <v>99.03</v>
      </c>
      <c r="HD215">
        <v>99.17</v>
      </c>
      <c r="HE215">
        <v>99.37</v>
      </c>
      <c r="HF215">
        <v>99.56</v>
      </c>
      <c r="HG215">
        <v>99.74</v>
      </c>
      <c r="HH215">
        <v>99.91</v>
      </c>
      <c r="HI215">
        <v>100.05</v>
      </c>
      <c r="HJ215">
        <v>100.15</v>
      </c>
      <c r="HK215">
        <v>100.31</v>
      </c>
      <c r="HL215">
        <v>100.48</v>
      </c>
      <c r="HM215">
        <v>100.65</v>
      </c>
      <c r="HN215">
        <v>100.84</v>
      </c>
      <c r="HO215">
        <v>100.99</v>
      </c>
      <c r="HP215">
        <v>101.14</v>
      </c>
      <c r="HQ215">
        <v>101.21</v>
      </c>
      <c r="HR215">
        <v>101.39</v>
      </c>
      <c r="HS215">
        <v>101.59</v>
      </c>
      <c r="HT215">
        <v>101.77</v>
      </c>
      <c r="HU215">
        <v>101.97</v>
      </c>
      <c r="HV215">
        <v>102.21</v>
      </c>
      <c r="HW215">
        <v>102.32</v>
      </c>
      <c r="HX215">
        <v>102.44</v>
      </c>
      <c r="HY215">
        <v>102.67</v>
      </c>
      <c r="HZ215">
        <v>102.88</v>
      </c>
      <c r="IA215">
        <v>103.14</v>
      </c>
      <c r="IB215">
        <v>103.35</v>
      </c>
      <c r="IC215">
        <v>103.59</v>
      </c>
      <c r="ID215">
        <v>103.73</v>
      </c>
      <c r="IE215">
        <v>103.87</v>
      </c>
      <c r="IF215">
        <v>104.08</v>
      </c>
      <c r="IG215">
        <v>104.34</v>
      </c>
      <c r="IH215">
        <v>104.59</v>
      </c>
      <c r="II215">
        <v>104.84</v>
      </c>
      <c r="IJ215">
        <v>105.07</v>
      </c>
      <c r="IK215">
        <v>105.23</v>
      </c>
      <c r="IL215">
        <v>105.41</v>
      </c>
      <c r="IM215">
        <v>105.61</v>
      </c>
      <c r="IN215">
        <v>105.81</v>
      </c>
      <c r="IO215">
        <v>106.08</v>
      </c>
      <c r="IP215">
        <v>106.38</v>
      </c>
      <c r="IQ215">
        <v>106.58</v>
      </c>
      <c r="IR215">
        <v>106.83</v>
      </c>
      <c r="IS215">
        <v>107.01</v>
      </c>
      <c r="IT215">
        <v>107.22</v>
      </c>
      <c r="IU215">
        <v>107.53</v>
      </c>
      <c r="IV215">
        <v>107.23</v>
      </c>
      <c r="IW215">
        <v>107.54</v>
      </c>
      <c r="IX215">
        <v>107.83</v>
      </c>
      <c r="IY215">
        <v>108.01</v>
      </c>
      <c r="IZ215">
        <v>108.2</v>
      </c>
      <c r="JA215">
        <v>108.48</v>
      </c>
      <c r="JB215">
        <v>108.75</v>
      </c>
      <c r="JC215">
        <v>109.07</v>
      </c>
      <c r="JD215">
        <v>109.39</v>
      </c>
      <c r="JE215">
        <v>109.67</v>
      </c>
      <c r="JF215">
        <v>109.88</v>
      </c>
      <c r="JG215">
        <v>110.08</v>
      </c>
      <c r="JH215">
        <v>110.39</v>
      </c>
      <c r="JI215">
        <v>110.64</v>
      </c>
      <c r="JJ215">
        <v>111.06</v>
      </c>
      <c r="JK215">
        <v>111.35</v>
      </c>
      <c r="JN215">
        <v>111.8</v>
      </c>
      <c r="JO215">
        <v>112.08</v>
      </c>
      <c r="JP215">
        <v>112.28</v>
      </c>
      <c r="JQ215">
        <v>112.56</v>
      </c>
      <c r="JR215">
        <v>112.83</v>
      </c>
      <c r="JS215">
        <v>113.06</v>
      </c>
      <c r="JT215">
        <v>113.23</v>
      </c>
      <c r="JU215">
        <v>113.42</v>
      </c>
      <c r="JV215">
        <v>113.67</v>
      </c>
      <c r="JW215">
        <v>113.89</v>
      </c>
      <c r="JX215">
        <v>114.17</v>
      </c>
      <c r="JY215">
        <v>114.45</v>
      </c>
      <c r="JZ215">
        <v>114.65</v>
      </c>
      <c r="KA215">
        <v>114.84</v>
      </c>
      <c r="KB215">
        <v>115</v>
      </c>
      <c r="KC215">
        <v>115.21</v>
      </c>
      <c r="KD215">
        <v>115.31</v>
      </c>
      <c r="KE215">
        <v>115.53</v>
      </c>
      <c r="KF215">
        <v>115.77</v>
      </c>
      <c r="KG215">
        <v>115.99</v>
      </c>
      <c r="KH215">
        <v>116.16</v>
      </c>
      <c r="KJ215">
        <v>116.55</v>
      </c>
      <c r="KK215">
        <v>116.82</v>
      </c>
      <c r="KL215">
        <v>117.08</v>
      </c>
      <c r="KM215">
        <v>117.35</v>
      </c>
      <c r="KN215">
        <v>117.72</v>
      </c>
      <c r="KO215">
        <v>118.02</v>
      </c>
      <c r="KP215">
        <v>118.25</v>
      </c>
      <c r="KQ215">
        <v>118.54</v>
      </c>
      <c r="KR215">
        <v>118.8</v>
      </c>
      <c r="KS215">
        <v>119.13</v>
      </c>
      <c r="KT215">
        <v>119.47</v>
      </c>
      <c r="KW215">
        <v>120</v>
      </c>
      <c r="KX215">
        <v>120.23</v>
      </c>
      <c r="KY215">
        <v>120.55</v>
      </c>
      <c r="KZ215">
        <v>120.89</v>
      </c>
      <c r="LA215">
        <v>121.15</v>
      </c>
      <c r="LB215">
        <v>121.39</v>
      </c>
      <c r="LC215">
        <v>121.55</v>
      </c>
      <c r="LD215">
        <v>121.74</v>
      </c>
      <c r="LE215">
        <v>121.96</v>
      </c>
      <c r="LF215">
        <v>122.21</v>
      </c>
      <c r="LG215">
        <v>122.49</v>
      </c>
      <c r="LH215">
        <v>122.76</v>
      </c>
      <c r="LI215">
        <v>122.99</v>
      </c>
      <c r="LJ215">
        <v>123.19</v>
      </c>
      <c r="LK215">
        <v>123.4</v>
      </c>
      <c r="LL215">
        <v>123.74</v>
      </c>
      <c r="LM215">
        <v>124.22</v>
      </c>
      <c r="LN215">
        <v>124.59</v>
      </c>
      <c r="LO215">
        <v>125.07</v>
      </c>
      <c r="LP215">
        <v>125.49</v>
      </c>
      <c r="LQ215">
        <v>125.77</v>
      </c>
      <c r="LR215">
        <v>126.05</v>
      </c>
      <c r="LS215">
        <v>126.45</v>
      </c>
      <c r="LT215">
        <v>126.88</v>
      </c>
      <c r="LU215">
        <v>127.26</v>
      </c>
      <c r="LV215">
        <v>127.69</v>
      </c>
      <c r="LW215">
        <v>128.13</v>
      </c>
      <c r="LX215">
        <v>128.47999999999999</v>
      </c>
      <c r="LY215">
        <v>128.79</v>
      </c>
      <c r="LZ215">
        <v>129.19</v>
      </c>
      <c r="MB215">
        <v>130.54</v>
      </c>
      <c r="MC215">
        <v>130.54</v>
      </c>
      <c r="MD215">
        <v>130.99</v>
      </c>
      <c r="ME215">
        <v>131.41999999999999</v>
      </c>
      <c r="MF215">
        <v>131.83000000000001</v>
      </c>
      <c r="MG215">
        <v>132.25</v>
      </c>
      <c r="MH215">
        <v>132.68</v>
      </c>
      <c r="MI215">
        <v>133.25</v>
      </c>
      <c r="MJ215">
        <v>133.79</v>
      </c>
      <c r="MK215">
        <v>134.22999999999999</v>
      </c>
      <c r="ML215">
        <v>134.59</v>
      </c>
      <c r="MN215">
        <v>135.12</v>
      </c>
      <c r="MU215">
        <v>137.44999999999999</v>
      </c>
      <c r="MV215">
        <v>139.88999999999999</v>
      </c>
      <c r="MW215">
        <v>140.46</v>
      </c>
      <c r="MX215">
        <v>141.12</v>
      </c>
      <c r="MY215">
        <v>141.65</v>
      </c>
      <c r="MZ215">
        <v>142.07</v>
      </c>
      <c r="NA215">
        <v>142.54</v>
      </c>
      <c r="NB215">
        <v>143.29</v>
      </c>
      <c r="NC215">
        <v>143.80000000000001</v>
      </c>
      <c r="ND215">
        <v>145.38999999999999</v>
      </c>
      <c r="NE215">
        <v>145.38999999999999</v>
      </c>
      <c r="NF215">
        <v>145.84</v>
      </c>
      <c r="NG215">
        <v>146.19</v>
      </c>
      <c r="NH215">
        <v>147.07</v>
      </c>
      <c r="NI215">
        <v>147.07</v>
      </c>
      <c r="NJ215">
        <v>147.6</v>
      </c>
      <c r="NK215">
        <v>148.68</v>
      </c>
      <c r="NL215">
        <v>148.68</v>
      </c>
      <c r="NM215">
        <v>149.12</v>
      </c>
      <c r="NN215">
        <v>149.47</v>
      </c>
      <c r="NO215">
        <v>149.81</v>
      </c>
      <c r="NP215">
        <v>150.30000000000001</v>
      </c>
      <c r="NQ215">
        <v>150.66999999999999</v>
      </c>
      <c r="NU215">
        <v>151.65</v>
      </c>
      <c r="NV215">
        <v>152.11000000000001</v>
      </c>
      <c r="NW215">
        <v>152.5</v>
      </c>
      <c r="NX215">
        <v>152.9</v>
      </c>
      <c r="OC215">
        <v>154.41</v>
      </c>
      <c r="OD215">
        <v>154.77000000000001</v>
      </c>
      <c r="OE215">
        <v>155.16999999999999</v>
      </c>
      <c r="OF215">
        <v>155.6</v>
      </c>
      <c r="OG215">
        <v>156.03</v>
      </c>
      <c r="OH215">
        <v>156.41999999999999</v>
      </c>
      <c r="OI215">
        <v>156.66999999999999</v>
      </c>
      <c r="OJ215">
        <v>156.97</v>
      </c>
      <c r="OK215">
        <v>157.37</v>
      </c>
      <c r="OL215">
        <v>157.88999999999999</v>
      </c>
      <c r="OM215">
        <v>158.31</v>
      </c>
      <c r="ON215">
        <v>158.69999999999999</v>
      </c>
      <c r="OQ215">
        <v>159.41</v>
      </c>
      <c r="OR215">
        <v>159.76</v>
      </c>
      <c r="OS215">
        <v>160.19999999999999</v>
      </c>
      <c r="OT215">
        <v>160.49</v>
      </c>
      <c r="OU215">
        <v>160.81</v>
      </c>
      <c r="OV215">
        <v>161.02000000000001</v>
      </c>
      <c r="OW215">
        <v>161.22999999999999</v>
      </c>
      <c r="OX215">
        <v>161.55000000000001</v>
      </c>
      <c r="OY215">
        <v>161.79</v>
      </c>
      <c r="OZ215">
        <v>161.55000000000001</v>
      </c>
      <c r="PA215">
        <v>161.81</v>
      </c>
      <c r="PB215">
        <v>162.07</v>
      </c>
      <c r="PC215">
        <v>162.29</v>
      </c>
      <c r="PD215">
        <v>162.44999999999999</v>
      </c>
      <c r="PE215">
        <v>162.62</v>
      </c>
      <c r="PF215">
        <v>162.84</v>
      </c>
      <c r="PG215">
        <v>163.07</v>
      </c>
      <c r="PH215">
        <v>163.44999999999999</v>
      </c>
      <c r="PI215">
        <v>163.44999999999999</v>
      </c>
      <c r="PJ215">
        <v>163.62</v>
      </c>
      <c r="PK215">
        <v>163.74</v>
      </c>
      <c r="PL215">
        <v>163.89</v>
      </c>
      <c r="PM215">
        <v>164.08</v>
      </c>
      <c r="PN215">
        <v>164.3</v>
      </c>
      <c r="PO215">
        <v>164.45</v>
      </c>
      <c r="PP215">
        <v>164.64</v>
      </c>
      <c r="PQ215">
        <v>164.79</v>
      </c>
      <c r="PR215">
        <v>164.89</v>
      </c>
      <c r="PS215">
        <v>165.04</v>
      </c>
      <c r="PT215">
        <v>165.17</v>
      </c>
      <c r="PU215">
        <v>165.34</v>
      </c>
      <c r="PV215">
        <v>165.64</v>
      </c>
      <c r="PW215">
        <v>165.64</v>
      </c>
      <c r="PZ215">
        <v>166.07</v>
      </c>
      <c r="QA215">
        <v>166.07</v>
      </c>
      <c r="QB215">
        <v>166.27</v>
      </c>
      <c r="QC215">
        <v>166.27</v>
      </c>
      <c r="QD215">
        <v>166.52</v>
      </c>
      <c r="QE215">
        <v>166.52</v>
      </c>
      <c r="QF215">
        <v>166.68</v>
      </c>
      <c r="QG215">
        <v>166.68</v>
      </c>
      <c r="QH215">
        <v>166.91</v>
      </c>
      <c r="QI215">
        <v>166.91</v>
      </c>
      <c r="QJ215">
        <v>167.12</v>
      </c>
      <c r="QK215">
        <v>167.2</v>
      </c>
      <c r="QL215">
        <v>167.2</v>
      </c>
      <c r="QM215">
        <v>167.26</v>
      </c>
      <c r="QO215">
        <v>167.54</v>
      </c>
      <c r="QQ215">
        <v>167.7</v>
      </c>
      <c r="QS215">
        <v>167.81</v>
      </c>
      <c r="QU215">
        <v>167.96</v>
      </c>
      <c r="QV215">
        <v>168.04</v>
      </c>
      <c r="QY215">
        <v>168.23</v>
      </c>
      <c r="RF215">
        <v>168.63</v>
      </c>
      <c r="RR215">
        <v>170.64</v>
      </c>
      <c r="RW215">
        <v>171.72</v>
      </c>
      <c r="SA215">
        <v>172.34</v>
      </c>
      <c r="SC215">
        <v>172.53</v>
      </c>
      <c r="SE215">
        <v>172.96</v>
      </c>
      <c r="SH215">
        <v>173.42</v>
      </c>
      <c r="SI215">
        <v>173.61</v>
      </c>
      <c r="SJ215">
        <v>173.61</v>
      </c>
      <c r="SN215">
        <v>174.17</v>
      </c>
      <c r="SP215">
        <v>174.4</v>
      </c>
      <c r="ST215">
        <v>174.85</v>
      </c>
      <c r="SV215">
        <v>175.19</v>
      </c>
      <c r="SW215">
        <v>175.2</v>
      </c>
      <c r="SZ215">
        <v>175.52</v>
      </c>
      <c r="TC215">
        <v>176.01</v>
      </c>
      <c r="TD215">
        <v>176.03</v>
      </c>
      <c r="TE215">
        <v>176.03</v>
      </c>
      <c r="TF215">
        <v>176.42</v>
      </c>
      <c r="TG215">
        <v>176.5</v>
      </c>
      <c r="TH215">
        <v>176.5</v>
      </c>
      <c r="TM215">
        <v>176.91</v>
      </c>
      <c r="TS215">
        <v>177.47</v>
      </c>
      <c r="TU215">
        <v>177.81</v>
      </c>
      <c r="TV215">
        <v>177.9</v>
      </c>
      <c r="TW215">
        <v>177.96</v>
      </c>
      <c r="TX215">
        <v>178</v>
      </c>
      <c r="TY215">
        <v>178.01</v>
      </c>
      <c r="UB215">
        <v>178.38</v>
      </c>
      <c r="UC215">
        <v>178.39</v>
      </c>
      <c r="UG215">
        <v>178.79</v>
      </c>
      <c r="UH215">
        <v>178.83</v>
      </c>
      <c r="UI215">
        <v>178.83</v>
      </c>
      <c r="AAS215">
        <v>198.16</v>
      </c>
      <c r="AAT215">
        <v>198.17</v>
      </c>
      <c r="AAZ215">
        <v>198.9</v>
      </c>
      <c r="ABA215">
        <v>198.91</v>
      </c>
      <c r="ABG215">
        <v>199.66</v>
      </c>
      <c r="ABH215">
        <v>199.74</v>
      </c>
      <c r="ABI215">
        <v>199.82</v>
      </c>
      <c r="ABJ215">
        <v>199.87</v>
      </c>
      <c r="ABK215">
        <v>199.91</v>
      </c>
      <c r="ABL215">
        <v>199.92</v>
      </c>
      <c r="ABM215">
        <v>199.92</v>
      </c>
      <c r="ABN215">
        <v>199.93</v>
      </c>
      <c r="ABO215">
        <v>199.94</v>
      </c>
      <c r="ABT215">
        <v>200.3</v>
      </c>
      <c r="ABU215">
        <v>200.31</v>
      </c>
      <c r="ABV215">
        <v>200.32</v>
      </c>
      <c r="ACC215">
        <v>200.75</v>
      </c>
      <c r="ACI215">
        <v>201.14</v>
      </c>
      <c r="ACJ215">
        <v>201.14</v>
      </c>
      <c r="ACP215">
        <v>201.51</v>
      </c>
      <c r="ACQ215">
        <v>201.55</v>
      </c>
      <c r="ACR215">
        <v>201.58</v>
      </c>
      <c r="ACS215">
        <v>201.61</v>
      </c>
      <c r="ACT215">
        <v>201.64</v>
      </c>
      <c r="ACU215">
        <v>201.66</v>
      </c>
      <c r="ACV215">
        <v>201.66</v>
      </c>
      <c r="ACW215">
        <v>201.68</v>
      </c>
      <c r="ACX215">
        <v>201.68</v>
      </c>
      <c r="ADD215">
        <v>201.96</v>
      </c>
      <c r="ADE215">
        <v>201.99</v>
      </c>
      <c r="ADF215">
        <v>202.02</v>
      </c>
      <c r="ADG215">
        <v>202.04</v>
      </c>
      <c r="ADH215">
        <v>202.07</v>
      </c>
      <c r="ADI215">
        <v>202.08</v>
      </c>
      <c r="ADJ215">
        <v>202.08</v>
      </c>
      <c r="ADK215">
        <v>202.1</v>
      </c>
      <c r="ADL215">
        <v>202.1</v>
      </c>
      <c r="ADR215">
        <v>202.28</v>
      </c>
      <c r="ADS215">
        <v>202.28</v>
      </c>
      <c r="ADZ215">
        <v>202.43</v>
      </c>
    </row>
    <row r="216" spans="1:812">
      <c r="A216" s="1" t="s">
        <v>159</v>
      </c>
      <c r="B216" t="s">
        <v>159</v>
      </c>
      <c r="CD216">
        <v>0.01</v>
      </c>
      <c r="CE216">
        <v>0.01</v>
      </c>
      <c r="CF216">
        <v>0.53</v>
      </c>
      <c r="CG216">
        <v>0.95</v>
      </c>
      <c r="CH216">
        <v>1.57</v>
      </c>
      <c r="CI216">
        <v>1.82</v>
      </c>
      <c r="CJ216">
        <v>2.09</v>
      </c>
      <c r="CK216">
        <v>2.09</v>
      </c>
      <c r="CL216">
        <v>2.09</v>
      </c>
      <c r="CM216">
        <v>2.9</v>
      </c>
      <c r="CN216">
        <v>3.53</v>
      </c>
      <c r="CO216">
        <v>4.25</v>
      </c>
      <c r="CP216">
        <v>4.9000000000000004</v>
      </c>
      <c r="CQ216">
        <v>5.56</v>
      </c>
      <c r="CR216">
        <v>5.86</v>
      </c>
      <c r="CS216">
        <v>5.86</v>
      </c>
      <c r="CT216">
        <v>6.19</v>
      </c>
      <c r="CU216">
        <v>6.38</v>
      </c>
      <c r="CV216">
        <v>6.61</v>
      </c>
      <c r="CW216">
        <v>7.66</v>
      </c>
      <c r="CX216">
        <v>8.69</v>
      </c>
      <c r="CY216">
        <v>9.0500000000000007</v>
      </c>
      <c r="CZ216">
        <v>9.0500000000000007</v>
      </c>
      <c r="DA216">
        <v>10.14</v>
      </c>
      <c r="DB216">
        <v>11.18</v>
      </c>
      <c r="DC216">
        <v>12.19</v>
      </c>
      <c r="DD216">
        <v>13.43</v>
      </c>
      <c r="DE216">
        <v>14.61</v>
      </c>
      <c r="DF216">
        <v>14.99</v>
      </c>
      <c r="DG216">
        <v>14.99</v>
      </c>
      <c r="DH216">
        <v>16.55</v>
      </c>
      <c r="DI216">
        <v>18.05</v>
      </c>
      <c r="DJ216">
        <v>19.37</v>
      </c>
      <c r="DK216">
        <v>21.17</v>
      </c>
      <c r="DL216">
        <v>22.59</v>
      </c>
      <c r="DM216">
        <v>22.95</v>
      </c>
      <c r="DN216">
        <v>22.95</v>
      </c>
      <c r="DO216">
        <v>24.05</v>
      </c>
      <c r="DP216">
        <v>25.32</v>
      </c>
      <c r="DQ216">
        <v>26.64</v>
      </c>
      <c r="DR216">
        <v>28.05</v>
      </c>
      <c r="DS216">
        <v>29.19</v>
      </c>
      <c r="DT216">
        <v>29.97</v>
      </c>
      <c r="DU216">
        <v>29.98</v>
      </c>
      <c r="DV216">
        <v>31.51</v>
      </c>
      <c r="DW216">
        <v>33.159999999999997</v>
      </c>
      <c r="DX216">
        <v>34.83</v>
      </c>
      <c r="DY216">
        <v>36.659999999999997</v>
      </c>
      <c r="DZ216">
        <v>38.47</v>
      </c>
      <c r="EA216">
        <v>39.47</v>
      </c>
      <c r="EB216">
        <v>39.92</v>
      </c>
      <c r="EC216">
        <v>41.04</v>
      </c>
      <c r="ED216">
        <v>42.35</v>
      </c>
      <c r="EE216">
        <v>43.69</v>
      </c>
      <c r="EF216">
        <v>45.16</v>
      </c>
      <c r="EG216">
        <v>46.63</v>
      </c>
      <c r="EH216">
        <v>47.28</v>
      </c>
      <c r="EI216">
        <v>47.29</v>
      </c>
      <c r="EJ216">
        <v>48.59</v>
      </c>
      <c r="EK216">
        <v>49.88</v>
      </c>
      <c r="EL216">
        <v>51.16</v>
      </c>
      <c r="EM216">
        <v>52.48</v>
      </c>
      <c r="EN216">
        <v>53.86</v>
      </c>
      <c r="EO216">
        <v>53.83</v>
      </c>
      <c r="EP216">
        <v>53.84</v>
      </c>
      <c r="EQ216">
        <v>54.78</v>
      </c>
      <c r="ER216">
        <v>55.75</v>
      </c>
      <c r="ES216">
        <v>56.69</v>
      </c>
      <c r="ET216">
        <v>57.74</v>
      </c>
      <c r="EU216">
        <v>58.29</v>
      </c>
      <c r="EV216">
        <v>58.49</v>
      </c>
      <c r="EW216">
        <v>58.5</v>
      </c>
      <c r="EX216">
        <v>59.77</v>
      </c>
      <c r="EY216">
        <v>61.01</v>
      </c>
      <c r="EZ216">
        <v>62.29</v>
      </c>
      <c r="FA216">
        <v>64.09</v>
      </c>
      <c r="FB216">
        <v>65.83</v>
      </c>
      <c r="FC216">
        <v>66.45</v>
      </c>
      <c r="FD216">
        <v>66.459999999999994</v>
      </c>
      <c r="FE216">
        <v>68</v>
      </c>
      <c r="FF216">
        <v>69.489999999999995</v>
      </c>
      <c r="FG216">
        <v>70.760000000000005</v>
      </c>
      <c r="FH216">
        <v>72.13</v>
      </c>
      <c r="FI216">
        <v>73.56</v>
      </c>
      <c r="FJ216">
        <v>73.98</v>
      </c>
      <c r="FK216">
        <v>74.02</v>
      </c>
      <c r="FL216">
        <v>75.22</v>
      </c>
      <c r="FM216">
        <v>76.34</v>
      </c>
      <c r="FN216">
        <v>77.44</v>
      </c>
      <c r="FO216">
        <v>78.58</v>
      </c>
      <c r="FP216">
        <v>79.650000000000006</v>
      </c>
      <c r="FQ216">
        <v>80.37</v>
      </c>
      <c r="FR216">
        <v>80.41</v>
      </c>
      <c r="FS216">
        <v>81.739999999999995</v>
      </c>
      <c r="FT216">
        <v>83.06</v>
      </c>
      <c r="FU216">
        <v>84.35</v>
      </c>
      <c r="FV216">
        <v>85.63</v>
      </c>
      <c r="FW216">
        <v>86.89</v>
      </c>
      <c r="FX216">
        <v>87.32</v>
      </c>
      <c r="FY216">
        <v>87.34</v>
      </c>
      <c r="FZ216">
        <v>88.5</v>
      </c>
      <c r="GA216">
        <v>89.59</v>
      </c>
      <c r="GB216">
        <v>90.99</v>
      </c>
      <c r="GC216">
        <v>92.26</v>
      </c>
      <c r="GD216">
        <v>93.42</v>
      </c>
      <c r="GE216">
        <v>94.08</v>
      </c>
      <c r="GF216">
        <v>94.11</v>
      </c>
      <c r="GG216">
        <v>95.76</v>
      </c>
      <c r="GH216">
        <v>97.33</v>
      </c>
      <c r="GI216">
        <v>98.86</v>
      </c>
      <c r="GJ216">
        <v>100.13</v>
      </c>
      <c r="GK216">
        <v>101.49</v>
      </c>
      <c r="GL216">
        <v>101.91</v>
      </c>
      <c r="GM216">
        <v>101.93</v>
      </c>
      <c r="GN216">
        <v>103.44</v>
      </c>
      <c r="GO216">
        <v>104.77</v>
      </c>
      <c r="GP216">
        <v>106</v>
      </c>
      <c r="GQ216">
        <v>107.21</v>
      </c>
      <c r="GR216">
        <v>108.33</v>
      </c>
      <c r="GS216">
        <v>108.7</v>
      </c>
      <c r="GT216">
        <v>108.74</v>
      </c>
      <c r="GU216">
        <v>110.3</v>
      </c>
      <c r="GV216">
        <v>111.87</v>
      </c>
      <c r="GW216">
        <v>113.38</v>
      </c>
      <c r="GX216">
        <v>114.91</v>
      </c>
      <c r="GY216">
        <v>116.44</v>
      </c>
      <c r="GZ216">
        <v>116.96</v>
      </c>
      <c r="HA216">
        <v>116.98</v>
      </c>
      <c r="HB216">
        <v>118.43</v>
      </c>
      <c r="HC216">
        <v>119.82</v>
      </c>
      <c r="HD216">
        <v>121.28</v>
      </c>
      <c r="HE216">
        <v>122.13</v>
      </c>
      <c r="HF216">
        <v>122.87</v>
      </c>
      <c r="HG216">
        <v>123.03</v>
      </c>
      <c r="HH216">
        <v>123.04</v>
      </c>
      <c r="HI216">
        <v>124.51</v>
      </c>
      <c r="HJ216">
        <v>125.78</v>
      </c>
      <c r="HK216">
        <v>127.03</v>
      </c>
      <c r="HL216">
        <v>128.35</v>
      </c>
      <c r="HM216">
        <v>129.72</v>
      </c>
      <c r="HN216">
        <v>129.91</v>
      </c>
      <c r="HO216">
        <v>129.91</v>
      </c>
      <c r="HP216">
        <v>130.79</v>
      </c>
      <c r="HQ216">
        <v>131.51</v>
      </c>
      <c r="HR216">
        <v>132.19</v>
      </c>
      <c r="HS216">
        <v>132.96</v>
      </c>
      <c r="HT216">
        <v>134.09</v>
      </c>
      <c r="HU216">
        <v>134.21</v>
      </c>
      <c r="HV216">
        <v>134.24</v>
      </c>
      <c r="HW216">
        <v>135.16</v>
      </c>
      <c r="HX216">
        <v>135.91</v>
      </c>
      <c r="HY216">
        <v>136.54</v>
      </c>
      <c r="HZ216">
        <v>137.12</v>
      </c>
      <c r="IA216">
        <v>137.68</v>
      </c>
      <c r="IB216">
        <v>137.84</v>
      </c>
      <c r="IC216">
        <v>138.33000000000001</v>
      </c>
      <c r="ID216">
        <v>138.86000000000001</v>
      </c>
      <c r="IE216">
        <v>139.43</v>
      </c>
      <c r="IF216">
        <v>139.91</v>
      </c>
      <c r="IG216">
        <v>140.47999999999999</v>
      </c>
      <c r="IH216">
        <v>140.97</v>
      </c>
      <c r="II216">
        <v>141.05000000000001</v>
      </c>
      <c r="IJ216">
        <v>141.05000000000001</v>
      </c>
      <c r="IK216">
        <v>141.87</v>
      </c>
      <c r="IL216">
        <v>142.55000000000001</v>
      </c>
      <c r="IM216">
        <v>143.19999999999999</v>
      </c>
      <c r="IN216">
        <v>143.82</v>
      </c>
      <c r="IO216">
        <v>144.35</v>
      </c>
      <c r="IP216">
        <v>144.41</v>
      </c>
      <c r="IQ216">
        <v>144.41</v>
      </c>
      <c r="IR216">
        <v>145.88</v>
      </c>
      <c r="IS216">
        <v>147.51</v>
      </c>
      <c r="IT216">
        <v>149.03</v>
      </c>
      <c r="IU216">
        <v>150.53</v>
      </c>
      <c r="IV216">
        <v>151.44</v>
      </c>
      <c r="IW216">
        <v>151.68</v>
      </c>
      <c r="IX216">
        <v>151.69999999999999</v>
      </c>
      <c r="IY216">
        <v>153.22999999999999</v>
      </c>
      <c r="IZ216">
        <v>154.41999999999999</v>
      </c>
      <c r="JA216">
        <v>154.41999999999999</v>
      </c>
      <c r="JB216">
        <v>155.94999999999999</v>
      </c>
      <c r="JC216">
        <v>157.21</v>
      </c>
      <c r="JD216">
        <v>157.41999999999999</v>
      </c>
      <c r="JE216">
        <v>157.44</v>
      </c>
      <c r="JF216">
        <v>158.91999999999999</v>
      </c>
      <c r="JG216">
        <v>160.32</v>
      </c>
      <c r="JH216">
        <v>161.74</v>
      </c>
      <c r="JI216">
        <v>163.08000000000001</v>
      </c>
      <c r="JJ216">
        <v>164.53</v>
      </c>
      <c r="JK216">
        <v>164.72</v>
      </c>
      <c r="JL216">
        <v>164.74</v>
      </c>
      <c r="JM216">
        <v>165.84</v>
      </c>
      <c r="JN216">
        <v>166.86</v>
      </c>
      <c r="JO216">
        <v>167.85</v>
      </c>
      <c r="JP216">
        <v>168.96</v>
      </c>
      <c r="JQ216">
        <v>169.79</v>
      </c>
      <c r="JR216">
        <v>169.83</v>
      </c>
      <c r="JS216">
        <v>169.83</v>
      </c>
      <c r="JT216">
        <v>170.48</v>
      </c>
      <c r="JU216">
        <v>170.8</v>
      </c>
      <c r="JV216">
        <v>171</v>
      </c>
      <c r="JW216">
        <v>171.68</v>
      </c>
      <c r="JX216">
        <v>172.66</v>
      </c>
      <c r="JY216">
        <v>172.66</v>
      </c>
      <c r="JZ216">
        <v>172.66</v>
      </c>
      <c r="KA216">
        <v>173.38</v>
      </c>
      <c r="KB216">
        <v>174.15</v>
      </c>
      <c r="KC216">
        <v>175</v>
      </c>
      <c r="KD216">
        <v>175.84</v>
      </c>
      <c r="KE216">
        <v>176.78</v>
      </c>
      <c r="KF216">
        <v>176.79</v>
      </c>
      <c r="KG216">
        <v>176.81</v>
      </c>
      <c r="KH216">
        <v>177.65</v>
      </c>
      <c r="KI216">
        <v>178.34</v>
      </c>
      <c r="KJ216">
        <v>179.03</v>
      </c>
      <c r="KK216">
        <v>179.6</v>
      </c>
      <c r="KL216">
        <v>180.19</v>
      </c>
      <c r="KM216">
        <v>180.21</v>
      </c>
      <c r="KN216">
        <v>180.22</v>
      </c>
      <c r="KO216">
        <v>180.93</v>
      </c>
      <c r="KP216">
        <v>181.6</v>
      </c>
      <c r="KQ216">
        <v>182.21</v>
      </c>
      <c r="KR216">
        <v>182.84</v>
      </c>
      <c r="KS216">
        <v>183.54</v>
      </c>
      <c r="KT216">
        <v>183.56</v>
      </c>
      <c r="KU216">
        <v>183.57</v>
      </c>
      <c r="KV216">
        <v>183.77</v>
      </c>
      <c r="KW216">
        <v>184.1</v>
      </c>
      <c r="KX216">
        <v>184.65</v>
      </c>
      <c r="KY216">
        <v>185.29</v>
      </c>
      <c r="KZ216">
        <v>185.81</v>
      </c>
      <c r="LA216">
        <v>185.81</v>
      </c>
      <c r="LB216">
        <v>185.81</v>
      </c>
      <c r="LC216">
        <v>186.3</v>
      </c>
      <c r="LD216">
        <v>186.73</v>
      </c>
      <c r="LE216">
        <v>186.79</v>
      </c>
      <c r="LF216">
        <v>187.19</v>
      </c>
      <c r="LG216">
        <v>187.89</v>
      </c>
      <c r="LH216">
        <v>187.89</v>
      </c>
      <c r="LI216">
        <v>187.89</v>
      </c>
      <c r="LJ216">
        <v>188.29</v>
      </c>
      <c r="LK216">
        <v>188.63</v>
      </c>
      <c r="LL216">
        <v>188.96</v>
      </c>
      <c r="LM216">
        <v>189.24</v>
      </c>
      <c r="LN216">
        <v>189.79</v>
      </c>
      <c r="LO216">
        <v>189.79</v>
      </c>
      <c r="LP216">
        <v>189.79</v>
      </c>
      <c r="LQ216">
        <v>190</v>
      </c>
      <c r="LR216">
        <v>190</v>
      </c>
      <c r="LS216">
        <v>190.21</v>
      </c>
      <c r="LT216">
        <v>190.47</v>
      </c>
      <c r="LU216">
        <v>190.97</v>
      </c>
      <c r="LV216">
        <v>190.98</v>
      </c>
      <c r="LW216">
        <v>190.98</v>
      </c>
      <c r="LX216">
        <v>191.13</v>
      </c>
      <c r="LY216">
        <v>191.36</v>
      </c>
      <c r="LZ216">
        <v>191.51</v>
      </c>
      <c r="MA216">
        <v>191.75</v>
      </c>
      <c r="MB216">
        <v>192.09</v>
      </c>
      <c r="MC216">
        <v>192.09</v>
      </c>
      <c r="MD216">
        <v>192.09</v>
      </c>
      <c r="ME216">
        <v>192.16</v>
      </c>
      <c r="MF216">
        <v>192.25</v>
      </c>
      <c r="MG216">
        <v>192.31</v>
      </c>
      <c r="MH216">
        <v>192.54</v>
      </c>
      <c r="MI216">
        <v>192.82</v>
      </c>
      <c r="MJ216">
        <v>192.82</v>
      </c>
      <c r="MK216">
        <v>192.82</v>
      </c>
      <c r="ML216">
        <v>192.89</v>
      </c>
      <c r="MM216">
        <v>192.99</v>
      </c>
      <c r="MN216">
        <v>193.18</v>
      </c>
      <c r="MO216">
        <v>194.37</v>
      </c>
      <c r="MP216">
        <v>194.59</v>
      </c>
      <c r="MQ216">
        <v>194.59</v>
      </c>
      <c r="MR216">
        <v>194.59</v>
      </c>
      <c r="MS216">
        <v>194.73</v>
      </c>
      <c r="MT216">
        <v>194.83</v>
      </c>
      <c r="MU216">
        <v>195.01</v>
      </c>
      <c r="MV216">
        <v>195.29</v>
      </c>
      <c r="MW216">
        <v>195.85</v>
      </c>
      <c r="MX216">
        <v>195.85</v>
      </c>
      <c r="MY216">
        <v>195.85</v>
      </c>
      <c r="MZ216">
        <v>195.98</v>
      </c>
      <c r="NA216">
        <v>196.07</v>
      </c>
      <c r="NB216">
        <v>196.25</v>
      </c>
      <c r="NC216">
        <v>196.45</v>
      </c>
      <c r="ND216">
        <v>196.77</v>
      </c>
      <c r="NE216">
        <v>196.77</v>
      </c>
      <c r="NF216">
        <v>196.77</v>
      </c>
      <c r="NG216">
        <v>196.99</v>
      </c>
      <c r="NH216">
        <v>197.24</v>
      </c>
      <c r="NI216">
        <v>197.34</v>
      </c>
      <c r="NJ216">
        <v>197.57</v>
      </c>
      <c r="NK216">
        <v>197.94</v>
      </c>
      <c r="NL216">
        <v>197.94</v>
      </c>
      <c r="NM216">
        <v>197.94</v>
      </c>
      <c r="NN216">
        <v>198.31</v>
      </c>
      <c r="NO216">
        <v>198.51</v>
      </c>
      <c r="NP216">
        <v>198.83</v>
      </c>
      <c r="NQ216">
        <v>198.84</v>
      </c>
      <c r="NR216">
        <v>198.84</v>
      </c>
      <c r="NS216">
        <v>198.84</v>
      </c>
      <c r="NT216">
        <v>198.84</v>
      </c>
      <c r="NU216">
        <v>199.22</v>
      </c>
      <c r="NV216">
        <v>199.35</v>
      </c>
      <c r="NW216">
        <v>199.7</v>
      </c>
      <c r="NX216">
        <v>199.81</v>
      </c>
      <c r="NY216">
        <v>199.81</v>
      </c>
      <c r="NZ216">
        <v>199.81</v>
      </c>
      <c r="OA216">
        <v>199.84</v>
      </c>
      <c r="OB216">
        <v>200.09</v>
      </c>
      <c r="OC216">
        <v>200.35</v>
      </c>
      <c r="OD216">
        <v>200.64</v>
      </c>
      <c r="OE216">
        <v>200.64</v>
      </c>
      <c r="OF216">
        <v>200.77</v>
      </c>
      <c r="OG216">
        <v>200.77</v>
      </c>
      <c r="OH216">
        <v>200.77</v>
      </c>
      <c r="OI216">
        <v>201.57</v>
      </c>
      <c r="OJ216">
        <v>202.16</v>
      </c>
      <c r="OK216">
        <v>203.04</v>
      </c>
      <c r="OL216">
        <v>203.93</v>
      </c>
      <c r="OM216">
        <v>204.95</v>
      </c>
      <c r="ON216">
        <v>204.99</v>
      </c>
      <c r="OO216">
        <v>205.06</v>
      </c>
      <c r="OP216">
        <v>205.93</v>
      </c>
      <c r="OQ216">
        <v>206.56</v>
      </c>
      <c r="OR216">
        <v>207.42</v>
      </c>
      <c r="OS216">
        <v>208.26</v>
      </c>
      <c r="OT216">
        <v>209.03</v>
      </c>
      <c r="OU216">
        <v>209.07</v>
      </c>
      <c r="OV216">
        <v>209.07</v>
      </c>
      <c r="OW216">
        <v>209.87</v>
      </c>
      <c r="OX216">
        <v>210.46</v>
      </c>
      <c r="OY216">
        <v>211.11</v>
      </c>
      <c r="OZ216">
        <v>211.8</v>
      </c>
      <c r="PA216">
        <v>212.52</v>
      </c>
      <c r="PB216">
        <v>212.53</v>
      </c>
      <c r="PC216">
        <v>212.61</v>
      </c>
      <c r="PD216">
        <v>213.13</v>
      </c>
      <c r="PE216">
        <v>213.44</v>
      </c>
      <c r="PF216">
        <v>213.79</v>
      </c>
      <c r="PG216">
        <v>214.24</v>
      </c>
      <c r="PH216">
        <v>214.8</v>
      </c>
      <c r="PI216">
        <v>214.8</v>
      </c>
      <c r="PJ216">
        <v>214.8</v>
      </c>
      <c r="PK216">
        <v>215.38</v>
      </c>
      <c r="PL216">
        <v>215.53</v>
      </c>
      <c r="PM216">
        <v>215.74</v>
      </c>
      <c r="PN216">
        <v>216.03</v>
      </c>
      <c r="PO216">
        <v>216.25</v>
      </c>
      <c r="PP216">
        <v>216.26</v>
      </c>
      <c r="PQ216">
        <v>216.26</v>
      </c>
      <c r="PR216">
        <v>216.6</v>
      </c>
      <c r="PS216">
        <v>216.69</v>
      </c>
      <c r="PT216">
        <v>216.83</v>
      </c>
      <c r="PU216">
        <v>216.94</v>
      </c>
      <c r="PV216">
        <v>217.11</v>
      </c>
      <c r="PW216">
        <v>217.11</v>
      </c>
      <c r="PX216">
        <v>217.11</v>
      </c>
      <c r="PY216">
        <v>217.44</v>
      </c>
      <c r="PZ216">
        <v>217.56</v>
      </c>
      <c r="QA216">
        <v>217.87</v>
      </c>
      <c r="QB216">
        <v>218.33</v>
      </c>
      <c r="QC216">
        <v>218.68</v>
      </c>
      <c r="QD216">
        <v>218.71</v>
      </c>
      <c r="QE216">
        <v>218.71</v>
      </c>
      <c r="QO216">
        <v>222.88</v>
      </c>
      <c r="QP216">
        <v>223.68</v>
      </c>
      <c r="QQ216">
        <v>224.56</v>
      </c>
      <c r="QR216">
        <v>224.56</v>
      </c>
      <c r="QS216">
        <v>224.56</v>
      </c>
      <c r="QT216">
        <v>225.41</v>
      </c>
      <c r="QU216">
        <v>225.98</v>
      </c>
      <c r="QV216">
        <v>226.45</v>
      </c>
      <c r="QW216">
        <v>226.94</v>
      </c>
      <c r="QX216">
        <v>227.24</v>
      </c>
      <c r="QY216">
        <v>227.25</v>
      </c>
      <c r="QZ216">
        <v>227.25</v>
      </c>
      <c r="RA216">
        <v>227.95</v>
      </c>
      <c r="RB216">
        <v>228.31</v>
      </c>
      <c r="RC216">
        <v>228.69</v>
      </c>
      <c r="RD216">
        <v>229.13</v>
      </c>
      <c r="RE216">
        <v>229.64</v>
      </c>
      <c r="RF216">
        <v>229.65</v>
      </c>
      <c r="RG216">
        <v>229.65</v>
      </c>
      <c r="RH216">
        <v>230.04</v>
      </c>
      <c r="RI216">
        <v>230.34</v>
      </c>
      <c r="RJ216">
        <v>230.65</v>
      </c>
      <c r="RK216">
        <v>230.87</v>
      </c>
      <c r="RL216">
        <v>231.5</v>
      </c>
      <c r="RM216">
        <v>231.76</v>
      </c>
      <c r="RN216">
        <v>231.92</v>
      </c>
      <c r="RO216">
        <v>232.01</v>
      </c>
      <c r="RP216">
        <v>232.1</v>
      </c>
      <c r="RQ216">
        <v>232.64</v>
      </c>
      <c r="RR216">
        <v>232.65</v>
      </c>
      <c r="RS216">
        <v>232.67</v>
      </c>
      <c r="RT216">
        <v>232.7</v>
      </c>
      <c r="RU216">
        <v>232.7</v>
      </c>
      <c r="RV216">
        <v>232.7</v>
      </c>
      <c r="RW216">
        <v>232.7</v>
      </c>
      <c r="RX216">
        <v>232.94</v>
      </c>
      <c r="RY216">
        <v>233.18</v>
      </c>
      <c r="RZ216">
        <v>233.4</v>
      </c>
      <c r="SA216">
        <v>233.8</v>
      </c>
      <c r="SB216">
        <v>233.8</v>
      </c>
      <c r="SD216">
        <v>233.95</v>
      </c>
      <c r="SE216">
        <v>234.01</v>
      </c>
      <c r="SF216">
        <v>234.09</v>
      </c>
      <c r="SG216">
        <v>234.21</v>
      </c>
      <c r="SH216">
        <v>234.44</v>
      </c>
      <c r="SI216">
        <v>234.44</v>
      </c>
      <c r="SK216">
        <v>234.58</v>
      </c>
      <c r="SL216">
        <v>234.64</v>
      </c>
      <c r="SM216">
        <v>234.72</v>
      </c>
      <c r="SN216">
        <v>234.84</v>
      </c>
      <c r="SO216">
        <v>235.03</v>
      </c>
      <c r="SP216">
        <v>235.04</v>
      </c>
      <c r="SR216">
        <v>235.43</v>
      </c>
      <c r="ST216">
        <v>236.39</v>
      </c>
      <c r="SU216">
        <v>236.55</v>
      </c>
      <c r="SV216">
        <v>237.14</v>
      </c>
      <c r="SW216">
        <v>237.15</v>
      </c>
      <c r="SY216">
        <v>237.15</v>
      </c>
      <c r="SZ216">
        <v>237.25</v>
      </c>
      <c r="TA216">
        <v>237.58</v>
      </c>
      <c r="TB216">
        <v>237.86</v>
      </c>
      <c r="TC216">
        <v>238.23</v>
      </c>
      <c r="TD216">
        <v>238.23</v>
      </c>
      <c r="TE216">
        <v>238.23</v>
      </c>
      <c r="TF216">
        <v>238.75</v>
      </c>
      <c r="TG216">
        <v>239.14</v>
      </c>
      <c r="TH216">
        <v>239.61</v>
      </c>
      <c r="TI216">
        <v>240</v>
      </c>
      <c r="TJ216">
        <v>240.65</v>
      </c>
      <c r="TK216">
        <v>240.67</v>
      </c>
      <c r="TM216">
        <v>240.89</v>
      </c>
      <c r="TN216">
        <v>241.02</v>
      </c>
      <c r="TO216">
        <v>241.66</v>
      </c>
      <c r="TP216">
        <v>242.05</v>
      </c>
      <c r="TQ216">
        <v>242.56</v>
      </c>
      <c r="TR216">
        <v>242.57</v>
      </c>
      <c r="TT216">
        <v>243.02</v>
      </c>
      <c r="TU216">
        <v>243.4</v>
      </c>
      <c r="TV216">
        <v>243.84</v>
      </c>
      <c r="TW216">
        <v>244.05</v>
      </c>
      <c r="TX216">
        <v>244.7</v>
      </c>
      <c r="TY216">
        <v>244.7</v>
      </c>
      <c r="TZ216">
        <v>244.7</v>
      </c>
      <c r="UA216">
        <v>244.93</v>
      </c>
      <c r="UB216">
        <v>245.26</v>
      </c>
      <c r="UC216">
        <v>245.65</v>
      </c>
      <c r="UD216">
        <v>245.8</v>
      </c>
      <c r="UE216">
        <v>246.3</v>
      </c>
      <c r="UF216">
        <v>246.3</v>
      </c>
      <c r="UH216">
        <v>246.62</v>
      </c>
      <c r="UI216">
        <v>246.91</v>
      </c>
      <c r="UJ216">
        <v>247.19</v>
      </c>
      <c r="UK216">
        <v>247.53</v>
      </c>
      <c r="UL216">
        <v>247.97</v>
      </c>
      <c r="UM216">
        <v>247.97</v>
      </c>
      <c r="UN216">
        <v>247.97</v>
      </c>
      <c r="UO216">
        <v>248.31</v>
      </c>
      <c r="UP216">
        <v>248.58</v>
      </c>
      <c r="UQ216">
        <v>248.83</v>
      </c>
      <c r="UR216">
        <v>249.04</v>
      </c>
      <c r="US216">
        <v>249.06</v>
      </c>
      <c r="UT216">
        <v>249.06</v>
      </c>
      <c r="UV216">
        <v>249.12</v>
      </c>
      <c r="UW216">
        <v>249.26</v>
      </c>
      <c r="UX216">
        <v>249.34</v>
      </c>
      <c r="UY216">
        <v>249.4</v>
      </c>
      <c r="UZ216">
        <v>249.46</v>
      </c>
      <c r="VA216">
        <v>249.46</v>
      </c>
      <c r="VC216">
        <v>253.8</v>
      </c>
      <c r="VD216">
        <v>253.9</v>
      </c>
      <c r="VE216">
        <v>253.95</v>
      </c>
      <c r="VF216">
        <v>253.99</v>
      </c>
      <c r="VG216">
        <v>254.02</v>
      </c>
      <c r="VK216">
        <v>254.08</v>
      </c>
      <c r="VL216">
        <v>254.1</v>
      </c>
      <c r="VM216">
        <v>254.13</v>
      </c>
      <c r="VN216">
        <v>254.16</v>
      </c>
      <c r="VQ216">
        <v>254.17</v>
      </c>
      <c r="VR216">
        <v>254.22</v>
      </c>
      <c r="VS216">
        <v>254.24</v>
      </c>
      <c r="VT216">
        <v>254.27</v>
      </c>
      <c r="VU216">
        <v>254.29</v>
      </c>
      <c r="VV216">
        <v>254.29</v>
      </c>
      <c r="VW216">
        <v>254.31</v>
      </c>
      <c r="VX216">
        <v>254.36</v>
      </c>
      <c r="VY216">
        <v>254.37</v>
      </c>
      <c r="VZ216">
        <v>254.4</v>
      </c>
      <c r="WA216">
        <v>254.42</v>
      </c>
      <c r="WB216">
        <v>254.42</v>
      </c>
      <c r="WD216">
        <v>254.43</v>
      </c>
      <c r="WE216">
        <v>254.45</v>
      </c>
      <c r="WF216">
        <v>254.47</v>
      </c>
      <c r="WG216">
        <v>254.49</v>
      </c>
      <c r="WH216">
        <v>254.51</v>
      </c>
      <c r="WI216">
        <v>254.51</v>
      </c>
      <c r="WJ216">
        <v>254.51</v>
      </c>
      <c r="WK216">
        <v>254.51</v>
      </c>
      <c r="WM216">
        <v>254.58</v>
      </c>
      <c r="WN216">
        <v>254.6</v>
      </c>
      <c r="WO216">
        <v>254.62</v>
      </c>
      <c r="WP216">
        <v>254.62</v>
      </c>
      <c r="WR216">
        <v>254.63</v>
      </c>
      <c r="WS216">
        <v>254.67</v>
      </c>
      <c r="WT216">
        <v>254.68</v>
      </c>
      <c r="WV216">
        <v>254.7</v>
      </c>
      <c r="WW216">
        <v>254.7</v>
      </c>
      <c r="WY216">
        <v>254.71</v>
      </c>
      <c r="WZ216">
        <v>254.74</v>
      </c>
      <c r="XA216">
        <v>254.76</v>
      </c>
      <c r="XB216">
        <v>254.78</v>
      </c>
      <c r="XC216">
        <v>254.79</v>
      </c>
      <c r="XD216">
        <v>254.79</v>
      </c>
      <c r="XF216">
        <v>254.8</v>
      </c>
      <c r="XG216">
        <v>254.83</v>
      </c>
      <c r="XH216">
        <v>254.85</v>
      </c>
      <c r="XI216">
        <v>254.86</v>
      </c>
      <c r="XJ216">
        <v>254.88</v>
      </c>
      <c r="XK216">
        <v>254.88</v>
      </c>
      <c r="XM216">
        <v>254.89</v>
      </c>
      <c r="XN216">
        <v>254.91</v>
      </c>
      <c r="XO216">
        <v>254.92</v>
      </c>
      <c r="XP216">
        <v>254.93</v>
      </c>
      <c r="XQ216">
        <v>254.95</v>
      </c>
      <c r="XR216">
        <v>254.95</v>
      </c>
      <c r="XT216">
        <v>254.96</v>
      </c>
      <c r="XU216">
        <v>254.98</v>
      </c>
      <c r="XV216">
        <v>254.99</v>
      </c>
      <c r="XW216">
        <v>254.99</v>
      </c>
      <c r="XX216">
        <v>255.01</v>
      </c>
      <c r="XY216">
        <v>255.01</v>
      </c>
      <c r="YA216">
        <v>255.01</v>
      </c>
      <c r="YB216">
        <v>255.03</v>
      </c>
      <c r="YC216">
        <v>255.04</v>
      </c>
      <c r="YD216">
        <v>255.06</v>
      </c>
      <c r="YE216">
        <v>255.07</v>
      </c>
      <c r="YH216">
        <v>255.07</v>
      </c>
      <c r="YI216">
        <v>255.09</v>
      </c>
      <c r="YJ216">
        <v>255.1</v>
      </c>
      <c r="YK216">
        <v>255.11</v>
      </c>
      <c r="YL216">
        <v>255.11</v>
      </c>
      <c r="YM216">
        <v>255.11</v>
      </c>
      <c r="YO216">
        <v>255.13</v>
      </c>
      <c r="YP216">
        <v>255.13</v>
      </c>
      <c r="YQ216">
        <v>255.13</v>
      </c>
      <c r="YR216">
        <v>255.14</v>
      </c>
      <c r="YS216">
        <v>255.14</v>
      </c>
      <c r="YT216">
        <v>255.14</v>
      </c>
      <c r="YV216">
        <v>255.15</v>
      </c>
      <c r="YW216">
        <v>255.16</v>
      </c>
      <c r="YX216">
        <v>255.16</v>
      </c>
      <c r="YY216">
        <v>255.17</v>
      </c>
      <c r="YZ216">
        <v>255.17</v>
      </c>
      <c r="ZA216">
        <v>255.17</v>
      </c>
      <c r="ZC216">
        <v>255.18</v>
      </c>
      <c r="ZD216">
        <v>255.19</v>
      </c>
      <c r="ZE216">
        <v>255.46</v>
      </c>
      <c r="ZF216">
        <v>255.47</v>
      </c>
      <c r="ZG216">
        <v>255.47</v>
      </c>
      <c r="ZH216">
        <v>255.47</v>
      </c>
      <c r="ZJ216">
        <v>255.48</v>
      </c>
      <c r="ZM216">
        <v>255.49</v>
      </c>
      <c r="ZN216">
        <v>255.5</v>
      </c>
      <c r="ZO216">
        <v>255.5</v>
      </c>
      <c r="ZQ216">
        <v>255.5</v>
      </c>
      <c r="ZR216">
        <v>255.51</v>
      </c>
      <c r="ZS216">
        <v>255.52</v>
      </c>
      <c r="ZT216">
        <v>255.52</v>
      </c>
      <c r="ZU216">
        <v>255.52</v>
      </c>
      <c r="ZV216">
        <v>255.52</v>
      </c>
      <c r="ZX216">
        <v>255.53</v>
      </c>
      <c r="ZY216">
        <v>255.54</v>
      </c>
      <c r="ZZ216">
        <v>255.54</v>
      </c>
      <c r="AAA216">
        <v>255.55</v>
      </c>
      <c r="AAB216">
        <v>255.55</v>
      </c>
      <c r="AAC216">
        <v>255.55</v>
      </c>
      <c r="AAE216">
        <v>255.55</v>
      </c>
      <c r="AAF216">
        <v>255.56</v>
      </c>
      <c r="AAG216">
        <v>255.57</v>
      </c>
      <c r="AAH216">
        <v>255.57</v>
      </c>
      <c r="AAI216">
        <v>255.58</v>
      </c>
      <c r="AAJ216">
        <v>255.58</v>
      </c>
      <c r="AAL216">
        <v>255.58</v>
      </c>
      <c r="AAM216">
        <v>255.59</v>
      </c>
      <c r="AAN216">
        <v>255.6</v>
      </c>
      <c r="AAO216">
        <v>255.61</v>
      </c>
      <c r="AAP216">
        <v>255.61</v>
      </c>
      <c r="AAQ216">
        <v>255.61</v>
      </c>
      <c r="AAS216">
        <v>255.62</v>
      </c>
      <c r="AAT216">
        <v>255.63</v>
      </c>
      <c r="AAU216">
        <v>255.64</v>
      </c>
      <c r="AAV216">
        <v>255.65</v>
      </c>
      <c r="AAW216">
        <v>255.66</v>
      </c>
      <c r="AAX216">
        <v>255.66</v>
      </c>
      <c r="ABG216">
        <v>255.76</v>
      </c>
      <c r="ABH216">
        <v>255.81</v>
      </c>
      <c r="ABI216">
        <v>255.82</v>
      </c>
      <c r="ABJ216">
        <v>255.85</v>
      </c>
      <c r="ABK216">
        <v>255.86</v>
      </c>
      <c r="ABN216">
        <v>255.88</v>
      </c>
      <c r="ABO216">
        <v>255.96</v>
      </c>
      <c r="ABP216">
        <v>256</v>
      </c>
      <c r="ABQ216">
        <v>256.04000000000002</v>
      </c>
      <c r="ABR216">
        <v>256.06</v>
      </c>
      <c r="ABU216">
        <v>256.41000000000003</v>
      </c>
      <c r="ABV216">
        <v>256.51</v>
      </c>
      <c r="ABW216">
        <v>256.61</v>
      </c>
      <c r="ABX216">
        <v>256.69</v>
      </c>
      <c r="ABZ216">
        <v>256.7</v>
      </c>
      <c r="ACA216">
        <v>258.05</v>
      </c>
      <c r="ACI216">
        <v>257</v>
      </c>
      <c r="ACL216">
        <v>257.05</v>
      </c>
      <c r="ACM216">
        <v>259.39</v>
      </c>
      <c r="ACN216">
        <v>259.39</v>
      </c>
      <c r="ACO216">
        <v>259.39</v>
      </c>
      <c r="ACP216">
        <v>257.19</v>
      </c>
      <c r="ACQ216">
        <v>257.22000000000003</v>
      </c>
      <c r="ACR216">
        <v>257.22000000000003</v>
      </c>
      <c r="ACT216">
        <v>257.25</v>
      </c>
      <c r="ACU216">
        <v>257.27999999999997</v>
      </c>
      <c r="ACV216">
        <v>257.3</v>
      </c>
      <c r="ACW216">
        <v>257.33</v>
      </c>
      <c r="ACZ216">
        <v>257.35000000000002</v>
      </c>
      <c r="ADA216">
        <v>260.41000000000003</v>
      </c>
      <c r="ADB216">
        <v>260.41000000000003</v>
      </c>
      <c r="ADD216">
        <v>257.44</v>
      </c>
      <c r="ADE216">
        <v>257.45999999999998</v>
      </c>
      <c r="ADF216">
        <v>257.45999999999998</v>
      </c>
      <c r="ADH216">
        <v>257.48</v>
      </c>
      <c r="ADI216">
        <v>257.49</v>
      </c>
      <c r="ADJ216">
        <v>257.51</v>
      </c>
      <c r="ADK216">
        <v>257.52999999999997</v>
      </c>
      <c r="ADN216">
        <v>257.54000000000002</v>
      </c>
      <c r="ADO216">
        <v>261.06</v>
      </c>
      <c r="ADP216">
        <v>261.06</v>
      </c>
      <c r="ADR216">
        <v>257.57</v>
      </c>
      <c r="ADS216">
        <v>257.58</v>
      </c>
      <c r="ADV216">
        <v>257.58999999999997</v>
      </c>
      <c r="ADW216">
        <v>261.19</v>
      </c>
      <c r="ADY216">
        <v>261.23</v>
      </c>
      <c r="ADZ216">
        <v>257.64</v>
      </c>
      <c r="AEA216">
        <v>257.64</v>
      </c>
      <c r="AEC216">
        <v>257.64999999999998</v>
      </c>
      <c r="AED216">
        <v>261.35000000000002</v>
      </c>
      <c r="AEF216">
        <v>261.37</v>
      </c>
    </row>
    <row r="217" spans="1:812">
      <c r="A217" s="1" t="s">
        <v>91</v>
      </c>
      <c r="B217" t="s">
        <v>91</v>
      </c>
      <c r="DJ217">
        <v>0</v>
      </c>
      <c r="DP217">
        <v>0.1</v>
      </c>
      <c r="DU217">
        <v>0.44</v>
      </c>
      <c r="DX217">
        <v>0.77</v>
      </c>
      <c r="DY217">
        <v>1</v>
      </c>
      <c r="ED217">
        <v>1.37</v>
      </c>
      <c r="EI217">
        <v>1.63</v>
      </c>
      <c r="EK217">
        <v>1.79</v>
      </c>
      <c r="EX217">
        <v>3.51</v>
      </c>
      <c r="EZ217">
        <v>3.84</v>
      </c>
      <c r="FF217">
        <v>4.22</v>
      </c>
      <c r="FK217">
        <v>4.78</v>
      </c>
      <c r="FM217">
        <v>4.91</v>
      </c>
      <c r="FT217">
        <v>6.38</v>
      </c>
      <c r="GH217">
        <v>8.0500000000000007</v>
      </c>
      <c r="GV217">
        <v>10.58</v>
      </c>
      <c r="HQ217">
        <v>17.34</v>
      </c>
      <c r="ID217">
        <v>23.93</v>
      </c>
      <c r="IG217">
        <v>25.89</v>
      </c>
      <c r="IJ217">
        <v>29.95</v>
      </c>
      <c r="IL217">
        <v>31.86</v>
      </c>
      <c r="IM217">
        <v>33.119999999999997</v>
      </c>
      <c r="IN217">
        <v>34.01</v>
      </c>
      <c r="IO217">
        <v>36.159999999999997</v>
      </c>
      <c r="JF217">
        <v>42.25</v>
      </c>
      <c r="JM217">
        <v>45.26</v>
      </c>
      <c r="JN217">
        <v>46.26</v>
      </c>
      <c r="JO217">
        <v>47.08</v>
      </c>
      <c r="JV217">
        <v>51.38</v>
      </c>
      <c r="KI217">
        <v>58.84</v>
      </c>
      <c r="KR217">
        <v>64.760000000000005</v>
      </c>
      <c r="LD217">
        <v>70.98</v>
      </c>
      <c r="LE217">
        <v>71.61</v>
      </c>
      <c r="LF217">
        <v>72.209999999999994</v>
      </c>
      <c r="LG217">
        <v>72.819999999999993</v>
      </c>
      <c r="LI217">
        <v>73.97</v>
      </c>
      <c r="LK217">
        <v>74.540000000000006</v>
      </c>
      <c r="LL217">
        <v>75.069999999999993</v>
      </c>
      <c r="LM217">
        <v>75.599999999999994</v>
      </c>
      <c r="LN217">
        <v>76.13</v>
      </c>
      <c r="LR217">
        <v>78</v>
      </c>
      <c r="LS217">
        <v>78.760000000000005</v>
      </c>
      <c r="LW217">
        <v>82.05</v>
      </c>
      <c r="LY217">
        <v>83.01</v>
      </c>
      <c r="LZ217">
        <v>83.97</v>
      </c>
      <c r="MA217">
        <v>84.93</v>
      </c>
      <c r="MB217">
        <v>85.86</v>
      </c>
      <c r="MD217">
        <v>87.62</v>
      </c>
      <c r="MF217">
        <v>88.44</v>
      </c>
      <c r="MG217">
        <v>89.34</v>
      </c>
      <c r="MH217">
        <v>90.15</v>
      </c>
      <c r="MI217">
        <v>91.02</v>
      </c>
      <c r="MK217">
        <v>92.79</v>
      </c>
      <c r="MM217">
        <v>93.72</v>
      </c>
      <c r="MP217">
        <v>96.66</v>
      </c>
      <c r="MR217">
        <v>98.44</v>
      </c>
      <c r="MT217">
        <v>99.22</v>
      </c>
      <c r="MV217">
        <v>100.73</v>
      </c>
      <c r="NA217">
        <v>103.48</v>
      </c>
      <c r="NB217">
        <v>104.18</v>
      </c>
      <c r="ND217">
        <v>104.93</v>
      </c>
      <c r="NF217">
        <v>106.27</v>
      </c>
      <c r="NH217">
        <v>106.98</v>
      </c>
      <c r="NI217">
        <v>107.66</v>
      </c>
      <c r="NJ217">
        <v>108.29</v>
      </c>
      <c r="NK217">
        <v>108.88</v>
      </c>
      <c r="NM217">
        <v>110.05</v>
      </c>
      <c r="NO217">
        <v>110.64</v>
      </c>
      <c r="NP217">
        <v>111.23</v>
      </c>
      <c r="NQ217">
        <v>111.79</v>
      </c>
      <c r="NR217">
        <v>112.36</v>
      </c>
      <c r="NT217">
        <v>113.45</v>
      </c>
      <c r="NV217">
        <v>113.98</v>
      </c>
      <c r="NW217">
        <v>114.52</v>
      </c>
      <c r="NX217">
        <v>115.03</v>
      </c>
      <c r="OE217">
        <v>115.97</v>
      </c>
      <c r="OF217">
        <v>116.41</v>
      </c>
      <c r="OG217">
        <v>116.86</v>
      </c>
      <c r="OH217">
        <v>117.31</v>
      </c>
      <c r="OJ217">
        <v>117.72</v>
      </c>
      <c r="OK217">
        <v>118.15</v>
      </c>
      <c r="OL217">
        <v>118.58</v>
      </c>
      <c r="OM217">
        <v>118.99</v>
      </c>
      <c r="OO217">
        <v>119.81</v>
      </c>
      <c r="OQ217">
        <v>120.19</v>
      </c>
      <c r="OR217">
        <v>120.56</v>
      </c>
      <c r="OS217">
        <v>120.9</v>
      </c>
      <c r="OT217">
        <v>121.24</v>
      </c>
      <c r="OV217">
        <v>121.91</v>
      </c>
      <c r="OX217">
        <v>122.23</v>
      </c>
      <c r="OZ217">
        <v>122.82</v>
      </c>
      <c r="PA217">
        <v>123.16</v>
      </c>
      <c r="PE217">
        <v>124.05</v>
      </c>
      <c r="PF217">
        <v>124.3</v>
      </c>
      <c r="PG217">
        <v>124.58</v>
      </c>
      <c r="PH217">
        <v>124.85</v>
      </c>
      <c r="PL217">
        <v>125.62</v>
      </c>
    </row>
    <row r="218" spans="1:812">
      <c r="A218" s="1" t="s">
        <v>249</v>
      </c>
      <c r="B218" t="s">
        <v>249</v>
      </c>
      <c r="FT218">
        <v>0</v>
      </c>
      <c r="FV218">
        <v>0.09</v>
      </c>
      <c r="GA218">
        <v>0.28000000000000003</v>
      </c>
      <c r="GH218">
        <v>1.67</v>
      </c>
      <c r="GN218">
        <v>2.4300000000000002</v>
      </c>
      <c r="HC218">
        <v>3.41</v>
      </c>
      <c r="HJ218">
        <v>4.57</v>
      </c>
      <c r="HQ218">
        <v>6.29</v>
      </c>
      <c r="HX218">
        <v>7.81</v>
      </c>
      <c r="IR218">
        <v>10.11</v>
      </c>
      <c r="JU218">
        <v>16.100000000000001</v>
      </c>
      <c r="KB218">
        <v>18.18</v>
      </c>
      <c r="KP218">
        <v>23.45</v>
      </c>
      <c r="KW218">
        <v>27.85</v>
      </c>
      <c r="LJ218">
        <v>30.7</v>
      </c>
      <c r="LQ218">
        <v>33.39</v>
      </c>
      <c r="LX218">
        <v>36.54</v>
      </c>
      <c r="ME218">
        <v>39.07</v>
      </c>
      <c r="ML218">
        <v>41.21</v>
      </c>
      <c r="MZ218">
        <v>44.99</v>
      </c>
      <c r="NG218">
        <v>46.94</v>
      </c>
      <c r="NN218">
        <v>48.56</v>
      </c>
      <c r="PK218">
        <v>58.53</v>
      </c>
      <c r="PY218">
        <v>60.15</v>
      </c>
      <c r="QF218">
        <v>63.43</v>
      </c>
      <c r="RM218">
        <v>63.54</v>
      </c>
      <c r="RR218">
        <v>83.22</v>
      </c>
      <c r="SD218">
        <v>95.72</v>
      </c>
      <c r="UH218">
        <v>98.4</v>
      </c>
      <c r="WD218">
        <v>99.9</v>
      </c>
      <c r="YV218">
        <v>91.54</v>
      </c>
      <c r="ZC218">
        <v>114.38</v>
      </c>
      <c r="ZQ218">
        <v>89.85</v>
      </c>
      <c r="ADR218">
        <v>112.21</v>
      </c>
    </row>
    <row r="219" spans="1:812">
      <c r="A219" s="1" t="s">
        <v>312</v>
      </c>
      <c r="B219" t="s">
        <v>377</v>
      </c>
    </row>
    <row r="220" spans="1:812">
      <c r="A220" s="1" t="s">
        <v>95</v>
      </c>
      <c r="B220" t="s">
        <v>95</v>
      </c>
      <c r="BT220">
        <v>0</v>
      </c>
      <c r="BY220">
        <v>0</v>
      </c>
      <c r="CI220">
        <v>0.04</v>
      </c>
      <c r="DE220">
        <v>0.05</v>
      </c>
      <c r="DL220">
        <v>0.34</v>
      </c>
      <c r="DV220">
        <v>0.88</v>
      </c>
      <c r="FG220">
        <v>1.1100000000000001</v>
      </c>
      <c r="GD220">
        <v>2.6</v>
      </c>
      <c r="GK220">
        <v>4.58</v>
      </c>
      <c r="GR220">
        <v>5.16</v>
      </c>
      <c r="HB220">
        <v>8.82</v>
      </c>
      <c r="HI220">
        <v>14.07</v>
      </c>
      <c r="IS220">
        <v>16.45</v>
      </c>
      <c r="JC220">
        <v>32.549999999999997</v>
      </c>
      <c r="KS220">
        <v>56.18</v>
      </c>
      <c r="LU220">
        <v>80.67</v>
      </c>
      <c r="MS220">
        <v>91.67</v>
      </c>
      <c r="NK220">
        <v>104.68</v>
      </c>
      <c r="PA220">
        <v>123.16</v>
      </c>
      <c r="PO220">
        <v>131.9</v>
      </c>
      <c r="AAP220">
        <v>133.78</v>
      </c>
      <c r="AAU220">
        <v>133.78</v>
      </c>
    </row>
    <row r="221" spans="1:812">
      <c r="A221" s="1" t="s">
        <v>246</v>
      </c>
      <c r="B221" t="s">
        <v>417</v>
      </c>
      <c r="DK221">
        <v>0.05</v>
      </c>
      <c r="DL221">
        <v>0.05</v>
      </c>
      <c r="DM221">
        <v>0.05</v>
      </c>
      <c r="DN221">
        <v>0.05</v>
      </c>
      <c r="DO221">
        <v>0.05</v>
      </c>
      <c r="DP221">
        <v>0.06</v>
      </c>
      <c r="DQ221">
        <v>0.06</v>
      </c>
      <c r="DR221">
        <v>0.06</v>
      </c>
      <c r="DS221">
        <v>0.06</v>
      </c>
      <c r="DT221">
        <v>0.06</v>
      </c>
      <c r="DU221">
        <v>0.06</v>
      </c>
      <c r="DV221">
        <v>0.06</v>
      </c>
      <c r="DW221">
        <v>0.06</v>
      </c>
      <c r="DX221">
        <v>0.06</v>
      </c>
      <c r="DY221">
        <v>7.0000000000000007E-2</v>
      </c>
      <c r="DZ221">
        <v>7.0000000000000007E-2</v>
      </c>
      <c r="EA221">
        <v>7.0000000000000007E-2</v>
      </c>
      <c r="EB221">
        <v>0.08</v>
      </c>
      <c r="EC221">
        <v>0.08</v>
      </c>
      <c r="ED221">
        <v>0.11</v>
      </c>
      <c r="EE221">
        <v>0.11</v>
      </c>
      <c r="EF221">
        <v>0.13</v>
      </c>
      <c r="EG221">
        <v>0.18</v>
      </c>
      <c r="EH221">
        <v>0.2</v>
      </c>
      <c r="EI221">
        <v>0.22</v>
      </c>
      <c r="EJ221">
        <v>0.27</v>
      </c>
      <c r="EK221">
        <v>0.33</v>
      </c>
      <c r="EL221">
        <v>0.44</v>
      </c>
      <c r="EM221">
        <v>0.52</v>
      </c>
      <c r="EN221">
        <v>0.53</v>
      </c>
      <c r="EX221">
        <v>0.92</v>
      </c>
      <c r="EZ221">
        <v>0.97</v>
      </c>
      <c r="FA221">
        <v>0.99</v>
      </c>
      <c r="FB221">
        <v>1</v>
      </c>
      <c r="FC221">
        <v>1</v>
      </c>
      <c r="FD221">
        <v>1.01</v>
      </c>
      <c r="FF221">
        <v>1.04</v>
      </c>
      <c r="FJ221">
        <v>1.06</v>
      </c>
      <c r="FN221">
        <v>1.06</v>
      </c>
      <c r="FS221">
        <v>1.1299999999999999</v>
      </c>
      <c r="FU221">
        <v>1.1399999999999999</v>
      </c>
      <c r="FV221">
        <v>1.19</v>
      </c>
      <c r="FW221">
        <v>1.25</v>
      </c>
      <c r="FX221">
        <v>1.28</v>
      </c>
      <c r="FY221">
        <v>1.28</v>
      </c>
      <c r="FZ221">
        <v>1.38</v>
      </c>
      <c r="GA221">
        <v>1.39</v>
      </c>
      <c r="GB221">
        <v>1.43</v>
      </c>
      <c r="GC221">
        <v>1.45</v>
      </c>
      <c r="GD221">
        <v>1.49</v>
      </c>
      <c r="GE221">
        <v>1.49</v>
      </c>
      <c r="GF221">
        <v>1.54</v>
      </c>
      <c r="GG221">
        <v>1.6</v>
      </c>
      <c r="GH221">
        <v>1.69</v>
      </c>
      <c r="GI221">
        <v>1.82</v>
      </c>
      <c r="GJ221">
        <v>2.0499999999999998</v>
      </c>
      <c r="GK221">
        <v>2.29</v>
      </c>
      <c r="GL221">
        <v>2.42</v>
      </c>
      <c r="GM221">
        <v>2.4900000000000002</v>
      </c>
      <c r="GO221">
        <v>2.64</v>
      </c>
      <c r="GP221">
        <v>2.7</v>
      </c>
      <c r="GQ221">
        <v>3</v>
      </c>
      <c r="GR221">
        <v>3.17</v>
      </c>
      <c r="GS221">
        <v>3.39</v>
      </c>
      <c r="GT221">
        <v>3.48</v>
      </c>
      <c r="GU221">
        <v>3.59</v>
      </c>
      <c r="GV221">
        <v>3.69</v>
      </c>
      <c r="GW221">
        <v>3.88</v>
      </c>
      <c r="GX221">
        <v>3.92</v>
      </c>
      <c r="GY221">
        <v>3.95</v>
      </c>
      <c r="GZ221">
        <v>3.97</v>
      </c>
      <c r="HA221">
        <v>4</v>
      </c>
      <c r="HB221">
        <v>4.01</v>
      </c>
      <c r="HC221">
        <v>4.04</v>
      </c>
      <c r="HD221">
        <v>4.07</v>
      </c>
      <c r="HE221">
        <v>4.09</v>
      </c>
      <c r="HF221">
        <v>4.12</v>
      </c>
      <c r="HG221">
        <v>4.1500000000000004</v>
      </c>
      <c r="HH221">
        <v>4.16</v>
      </c>
      <c r="HI221">
        <v>4.17</v>
      </c>
      <c r="HJ221">
        <v>4.1900000000000004</v>
      </c>
      <c r="HK221">
        <v>4.26</v>
      </c>
      <c r="HL221">
        <v>4.3</v>
      </c>
      <c r="HM221">
        <v>4.3499999999999996</v>
      </c>
      <c r="HN221">
        <v>4.38</v>
      </c>
      <c r="HO221">
        <v>4.4000000000000004</v>
      </c>
      <c r="HP221">
        <v>4.42</v>
      </c>
      <c r="HQ221">
        <v>4.46</v>
      </c>
      <c r="HR221">
        <v>4.49</v>
      </c>
      <c r="HS221">
        <v>4.53</v>
      </c>
      <c r="HT221">
        <v>4.5999999999999996</v>
      </c>
      <c r="HU221">
        <v>4.66</v>
      </c>
      <c r="HV221">
        <v>4.74</v>
      </c>
      <c r="HW221">
        <v>4.88</v>
      </c>
      <c r="HX221">
        <v>5.15</v>
      </c>
      <c r="HY221">
        <v>5.47</v>
      </c>
      <c r="HZ221">
        <v>5.68</v>
      </c>
      <c r="IA221">
        <v>6.09</v>
      </c>
      <c r="IB221">
        <v>6.37</v>
      </c>
      <c r="IC221">
        <v>6.59</v>
      </c>
      <c r="ID221">
        <v>7.15</v>
      </c>
      <c r="IE221">
        <v>7.49</v>
      </c>
      <c r="IF221">
        <v>7.76</v>
      </c>
      <c r="IG221">
        <v>8.2799999999999994</v>
      </c>
      <c r="IH221">
        <v>8.76</v>
      </c>
      <c r="II221">
        <v>9.14</v>
      </c>
      <c r="IJ221">
        <v>9.66</v>
      </c>
      <c r="IK221">
        <v>10.26</v>
      </c>
      <c r="IL221">
        <v>11.65</v>
      </c>
      <c r="IM221">
        <v>12.43</v>
      </c>
      <c r="IN221">
        <v>13.62</v>
      </c>
      <c r="IO221">
        <v>14.15</v>
      </c>
      <c r="IP221">
        <v>14.83</v>
      </c>
      <c r="IQ221">
        <v>15.07</v>
      </c>
      <c r="IR221">
        <v>15.69</v>
      </c>
      <c r="IS221">
        <v>15.94</v>
      </c>
      <c r="IT221">
        <v>16.36</v>
      </c>
      <c r="IU221">
        <v>16.75</v>
      </c>
      <c r="IV221">
        <v>16.8</v>
      </c>
      <c r="IW221">
        <v>17.38</v>
      </c>
      <c r="IX221">
        <v>17.690000000000001</v>
      </c>
      <c r="IY221">
        <v>17.98</v>
      </c>
      <c r="IZ221">
        <v>18.43</v>
      </c>
      <c r="JA221">
        <v>18.87</v>
      </c>
      <c r="JB221">
        <v>19.190000000000001</v>
      </c>
      <c r="JC221">
        <v>19.510000000000002</v>
      </c>
      <c r="JE221">
        <v>19.79</v>
      </c>
      <c r="JF221">
        <v>20.079999999999998</v>
      </c>
      <c r="JG221">
        <v>20.34</v>
      </c>
      <c r="JH221">
        <v>20.59</v>
      </c>
      <c r="JM221">
        <v>22.42</v>
      </c>
      <c r="JN221">
        <v>23.1</v>
      </c>
      <c r="JO221">
        <v>24.02</v>
      </c>
      <c r="JQ221">
        <v>27.61</v>
      </c>
      <c r="JS221">
        <v>29.83</v>
      </c>
      <c r="JT221">
        <v>30.92</v>
      </c>
      <c r="JU221">
        <v>31.84</v>
      </c>
      <c r="JV221">
        <v>32.9</v>
      </c>
      <c r="JX221">
        <v>34.18</v>
      </c>
      <c r="KB221">
        <v>36.340000000000003</v>
      </c>
      <c r="KD221">
        <v>37.479999999999997</v>
      </c>
      <c r="KE221">
        <v>38.28</v>
      </c>
      <c r="KF221">
        <v>39.08</v>
      </c>
      <c r="KI221">
        <v>41.92</v>
      </c>
      <c r="KP221">
        <v>97.74</v>
      </c>
      <c r="KW221">
        <v>99.23</v>
      </c>
      <c r="LC221">
        <v>100.07</v>
      </c>
      <c r="LJ221">
        <v>102.41</v>
      </c>
      <c r="LQ221">
        <v>104.35</v>
      </c>
      <c r="LX221">
        <v>106.13</v>
      </c>
      <c r="ME221">
        <v>106.89</v>
      </c>
      <c r="ML221">
        <v>107.29</v>
      </c>
      <c r="MT221">
        <v>107.62</v>
      </c>
      <c r="OJ221">
        <v>110.39</v>
      </c>
      <c r="OQ221">
        <v>110.75</v>
      </c>
      <c r="QF221">
        <v>115.82</v>
      </c>
      <c r="RA221">
        <v>116.64</v>
      </c>
      <c r="RM221">
        <v>145.12</v>
      </c>
      <c r="RR221">
        <v>146.81</v>
      </c>
      <c r="SD221">
        <v>147.61000000000001</v>
      </c>
      <c r="SK221">
        <v>148.06</v>
      </c>
      <c r="YV221">
        <v>154.46</v>
      </c>
      <c r="ACP221">
        <v>155.72999999999999</v>
      </c>
    </row>
    <row r="222" spans="1:812">
      <c r="A222" s="1" t="s">
        <v>180</v>
      </c>
      <c r="B222" t="s">
        <v>180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0.01</v>
      </c>
      <c r="CR222">
        <v>0.01</v>
      </c>
      <c r="CS222">
        <v>0.01</v>
      </c>
      <c r="CT222">
        <v>0.02</v>
      </c>
      <c r="CU222">
        <v>0.02</v>
      </c>
      <c r="CV222">
        <v>0.02</v>
      </c>
      <c r="CW222">
        <v>0.03</v>
      </c>
      <c r="CX222">
        <v>0.03</v>
      </c>
      <c r="CY222">
        <v>0.03</v>
      </c>
      <c r="CZ222">
        <v>0.03</v>
      </c>
      <c r="DA222">
        <v>0.04</v>
      </c>
      <c r="DB222">
        <v>0.04</v>
      </c>
      <c r="DC222">
        <v>0.04</v>
      </c>
      <c r="DD222">
        <v>0.04</v>
      </c>
      <c r="DE222">
        <v>0.05</v>
      </c>
      <c r="DF222">
        <v>0.05</v>
      </c>
      <c r="DG222">
        <v>0.05</v>
      </c>
      <c r="DH222">
        <v>0.05</v>
      </c>
      <c r="DI222">
        <v>0.05</v>
      </c>
      <c r="DJ222">
        <v>0.05</v>
      </c>
      <c r="DQ222">
        <v>34.61</v>
      </c>
      <c r="DW222">
        <v>35.33</v>
      </c>
      <c r="ED222">
        <v>36.119999999999997</v>
      </c>
      <c r="EK222">
        <v>50.13</v>
      </c>
      <c r="ER222">
        <v>50.72</v>
      </c>
      <c r="EY222">
        <v>51.34</v>
      </c>
      <c r="FF222">
        <v>72.69</v>
      </c>
      <c r="FM222">
        <v>73.650000000000006</v>
      </c>
      <c r="FT222">
        <v>74.38</v>
      </c>
      <c r="GA222">
        <v>76.150000000000006</v>
      </c>
      <c r="GH222">
        <v>76.98</v>
      </c>
      <c r="GN222">
        <v>78.55</v>
      </c>
      <c r="GV222">
        <v>79.430000000000007</v>
      </c>
      <c r="HC222">
        <v>79.69</v>
      </c>
      <c r="HJ222">
        <v>81.02</v>
      </c>
      <c r="HQ222">
        <v>81.430000000000007</v>
      </c>
      <c r="ID222">
        <v>83.34</v>
      </c>
      <c r="IK222">
        <v>83.93</v>
      </c>
      <c r="IR222">
        <v>84.78</v>
      </c>
      <c r="IY222">
        <v>87.22</v>
      </c>
      <c r="JU222">
        <v>89.26</v>
      </c>
      <c r="KB222">
        <v>92.22</v>
      </c>
      <c r="KI222">
        <v>94.09</v>
      </c>
      <c r="LN222">
        <v>82.03</v>
      </c>
      <c r="LO222">
        <v>82.89</v>
      </c>
      <c r="MB222">
        <v>99.66</v>
      </c>
      <c r="ND222">
        <v>134.28</v>
      </c>
      <c r="NH222">
        <v>137.72</v>
      </c>
      <c r="NK222">
        <v>140.13999999999999</v>
      </c>
      <c r="PW222">
        <v>194.94</v>
      </c>
      <c r="PZ222">
        <v>195.99</v>
      </c>
      <c r="QB222">
        <v>196.46</v>
      </c>
      <c r="QD222">
        <v>197.02</v>
      </c>
      <c r="QF222">
        <v>198.61</v>
      </c>
      <c r="QH222">
        <v>199.32</v>
      </c>
      <c r="QK222">
        <v>201.26</v>
      </c>
      <c r="QO222">
        <v>202.62</v>
      </c>
      <c r="QU222">
        <v>204.47</v>
      </c>
      <c r="QY222">
        <v>205.42</v>
      </c>
      <c r="TC222">
        <v>223.13</v>
      </c>
      <c r="TD222">
        <v>223.17</v>
      </c>
      <c r="TE222">
        <v>223.21</v>
      </c>
      <c r="TG222">
        <v>223.9</v>
      </c>
      <c r="TH222">
        <v>224.25</v>
      </c>
      <c r="TJ222">
        <v>224.75</v>
      </c>
      <c r="TP222">
        <v>225.79</v>
      </c>
      <c r="TQ222">
        <v>226.02</v>
      </c>
      <c r="TR222">
        <v>226.16</v>
      </c>
      <c r="TS222">
        <v>226.22</v>
      </c>
      <c r="TU222">
        <v>226.53</v>
      </c>
      <c r="TV222">
        <v>226.76</v>
      </c>
      <c r="TW222">
        <v>227.23</v>
      </c>
      <c r="TX222">
        <v>227.56</v>
      </c>
      <c r="TY222">
        <v>227.68</v>
      </c>
      <c r="UD222">
        <v>229.12</v>
      </c>
      <c r="UE222">
        <v>229.46</v>
      </c>
      <c r="UF222">
        <v>229.86</v>
      </c>
      <c r="UG222">
        <v>230.05</v>
      </c>
      <c r="UL222">
        <v>233.48</v>
      </c>
      <c r="UM222">
        <v>233.83</v>
      </c>
      <c r="UR222">
        <v>237.02</v>
      </c>
      <c r="UT222">
        <v>237.82</v>
      </c>
      <c r="UU222">
        <v>237.89</v>
      </c>
      <c r="ADG222">
        <v>271.13</v>
      </c>
    </row>
    <row r="223" spans="1:812">
      <c r="A223" s="1" t="s">
        <v>156</v>
      </c>
      <c r="B223" t="s">
        <v>156</v>
      </c>
      <c r="EW223">
        <v>0.06</v>
      </c>
      <c r="FQ223">
        <v>0.35</v>
      </c>
      <c r="FZ223">
        <v>0.66</v>
      </c>
      <c r="GC223">
        <v>0.74</v>
      </c>
      <c r="GI223">
        <v>0.79</v>
      </c>
      <c r="GM223">
        <v>0.84</v>
      </c>
      <c r="GT223">
        <v>0.9</v>
      </c>
      <c r="HI223">
        <v>1</v>
      </c>
      <c r="HX223">
        <v>1.04</v>
      </c>
      <c r="JS223">
        <v>1.06</v>
      </c>
      <c r="PD223">
        <v>2.44</v>
      </c>
      <c r="QL223">
        <v>2.57</v>
      </c>
      <c r="UG223">
        <v>2.84</v>
      </c>
      <c r="ADU223">
        <v>3.73</v>
      </c>
      <c r="ADZ223">
        <v>3.73</v>
      </c>
    </row>
    <row r="224" spans="1:812">
      <c r="A224" s="1" t="s">
        <v>118</v>
      </c>
      <c r="B224" t="s">
        <v>118</v>
      </c>
      <c r="DX224">
        <v>0</v>
      </c>
      <c r="DY224">
        <v>0</v>
      </c>
      <c r="EB224">
        <v>0.01</v>
      </c>
      <c r="EC224">
        <v>0.01</v>
      </c>
      <c r="ED224">
        <v>0.02</v>
      </c>
      <c r="EE224">
        <v>0.05</v>
      </c>
      <c r="EF224">
        <v>7.0000000000000007E-2</v>
      </c>
      <c r="EI224">
        <v>0.08</v>
      </c>
      <c r="EL224">
        <v>0.12</v>
      </c>
      <c r="EM224">
        <v>0.14000000000000001</v>
      </c>
      <c r="EN224">
        <v>0.17</v>
      </c>
      <c r="EP224">
        <v>0.23</v>
      </c>
      <c r="EQ224">
        <v>0.25</v>
      </c>
      <c r="ER224">
        <v>0.28000000000000003</v>
      </c>
      <c r="ES224">
        <v>0.32</v>
      </c>
      <c r="ET224">
        <v>0.35</v>
      </c>
      <c r="EV224">
        <v>0.42</v>
      </c>
      <c r="EX224">
        <v>0.44</v>
      </c>
      <c r="EZ224">
        <v>0.49</v>
      </c>
      <c r="FB224">
        <v>0.55000000000000004</v>
      </c>
      <c r="FC224">
        <v>0.59</v>
      </c>
      <c r="FE224">
        <v>0.62</v>
      </c>
      <c r="FG224">
        <v>0.65</v>
      </c>
      <c r="FH224">
        <v>0.69</v>
      </c>
      <c r="FI224">
        <v>0.71</v>
      </c>
      <c r="FJ224">
        <v>0.73</v>
      </c>
      <c r="FK224">
        <v>0.75</v>
      </c>
      <c r="FM224">
        <v>0.78</v>
      </c>
      <c r="FN224">
        <v>0.79</v>
      </c>
      <c r="FO224">
        <v>0.79</v>
      </c>
      <c r="FP224">
        <v>0.8</v>
      </c>
      <c r="FQ224">
        <v>0.8</v>
      </c>
      <c r="FU224">
        <v>0.8</v>
      </c>
      <c r="GH224">
        <v>0.81</v>
      </c>
      <c r="GQ224">
        <v>0.81</v>
      </c>
      <c r="GR224">
        <v>0.81</v>
      </c>
      <c r="GS224">
        <v>0.82</v>
      </c>
      <c r="GT224">
        <v>0.82</v>
      </c>
      <c r="GV224">
        <v>0.83</v>
      </c>
      <c r="GW224">
        <v>0.84</v>
      </c>
      <c r="GX224">
        <v>0.85</v>
      </c>
      <c r="GY224">
        <v>0.86</v>
      </c>
      <c r="GZ224">
        <v>0.88</v>
      </c>
      <c r="HA224">
        <v>0.89</v>
      </c>
      <c r="HD224">
        <v>0.92</v>
      </c>
      <c r="HE224">
        <v>0.93</v>
      </c>
      <c r="HF224">
        <v>0.95</v>
      </c>
      <c r="HG224">
        <v>0.99</v>
      </c>
      <c r="HH224">
        <v>1.04</v>
      </c>
      <c r="HI224">
        <v>1.08</v>
      </c>
      <c r="HJ224">
        <v>1.1499999999999999</v>
      </c>
      <c r="HK224">
        <v>1.17</v>
      </c>
      <c r="HL224">
        <v>1.33</v>
      </c>
      <c r="HM224">
        <v>1.42</v>
      </c>
      <c r="HN224">
        <v>1.5</v>
      </c>
      <c r="HO224">
        <v>1.54</v>
      </c>
      <c r="HP224">
        <v>1.58</v>
      </c>
      <c r="HQ224">
        <v>1.64</v>
      </c>
      <c r="HR224">
        <v>1.7</v>
      </c>
      <c r="HS224">
        <v>1.75</v>
      </c>
      <c r="HU224">
        <v>1.87</v>
      </c>
      <c r="HW224">
        <v>1.97</v>
      </c>
      <c r="HX224">
        <v>2.0699999999999998</v>
      </c>
      <c r="HY224">
        <v>2.1800000000000002</v>
      </c>
      <c r="HZ224">
        <v>2.25</v>
      </c>
      <c r="IA224">
        <v>2.31</v>
      </c>
      <c r="IB224">
        <v>2.36</v>
      </c>
      <c r="IC224">
        <v>2.39</v>
      </c>
      <c r="ID224">
        <v>2.4</v>
      </c>
      <c r="IE224">
        <v>2.42</v>
      </c>
      <c r="IF224">
        <v>2.4700000000000002</v>
      </c>
      <c r="IG224">
        <v>2.5299999999999998</v>
      </c>
      <c r="IH224">
        <v>2.6</v>
      </c>
      <c r="II224">
        <v>2.67</v>
      </c>
      <c r="IK224">
        <v>2.7</v>
      </c>
      <c r="IL224">
        <v>2.74</v>
      </c>
      <c r="IM224">
        <v>2.78</v>
      </c>
      <c r="IO224">
        <v>2.83</v>
      </c>
      <c r="IQ224">
        <v>2.84</v>
      </c>
      <c r="IS224">
        <v>2.87</v>
      </c>
      <c r="IT224">
        <v>2.89</v>
      </c>
      <c r="IU224">
        <v>2.92</v>
      </c>
      <c r="IW224">
        <v>2.9</v>
      </c>
      <c r="IY224">
        <v>2.92</v>
      </c>
      <c r="IZ224">
        <v>2.94</v>
      </c>
      <c r="JA224">
        <v>2.95</v>
      </c>
      <c r="JB224">
        <v>2.97</v>
      </c>
      <c r="JC224">
        <v>3</v>
      </c>
      <c r="JD224">
        <v>3.02</v>
      </c>
      <c r="JF224">
        <v>3.04</v>
      </c>
      <c r="JI224">
        <v>3.11</v>
      </c>
      <c r="JJ224">
        <v>3.13</v>
      </c>
      <c r="JN224">
        <v>3.19</v>
      </c>
      <c r="JO224">
        <v>3.43</v>
      </c>
      <c r="JW224">
        <v>3.36</v>
      </c>
      <c r="KD224">
        <v>3.54</v>
      </c>
      <c r="KG224">
        <v>3.7</v>
      </c>
      <c r="KH224">
        <v>3.71</v>
      </c>
      <c r="KI224">
        <v>3.76</v>
      </c>
      <c r="KJ224">
        <v>3.81</v>
      </c>
      <c r="KL224">
        <v>3.91</v>
      </c>
      <c r="KR224">
        <v>4.08</v>
      </c>
      <c r="KS224">
        <v>4.16</v>
      </c>
      <c r="KT224">
        <v>4.2</v>
      </c>
      <c r="KV224">
        <v>4.24</v>
      </c>
      <c r="KW224">
        <v>4.28</v>
      </c>
      <c r="KX224">
        <v>4.33</v>
      </c>
      <c r="KY224">
        <v>4.37</v>
      </c>
      <c r="KZ224">
        <v>4.42</v>
      </c>
      <c r="LA224">
        <v>4.46</v>
      </c>
      <c r="LC224">
        <v>4.49</v>
      </c>
      <c r="LD224">
        <v>4.5</v>
      </c>
      <c r="LE224">
        <v>4.54</v>
      </c>
      <c r="LF224">
        <v>4.58</v>
      </c>
      <c r="LG224">
        <v>4.6100000000000003</v>
      </c>
      <c r="MF224">
        <v>5.29</v>
      </c>
      <c r="MG224">
        <v>5.32</v>
      </c>
      <c r="MH224">
        <v>5.35</v>
      </c>
      <c r="MI224">
        <v>5.36</v>
      </c>
      <c r="ML224">
        <v>5.44</v>
      </c>
      <c r="MM224">
        <v>5.47</v>
      </c>
      <c r="MN224">
        <v>5.5</v>
      </c>
      <c r="MQ224">
        <v>5.62</v>
      </c>
      <c r="MS224">
        <v>5.68</v>
      </c>
      <c r="MV224">
        <v>5.86</v>
      </c>
      <c r="MW224">
        <v>5.91</v>
      </c>
      <c r="MZ224">
        <v>6.05</v>
      </c>
      <c r="NA224">
        <v>6.1</v>
      </c>
      <c r="NB224">
        <v>6.25</v>
      </c>
      <c r="NE224">
        <v>6.57</v>
      </c>
      <c r="NF224">
        <v>6.62</v>
      </c>
      <c r="NG224">
        <v>6.68</v>
      </c>
      <c r="NH224">
        <v>6.78</v>
      </c>
      <c r="NI224">
        <v>6.93</v>
      </c>
      <c r="NJ224">
        <v>7.1</v>
      </c>
      <c r="NL224">
        <v>7.44</v>
      </c>
      <c r="NM224">
        <v>7.53</v>
      </c>
      <c r="NN224">
        <v>7.58</v>
      </c>
      <c r="NO224">
        <v>7.77</v>
      </c>
      <c r="NP224">
        <v>7.97</v>
      </c>
      <c r="NR224">
        <v>8.32</v>
      </c>
      <c r="NS224">
        <v>8.44</v>
      </c>
      <c r="NW224">
        <v>8.82</v>
      </c>
      <c r="NY224">
        <v>9.14</v>
      </c>
      <c r="OD224">
        <v>9.6</v>
      </c>
      <c r="OE224">
        <v>9.74</v>
      </c>
      <c r="OG224">
        <v>10.02</v>
      </c>
      <c r="OI224">
        <v>10.130000000000001</v>
      </c>
      <c r="OJ224">
        <v>10.4</v>
      </c>
      <c r="OK224">
        <v>10.59</v>
      </c>
      <c r="OL224">
        <v>10.78</v>
      </c>
      <c r="OP224">
        <v>11.48</v>
      </c>
      <c r="OT224">
        <v>11.94</v>
      </c>
      <c r="OW224">
        <v>12.11</v>
      </c>
      <c r="OX224">
        <v>12.19</v>
      </c>
      <c r="OZ224">
        <v>12.35</v>
      </c>
      <c r="PB224">
        <v>12.53</v>
      </c>
      <c r="PD224">
        <v>12.61</v>
      </c>
      <c r="PG224">
        <v>12.76</v>
      </c>
      <c r="PH224">
        <v>12.98</v>
      </c>
      <c r="PK224">
        <v>13.18</v>
      </c>
      <c r="PL224">
        <v>13.27</v>
      </c>
      <c r="PM224">
        <v>13.37</v>
      </c>
      <c r="PN224">
        <v>13.46</v>
      </c>
      <c r="PP224">
        <v>13.64</v>
      </c>
      <c r="PR224">
        <v>13.73</v>
      </c>
      <c r="PT224">
        <v>13.93</v>
      </c>
      <c r="PV224">
        <v>14.17</v>
      </c>
      <c r="PX224">
        <v>14.35</v>
      </c>
      <c r="PY224">
        <v>14.4</v>
      </c>
      <c r="PZ224">
        <v>14.52</v>
      </c>
      <c r="QA224">
        <v>14.66</v>
      </c>
      <c r="QB224">
        <v>14.79</v>
      </c>
      <c r="QC224">
        <v>14.92</v>
      </c>
      <c r="QE224">
        <v>14.91</v>
      </c>
      <c r="QF224">
        <v>15.13</v>
      </c>
      <c r="QG224">
        <v>15.27</v>
      </c>
      <c r="QI224">
        <v>15.71</v>
      </c>
      <c r="QK224">
        <v>16</v>
      </c>
      <c r="QN224">
        <v>16.239999999999998</v>
      </c>
      <c r="QO224">
        <v>16.309999999999999</v>
      </c>
      <c r="QQ224">
        <v>16.55</v>
      </c>
      <c r="QT224">
        <v>16.8</v>
      </c>
      <c r="QU224">
        <v>16.899999999999999</v>
      </c>
      <c r="QV224">
        <v>17</v>
      </c>
      <c r="QX224">
        <v>17.11</v>
      </c>
      <c r="QY224">
        <v>17.27</v>
      </c>
      <c r="RA224">
        <v>17.38</v>
      </c>
      <c r="RC224">
        <v>17.579999999999998</v>
      </c>
      <c r="RD224">
        <v>17.68</v>
      </c>
      <c r="RH224">
        <v>17.920000000000002</v>
      </c>
      <c r="RI224">
        <v>17.98</v>
      </c>
      <c r="RJ224">
        <v>18.05</v>
      </c>
      <c r="RK224">
        <v>18.13</v>
      </c>
      <c r="RM224">
        <v>18.34</v>
      </c>
      <c r="RN224">
        <v>18.38</v>
      </c>
      <c r="RO224">
        <v>18.46</v>
      </c>
      <c r="RP224">
        <v>18.54</v>
      </c>
      <c r="RQ224">
        <v>18.54</v>
      </c>
      <c r="RS224">
        <v>18.86</v>
      </c>
      <c r="RT224">
        <v>18.95</v>
      </c>
      <c r="RU224">
        <v>19.04</v>
      </c>
      <c r="RW224">
        <v>19.27</v>
      </c>
      <c r="RY224">
        <v>19.34</v>
      </c>
      <c r="RZ224">
        <v>19.53</v>
      </c>
      <c r="SA224">
        <v>19.63</v>
      </c>
      <c r="SF224">
        <v>19.84</v>
      </c>
      <c r="SH224">
        <v>20.02</v>
      </c>
      <c r="SK224">
        <v>20.149999999999999</v>
      </c>
      <c r="SL224">
        <v>20.2</v>
      </c>
      <c r="SQ224">
        <v>20.52</v>
      </c>
      <c r="SS224">
        <v>20.62</v>
      </c>
      <c r="SV224">
        <v>20.85</v>
      </c>
      <c r="SW224">
        <v>20.92</v>
      </c>
      <c r="SY224">
        <v>21.3</v>
      </c>
      <c r="TC224">
        <v>23.21</v>
      </c>
      <c r="TE224">
        <v>24.61</v>
      </c>
      <c r="TF224">
        <v>24.94</v>
      </c>
      <c r="TI224">
        <v>26.02</v>
      </c>
      <c r="TJ224">
        <v>27.21</v>
      </c>
      <c r="TN224">
        <v>27.76</v>
      </c>
      <c r="TP224">
        <v>29.97</v>
      </c>
      <c r="TQ224">
        <v>31.13</v>
      </c>
      <c r="TT224">
        <v>31.88</v>
      </c>
      <c r="TU224">
        <v>32.11</v>
      </c>
      <c r="TV224">
        <v>32.82</v>
      </c>
      <c r="UE224">
        <v>35.28</v>
      </c>
      <c r="UJ224">
        <v>36.04</v>
      </c>
      <c r="UK224">
        <v>36.56</v>
      </c>
      <c r="UQ224">
        <v>37.54</v>
      </c>
      <c r="UR224">
        <v>38.049999999999997</v>
      </c>
      <c r="UY224">
        <v>38.79</v>
      </c>
      <c r="UZ224">
        <v>39.14</v>
      </c>
      <c r="VC224">
        <v>38.299999999999997</v>
      </c>
      <c r="VJ224">
        <v>39.119999999999997</v>
      </c>
      <c r="VQ224">
        <v>40</v>
      </c>
      <c r="VW224">
        <v>41.75</v>
      </c>
      <c r="WH224">
        <v>44.67</v>
      </c>
      <c r="WO224">
        <v>45.08</v>
      </c>
      <c r="WR224">
        <v>45.35</v>
      </c>
      <c r="WY224">
        <v>45.82</v>
      </c>
      <c r="XN224">
        <v>46.77</v>
      </c>
      <c r="XT224">
        <v>47.26</v>
      </c>
      <c r="YC224">
        <v>48.32</v>
      </c>
      <c r="YS224">
        <v>53.65</v>
      </c>
      <c r="YV224">
        <v>58.8</v>
      </c>
      <c r="ZD224">
        <v>61.15</v>
      </c>
      <c r="ZF224">
        <v>59.99</v>
      </c>
      <c r="ZM224">
        <v>60.68</v>
      </c>
      <c r="ABJ224">
        <v>62.86</v>
      </c>
      <c r="ABY224">
        <v>63.22</v>
      </c>
      <c r="ACH224">
        <v>63.31</v>
      </c>
      <c r="ADB224">
        <v>63.56</v>
      </c>
    </row>
    <row r="225" spans="1:572">
      <c r="A225" s="1" t="s">
        <v>130</v>
      </c>
      <c r="B225" t="s">
        <v>130</v>
      </c>
      <c r="BU225">
        <v>0</v>
      </c>
      <c r="BY225">
        <v>0.01</v>
      </c>
      <c r="BZ225">
        <v>0.03</v>
      </c>
      <c r="CA225">
        <v>0.05</v>
      </c>
      <c r="CB225">
        <v>7.0000000000000007E-2</v>
      </c>
      <c r="CC225">
        <v>0.08</v>
      </c>
      <c r="CD225">
        <v>0.11</v>
      </c>
      <c r="CE225">
        <v>0.13</v>
      </c>
      <c r="CF225">
        <v>0.14000000000000001</v>
      </c>
      <c r="CG225">
        <v>0.17</v>
      </c>
      <c r="CH225">
        <v>0.19</v>
      </c>
      <c r="CI225">
        <v>0.21</v>
      </c>
      <c r="CJ225">
        <v>0.21</v>
      </c>
      <c r="CK225">
        <v>0.22</v>
      </c>
      <c r="CL225">
        <v>0.22</v>
      </c>
      <c r="CM225">
        <v>0.24</v>
      </c>
      <c r="CN225">
        <v>0.24</v>
      </c>
      <c r="CO225">
        <v>0.24</v>
      </c>
      <c r="CP225">
        <v>0.24</v>
      </c>
      <c r="CQ225">
        <v>0.24</v>
      </c>
      <c r="CR225">
        <v>0.24</v>
      </c>
      <c r="CS225">
        <v>0.24</v>
      </c>
      <c r="CT225">
        <v>0.25</v>
      </c>
      <c r="CU225">
        <v>0.27</v>
      </c>
      <c r="CV225">
        <v>0.27</v>
      </c>
      <c r="CW225">
        <v>0.27</v>
      </c>
      <c r="CX225">
        <v>0.28000000000000003</v>
      </c>
      <c r="CY225">
        <v>0.28000000000000003</v>
      </c>
      <c r="CZ225">
        <v>0.28999999999999998</v>
      </c>
      <c r="DA225">
        <v>0.28999999999999998</v>
      </c>
      <c r="DB225">
        <v>0.3</v>
      </c>
      <c r="DC225">
        <v>0.35</v>
      </c>
      <c r="DD225">
        <v>0.4</v>
      </c>
      <c r="DE225">
        <v>0.46</v>
      </c>
      <c r="DF225">
        <v>0.49</v>
      </c>
      <c r="DG225">
        <v>0.53</v>
      </c>
      <c r="DH225">
        <v>0.55000000000000004</v>
      </c>
      <c r="DI225">
        <v>0.57999999999999996</v>
      </c>
      <c r="DJ225">
        <v>0.62</v>
      </c>
      <c r="DK225">
        <v>0.71</v>
      </c>
      <c r="DL225">
        <v>0.84</v>
      </c>
      <c r="DM225">
        <v>0.89</v>
      </c>
      <c r="DN225">
        <v>0.93</v>
      </c>
      <c r="DO225">
        <v>0.98</v>
      </c>
      <c r="DP225">
        <v>1.0900000000000001</v>
      </c>
      <c r="DQ225">
        <v>1.21</v>
      </c>
      <c r="DR225">
        <v>1.3</v>
      </c>
      <c r="DS225">
        <v>1.39</v>
      </c>
      <c r="DT225">
        <v>1.5</v>
      </c>
      <c r="DU225">
        <v>1.5</v>
      </c>
      <c r="DV225">
        <v>1.58</v>
      </c>
      <c r="DW225">
        <v>1.67</v>
      </c>
      <c r="DX225">
        <v>1.76</v>
      </c>
      <c r="DY225">
        <v>1.92</v>
      </c>
      <c r="DZ225">
        <v>2.0499999999999998</v>
      </c>
      <c r="EA225">
        <v>2.1</v>
      </c>
      <c r="EB225">
        <v>2.12</v>
      </c>
      <c r="EC225">
        <v>2.13</v>
      </c>
      <c r="ED225">
        <v>2.19</v>
      </c>
      <c r="EE225">
        <v>2.2400000000000002</v>
      </c>
      <c r="EF225">
        <v>2.37</v>
      </c>
      <c r="EG225">
        <v>2.46</v>
      </c>
      <c r="EH225">
        <v>2.5</v>
      </c>
      <c r="EI225">
        <v>2.62</v>
      </c>
      <c r="EJ225">
        <v>2.77</v>
      </c>
      <c r="EK225">
        <v>2.92</v>
      </c>
      <c r="EL225">
        <v>3.08</v>
      </c>
      <c r="EM225">
        <v>3.21</v>
      </c>
      <c r="EN225">
        <v>3.37</v>
      </c>
      <c r="EO225">
        <v>3.5</v>
      </c>
      <c r="EP225">
        <v>3.53</v>
      </c>
      <c r="EQ225">
        <v>3.62</v>
      </c>
      <c r="ER225">
        <v>3.77</v>
      </c>
      <c r="ES225">
        <v>3.88</v>
      </c>
      <c r="ET225">
        <v>4.09</v>
      </c>
      <c r="EU225">
        <v>4.3099999999999996</v>
      </c>
      <c r="EV225">
        <v>4.43</v>
      </c>
      <c r="EW225">
        <v>4.5999999999999996</v>
      </c>
      <c r="EX225">
        <v>4.6500000000000004</v>
      </c>
      <c r="EY225">
        <v>4.78</v>
      </c>
      <c r="EZ225">
        <v>4.91</v>
      </c>
      <c r="FA225">
        <v>5.0599999999999996</v>
      </c>
      <c r="FB225">
        <v>5.22</v>
      </c>
      <c r="FC225">
        <v>5.34</v>
      </c>
      <c r="FD225">
        <v>5.36</v>
      </c>
      <c r="FE225">
        <v>5.48</v>
      </c>
      <c r="FF225">
        <v>5.6</v>
      </c>
      <c r="FG225">
        <v>5.68</v>
      </c>
      <c r="FH225">
        <v>5.84</v>
      </c>
      <c r="FI225">
        <v>5.97</v>
      </c>
      <c r="FJ225">
        <v>6.08</v>
      </c>
      <c r="FK225">
        <v>6.13</v>
      </c>
      <c r="FL225">
        <v>6.16</v>
      </c>
      <c r="FM225">
        <v>6.24</v>
      </c>
      <c r="FN225">
        <v>6.3</v>
      </c>
      <c r="FO225">
        <v>6.41</v>
      </c>
      <c r="FP225">
        <v>6.57</v>
      </c>
      <c r="FQ225">
        <v>6.74</v>
      </c>
      <c r="FR225">
        <v>6.81</v>
      </c>
      <c r="FS225">
        <v>6.86</v>
      </c>
      <c r="FT225">
        <v>6.94</v>
      </c>
      <c r="FU225">
        <v>7</v>
      </c>
      <c r="FV225">
        <v>7.05</v>
      </c>
      <c r="FW225">
        <v>7.11</v>
      </c>
      <c r="FX225">
        <v>7.14</v>
      </c>
      <c r="FY225">
        <v>7.19</v>
      </c>
      <c r="FZ225">
        <v>7.23</v>
      </c>
      <c r="GA225">
        <v>7.26</v>
      </c>
      <c r="GB225">
        <v>7.29</v>
      </c>
      <c r="GC225">
        <v>7.33</v>
      </c>
      <c r="GD225">
        <v>7.38</v>
      </c>
      <c r="GE225">
        <v>7.42</v>
      </c>
      <c r="GF225">
        <v>7.45</v>
      </c>
      <c r="GG225">
        <v>7.46</v>
      </c>
      <c r="GH225">
        <v>7.49</v>
      </c>
      <c r="GI225">
        <v>7.54</v>
      </c>
      <c r="GJ225">
        <v>7.58</v>
      </c>
      <c r="GK225">
        <v>7.61</v>
      </c>
      <c r="GL225">
        <v>7.63</v>
      </c>
      <c r="GM225">
        <v>7.66</v>
      </c>
      <c r="GN225">
        <v>7.68</v>
      </c>
      <c r="GO225">
        <v>7.71</v>
      </c>
      <c r="GP225">
        <v>7.85</v>
      </c>
      <c r="GQ225">
        <v>8.0299999999999994</v>
      </c>
      <c r="GR225">
        <v>8.2200000000000006</v>
      </c>
      <c r="GS225">
        <v>8.41</v>
      </c>
      <c r="GT225">
        <v>8.58</v>
      </c>
      <c r="GU225">
        <v>8.74</v>
      </c>
      <c r="GV225">
        <v>8.85</v>
      </c>
      <c r="GW225">
        <v>8.9600000000000009</v>
      </c>
      <c r="GX225">
        <v>9.0299999999999994</v>
      </c>
      <c r="GY225">
        <v>9.1</v>
      </c>
      <c r="GZ225">
        <v>9.15</v>
      </c>
      <c r="HA225">
        <v>9.16</v>
      </c>
      <c r="HB225">
        <v>9.2100000000000009</v>
      </c>
      <c r="HC225">
        <v>9.3000000000000007</v>
      </c>
      <c r="HD225">
        <v>9.41</v>
      </c>
      <c r="HE225">
        <v>9.65</v>
      </c>
      <c r="HF225">
        <v>9.85</v>
      </c>
      <c r="HH225">
        <v>10.029999999999999</v>
      </c>
      <c r="HI225">
        <v>10.31</v>
      </c>
      <c r="HJ225">
        <v>10.6</v>
      </c>
      <c r="HK225">
        <v>10.86</v>
      </c>
      <c r="HL225">
        <v>11.21</v>
      </c>
      <c r="HM225">
        <v>11.65</v>
      </c>
      <c r="HN225">
        <v>11.92</v>
      </c>
      <c r="HO225">
        <v>12.01</v>
      </c>
      <c r="HP225">
        <v>12.3</v>
      </c>
      <c r="HQ225">
        <v>12.77</v>
      </c>
      <c r="HR225">
        <v>13.12</v>
      </c>
      <c r="HS225">
        <v>13.57</v>
      </c>
      <c r="HT225">
        <v>13.94</v>
      </c>
      <c r="HU225">
        <v>14.24</v>
      </c>
      <c r="HV225">
        <v>14.31</v>
      </c>
      <c r="HW225">
        <v>14.66</v>
      </c>
      <c r="HX225">
        <v>14.92</v>
      </c>
      <c r="HY225">
        <v>15.31</v>
      </c>
      <c r="HZ225">
        <v>15.64</v>
      </c>
      <c r="IA225">
        <v>15.98</v>
      </c>
      <c r="IB225">
        <v>16.239999999999998</v>
      </c>
      <c r="ID225">
        <v>16.64</v>
      </c>
      <c r="IE225">
        <v>17.52</v>
      </c>
      <c r="IF225">
        <v>17.52</v>
      </c>
      <c r="IG225">
        <v>18.73</v>
      </c>
      <c r="II225">
        <v>19.2</v>
      </c>
      <c r="IJ225">
        <v>19.420000000000002</v>
      </c>
      <c r="IK225">
        <v>19.79</v>
      </c>
      <c r="IL225">
        <v>20.010000000000002</v>
      </c>
      <c r="IM225">
        <v>20.3</v>
      </c>
      <c r="IN225">
        <v>21.48</v>
      </c>
      <c r="IP225">
        <v>21.76</v>
      </c>
      <c r="IQ225">
        <v>22.13</v>
      </c>
      <c r="IR225">
        <v>22.51</v>
      </c>
      <c r="IS225">
        <v>23.22</v>
      </c>
      <c r="IT225">
        <v>23.83</v>
      </c>
      <c r="IU225">
        <v>24.36</v>
      </c>
      <c r="IV225">
        <v>24.51</v>
      </c>
      <c r="IW225">
        <v>24.87</v>
      </c>
      <c r="IX225">
        <v>25</v>
      </c>
      <c r="IY225">
        <v>25.37</v>
      </c>
      <c r="IZ225">
        <v>25.77</v>
      </c>
      <c r="JA225">
        <v>26.61</v>
      </c>
      <c r="JC225">
        <v>27.01</v>
      </c>
      <c r="JD225">
        <v>27.24</v>
      </c>
      <c r="JE225">
        <v>27.42</v>
      </c>
      <c r="JF225">
        <v>27.65</v>
      </c>
      <c r="JG225">
        <v>27.96</v>
      </c>
      <c r="JH225">
        <v>28.3</v>
      </c>
      <c r="JI225">
        <v>28.65</v>
      </c>
      <c r="JJ225">
        <v>28.97</v>
      </c>
      <c r="JK225">
        <v>29.16</v>
      </c>
      <c r="JL225">
        <v>29.36</v>
      </c>
      <c r="JN225">
        <v>29.78</v>
      </c>
      <c r="JO225">
        <v>30.17</v>
      </c>
      <c r="JP225">
        <v>30.49</v>
      </c>
      <c r="JQ225">
        <v>30.85</v>
      </c>
      <c r="JR225">
        <v>31.05</v>
      </c>
      <c r="JT225">
        <v>31.49</v>
      </c>
      <c r="JU225">
        <v>31.81</v>
      </c>
      <c r="JV225">
        <v>32.17</v>
      </c>
      <c r="JW225">
        <v>32.89</v>
      </c>
      <c r="JZ225">
        <v>33.229999999999997</v>
      </c>
      <c r="KA225">
        <v>33.43</v>
      </c>
      <c r="KB225">
        <v>33.69</v>
      </c>
      <c r="KC225">
        <v>33.950000000000003</v>
      </c>
      <c r="KD225">
        <v>34.229999999999997</v>
      </c>
      <c r="KE225">
        <v>34.44</v>
      </c>
      <c r="KF225">
        <v>34.58</v>
      </c>
      <c r="KG225">
        <v>34.69</v>
      </c>
      <c r="KH225">
        <v>34.880000000000003</v>
      </c>
      <c r="KI225">
        <v>35.049999999999997</v>
      </c>
      <c r="KJ225">
        <v>35.25</v>
      </c>
      <c r="KK225">
        <v>35.49</v>
      </c>
      <c r="KL225">
        <v>35.69</v>
      </c>
      <c r="KM225">
        <v>35.840000000000003</v>
      </c>
      <c r="KN225">
        <v>35.94</v>
      </c>
      <c r="KO225">
        <v>36.049999999999997</v>
      </c>
      <c r="KP225">
        <v>36.26</v>
      </c>
      <c r="KQ225">
        <v>36.44</v>
      </c>
      <c r="KR225">
        <v>36.630000000000003</v>
      </c>
      <c r="KT225">
        <v>36.82</v>
      </c>
      <c r="KU225">
        <v>36.979999999999997</v>
      </c>
      <c r="KV225">
        <v>37.07</v>
      </c>
      <c r="KW225">
        <v>37.19</v>
      </c>
      <c r="KX225">
        <v>37.32</v>
      </c>
      <c r="KY225">
        <v>37.46</v>
      </c>
      <c r="LA225">
        <v>37.69</v>
      </c>
      <c r="LB225">
        <v>37.78</v>
      </c>
      <c r="LC225">
        <v>38.049999999999997</v>
      </c>
      <c r="LE225">
        <v>38.299999999999997</v>
      </c>
      <c r="LF225">
        <v>38.409999999999997</v>
      </c>
      <c r="LH225">
        <v>38.61</v>
      </c>
      <c r="LI225">
        <v>38.67</v>
      </c>
      <c r="LJ225">
        <v>38.75</v>
      </c>
      <c r="LK225">
        <v>38.869999999999997</v>
      </c>
      <c r="LL225">
        <v>38.979999999999997</v>
      </c>
      <c r="LM225">
        <v>39.07</v>
      </c>
      <c r="LN225">
        <v>39.19</v>
      </c>
      <c r="LO225">
        <v>39.26</v>
      </c>
      <c r="LP225">
        <v>39.32</v>
      </c>
      <c r="LR225">
        <v>39.520000000000003</v>
      </c>
      <c r="LS225">
        <v>39.64</v>
      </c>
      <c r="LT225">
        <v>39.75</v>
      </c>
      <c r="LU225">
        <v>39.869999999999997</v>
      </c>
      <c r="LW225">
        <v>39.9</v>
      </c>
      <c r="LX225">
        <v>39.979999999999997</v>
      </c>
      <c r="LY225">
        <v>40.130000000000003</v>
      </c>
      <c r="MA225">
        <v>40.43</v>
      </c>
      <c r="MB225">
        <v>40.619999999999997</v>
      </c>
      <c r="MC225">
        <v>40.79</v>
      </c>
      <c r="MD225">
        <v>40.85</v>
      </c>
      <c r="ME225">
        <v>41.02</v>
      </c>
      <c r="MF225">
        <v>41.27</v>
      </c>
      <c r="MH225">
        <v>41.81</v>
      </c>
      <c r="MI225">
        <v>42.16</v>
      </c>
      <c r="MJ225">
        <v>42.38</v>
      </c>
      <c r="MK225">
        <v>42.54</v>
      </c>
      <c r="ML225">
        <v>42.63</v>
      </c>
      <c r="MM225">
        <v>42.77</v>
      </c>
      <c r="MP225">
        <v>43.36</v>
      </c>
      <c r="MR225">
        <v>43.52</v>
      </c>
      <c r="MS225">
        <v>43.64</v>
      </c>
      <c r="MT225">
        <v>43.81</v>
      </c>
      <c r="MU225">
        <v>44</v>
      </c>
      <c r="MW225">
        <v>44.46</v>
      </c>
      <c r="MX225">
        <v>44.67</v>
      </c>
      <c r="MY225">
        <v>44.79</v>
      </c>
      <c r="NA225">
        <v>45.11</v>
      </c>
      <c r="NB225">
        <v>45.29</v>
      </c>
      <c r="ND225">
        <v>45.71</v>
      </c>
      <c r="NF225">
        <v>45.94</v>
      </c>
      <c r="NG225">
        <v>46.09</v>
      </c>
      <c r="NH225">
        <v>46.25</v>
      </c>
      <c r="NI225">
        <v>46.47</v>
      </c>
      <c r="NJ225">
        <v>46.77</v>
      </c>
      <c r="NK225">
        <v>46.99</v>
      </c>
      <c r="NM225">
        <v>47.2</v>
      </c>
      <c r="NN225">
        <v>47.28</v>
      </c>
      <c r="NO225">
        <v>47.39</v>
      </c>
      <c r="NQ225">
        <v>47.63</v>
      </c>
      <c r="NR225">
        <v>47.71</v>
      </c>
      <c r="NT225">
        <v>47.8</v>
      </c>
      <c r="NU225">
        <v>47.83</v>
      </c>
      <c r="NY225">
        <v>48.1</v>
      </c>
      <c r="NZ225">
        <v>48.17</v>
      </c>
      <c r="OA225">
        <v>48.22</v>
      </c>
      <c r="OB225">
        <v>48.26</v>
      </c>
      <c r="OC225">
        <v>48.33</v>
      </c>
      <c r="OE225">
        <v>48.53</v>
      </c>
      <c r="OH225">
        <v>48.73</v>
      </c>
      <c r="OI225">
        <v>48.8</v>
      </c>
      <c r="OJ225">
        <v>48.86</v>
      </c>
      <c r="OK225">
        <v>48.97</v>
      </c>
      <c r="OL225">
        <v>49.09</v>
      </c>
      <c r="OM225">
        <v>49.19</v>
      </c>
      <c r="ON225">
        <v>49.25</v>
      </c>
      <c r="OO225">
        <v>49.29</v>
      </c>
      <c r="OP225">
        <v>49.34</v>
      </c>
      <c r="OQ225">
        <v>49.42</v>
      </c>
      <c r="OR225">
        <v>49.51</v>
      </c>
      <c r="OS225">
        <v>49.58</v>
      </c>
      <c r="OT225">
        <v>49.67</v>
      </c>
      <c r="OU225">
        <v>49.74</v>
      </c>
      <c r="OX225">
        <v>49.86</v>
      </c>
      <c r="PC225">
        <v>50.12</v>
      </c>
      <c r="PD225">
        <v>50.16</v>
      </c>
      <c r="PE225">
        <v>50.21</v>
      </c>
      <c r="PF225">
        <v>50.32</v>
      </c>
      <c r="PG225">
        <v>50.36</v>
      </c>
      <c r="PH225">
        <v>50.44</v>
      </c>
      <c r="PI225">
        <v>50.47</v>
      </c>
      <c r="PK225">
        <v>50.53</v>
      </c>
      <c r="PL225">
        <v>50.56</v>
      </c>
      <c r="PM225">
        <v>50.63</v>
      </c>
      <c r="PN225">
        <v>50.69</v>
      </c>
      <c r="PR225">
        <v>50.82</v>
      </c>
      <c r="PT225">
        <v>50.92</v>
      </c>
      <c r="PU225">
        <v>51.65</v>
      </c>
      <c r="PV225">
        <v>51.75</v>
      </c>
      <c r="PW225">
        <v>51.82</v>
      </c>
      <c r="PX225">
        <v>51.84</v>
      </c>
      <c r="PY225">
        <v>51.88</v>
      </c>
      <c r="PZ225">
        <v>51.92</v>
      </c>
      <c r="QA225">
        <v>52</v>
      </c>
      <c r="QB225">
        <v>52.07</v>
      </c>
      <c r="QC225">
        <v>52.15</v>
      </c>
      <c r="QD225">
        <v>52.19</v>
      </c>
      <c r="QE225">
        <v>52.23</v>
      </c>
      <c r="QF225">
        <v>52.29</v>
      </c>
      <c r="QG225">
        <v>52.35</v>
      </c>
      <c r="QH225">
        <v>52.42</v>
      </c>
      <c r="QI225">
        <v>52.48</v>
      </c>
      <c r="QJ225">
        <v>52.55</v>
      </c>
      <c r="QK225">
        <v>52.58</v>
      </c>
      <c r="QM225">
        <v>52.63</v>
      </c>
      <c r="QO225">
        <v>52.77</v>
      </c>
      <c r="QP225">
        <v>52.83</v>
      </c>
      <c r="QQ225">
        <v>52.91</v>
      </c>
      <c r="QR225">
        <v>52.95</v>
      </c>
      <c r="QS225">
        <v>52.98</v>
      </c>
      <c r="QU225">
        <v>54.16</v>
      </c>
      <c r="QV225">
        <v>54.25</v>
      </c>
      <c r="QW225">
        <v>54.3</v>
      </c>
      <c r="QY225">
        <v>54.38</v>
      </c>
      <c r="QZ225">
        <v>54.4</v>
      </c>
      <c r="RA225">
        <v>54.53</v>
      </c>
      <c r="RB225">
        <v>55.08</v>
      </c>
      <c r="RC225">
        <v>55.75</v>
      </c>
      <c r="RD225">
        <v>56.67</v>
      </c>
      <c r="RE225">
        <v>57.59</v>
      </c>
      <c r="RF225">
        <v>58.25</v>
      </c>
      <c r="RG225">
        <v>58.61</v>
      </c>
      <c r="RI225">
        <v>59.9</v>
      </c>
      <c r="RJ225">
        <v>60.97</v>
      </c>
      <c r="RK225">
        <v>62.08</v>
      </c>
      <c r="RL225">
        <v>64.239999999999995</v>
      </c>
      <c r="RO225">
        <v>65.33</v>
      </c>
      <c r="RP225">
        <v>65.5</v>
      </c>
      <c r="RQ225">
        <v>66.430000000000007</v>
      </c>
      <c r="RR225">
        <v>66.55</v>
      </c>
      <c r="RU225">
        <v>66.98</v>
      </c>
      <c r="RV225">
        <v>67.22</v>
      </c>
      <c r="RW225">
        <v>67.27</v>
      </c>
      <c r="RY225">
        <v>67.430000000000007</v>
      </c>
      <c r="SA225">
        <v>67.62</v>
      </c>
      <c r="SE225">
        <v>67.930000000000007</v>
      </c>
      <c r="SG225">
        <v>68.150000000000006</v>
      </c>
      <c r="SH225">
        <v>68.28</v>
      </c>
      <c r="SI225">
        <v>68.34</v>
      </c>
      <c r="SJ225">
        <v>68.39</v>
      </c>
      <c r="SM225">
        <v>68.61</v>
      </c>
      <c r="SP225">
        <v>69.900000000000006</v>
      </c>
      <c r="SS225">
        <v>71.16</v>
      </c>
      <c r="ST225">
        <v>71.650000000000006</v>
      </c>
      <c r="SV225">
        <v>72.930000000000007</v>
      </c>
      <c r="SW225">
        <v>73.91</v>
      </c>
      <c r="SX225">
        <v>75.11</v>
      </c>
      <c r="SZ225">
        <v>76.13</v>
      </c>
      <c r="TA225">
        <v>76.650000000000006</v>
      </c>
      <c r="TC225">
        <v>76.989999999999995</v>
      </c>
      <c r="TD225">
        <v>77.22</v>
      </c>
      <c r="TE225">
        <v>77.38</v>
      </c>
      <c r="TF225">
        <v>77.44</v>
      </c>
      <c r="TG225">
        <v>77.540000000000006</v>
      </c>
      <c r="TP225">
        <v>78.06</v>
      </c>
      <c r="TQ225">
        <v>78.150000000000006</v>
      </c>
      <c r="TS225">
        <v>78.25</v>
      </c>
      <c r="TU225">
        <v>78.28</v>
      </c>
      <c r="TV225">
        <v>78.349999999999994</v>
      </c>
      <c r="TW225">
        <v>78.38</v>
      </c>
      <c r="TX225">
        <v>78.42</v>
      </c>
      <c r="TY225">
        <v>78.53</v>
      </c>
      <c r="UB225">
        <v>78.58</v>
      </c>
      <c r="UC225">
        <v>78.63</v>
      </c>
      <c r="UD225">
        <v>78.680000000000007</v>
      </c>
      <c r="UE225">
        <v>78.73</v>
      </c>
      <c r="UG225">
        <v>78.819999999999993</v>
      </c>
      <c r="UI225">
        <v>78.92</v>
      </c>
      <c r="UJ225">
        <v>78.989999999999995</v>
      </c>
      <c r="UK225">
        <v>79.45</v>
      </c>
      <c r="UL225">
        <v>79.5</v>
      </c>
      <c r="UM225">
        <v>79.53</v>
      </c>
      <c r="UT225">
        <v>79.41</v>
      </c>
      <c r="UU225">
        <v>79.55</v>
      </c>
      <c r="UV225">
        <v>79.67</v>
      </c>
      <c r="UW225">
        <v>79.680000000000007</v>
      </c>
      <c r="UZ225">
        <v>79.81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7"/>
  <sheetViews>
    <sheetView workbookViewId="0">
      <selection activeCell="B2" sqref="B2"/>
    </sheetView>
  </sheetViews>
  <sheetFormatPr defaultColWidth="10.6640625" defaultRowHeight="15.5"/>
  <cols>
    <col min="1" max="1" width="19.33203125" customWidth="1"/>
  </cols>
  <sheetData>
    <row r="1" spans="1:2">
      <c r="A1" s="1" t="s">
        <v>29</v>
      </c>
      <c r="B1" s="1" t="s">
        <v>378</v>
      </c>
    </row>
    <row r="2" spans="1:2">
      <c r="A2" s="1" t="s">
        <v>36</v>
      </c>
      <c r="B2">
        <v>6.7</v>
      </c>
    </row>
    <row r="3" spans="1:2">
      <c r="A3" s="1" t="s">
        <v>159</v>
      </c>
      <c r="B3">
        <v>5.7</v>
      </c>
    </row>
    <row r="4" spans="1:2">
      <c r="A4" s="1" t="s">
        <v>282</v>
      </c>
      <c r="B4">
        <v>5.4</v>
      </c>
    </row>
    <row r="5" spans="1:2">
      <c r="A5" s="1" t="s">
        <v>355</v>
      </c>
      <c r="B5">
        <v>4.7</v>
      </c>
    </row>
    <row r="6" spans="1:2">
      <c r="A6" s="1" t="s">
        <v>327</v>
      </c>
      <c r="B6">
        <v>3.5</v>
      </c>
    </row>
    <row r="7" spans="1:2">
      <c r="A7" s="1" t="s">
        <v>96</v>
      </c>
      <c r="B7">
        <v>4.9000000000000004</v>
      </c>
    </row>
    <row r="8" spans="1:2">
      <c r="A8" s="1" t="s">
        <v>33</v>
      </c>
      <c r="B8">
        <v>4.5</v>
      </c>
    </row>
    <row r="9" spans="1:2">
      <c r="A9" s="1" t="s">
        <v>99</v>
      </c>
      <c r="B9">
        <v>6.4</v>
      </c>
    </row>
    <row r="10" spans="1:2">
      <c r="A10" s="1" t="s">
        <v>255</v>
      </c>
      <c r="B10">
        <v>3.6</v>
      </c>
    </row>
    <row r="11" spans="1:2">
      <c r="A11" s="1" t="s">
        <v>276</v>
      </c>
      <c r="B11">
        <v>4</v>
      </c>
    </row>
    <row r="12" spans="1:2">
      <c r="A12" s="1" t="s">
        <v>31</v>
      </c>
      <c r="B12">
        <v>3</v>
      </c>
    </row>
    <row r="13" spans="1:2">
      <c r="A13" s="1" t="s">
        <v>120</v>
      </c>
      <c r="B13">
        <v>3.3</v>
      </c>
    </row>
    <row r="14" spans="1:2">
      <c r="A14" s="1" t="s">
        <v>32</v>
      </c>
      <c r="B14">
        <v>4</v>
      </c>
    </row>
    <row r="15" spans="1:2">
      <c r="A15" s="1" t="s">
        <v>34</v>
      </c>
      <c r="B15">
        <v>3.8</v>
      </c>
    </row>
    <row r="16" spans="1:2">
      <c r="A16" s="1" t="s">
        <v>35</v>
      </c>
      <c r="B16">
        <v>3.6</v>
      </c>
    </row>
    <row r="17" spans="1:2">
      <c r="A17" s="1" t="s">
        <v>30</v>
      </c>
      <c r="B17">
        <v>3.7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detalle</vt:lpstr>
      <vt:lpstr>Indicadores</vt:lpstr>
      <vt:lpstr>Inmunidad de Rebaño</vt:lpstr>
      <vt:lpstr>LATAM</vt:lpstr>
      <vt:lpstr>Calculos AL</vt:lpstr>
      <vt:lpstr>Vacunas MM</vt:lpstr>
      <vt:lpstr>Vacunas</vt:lpstr>
      <vt:lpstr>Histórico vacunas</vt:lpstr>
      <vt:lpstr>Indice Respuesta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Chanel Esmeralda Perez Pena</cp:lastModifiedBy>
  <dcterms:created xsi:type="dcterms:W3CDTF">2020-06-01T15:24:32Z</dcterms:created>
  <dcterms:modified xsi:type="dcterms:W3CDTF">2023-03-07T13:36:52Z</dcterms:modified>
</cp:coreProperties>
</file>